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МКД Проект с АЦП\ДАННЫЕ\"/>
    </mc:Choice>
  </mc:AlternateContent>
  <bookViews>
    <workbookView xWindow="0" yWindow="0" windowWidth="23040" windowHeight="9360"/>
  </bookViews>
  <sheets>
    <sheet name="Инф. о МДК (прил. 1)" sheetId="1" r:id="rId1"/>
    <sheet name="Примечания 1" sheetId="4" r:id="rId2"/>
    <sheet name="ТЭ (прил. 2.1)" sheetId="2" r:id="rId3"/>
    <sheet name="ЭЭ (прил. 2.2)" sheetId="3" r:id="rId4"/>
  </sheets>
  <definedNames>
    <definedName name="_xlnm.Print_Titles" localSheetId="0">'Инф. о МДК (прил. 1)'!$A:$J</definedName>
    <definedName name="_xlnm.Print_Titles" localSheetId="1">'Примечания 1'!$A:$J</definedName>
    <definedName name="_xlnm.Print_Titles" localSheetId="2">'ТЭ (прил. 2.1)'!$A:$B</definedName>
    <definedName name="_xlnm.Print_Titles" localSheetId="3">'ЭЭ (прил. 2.2)'!$A:$B</definedName>
    <definedName name="_xlnm.Print_Area" localSheetId="0">'Инф. о МДК (прил. 1)'!$A$1:$AL$1002</definedName>
    <definedName name="_xlnm.Print_Area" localSheetId="1">'Примечания 1'!$A$1:$Q$41</definedName>
    <definedName name="_xlnm.Print_Area" localSheetId="3">'ЭЭ (прил. 2.2)'!$A$1:$AM$2718</definedName>
  </definedNames>
  <calcPr calcId="152511"/>
</workbook>
</file>

<file path=xl/calcChain.xml><?xml version="1.0" encoding="utf-8"?>
<calcChain xmlns="http://schemas.openxmlformats.org/spreadsheetml/2006/main">
  <c r="I1549" i="3" l="1"/>
  <c r="I1547" i="3"/>
  <c r="I1545" i="3"/>
  <c r="I1543" i="3"/>
  <c r="I1541" i="3"/>
  <c r="I1539" i="3"/>
  <c r="I1537" i="3"/>
  <c r="I1535" i="3"/>
  <c r="I1533" i="3"/>
  <c r="I1531" i="3"/>
  <c r="I1529" i="3"/>
  <c r="I1519" i="3"/>
  <c r="I1517" i="3"/>
  <c r="I1515" i="3"/>
  <c r="I1513" i="3"/>
  <c r="I1511" i="3"/>
  <c r="I1509" i="3"/>
  <c r="I1507" i="3"/>
  <c r="I1503" i="3"/>
  <c r="I1501" i="3"/>
  <c r="I1499" i="3"/>
  <c r="I1497" i="3"/>
  <c r="I1495" i="3"/>
  <c r="I1493" i="3"/>
  <c r="I1491" i="3"/>
  <c r="I1489" i="3"/>
  <c r="I1487" i="3"/>
  <c r="I1485" i="3"/>
  <c r="I1483" i="3"/>
  <c r="I1481" i="3"/>
  <c r="I1479" i="3"/>
  <c r="I1477" i="3"/>
  <c r="I1473" i="3"/>
  <c r="I1471" i="3"/>
  <c r="I1469" i="3"/>
  <c r="I1467" i="3"/>
  <c r="I1465" i="3"/>
  <c r="I1463" i="3"/>
  <c r="I1461" i="3"/>
  <c r="I1459" i="3"/>
  <c r="I1457" i="3"/>
  <c r="I1455" i="3"/>
  <c r="I1453" i="3"/>
  <c r="I1451" i="3"/>
  <c r="I1449" i="3"/>
  <c r="I1447" i="3"/>
  <c r="I1445" i="3"/>
  <c r="I1443" i="3"/>
  <c r="I1441" i="3"/>
  <c r="I1435" i="3"/>
  <c r="I1433" i="3"/>
  <c r="I1431" i="3"/>
  <c r="I1429" i="3"/>
  <c r="I1427" i="3"/>
  <c r="I1425" i="3"/>
  <c r="I1423" i="3"/>
  <c r="I1421" i="3"/>
  <c r="I1419" i="3"/>
  <c r="I1417" i="3"/>
  <c r="I1413" i="3"/>
  <c r="I1411" i="3"/>
  <c r="I1409" i="3"/>
  <c r="I1407" i="3"/>
  <c r="I1401" i="3"/>
  <c r="I1399" i="3"/>
  <c r="I1395" i="3"/>
  <c r="I1391" i="3"/>
  <c r="I1389" i="3"/>
  <c r="I1387" i="3"/>
  <c r="I1385" i="3"/>
  <c r="I1383" i="3"/>
  <c r="I1381" i="3"/>
  <c r="I1379" i="3"/>
  <c r="I1377" i="3"/>
  <c r="I1375" i="3"/>
  <c r="I1373" i="3"/>
  <c r="I1371" i="3"/>
  <c r="I1369" i="3"/>
  <c r="I1367" i="3"/>
  <c r="I1365" i="3"/>
  <c r="I1363" i="3"/>
  <c r="I1361" i="3"/>
  <c r="I1359" i="3"/>
  <c r="I1357" i="3"/>
  <c r="I1355" i="3"/>
  <c r="I1353" i="3"/>
  <c r="I1351" i="3"/>
  <c r="I1349" i="3"/>
  <c r="I1345" i="3"/>
  <c r="I1343" i="3"/>
  <c r="I1341" i="3"/>
  <c r="I1339" i="3"/>
  <c r="I1337" i="3"/>
  <c r="I1335" i="3"/>
  <c r="I1333" i="3"/>
  <c r="I1331" i="3"/>
  <c r="I1329" i="3"/>
  <c r="I1327" i="3"/>
  <c r="I1325" i="3"/>
  <c r="I1323" i="3"/>
  <c r="I1321" i="3"/>
  <c r="I1319" i="3"/>
  <c r="I1317" i="3"/>
  <c r="I1315" i="3"/>
  <c r="I1313" i="3"/>
  <c r="I1311" i="3"/>
  <c r="I1305" i="3"/>
  <c r="I1303" i="3"/>
  <c r="I1299" i="3"/>
  <c r="I1297" i="3"/>
  <c r="I1295" i="3"/>
  <c r="I1293" i="3"/>
  <c r="I1291" i="3"/>
  <c r="I1289" i="3"/>
  <c r="I1287" i="3"/>
  <c r="I1285" i="3"/>
  <c r="I1283" i="3"/>
  <c r="I1281" i="3"/>
  <c r="I1279" i="3"/>
  <c r="I1277" i="3"/>
  <c r="I1275" i="3"/>
  <c r="I1271" i="3"/>
  <c r="I1269" i="3"/>
  <c r="I1267" i="3"/>
  <c r="I1265" i="3"/>
  <c r="I1263" i="3"/>
  <c r="I1261" i="3"/>
  <c r="I1259" i="3"/>
  <c r="I1257" i="3"/>
  <c r="I1255" i="3"/>
  <c r="I1253" i="3"/>
  <c r="I1251" i="3"/>
  <c r="I1249" i="3"/>
  <c r="I1247" i="3"/>
  <c r="I1245" i="3"/>
  <c r="I1243" i="3"/>
  <c r="I1241" i="3"/>
  <c r="I1239" i="3"/>
  <c r="I1237" i="3"/>
  <c r="I1235" i="3"/>
  <c r="I1233" i="3"/>
  <c r="I1213" i="3"/>
  <c r="I1211" i="3"/>
  <c r="I1209" i="3"/>
  <c r="I1207" i="3"/>
  <c r="I1205" i="3"/>
  <c r="I1203" i="3"/>
  <c r="I1201" i="3"/>
  <c r="I1199" i="3"/>
  <c r="I1197" i="3"/>
  <c r="I1195" i="3"/>
  <c r="I1193" i="3"/>
  <c r="I1191" i="3"/>
  <c r="I1189" i="3"/>
  <c r="I1187" i="3"/>
  <c r="I1185" i="3"/>
  <c r="I1183" i="3"/>
  <c r="I1181" i="3"/>
  <c r="I1179" i="3"/>
  <c r="I1177" i="3"/>
  <c r="I1175" i="3"/>
  <c r="I1171" i="3"/>
  <c r="I1167" i="3"/>
  <c r="I1165" i="3"/>
  <c r="I1159" i="3"/>
  <c r="I1155" i="3"/>
  <c r="I1153" i="3"/>
  <c r="I1151" i="3"/>
  <c r="I1149" i="3"/>
  <c r="I1147" i="3"/>
  <c r="I1145" i="3"/>
  <c r="I1143" i="3"/>
  <c r="I1141" i="3"/>
  <c r="I1139" i="3"/>
  <c r="I1137" i="3"/>
  <c r="I1135" i="3"/>
  <c r="I1133" i="3"/>
  <c r="I1131" i="3"/>
  <c r="I1129" i="3"/>
  <c r="I1127" i="3"/>
  <c r="I1125" i="3"/>
  <c r="I1123" i="3"/>
  <c r="I1121" i="3"/>
  <c r="I1119" i="3"/>
  <c r="I1117" i="3"/>
  <c r="I1115" i="3"/>
  <c r="I1113" i="3"/>
  <c r="I1111" i="3"/>
  <c r="I1109" i="3"/>
  <c r="I1105" i="3"/>
  <c r="I1103" i="3"/>
  <c r="I1099" i="3"/>
  <c r="I1097" i="3"/>
  <c r="I1095" i="3"/>
  <c r="I1093" i="3"/>
  <c r="I1091" i="3"/>
  <c r="I1089" i="3"/>
  <c r="I1087" i="3"/>
  <c r="I1085" i="3"/>
  <c r="I1083" i="3"/>
  <c r="I1079" i="3"/>
  <c r="I1077" i="3"/>
  <c r="I1073" i="3"/>
  <c r="I1071" i="3"/>
  <c r="I1069" i="3"/>
  <c r="I1067" i="3"/>
  <c r="I1065" i="3"/>
  <c r="I1063" i="3"/>
  <c r="I1061" i="3"/>
  <c r="I1059" i="3"/>
  <c r="I1057" i="3"/>
  <c r="I1055" i="3"/>
  <c r="I1053" i="3"/>
  <c r="I1051" i="3"/>
  <c r="I1049" i="3"/>
  <c r="I1045" i="3"/>
  <c r="I1043" i="3"/>
  <c r="I1041" i="3"/>
  <c r="I1039" i="3"/>
  <c r="I1037" i="3"/>
  <c r="I1035" i="3"/>
  <c r="I1033" i="3"/>
  <c r="I1031" i="3"/>
  <c r="I1029" i="3"/>
  <c r="I1027" i="3"/>
  <c r="I1025" i="3"/>
  <c r="I1023" i="3"/>
  <c r="I1021" i="3"/>
  <c r="I1019" i="3"/>
  <c r="I1017" i="3"/>
  <c r="I1015" i="3"/>
  <c r="I1013" i="3"/>
  <c r="I1011" i="3"/>
  <c r="I1009" i="3"/>
  <c r="I1007" i="3"/>
  <c r="I1005" i="3"/>
  <c r="I1003" i="3"/>
  <c r="I1001" i="3"/>
  <c r="I999" i="3"/>
  <c r="I997" i="3"/>
  <c r="I995" i="3"/>
  <c r="I993" i="3"/>
  <c r="I991" i="3"/>
  <c r="I989" i="3"/>
  <c r="I987" i="3"/>
  <c r="I985" i="3"/>
  <c r="I983" i="3"/>
  <c r="I981" i="3"/>
  <c r="I979" i="3"/>
  <c r="I977" i="3"/>
  <c r="I975" i="3"/>
  <c r="I971" i="3"/>
  <c r="I969" i="3"/>
  <c r="I967" i="3"/>
  <c r="I965" i="3"/>
  <c r="I963" i="3"/>
  <c r="I961" i="3"/>
  <c r="I959" i="3"/>
  <c r="I957" i="3"/>
  <c r="I955" i="3"/>
  <c r="I953" i="3"/>
  <c r="I951" i="3"/>
  <c r="I949" i="3"/>
  <c r="I947" i="3"/>
  <c r="I945" i="3"/>
  <c r="I943" i="3"/>
  <c r="I941" i="3"/>
  <c r="I939" i="3"/>
  <c r="I933" i="3"/>
  <c r="I931" i="3"/>
  <c r="I929" i="3"/>
  <c r="I927" i="3"/>
  <c r="I925" i="3"/>
  <c r="I923" i="3"/>
  <c r="I921" i="3"/>
  <c r="I919" i="3"/>
  <c r="I917" i="3"/>
  <c r="I915" i="3"/>
  <c r="I913" i="3"/>
  <c r="I911" i="3"/>
  <c r="I909" i="3"/>
  <c r="I907" i="3"/>
  <c r="I905" i="3"/>
  <c r="I903" i="3"/>
  <c r="I901" i="3"/>
  <c r="I899" i="3"/>
  <c r="I897" i="3"/>
  <c r="I895" i="3"/>
  <c r="I893" i="3"/>
  <c r="I891" i="3"/>
  <c r="I889" i="3"/>
  <c r="I887" i="3"/>
  <c r="I883" i="3"/>
  <c r="I881" i="3"/>
  <c r="I879" i="3"/>
  <c r="I877" i="3"/>
  <c r="I875" i="3"/>
  <c r="I873" i="3"/>
  <c r="I871" i="3"/>
  <c r="I869" i="3"/>
  <c r="I867" i="3"/>
  <c r="I865" i="3"/>
  <c r="I863" i="3"/>
  <c r="I861" i="3"/>
  <c r="I859" i="3"/>
  <c r="I857" i="3"/>
  <c r="I855" i="3"/>
  <c r="I853" i="3"/>
  <c r="I851" i="3"/>
  <c r="I847" i="3"/>
  <c r="I845" i="3"/>
  <c r="I843" i="3"/>
  <c r="I841" i="3"/>
  <c r="I839" i="3"/>
  <c r="I837" i="3"/>
  <c r="I835" i="3"/>
  <c r="I833" i="3"/>
  <c r="I831" i="3"/>
  <c r="I829" i="3"/>
  <c r="I825" i="3"/>
  <c r="I823" i="3"/>
  <c r="I821" i="3"/>
  <c r="I819" i="3"/>
  <c r="I815" i="3"/>
  <c r="I813" i="3"/>
  <c r="I811" i="3"/>
  <c r="I809" i="3"/>
  <c r="I807" i="3"/>
  <c r="I805" i="3"/>
  <c r="I803" i="3"/>
  <c r="I801" i="3"/>
  <c r="I799" i="3"/>
  <c r="I797" i="3"/>
  <c r="I795" i="3"/>
  <c r="I793" i="3"/>
  <c r="I791" i="3"/>
  <c r="I787" i="3"/>
  <c r="I785" i="3"/>
  <c r="I783" i="3"/>
  <c r="I781" i="3"/>
  <c r="I777" i="3"/>
  <c r="I773" i="3"/>
  <c r="I771" i="3"/>
  <c r="I769" i="3"/>
  <c r="I767" i="3"/>
  <c r="I765" i="3"/>
  <c r="I763" i="3"/>
  <c r="I761" i="3"/>
  <c r="I759" i="3"/>
  <c r="I755" i="3"/>
  <c r="I753" i="3"/>
  <c r="I751" i="3"/>
  <c r="I747" i="3"/>
  <c r="I745" i="3"/>
  <c r="I743" i="3"/>
  <c r="I741" i="3"/>
  <c r="I739" i="3"/>
  <c r="I737" i="3"/>
  <c r="I735" i="3"/>
  <c r="I733" i="3"/>
  <c r="I731" i="3"/>
  <c r="I727" i="3"/>
  <c r="I725" i="3"/>
  <c r="I719" i="3"/>
  <c r="I717" i="3"/>
  <c r="I715" i="3"/>
  <c r="I707" i="3"/>
  <c r="I705" i="3"/>
  <c r="I703" i="3"/>
  <c r="I701" i="3"/>
  <c r="I699" i="3"/>
  <c r="I697" i="3"/>
  <c r="I695" i="3"/>
  <c r="I693" i="3"/>
  <c r="I691" i="3"/>
  <c r="I689" i="3"/>
  <c r="I685" i="3"/>
  <c r="I683" i="3"/>
  <c r="I681" i="3"/>
  <c r="I679" i="3"/>
  <c r="I677" i="3"/>
  <c r="I675" i="3"/>
  <c r="I673" i="3"/>
  <c r="I671" i="3"/>
  <c r="I667" i="3"/>
  <c r="I661" i="3"/>
  <c r="I659" i="3"/>
  <c r="I657" i="3"/>
  <c r="I653" i="3"/>
  <c r="I651" i="3"/>
  <c r="I649" i="3"/>
  <c r="I647" i="3"/>
  <c r="I645" i="3"/>
  <c r="I643" i="3"/>
  <c r="I641" i="3"/>
  <c r="I639" i="3"/>
  <c r="I637" i="3"/>
  <c r="I635" i="3"/>
  <c r="I629" i="3"/>
  <c r="I627" i="3"/>
  <c r="I625" i="3"/>
  <c r="I623" i="3"/>
  <c r="I621" i="3"/>
  <c r="I619" i="3"/>
  <c r="I617" i="3"/>
  <c r="I615" i="3"/>
  <c r="I613" i="3"/>
  <c r="I611" i="3"/>
  <c r="I605" i="3"/>
  <c r="I603" i="3"/>
  <c r="I599" i="3"/>
  <c r="I595" i="3"/>
  <c r="I593" i="3"/>
  <c r="I591" i="3"/>
  <c r="I589" i="3"/>
  <c r="I587" i="3"/>
  <c r="I585" i="3"/>
  <c r="I579" i="3"/>
  <c r="I577" i="3"/>
  <c r="I575" i="3"/>
  <c r="I573" i="3"/>
  <c r="I571" i="3"/>
  <c r="I569" i="3"/>
  <c r="I567" i="3"/>
  <c r="I565" i="3"/>
  <c r="I563" i="3"/>
  <c r="I561" i="3"/>
  <c r="I557" i="3"/>
  <c r="I555" i="3"/>
  <c r="I551" i="3"/>
  <c r="I549" i="3"/>
  <c r="I545" i="3"/>
  <c r="I543" i="3"/>
  <c r="I541" i="3"/>
  <c r="I539" i="3"/>
  <c r="I537" i="3"/>
  <c r="I529" i="3"/>
  <c r="I527" i="3"/>
  <c r="I525" i="3"/>
  <c r="I523" i="3"/>
  <c r="I521" i="3"/>
  <c r="I519" i="3"/>
  <c r="I517" i="3"/>
  <c r="I513" i="3"/>
  <c r="I511" i="3"/>
  <c r="I509" i="3"/>
  <c r="I507" i="3"/>
  <c r="I505" i="3"/>
  <c r="I503" i="3"/>
  <c r="I501" i="3"/>
  <c r="I499" i="3"/>
  <c r="I497" i="3"/>
  <c r="I493" i="3"/>
  <c r="I491" i="3"/>
  <c r="I489" i="3"/>
  <c r="I487" i="3"/>
  <c r="I485" i="3"/>
  <c r="I483" i="3"/>
  <c r="I481" i="3"/>
  <c r="I479" i="3"/>
  <c r="I477" i="3"/>
  <c r="I475" i="3"/>
  <c r="I473" i="3"/>
  <c r="I469" i="3"/>
  <c r="I461" i="3"/>
  <c r="I459" i="3"/>
  <c r="AU1005" i="2" l="1"/>
  <c r="AU1004" i="2"/>
  <c r="AU1003" i="2"/>
  <c r="AU1002" i="2"/>
  <c r="AU1001" i="2"/>
  <c r="AU1000" i="2"/>
  <c r="AU999" i="2"/>
  <c r="AU998" i="2"/>
  <c r="AU997" i="2"/>
  <c r="AU996" i="2"/>
  <c r="AU995" i="2"/>
  <c r="AU994" i="2"/>
  <c r="AU993" i="2"/>
  <c r="AU992" i="2"/>
  <c r="AU991" i="2"/>
  <c r="AU990" i="2"/>
  <c r="AU989" i="2"/>
  <c r="AU988" i="2"/>
  <c r="AU987" i="2"/>
  <c r="AU986" i="2"/>
  <c r="AU985" i="2"/>
  <c r="AU984" i="2"/>
  <c r="AU983" i="2"/>
  <c r="AU982" i="2"/>
  <c r="AU981" i="2"/>
  <c r="AU980" i="2"/>
  <c r="AU979" i="2"/>
  <c r="AU978" i="2"/>
  <c r="AU977" i="2"/>
  <c r="AU976" i="2"/>
  <c r="AU975" i="2"/>
  <c r="AU974" i="2"/>
  <c r="AU973" i="2"/>
  <c r="AU972" i="2"/>
  <c r="AU971" i="2"/>
  <c r="AU970" i="2"/>
  <c r="AU969" i="2"/>
  <c r="AU968" i="2"/>
  <c r="AU967" i="2"/>
  <c r="AU966" i="2"/>
  <c r="AU965" i="2"/>
  <c r="AU964" i="2"/>
  <c r="AU963" i="2"/>
  <c r="AU962" i="2"/>
  <c r="AU961" i="2"/>
  <c r="AU960" i="2"/>
  <c r="AU959" i="2"/>
  <c r="AU958" i="2"/>
  <c r="AU957" i="2"/>
  <c r="AU956" i="2"/>
  <c r="AU955" i="2"/>
  <c r="AU954" i="2"/>
  <c r="AU952" i="2"/>
  <c r="AU951" i="2"/>
  <c r="AU950" i="2"/>
  <c r="AU949" i="2"/>
  <c r="AU948" i="2"/>
  <c r="AU947" i="2"/>
  <c r="AU946" i="2"/>
  <c r="AU945" i="2"/>
  <c r="AU944" i="2"/>
  <c r="AU943" i="2"/>
  <c r="AU942" i="2"/>
  <c r="AU940" i="2"/>
  <c r="AU939" i="2"/>
  <c r="AU938" i="2"/>
  <c r="AU937" i="2"/>
  <c r="AU936" i="2"/>
  <c r="AU935" i="2"/>
  <c r="AU934" i="2"/>
  <c r="AU933" i="2"/>
  <c r="AU932" i="2"/>
  <c r="AU931" i="2"/>
  <c r="AU930" i="2"/>
  <c r="AU929" i="2"/>
  <c r="AU928" i="2"/>
  <c r="AU927" i="2"/>
  <c r="AU926" i="2"/>
  <c r="AU925" i="2"/>
  <c r="AU924" i="2"/>
  <c r="AU923" i="2"/>
  <c r="AU922" i="2"/>
  <c r="AU921" i="2"/>
  <c r="AU920" i="2"/>
  <c r="AU919" i="2"/>
  <c r="AU918" i="2"/>
  <c r="AU917" i="2"/>
  <c r="AU916" i="2"/>
  <c r="AU915" i="2"/>
  <c r="AU914" i="2"/>
  <c r="AU913" i="2"/>
  <c r="AU912" i="2"/>
  <c r="AU911" i="2"/>
  <c r="AU910" i="2"/>
  <c r="AU909" i="2"/>
  <c r="AU908" i="2"/>
  <c r="AU907" i="2"/>
  <c r="AU906" i="2"/>
  <c r="AU905" i="2"/>
  <c r="AU904" i="2"/>
  <c r="AU903" i="2"/>
  <c r="AU902" i="2"/>
  <c r="AU901" i="2"/>
  <c r="AU900" i="2"/>
  <c r="AU899" i="2"/>
  <c r="AU898" i="2"/>
  <c r="AU897" i="2"/>
  <c r="AU896" i="2"/>
  <c r="AU895" i="2"/>
  <c r="AU894" i="2"/>
  <c r="AU893" i="2"/>
  <c r="AU892" i="2"/>
  <c r="AU891" i="2"/>
  <c r="AU890" i="2"/>
  <c r="AU889" i="2"/>
  <c r="AU888" i="2"/>
  <c r="AU887" i="2"/>
  <c r="AU886" i="2"/>
  <c r="AU885" i="2"/>
  <c r="AU884" i="2"/>
  <c r="AU883" i="2"/>
  <c r="AU882" i="2"/>
  <c r="AU881" i="2"/>
  <c r="AU880" i="2"/>
  <c r="AU879" i="2"/>
  <c r="AU878" i="2"/>
  <c r="AU877" i="2"/>
  <c r="AU876" i="2"/>
  <c r="AU875" i="2"/>
  <c r="AU874" i="2"/>
  <c r="AU873" i="2"/>
  <c r="AU872" i="2"/>
  <c r="AU871" i="2"/>
  <c r="AU870" i="2"/>
  <c r="AU869" i="2"/>
  <c r="AU868" i="2"/>
  <c r="AU867" i="2"/>
  <c r="AU866" i="2"/>
  <c r="AU865" i="2"/>
  <c r="AU864" i="2"/>
  <c r="AU863" i="2"/>
  <c r="AU862" i="2"/>
  <c r="AU861" i="2"/>
  <c r="AU860" i="2"/>
  <c r="AU859" i="2"/>
  <c r="AU858" i="2"/>
  <c r="AU857" i="2"/>
  <c r="AU856" i="2"/>
  <c r="AU855" i="2"/>
  <c r="AU854" i="2"/>
  <c r="AU853" i="2"/>
  <c r="AU852" i="2"/>
  <c r="AU851" i="2"/>
  <c r="AU850" i="2"/>
  <c r="AU849" i="2"/>
  <c r="AU848" i="2"/>
  <c r="AU847" i="2"/>
  <c r="AU846" i="2"/>
  <c r="AU845" i="2"/>
  <c r="AU844" i="2"/>
  <c r="AU843" i="2"/>
  <c r="AU842" i="2"/>
  <c r="AU841" i="2"/>
  <c r="AU840" i="2"/>
  <c r="AU839" i="2"/>
  <c r="AU838" i="2"/>
  <c r="AU837" i="2"/>
  <c r="AU836" i="2"/>
  <c r="AU835" i="2"/>
  <c r="AU834" i="2"/>
  <c r="AU833" i="2"/>
  <c r="AU832" i="2"/>
  <c r="AU831" i="2"/>
  <c r="AU830" i="2"/>
  <c r="AU829" i="2"/>
  <c r="AU828" i="2"/>
  <c r="AU827" i="2"/>
  <c r="AU826" i="2"/>
  <c r="AU825" i="2"/>
  <c r="AU824" i="2"/>
  <c r="AU823" i="2"/>
  <c r="AU822" i="2"/>
  <c r="AU821" i="2"/>
  <c r="AU820" i="2"/>
  <c r="AU819" i="2"/>
  <c r="AU818" i="2"/>
  <c r="AU817" i="2"/>
  <c r="AU816" i="2"/>
  <c r="AU815" i="2"/>
  <c r="AU814" i="2"/>
  <c r="AU813" i="2"/>
  <c r="AU812" i="2"/>
  <c r="AU811" i="2"/>
  <c r="AU810" i="2"/>
  <c r="AU809" i="2"/>
  <c r="AU808" i="2"/>
  <c r="AU807" i="2"/>
  <c r="AU806" i="2"/>
  <c r="AU805" i="2"/>
  <c r="AU804" i="2"/>
  <c r="AU803" i="2"/>
  <c r="AU802" i="2"/>
  <c r="AU801" i="2"/>
  <c r="AU800" i="2"/>
  <c r="AU799" i="2"/>
  <c r="AU798" i="2"/>
  <c r="AU797" i="2"/>
  <c r="AU796" i="2"/>
  <c r="AU795" i="2"/>
  <c r="AU794" i="2"/>
  <c r="AU793" i="2"/>
  <c r="AU792" i="2"/>
  <c r="AU791" i="2"/>
  <c r="AU790" i="2"/>
  <c r="AU789" i="2"/>
  <c r="AU788" i="2"/>
  <c r="AU787" i="2"/>
  <c r="AU786" i="2"/>
  <c r="AU785" i="2"/>
  <c r="AU784" i="2"/>
  <c r="AU783" i="2"/>
  <c r="AU782" i="2"/>
  <c r="AU781" i="2"/>
  <c r="AU780" i="2"/>
  <c r="AU779" i="2"/>
  <c r="AU778" i="2"/>
  <c r="AU777" i="2"/>
  <c r="AU776" i="2"/>
  <c r="AU775" i="2"/>
  <c r="AU774" i="2"/>
  <c r="AU773" i="2"/>
  <c r="AU772" i="2"/>
  <c r="AU771" i="2"/>
  <c r="AU770" i="2"/>
  <c r="AU769" i="2"/>
  <c r="AU768" i="2"/>
  <c r="AU767" i="2"/>
  <c r="AU766" i="2"/>
  <c r="AU765" i="2"/>
  <c r="AU764" i="2"/>
  <c r="AU763" i="2"/>
  <c r="AU762" i="2"/>
  <c r="AU761" i="2"/>
  <c r="AU760" i="2"/>
  <c r="AU759" i="2"/>
  <c r="AU758" i="2"/>
  <c r="AU757" i="2"/>
  <c r="AU756" i="2"/>
  <c r="AU755" i="2"/>
  <c r="AU754" i="2"/>
  <c r="AU753" i="2"/>
  <c r="AU752" i="2"/>
  <c r="AU751" i="2"/>
  <c r="AU750" i="2"/>
  <c r="AU749" i="2"/>
  <c r="AU748" i="2"/>
  <c r="AU747" i="2"/>
  <c r="AU746" i="2"/>
  <c r="AU745" i="2"/>
  <c r="AU744" i="2"/>
  <c r="AU743" i="2"/>
  <c r="AU742" i="2"/>
  <c r="AU741" i="2"/>
  <c r="AU740" i="2"/>
  <c r="AU739" i="2"/>
  <c r="AU738" i="2"/>
  <c r="AU737" i="2"/>
  <c r="AU736" i="2"/>
  <c r="AU735" i="2"/>
  <c r="AU734" i="2"/>
  <c r="AU733" i="2"/>
  <c r="AU732" i="2"/>
  <c r="AU731" i="2"/>
  <c r="AU730" i="2"/>
  <c r="AU729" i="2"/>
  <c r="AU728" i="2"/>
  <c r="AU727" i="2"/>
  <c r="AU726" i="2"/>
  <c r="AU725" i="2"/>
  <c r="AU724" i="2"/>
  <c r="AU723" i="2"/>
  <c r="AU722" i="2"/>
  <c r="AU721" i="2"/>
  <c r="AU720" i="2"/>
  <c r="AU719" i="2"/>
  <c r="AU718" i="2"/>
  <c r="AU717" i="2"/>
  <c r="AU716" i="2"/>
  <c r="AU715" i="2"/>
  <c r="AU714" i="2"/>
  <c r="AU713" i="2"/>
  <c r="AU712" i="2"/>
  <c r="AU711" i="2"/>
  <c r="AU710" i="2"/>
  <c r="AU709" i="2"/>
  <c r="AU708" i="2"/>
  <c r="AU707" i="2"/>
  <c r="AU706" i="2"/>
  <c r="AU705" i="2"/>
  <c r="AU704" i="2"/>
  <c r="AU703" i="2"/>
  <c r="AU702" i="2"/>
  <c r="AU701" i="2"/>
  <c r="AU700" i="2"/>
  <c r="AU699" i="2"/>
  <c r="AU698" i="2"/>
  <c r="AU697" i="2"/>
  <c r="AU696" i="2"/>
  <c r="AU695" i="2"/>
  <c r="AU694" i="2"/>
  <c r="AU693" i="2"/>
  <c r="AU692" i="2"/>
  <c r="AU691" i="2"/>
  <c r="AU690" i="2"/>
  <c r="AU689" i="2"/>
  <c r="AU688" i="2"/>
  <c r="AU687" i="2"/>
  <c r="AU686" i="2"/>
  <c r="AU685" i="2"/>
  <c r="AU684" i="2"/>
  <c r="AU683" i="2"/>
  <c r="AU682" i="2"/>
  <c r="AU681" i="2"/>
  <c r="AU680" i="2"/>
  <c r="AU679" i="2"/>
  <c r="AU678" i="2"/>
  <c r="AU677" i="2"/>
  <c r="AU676" i="2"/>
  <c r="AU675" i="2"/>
  <c r="AU674" i="2"/>
  <c r="AU673" i="2"/>
  <c r="AU672" i="2"/>
  <c r="AU671" i="2"/>
  <c r="AU670" i="2"/>
  <c r="AU669" i="2"/>
  <c r="AU668" i="2"/>
  <c r="AU667" i="2"/>
  <c r="AU666" i="2"/>
  <c r="AU665" i="2"/>
  <c r="AU664" i="2"/>
  <c r="AU663" i="2"/>
  <c r="AU662" i="2"/>
  <c r="AU661" i="2"/>
  <c r="AU660" i="2"/>
  <c r="AU659" i="2"/>
  <c r="AU658" i="2"/>
  <c r="AU657" i="2"/>
  <c r="AU656" i="2"/>
  <c r="AU655" i="2"/>
  <c r="AU654" i="2"/>
  <c r="AU653" i="2"/>
  <c r="AU652" i="2"/>
  <c r="AU651" i="2"/>
  <c r="AU650" i="2"/>
  <c r="AU649" i="2"/>
  <c r="AU648" i="2"/>
  <c r="AU647" i="2"/>
  <c r="AU646" i="2"/>
  <c r="AU645" i="2"/>
  <c r="AU644" i="2"/>
  <c r="AU643" i="2"/>
  <c r="AU642" i="2"/>
  <c r="AU641" i="2"/>
  <c r="AU640" i="2"/>
  <c r="AU639" i="2"/>
  <c r="AU638" i="2"/>
  <c r="AU637" i="2"/>
  <c r="AU636" i="2"/>
  <c r="AU635" i="2"/>
  <c r="AU634" i="2"/>
  <c r="AU633" i="2"/>
  <c r="AU632" i="2"/>
  <c r="AU631" i="2"/>
  <c r="AU630" i="2"/>
  <c r="AU629" i="2"/>
  <c r="AU628" i="2"/>
  <c r="AU627" i="2"/>
  <c r="AU626" i="2"/>
  <c r="AU625" i="2"/>
  <c r="AU624" i="2"/>
  <c r="AU623" i="2"/>
  <c r="AU622" i="2"/>
  <c r="AU621" i="2"/>
  <c r="AU620" i="2"/>
  <c r="AU619" i="2"/>
  <c r="AU618" i="2"/>
  <c r="AU617" i="2"/>
  <c r="AU616" i="2"/>
  <c r="AU615" i="2"/>
  <c r="AU614" i="2"/>
  <c r="AU613" i="2"/>
  <c r="AU612" i="2"/>
  <c r="AU611" i="2"/>
  <c r="AU610" i="2"/>
  <c r="AU609" i="2"/>
  <c r="AU608" i="2"/>
  <c r="AU607" i="2"/>
  <c r="AU606" i="2"/>
  <c r="AU605" i="2"/>
  <c r="AU604" i="2"/>
  <c r="AU603" i="2"/>
  <c r="AU602" i="2"/>
  <c r="AU601" i="2"/>
  <c r="AU600" i="2"/>
  <c r="AU599" i="2"/>
  <c r="AU598" i="2"/>
  <c r="AU597" i="2"/>
  <c r="AU596" i="2"/>
  <c r="AU595" i="2"/>
  <c r="AU594" i="2"/>
  <c r="AU593" i="2"/>
  <c r="AU592" i="2"/>
  <c r="AU591" i="2"/>
  <c r="AU590" i="2"/>
  <c r="AU589" i="2"/>
  <c r="AU588" i="2"/>
  <c r="AU587" i="2"/>
  <c r="AU586" i="2"/>
  <c r="AU585" i="2"/>
  <c r="AU584" i="2"/>
  <c r="AU583" i="2"/>
  <c r="AU582" i="2"/>
  <c r="AU581" i="2"/>
  <c r="AU580" i="2"/>
  <c r="AU579" i="2"/>
  <c r="AU578" i="2"/>
  <c r="AU577" i="2"/>
  <c r="AU576" i="2"/>
  <c r="AU575" i="2"/>
  <c r="AU574" i="2"/>
  <c r="AU573" i="2"/>
  <c r="AU572" i="2"/>
  <c r="AU571" i="2"/>
  <c r="AU570" i="2"/>
  <c r="AU569" i="2"/>
  <c r="AU568" i="2"/>
  <c r="AU567" i="2"/>
  <c r="AU566" i="2"/>
  <c r="AU565" i="2"/>
  <c r="AU564" i="2"/>
  <c r="AU563" i="2"/>
  <c r="AU562" i="2"/>
  <c r="AU561" i="2"/>
  <c r="AU560" i="2"/>
  <c r="AU559" i="2"/>
  <c r="AU558" i="2"/>
  <c r="AU557" i="2"/>
  <c r="AU556" i="2"/>
  <c r="AU555" i="2"/>
  <c r="AU554" i="2"/>
  <c r="AU553" i="2"/>
  <c r="AU552" i="2"/>
  <c r="AU551" i="2"/>
  <c r="AU550" i="2"/>
  <c r="AU549" i="2"/>
  <c r="AU547" i="2"/>
  <c r="AU546" i="2"/>
  <c r="AU545" i="2"/>
  <c r="AU544" i="2"/>
  <c r="AU543" i="2"/>
  <c r="Y542" i="2"/>
  <c r="W542" i="2"/>
  <c r="AU542" i="2" s="1"/>
  <c r="AU541" i="2"/>
  <c r="AU540" i="2"/>
  <c r="AU539" i="2"/>
  <c r="AU538" i="2"/>
  <c r="AU537" i="2"/>
  <c r="AU536" i="2"/>
  <c r="AU535" i="2"/>
  <c r="AU534" i="2"/>
  <c r="AU533" i="2"/>
  <c r="AU532" i="2"/>
  <c r="AU531" i="2"/>
  <c r="AU530" i="2"/>
  <c r="AU529" i="2"/>
  <c r="AU528" i="2"/>
  <c r="AU527" i="2"/>
  <c r="AU526" i="2"/>
  <c r="AU525" i="2"/>
  <c r="AU524" i="2"/>
  <c r="AU523" i="2"/>
  <c r="AU522" i="2"/>
  <c r="AU521" i="2"/>
  <c r="AU520" i="2"/>
  <c r="AU519" i="2"/>
  <c r="AU518" i="2"/>
  <c r="AU517" i="2"/>
  <c r="AU516" i="2"/>
  <c r="AU515" i="2"/>
  <c r="AU514" i="2"/>
  <c r="AU513" i="2"/>
  <c r="AU512" i="2"/>
  <c r="AU511" i="2"/>
  <c r="AU510" i="2"/>
  <c r="AU509" i="2"/>
  <c r="AU508" i="2"/>
  <c r="AU507" i="2"/>
  <c r="AU506" i="2"/>
  <c r="AU505" i="2"/>
  <c r="AU504" i="2"/>
  <c r="AU503" i="2"/>
  <c r="AU502" i="2"/>
  <c r="AU501" i="2"/>
  <c r="AU500" i="2"/>
  <c r="AU499" i="2"/>
  <c r="AU498" i="2"/>
  <c r="AU497" i="2"/>
  <c r="AU496" i="2"/>
  <c r="AU495" i="2"/>
  <c r="AU494" i="2"/>
  <c r="AU493" i="2"/>
  <c r="AU492" i="2"/>
  <c r="AU491" i="2"/>
  <c r="AU490" i="2"/>
  <c r="AU489" i="2"/>
  <c r="AU488" i="2"/>
  <c r="AU487" i="2"/>
  <c r="AU486" i="2"/>
  <c r="AU485" i="2"/>
  <c r="AU484" i="2"/>
  <c r="AU483" i="2"/>
  <c r="AU482" i="2"/>
  <c r="AU481" i="2"/>
  <c r="AU480" i="2"/>
  <c r="AU479" i="2"/>
  <c r="AU478" i="2"/>
  <c r="AU477" i="2"/>
  <c r="AU476" i="2"/>
  <c r="AU475" i="2"/>
  <c r="AU474" i="2"/>
  <c r="AU473" i="2"/>
  <c r="AU472" i="2"/>
  <c r="AU471" i="2"/>
  <c r="AU470" i="2"/>
  <c r="AU469" i="2"/>
  <c r="AU468" i="2"/>
  <c r="AU467" i="2"/>
  <c r="AU466" i="2"/>
  <c r="AU465" i="2"/>
  <c r="AU464" i="2"/>
  <c r="AU463" i="2"/>
  <c r="AU462" i="2"/>
  <c r="AU461" i="2"/>
  <c r="AU460" i="2"/>
  <c r="AU459" i="2"/>
  <c r="AU458" i="2" l="1"/>
  <c r="AS457" i="2"/>
  <c r="AQ457" i="2"/>
  <c r="AO457" i="2"/>
  <c r="AE457" i="2"/>
  <c r="AC457" i="2"/>
  <c r="AA457" i="2"/>
  <c r="Y457" i="2"/>
  <c r="W457" i="2"/>
  <c r="V457" i="2"/>
  <c r="U457" i="2"/>
  <c r="AS456" i="2"/>
  <c r="AQ456" i="2"/>
  <c r="AO456" i="2"/>
  <c r="AE456" i="2"/>
  <c r="AC456" i="2"/>
  <c r="AA456" i="2"/>
  <c r="Y456" i="2"/>
  <c r="W456" i="2"/>
  <c r="AU456" i="2" s="1"/>
  <c r="V456" i="2"/>
  <c r="U456" i="2"/>
  <c r="AS455" i="2"/>
  <c r="AQ455" i="2"/>
  <c r="AO455" i="2"/>
  <c r="AE455" i="2"/>
  <c r="AC455" i="2"/>
  <c r="AA455" i="2"/>
  <c r="Y455" i="2"/>
  <c r="W455" i="2"/>
  <c r="V455" i="2"/>
  <c r="U455" i="2"/>
  <c r="AU454" i="2"/>
  <c r="AU453" i="2"/>
  <c r="AS452" i="2"/>
  <c r="AQ452" i="2"/>
  <c r="AO452" i="2"/>
  <c r="AM452" i="2"/>
  <c r="AE452" i="2"/>
  <c r="AC452" i="2"/>
  <c r="AA452" i="2"/>
  <c r="Y452" i="2"/>
  <c r="W452" i="2"/>
  <c r="V452" i="2"/>
  <c r="U452" i="2"/>
  <c r="AS451" i="2"/>
  <c r="AQ451" i="2"/>
  <c r="AO451" i="2"/>
  <c r="AM451" i="2"/>
  <c r="AE451" i="2"/>
  <c r="AC451" i="2"/>
  <c r="AA451" i="2"/>
  <c r="Y451" i="2"/>
  <c r="W451" i="2"/>
  <c r="V451" i="2"/>
  <c r="U451" i="2"/>
  <c r="AU450" i="2"/>
  <c r="AU449" i="2"/>
  <c r="AU448" i="2"/>
  <c r="AU447" i="2"/>
  <c r="AU446" i="2"/>
  <c r="AU445" i="2"/>
  <c r="AS444" i="2"/>
  <c r="AQ444" i="2"/>
  <c r="AO444" i="2"/>
  <c r="AM444" i="2"/>
  <c r="AE444" i="2"/>
  <c r="AC444" i="2"/>
  <c r="AA444" i="2"/>
  <c r="Y444" i="2"/>
  <c r="W444" i="2"/>
  <c r="V444" i="2"/>
  <c r="U444" i="2"/>
  <c r="AS443" i="2"/>
  <c r="AQ443" i="2"/>
  <c r="AO443" i="2"/>
  <c r="AM443" i="2"/>
  <c r="AE443" i="2"/>
  <c r="AC443" i="2"/>
  <c r="AA443" i="2"/>
  <c r="Y443" i="2"/>
  <c r="W443" i="2"/>
  <c r="V443" i="2"/>
  <c r="U443" i="2"/>
  <c r="AU442" i="2"/>
  <c r="AU441" i="2"/>
  <c r="AU440" i="2"/>
  <c r="AU439" i="2"/>
  <c r="AU438" i="2"/>
  <c r="AS437" i="2"/>
  <c r="AQ437" i="2"/>
  <c r="AO437" i="2"/>
  <c r="AM437" i="2"/>
  <c r="AE437" i="2"/>
  <c r="AC437" i="2"/>
  <c r="AA437" i="2"/>
  <c r="Y437" i="2"/>
  <c r="W437" i="2"/>
  <c r="V437" i="2"/>
  <c r="U437" i="2"/>
  <c r="AS436" i="2"/>
  <c r="AQ436" i="2"/>
  <c r="AO436" i="2"/>
  <c r="AM436" i="2"/>
  <c r="AE436" i="2"/>
  <c r="AC436" i="2"/>
  <c r="AA436" i="2"/>
  <c r="Y436" i="2"/>
  <c r="W436" i="2"/>
  <c r="V436" i="2"/>
  <c r="U436" i="2"/>
  <c r="AU435" i="2"/>
  <c r="AU434" i="2"/>
  <c r="AU433" i="2"/>
  <c r="AS432" i="2"/>
  <c r="AQ432" i="2"/>
  <c r="AO432" i="2"/>
  <c r="AM432" i="2"/>
  <c r="AE432" i="2"/>
  <c r="AC432" i="2"/>
  <c r="AA432" i="2"/>
  <c r="Y432" i="2"/>
  <c r="W432" i="2"/>
  <c r="V432" i="2"/>
  <c r="U432" i="2"/>
  <c r="AS431" i="2"/>
  <c r="AQ431" i="2"/>
  <c r="AO431" i="2"/>
  <c r="AM431" i="2"/>
  <c r="AE431" i="2"/>
  <c r="AC431" i="2"/>
  <c r="AA431" i="2"/>
  <c r="Y431" i="2"/>
  <c r="W431" i="2"/>
  <c r="V431" i="2"/>
  <c r="U431" i="2"/>
  <c r="AU430" i="2"/>
  <c r="AU429" i="2"/>
  <c r="AU428" i="2"/>
  <c r="AU427" i="2"/>
  <c r="AU426" i="2"/>
  <c r="AU425" i="2"/>
  <c r="AU424" i="2"/>
  <c r="AU423" i="2"/>
  <c r="AU422" i="2"/>
  <c r="AU421" i="2"/>
  <c r="AU420" i="2"/>
  <c r="AU419" i="2"/>
  <c r="AU418" i="2"/>
  <c r="AU417" i="2"/>
  <c r="AU416" i="2"/>
  <c r="AS415" i="2"/>
  <c r="AQ415" i="2"/>
  <c r="AO415" i="2"/>
  <c r="AM415" i="2"/>
  <c r="AE415" i="2"/>
  <c r="AC415" i="2"/>
  <c r="AA415" i="2"/>
  <c r="Y415" i="2"/>
  <c r="W415" i="2"/>
  <c r="V415" i="2"/>
  <c r="U415" i="2"/>
  <c r="AS414" i="2"/>
  <c r="AQ414" i="2"/>
  <c r="AO414" i="2"/>
  <c r="AM414" i="2"/>
  <c r="AE414" i="2"/>
  <c r="AC414" i="2"/>
  <c r="AA414" i="2"/>
  <c r="Y414" i="2"/>
  <c r="W414" i="2"/>
  <c r="V414" i="2"/>
  <c r="U414" i="2"/>
  <c r="AU413" i="2"/>
  <c r="AU412" i="2"/>
  <c r="AU411" i="2"/>
  <c r="AU410" i="2"/>
  <c r="AU409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S385" i="2"/>
  <c r="AQ385" i="2"/>
  <c r="AO385" i="2"/>
  <c r="AM385" i="2"/>
  <c r="AE385" i="2"/>
  <c r="AC385" i="2"/>
  <c r="AA385" i="2"/>
  <c r="Y385" i="2"/>
  <c r="W385" i="2"/>
  <c r="V385" i="2"/>
  <c r="U385" i="2"/>
  <c r="AS384" i="2"/>
  <c r="AQ384" i="2"/>
  <c r="AO384" i="2"/>
  <c r="AM384" i="2"/>
  <c r="AE384" i="2"/>
  <c r="AC384" i="2"/>
  <c r="AA384" i="2"/>
  <c r="Y384" i="2"/>
  <c r="W384" i="2"/>
  <c r="V384" i="2"/>
  <c r="U384" i="2"/>
  <c r="AU383" i="2"/>
  <c r="AU382" i="2"/>
  <c r="AU381" i="2"/>
  <c r="AU380" i="2"/>
  <c r="AS379" i="2"/>
  <c r="AQ379" i="2"/>
  <c r="AO379" i="2"/>
  <c r="AE379" i="2"/>
  <c r="AC379" i="2"/>
  <c r="AA379" i="2"/>
  <c r="Y379" i="2"/>
  <c r="W379" i="2"/>
  <c r="V379" i="2"/>
  <c r="U379" i="2"/>
  <c r="AS378" i="2"/>
  <c r="AQ378" i="2"/>
  <c r="AO378" i="2"/>
  <c r="AE378" i="2"/>
  <c r="AC378" i="2"/>
  <c r="AA378" i="2"/>
  <c r="Y378" i="2"/>
  <c r="W378" i="2"/>
  <c r="V378" i="2"/>
  <c r="U378" i="2"/>
  <c r="AU377" i="2"/>
  <c r="AU376" i="2"/>
  <c r="AU375" i="2"/>
  <c r="AU374" i="2"/>
  <c r="AU373" i="2"/>
  <c r="AU372" i="2"/>
  <c r="AU371" i="2"/>
  <c r="AU370" i="2"/>
  <c r="AS369" i="2"/>
  <c r="AQ369" i="2"/>
  <c r="AO369" i="2"/>
  <c r="AM369" i="2"/>
  <c r="AE369" i="2"/>
  <c r="AC369" i="2"/>
  <c r="AA369" i="2"/>
  <c r="Y369" i="2"/>
  <c r="W369" i="2"/>
  <c r="V369" i="2"/>
  <c r="U369" i="2"/>
  <c r="AS368" i="2"/>
  <c r="AQ368" i="2"/>
  <c r="AO368" i="2"/>
  <c r="AM368" i="2"/>
  <c r="AE368" i="2"/>
  <c r="AC368" i="2"/>
  <c r="AA368" i="2"/>
  <c r="Y368" i="2"/>
  <c r="W368" i="2"/>
  <c r="V368" i="2"/>
  <c r="U368" i="2"/>
  <c r="AS367" i="2"/>
  <c r="AQ367" i="2"/>
  <c r="AO367" i="2"/>
  <c r="AE367" i="2"/>
  <c r="AC367" i="2"/>
  <c r="AA367" i="2"/>
  <c r="Y367" i="2"/>
  <c r="W367" i="2"/>
  <c r="V367" i="2"/>
  <c r="U367" i="2"/>
  <c r="AS366" i="2"/>
  <c r="AQ366" i="2"/>
  <c r="AO366" i="2"/>
  <c r="AE366" i="2"/>
  <c r="AC366" i="2"/>
  <c r="AA366" i="2"/>
  <c r="Y366" i="2"/>
  <c r="W366" i="2"/>
  <c r="V366" i="2"/>
  <c r="U366" i="2"/>
  <c r="AU365" i="2"/>
  <c r="AU364" i="2"/>
  <c r="AU363" i="2"/>
  <c r="AU362" i="2"/>
  <c r="AS361" i="2"/>
  <c r="AQ361" i="2"/>
  <c r="AO361" i="2"/>
  <c r="AE361" i="2"/>
  <c r="AC361" i="2"/>
  <c r="AA361" i="2"/>
  <c r="Y361" i="2"/>
  <c r="W361" i="2"/>
  <c r="V361" i="2"/>
  <c r="U361" i="2"/>
  <c r="AS360" i="2"/>
  <c r="AQ360" i="2"/>
  <c r="AO360" i="2"/>
  <c r="AE360" i="2"/>
  <c r="AC360" i="2"/>
  <c r="AA360" i="2"/>
  <c r="Y360" i="2"/>
  <c r="W360" i="2"/>
  <c r="V360" i="2"/>
  <c r="U360" i="2"/>
  <c r="AU359" i="2"/>
  <c r="AU358" i="2"/>
  <c r="AU357" i="2"/>
  <c r="AS356" i="2"/>
  <c r="AQ356" i="2"/>
  <c r="AO356" i="2"/>
  <c r="AM356" i="2"/>
  <c r="AE356" i="2"/>
  <c r="AC356" i="2"/>
  <c r="AA356" i="2"/>
  <c r="Y356" i="2"/>
  <c r="W356" i="2"/>
  <c r="V356" i="2"/>
  <c r="U356" i="2"/>
  <c r="AS355" i="2"/>
  <c r="AQ355" i="2"/>
  <c r="AO355" i="2"/>
  <c r="AM355" i="2"/>
  <c r="AE355" i="2"/>
  <c r="AC355" i="2"/>
  <c r="AA355" i="2"/>
  <c r="Y355" i="2"/>
  <c r="W355" i="2"/>
  <c r="V355" i="2"/>
  <c r="U355" i="2"/>
  <c r="AS354" i="2"/>
  <c r="AQ354" i="2"/>
  <c r="AO354" i="2"/>
  <c r="AE354" i="2"/>
  <c r="AC354" i="2"/>
  <c r="AA354" i="2"/>
  <c r="Y354" i="2"/>
  <c r="W354" i="2"/>
  <c r="V354" i="2"/>
  <c r="U354" i="2"/>
  <c r="AS353" i="2"/>
  <c r="AQ353" i="2"/>
  <c r="AO353" i="2"/>
  <c r="AE353" i="2"/>
  <c r="AC353" i="2"/>
  <c r="AA353" i="2"/>
  <c r="Y353" i="2"/>
  <c r="W353" i="2"/>
  <c r="V353" i="2"/>
  <c r="U353" i="2"/>
  <c r="AU352" i="2"/>
  <c r="AU351" i="2"/>
  <c r="AU350" i="2"/>
  <c r="AU349" i="2"/>
  <c r="AU348" i="2"/>
  <c r="AU347" i="2"/>
  <c r="AS346" i="2"/>
  <c r="AQ346" i="2"/>
  <c r="AO346" i="2"/>
  <c r="AM346" i="2"/>
  <c r="AE346" i="2"/>
  <c r="AC346" i="2"/>
  <c r="AA346" i="2"/>
  <c r="Y346" i="2"/>
  <c r="W346" i="2"/>
  <c r="V346" i="2"/>
  <c r="U346" i="2"/>
  <c r="AS345" i="2"/>
  <c r="AQ345" i="2"/>
  <c r="AO345" i="2"/>
  <c r="AM345" i="2"/>
  <c r="AE345" i="2"/>
  <c r="AC345" i="2"/>
  <c r="AA345" i="2"/>
  <c r="Y345" i="2"/>
  <c r="W345" i="2"/>
  <c r="V345" i="2"/>
  <c r="U345" i="2"/>
  <c r="AU344" i="2"/>
  <c r="AU343" i="2"/>
  <c r="AS342" i="2"/>
  <c r="AQ342" i="2"/>
  <c r="AO342" i="2"/>
  <c r="AM342" i="2"/>
  <c r="AE342" i="2"/>
  <c r="AC342" i="2"/>
  <c r="AA342" i="2"/>
  <c r="Y342" i="2"/>
  <c r="W342" i="2"/>
  <c r="V342" i="2"/>
  <c r="U342" i="2"/>
  <c r="AS341" i="2"/>
  <c r="AQ341" i="2"/>
  <c r="AO341" i="2"/>
  <c r="AM341" i="2"/>
  <c r="AE341" i="2"/>
  <c r="AC341" i="2"/>
  <c r="AA341" i="2"/>
  <c r="Y341" i="2"/>
  <c r="W341" i="2"/>
  <c r="V341" i="2"/>
  <c r="U341" i="2"/>
  <c r="AS340" i="2"/>
  <c r="AQ340" i="2"/>
  <c r="AO340" i="2"/>
  <c r="AM340" i="2"/>
  <c r="AE340" i="2"/>
  <c r="AC340" i="2"/>
  <c r="AA340" i="2"/>
  <c r="Y340" i="2"/>
  <c r="W340" i="2"/>
  <c r="V340" i="2"/>
  <c r="U340" i="2"/>
  <c r="AS339" i="2"/>
  <c r="AQ339" i="2"/>
  <c r="AO339" i="2"/>
  <c r="AM339" i="2"/>
  <c r="AE339" i="2"/>
  <c r="AC339" i="2"/>
  <c r="AA339" i="2"/>
  <c r="Y339" i="2"/>
  <c r="W339" i="2"/>
  <c r="V339" i="2"/>
  <c r="U339" i="2"/>
  <c r="AS338" i="2"/>
  <c r="AQ338" i="2"/>
  <c r="AO338" i="2"/>
  <c r="AM338" i="2"/>
  <c r="AE338" i="2"/>
  <c r="AC338" i="2"/>
  <c r="AA338" i="2"/>
  <c r="Y338" i="2"/>
  <c r="W338" i="2"/>
  <c r="V338" i="2"/>
  <c r="U338" i="2"/>
  <c r="AU337" i="2"/>
  <c r="AU336" i="2"/>
  <c r="AU335" i="2"/>
  <c r="AU334" i="2"/>
  <c r="AU333" i="2"/>
  <c r="AU332" i="2"/>
  <c r="AU331" i="2"/>
  <c r="AU330" i="2"/>
  <c r="AU329" i="2"/>
  <c r="AU328" i="2"/>
  <c r="AU327" i="2"/>
  <c r="AS326" i="2"/>
  <c r="AQ326" i="2"/>
  <c r="AO326" i="2"/>
  <c r="AE326" i="2"/>
  <c r="AC326" i="2"/>
  <c r="AA326" i="2"/>
  <c r="Y326" i="2"/>
  <c r="W326" i="2"/>
  <c r="V326" i="2"/>
  <c r="U326" i="2"/>
  <c r="AS325" i="2"/>
  <c r="AQ325" i="2"/>
  <c r="AO325" i="2"/>
  <c r="AE325" i="2"/>
  <c r="AC325" i="2"/>
  <c r="AA325" i="2"/>
  <c r="Y325" i="2"/>
  <c r="W325" i="2"/>
  <c r="V325" i="2"/>
  <c r="U325" i="2"/>
  <c r="AS324" i="2"/>
  <c r="AQ324" i="2"/>
  <c r="AO324" i="2"/>
  <c r="AE324" i="2"/>
  <c r="AC324" i="2"/>
  <c r="AA324" i="2"/>
  <c r="Y324" i="2"/>
  <c r="W324" i="2"/>
  <c r="V324" i="2"/>
  <c r="U324" i="2"/>
  <c r="AS323" i="2"/>
  <c r="AQ323" i="2"/>
  <c r="AO323" i="2"/>
  <c r="AE323" i="2"/>
  <c r="AC323" i="2"/>
  <c r="AA323" i="2"/>
  <c r="Y323" i="2"/>
  <c r="W323" i="2"/>
  <c r="V323" i="2"/>
  <c r="U323" i="2"/>
  <c r="AU322" i="2"/>
  <c r="AS321" i="2"/>
  <c r="AQ321" i="2"/>
  <c r="AO321" i="2"/>
  <c r="AM321" i="2"/>
  <c r="AE321" i="2"/>
  <c r="AC321" i="2"/>
  <c r="AA321" i="2"/>
  <c r="Y321" i="2"/>
  <c r="W321" i="2"/>
  <c r="V321" i="2"/>
  <c r="U321" i="2"/>
  <c r="AS320" i="2"/>
  <c r="AQ320" i="2"/>
  <c r="AO320" i="2"/>
  <c r="AM320" i="2"/>
  <c r="AE320" i="2"/>
  <c r="AC320" i="2"/>
  <c r="AA320" i="2"/>
  <c r="Y320" i="2"/>
  <c r="W320" i="2"/>
  <c r="V320" i="2"/>
  <c r="U320" i="2"/>
  <c r="AU319" i="2"/>
  <c r="AU318" i="2"/>
  <c r="AU317" i="2"/>
  <c r="AU316" i="2"/>
  <c r="AS315" i="2"/>
  <c r="AQ315" i="2"/>
  <c r="AO315" i="2"/>
  <c r="AM315" i="2"/>
  <c r="AE315" i="2"/>
  <c r="AC315" i="2"/>
  <c r="AA315" i="2"/>
  <c r="Y315" i="2"/>
  <c r="W315" i="2"/>
  <c r="V315" i="2"/>
  <c r="U315" i="2"/>
  <c r="AS314" i="2"/>
  <c r="AQ314" i="2"/>
  <c r="AO314" i="2"/>
  <c r="AM314" i="2"/>
  <c r="AE314" i="2"/>
  <c r="AC314" i="2"/>
  <c r="AA314" i="2"/>
  <c r="Y314" i="2"/>
  <c r="W314" i="2"/>
  <c r="V314" i="2"/>
  <c r="U314" i="2"/>
  <c r="AU313" i="2"/>
  <c r="AS312" i="2"/>
  <c r="AQ312" i="2"/>
  <c r="AO312" i="2"/>
  <c r="AM312" i="2"/>
  <c r="AE312" i="2"/>
  <c r="AC312" i="2"/>
  <c r="AA312" i="2"/>
  <c r="Y312" i="2"/>
  <c r="W312" i="2"/>
  <c r="V312" i="2"/>
  <c r="U312" i="2"/>
  <c r="AS311" i="2"/>
  <c r="AQ311" i="2"/>
  <c r="AO311" i="2"/>
  <c r="AM311" i="2"/>
  <c r="AE311" i="2"/>
  <c r="AC311" i="2"/>
  <c r="AA311" i="2"/>
  <c r="Y311" i="2"/>
  <c r="W311" i="2"/>
  <c r="V311" i="2"/>
  <c r="U311" i="2"/>
  <c r="AU310" i="2"/>
  <c r="AU309" i="2"/>
  <c r="AS308" i="2"/>
  <c r="AQ308" i="2"/>
  <c r="AO308" i="2"/>
  <c r="AM308" i="2"/>
  <c r="AE308" i="2"/>
  <c r="AC308" i="2"/>
  <c r="AA308" i="2"/>
  <c r="Y308" i="2"/>
  <c r="W308" i="2"/>
  <c r="V308" i="2"/>
  <c r="U308" i="2"/>
  <c r="AS307" i="2"/>
  <c r="AQ307" i="2"/>
  <c r="AO307" i="2"/>
  <c r="AM307" i="2"/>
  <c r="AE307" i="2"/>
  <c r="AC307" i="2"/>
  <c r="AA307" i="2"/>
  <c r="Y307" i="2"/>
  <c r="W307" i="2"/>
  <c r="V307" i="2"/>
  <c r="U307" i="2"/>
  <c r="AS306" i="2"/>
  <c r="AQ306" i="2"/>
  <c r="AO306" i="2"/>
  <c r="AM306" i="2"/>
  <c r="AE306" i="2"/>
  <c r="AC306" i="2"/>
  <c r="AA306" i="2"/>
  <c r="Y306" i="2"/>
  <c r="W306" i="2"/>
  <c r="V306" i="2"/>
  <c r="U306" i="2"/>
  <c r="AU305" i="2"/>
  <c r="AU304" i="2"/>
  <c r="AS303" i="2"/>
  <c r="AQ303" i="2"/>
  <c r="AO303" i="2"/>
  <c r="AM303" i="2"/>
  <c r="AE303" i="2"/>
  <c r="AC303" i="2"/>
  <c r="AA303" i="2"/>
  <c r="Y303" i="2"/>
  <c r="W303" i="2"/>
  <c r="V303" i="2"/>
  <c r="U303" i="2"/>
  <c r="AS302" i="2"/>
  <c r="AQ302" i="2"/>
  <c r="AO302" i="2"/>
  <c r="AM302" i="2"/>
  <c r="AE302" i="2"/>
  <c r="AC302" i="2"/>
  <c r="AA302" i="2"/>
  <c r="Y302" i="2"/>
  <c r="W302" i="2"/>
  <c r="V302" i="2"/>
  <c r="U302" i="2"/>
  <c r="AS301" i="2"/>
  <c r="AQ301" i="2"/>
  <c r="AO301" i="2"/>
  <c r="AM301" i="2"/>
  <c r="AE301" i="2"/>
  <c r="AC301" i="2"/>
  <c r="AA301" i="2"/>
  <c r="Y301" i="2"/>
  <c r="W301" i="2"/>
  <c r="V301" i="2"/>
  <c r="U301" i="2"/>
  <c r="AS300" i="2"/>
  <c r="AQ300" i="2"/>
  <c r="AO300" i="2"/>
  <c r="AM300" i="2"/>
  <c r="AE300" i="2"/>
  <c r="AC300" i="2"/>
  <c r="AA300" i="2"/>
  <c r="Y300" i="2"/>
  <c r="W300" i="2"/>
  <c r="V300" i="2"/>
  <c r="U300" i="2"/>
  <c r="AU299" i="2"/>
  <c r="AU298" i="2"/>
  <c r="AU297" i="2"/>
  <c r="AU296" i="2"/>
  <c r="AU295" i="2"/>
  <c r="AU294" i="2"/>
  <c r="AU293" i="2"/>
  <c r="AU292" i="2"/>
  <c r="AS291" i="2"/>
  <c r="AQ291" i="2"/>
  <c r="AO291" i="2"/>
  <c r="AM291" i="2"/>
  <c r="AE291" i="2"/>
  <c r="AC291" i="2"/>
  <c r="AA291" i="2"/>
  <c r="Y291" i="2"/>
  <c r="W291" i="2"/>
  <c r="V291" i="2"/>
  <c r="U291" i="2"/>
  <c r="AS290" i="2"/>
  <c r="AQ290" i="2"/>
  <c r="AO290" i="2"/>
  <c r="AM290" i="2"/>
  <c r="AE290" i="2"/>
  <c r="AC290" i="2"/>
  <c r="AA290" i="2"/>
  <c r="Y290" i="2"/>
  <c r="W290" i="2"/>
  <c r="V290" i="2"/>
  <c r="U290" i="2"/>
  <c r="AU289" i="2"/>
  <c r="AU288" i="2"/>
  <c r="AU287" i="2"/>
  <c r="AU286" i="2"/>
  <c r="AU285" i="2"/>
  <c r="AU284" i="2"/>
  <c r="AU283" i="2"/>
  <c r="AU282" i="2"/>
  <c r="AU281" i="2"/>
  <c r="AU280" i="2"/>
  <c r="AS279" i="2"/>
  <c r="AQ279" i="2"/>
  <c r="AO279" i="2"/>
  <c r="AE279" i="2"/>
  <c r="AC279" i="2"/>
  <c r="AA279" i="2"/>
  <c r="Y279" i="2"/>
  <c r="W279" i="2"/>
  <c r="V279" i="2"/>
  <c r="U279" i="2"/>
  <c r="AS278" i="2"/>
  <c r="AQ278" i="2"/>
  <c r="AO278" i="2"/>
  <c r="AE278" i="2"/>
  <c r="AC278" i="2"/>
  <c r="AA278" i="2"/>
  <c r="Y278" i="2"/>
  <c r="W278" i="2"/>
  <c r="V278" i="2"/>
  <c r="U278" i="2"/>
  <c r="AU277" i="2"/>
  <c r="AS276" i="2"/>
  <c r="AQ276" i="2"/>
  <c r="AO276" i="2"/>
  <c r="AE276" i="2"/>
  <c r="AC276" i="2"/>
  <c r="AA276" i="2"/>
  <c r="Y276" i="2"/>
  <c r="W276" i="2"/>
  <c r="V276" i="2"/>
  <c r="U276" i="2"/>
  <c r="AS275" i="2"/>
  <c r="AQ275" i="2"/>
  <c r="AO275" i="2"/>
  <c r="AE275" i="2"/>
  <c r="AC275" i="2"/>
  <c r="AA275" i="2"/>
  <c r="Y275" i="2"/>
  <c r="W275" i="2"/>
  <c r="V275" i="2"/>
  <c r="U275" i="2"/>
  <c r="AU274" i="2"/>
  <c r="AU273" i="2"/>
  <c r="AU272" i="2"/>
  <c r="AU271" i="2"/>
  <c r="AU270" i="2"/>
  <c r="AU269" i="2"/>
  <c r="AU268" i="2"/>
  <c r="AS267" i="2"/>
  <c r="AQ267" i="2"/>
  <c r="AO267" i="2"/>
  <c r="AE267" i="2"/>
  <c r="AC267" i="2"/>
  <c r="AA267" i="2"/>
  <c r="Y267" i="2"/>
  <c r="W267" i="2"/>
  <c r="V267" i="2"/>
  <c r="U267" i="2"/>
  <c r="AS266" i="2"/>
  <c r="AQ266" i="2"/>
  <c r="AO266" i="2"/>
  <c r="AE266" i="2"/>
  <c r="AC266" i="2"/>
  <c r="AA266" i="2"/>
  <c r="Y266" i="2"/>
  <c r="W266" i="2"/>
  <c r="V266" i="2"/>
  <c r="U266" i="2"/>
  <c r="AS265" i="2"/>
  <c r="AQ265" i="2"/>
  <c r="AO265" i="2"/>
  <c r="AM265" i="2"/>
  <c r="AE265" i="2"/>
  <c r="AC265" i="2"/>
  <c r="AA265" i="2"/>
  <c r="Y265" i="2"/>
  <c r="W265" i="2"/>
  <c r="V265" i="2"/>
  <c r="U265" i="2"/>
  <c r="AS264" i="2"/>
  <c r="AQ264" i="2"/>
  <c r="AO264" i="2"/>
  <c r="AM264" i="2"/>
  <c r="AE264" i="2"/>
  <c r="AC264" i="2"/>
  <c r="AA264" i="2"/>
  <c r="Y264" i="2"/>
  <c r="W264" i="2"/>
  <c r="V264" i="2"/>
  <c r="U264" i="2"/>
  <c r="AS263" i="2"/>
  <c r="AQ263" i="2"/>
  <c r="AO263" i="2"/>
  <c r="AM263" i="2"/>
  <c r="AE263" i="2"/>
  <c r="AC263" i="2"/>
  <c r="AA263" i="2"/>
  <c r="Y263" i="2"/>
  <c r="W263" i="2"/>
  <c r="V263" i="2"/>
  <c r="U263" i="2"/>
  <c r="AU262" i="2"/>
  <c r="AU261" i="2"/>
  <c r="AU260" i="2"/>
  <c r="AU259" i="2"/>
  <c r="AU258" i="2"/>
  <c r="AU257" i="2"/>
  <c r="AU256" i="2"/>
  <c r="AU255" i="2"/>
  <c r="AU254" i="2"/>
  <c r="AS253" i="2"/>
  <c r="AQ253" i="2"/>
  <c r="AO253" i="2"/>
  <c r="AM253" i="2"/>
  <c r="AE253" i="2"/>
  <c r="AC253" i="2"/>
  <c r="AA253" i="2"/>
  <c r="Y253" i="2"/>
  <c r="W253" i="2"/>
  <c r="V253" i="2"/>
  <c r="U253" i="2"/>
  <c r="AS252" i="2"/>
  <c r="AQ252" i="2"/>
  <c r="AO252" i="2"/>
  <c r="AM252" i="2"/>
  <c r="AE252" i="2"/>
  <c r="AC252" i="2"/>
  <c r="AA252" i="2"/>
  <c r="Y252" i="2"/>
  <c r="W252" i="2"/>
  <c r="V252" i="2"/>
  <c r="U252" i="2"/>
  <c r="AU251" i="2"/>
  <c r="AU250" i="2"/>
  <c r="AU249" i="2"/>
  <c r="AU248" i="2"/>
  <c r="AS247" i="2"/>
  <c r="AQ247" i="2"/>
  <c r="AO247" i="2"/>
  <c r="AM247" i="2"/>
  <c r="AE247" i="2"/>
  <c r="AC247" i="2"/>
  <c r="AA247" i="2"/>
  <c r="Y247" i="2"/>
  <c r="W247" i="2"/>
  <c r="V247" i="2"/>
  <c r="U247" i="2"/>
  <c r="AS246" i="2"/>
  <c r="AQ246" i="2"/>
  <c r="AO246" i="2"/>
  <c r="AM246" i="2"/>
  <c r="AE246" i="2"/>
  <c r="AC246" i="2"/>
  <c r="AA246" i="2"/>
  <c r="Y246" i="2"/>
  <c r="W246" i="2"/>
  <c r="V246" i="2"/>
  <c r="U246" i="2"/>
  <c r="AU245" i="2"/>
  <c r="AU244" i="2"/>
  <c r="AU243" i="2"/>
  <c r="AU242" i="2"/>
  <c r="AS241" i="2"/>
  <c r="AQ241" i="2"/>
  <c r="AO241" i="2"/>
  <c r="AM241" i="2"/>
  <c r="AE241" i="2"/>
  <c r="AC241" i="2"/>
  <c r="AA241" i="2"/>
  <c r="Y241" i="2"/>
  <c r="W241" i="2"/>
  <c r="V241" i="2"/>
  <c r="U241" i="2"/>
  <c r="AS240" i="2"/>
  <c r="AQ240" i="2"/>
  <c r="AO240" i="2"/>
  <c r="AM240" i="2"/>
  <c r="AE240" i="2"/>
  <c r="AC240" i="2"/>
  <c r="AA240" i="2"/>
  <c r="Y240" i="2"/>
  <c r="W240" i="2"/>
  <c r="V240" i="2"/>
  <c r="U240" i="2"/>
  <c r="AS239" i="2"/>
  <c r="AQ239" i="2"/>
  <c r="AO239" i="2"/>
  <c r="AM239" i="2"/>
  <c r="AE239" i="2"/>
  <c r="AC239" i="2"/>
  <c r="AA239" i="2"/>
  <c r="Y239" i="2"/>
  <c r="W239" i="2"/>
  <c r="V239" i="2"/>
  <c r="U239" i="2"/>
  <c r="AS238" i="2"/>
  <c r="AQ238" i="2"/>
  <c r="AO238" i="2"/>
  <c r="AE238" i="2"/>
  <c r="AC238" i="2"/>
  <c r="AA238" i="2"/>
  <c r="Y238" i="2"/>
  <c r="W238" i="2"/>
  <c r="V238" i="2"/>
  <c r="U238" i="2"/>
  <c r="AS237" i="2"/>
  <c r="AQ237" i="2"/>
  <c r="AO237" i="2"/>
  <c r="AE237" i="2"/>
  <c r="AC237" i="2"/>
  <c r="AA237" i="2"/>
  <c r="Y237" i="2"/>
  <c r="W237" i="2"/>
  <c r="V237" i="2"/>
  <c r="U237" i="2"/>
  <c r="AS236" i="2"/>
  <c r="AQ236" i="2"/>
  <c r="AO236" i="2"/>
  <c r="AE236" i="2"/>
  <c r="AC236" i="2"/>
  <c r="AA236" i="2"/>
  <c r="Y236" i="2"/>
  <c r="W236" i="2"/>
  <c r="V236" i="2"/>
  <c r="U236" i="2"/>
  <c r="AU235" i="2"/>
  <c r="AU234" i="2"/>
  <c r="AU233" i="2"/>
  <c r="AS232" i="2"/>
  <c r="AQ232" i="2"/>
  <c r="AO232" i="2"/>
  <c r="AM232" i="2"/>
  <c r="AE232" i="2"/>
  <c r="AC232" i="2"/>
  <c r="AA232" i="2"/>
  <c r="Y232" i="2"/>
  <c r="W232" i="2"/>
  <c r="V232" i="2"/>
  <c r="U232" i="2"/>
  <c r="AS231" i="2"/>
  <c r="AQ231" i="2"/>
  <c r="AO231" i="2"/>
  <c r="AM231" i="2"/>
  <c r="AE231" i="2"/>
  <c r="AC231" i="2"/>
  <c r="AA231" i="2"/>
  <c r="Y231" i="2"/>
  <c r="W231" i="2"/>
  <c r="V231" i="2"/>
  <c r="U231" i="2"/>
  <c r="AU230" i="2"/>
  <c r="AU229" i="2"/>
  <c r="AU228" i="2"/>
  <c r="AU227" i="2"/>
  <c r="AU226" i="2"/>
  <c r="AS225" i="2"/>
  <c r="AQ225" i="2"/>
  <c r="AO225" i="2"/>
  <c r="AE225" i="2"/>
  <c r="AC225" i="2"/>
  <c r="AA225" i="2"/>
  <c r="Y225" i="2"/>
  <c r="W225" i="2"/>
  <c r="V225" i="2"/>
  <c r="U225" i="2"/>
  <c r="AS224" i="2"/>
  <c r="AQ224" i="2"/>
  <c r="AO224" i="2"/>
  <c r="AE224" i="2"/>
  <c r="AC224" i="2"/>
  <c r="AA224" i="2"/>
  <c r="Y224" i="2"/>
  <c r="W224" i="2"/>
  <c r="AU224" i="2" s="1"/>
  <c r="V224" i="2"/>
  <c r="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S211" i="2"/>
  <c r="AQ211" i="2"/>
  <c r="AO211" i="2"/>
  <c r="AM211" i="2"/>
  <c r="AE211" i="2"/>
  <c r="AC211" i="2"/>
  <c r="AA211" i="2"/>
  <c r="Y211" i="2"/>
  <c r="W211" i="2"/>
  <c r="V211" i="2"/>
  <c r="U211" i="2"/>
  <c r="AS210" i="2"/>
  <c r="AQ210" i="2"/>
  <c r="AO210" i="2"/>
  <c r="AM210" i="2"/>
  <c r="AE210" i="2"/>
  <c r="AC210" i="2"/>
  <c r="AA210" i="2"/>
  <c r="Y210" i="2"/>
  <c r="W210" i="2"/>
  <c r="V210" i="2"/>
  <c r="U210" i="2"/>
  <c r="AU209" i="2"/>
  <c r="AU208" i="2"/>
  <c r="AS207" i="2"/>
  <c r="AQ207" i="2"/>
  <c r="AO207" i="2"/>
  <c r="AM207" i="2"/>
  <c r="AE207" i="2"/>
  <c r="AC207" i="2"/>
  <c r="AA207" i="2"/>
  <c r="Y207" i="2"/>
  <c r="W207" i="2"/>
  <c r="V207" i="2"/>
  <c r="U207" i="2"/>
  <c r="AS206" i="2"/>
  <c r="AQ206" i="2"/>
  <c r="AO206" i="2"/>
  <c r="AM206" i="2"/>
  <c r="AE206" i="2"/>
  <c r="AC206" i="2"/>
  <c r="AA206" i="2"/>
  <c r="Y206" i="2"/>
  <c r="W206" i="2"/>
  <c r="V206" i="2"/>
  <c r="U206" i="2"/>
  <c r="AU205" i="2"/>
  <c r="AU204" i="2"/>
  <c r="AU203" i="2"/>
  <c r="AU202" i="2"/>
  <c r="AU201" i="2"/>
  <c r="AU200" i="2"/>
  <c r="AU199" i="2"/>
  <c r="AU198" i="2"/>
  <c r="AU197" i="2"/>
  <c r="AS196" i="2"/>
  <c r="AQ196" i="2"/>
  <c r="AO196" i="2"/>
  <c r="AM196" i="2"/>
  <c r="AE196" i="2"/>
  <c r="AC196" i="2"/>
  <c r="AA196" i="2"/>
  <c r="Y196" i="2"/>
  <c r="W196" i="2"/>
  <c r="V196" i="2"/>
  <c r="U196" i="2"/>
  <c r="AS195" i="2"/>
  <c r="AQ195" i="2"/>
  <c r="AO195" i="2"/>
  <c r="AM195" i="2"/>
  <c r="AE195" i="2"/>
  <c r="AC195" i="2"/>
  <c r="AA195" i="2"/>
  <c r="Y195" i="2"/>
  <c r="W195" i="2"/>
  <c r="V195" i="2"/>
  <c r="U195" i="2"/>
  <c r="AU194" i="2"/>
  <c r="AU193" i="2"/>
  <c r="AS192" i="2"/>
  <c r="AQ192" i="2"/>
  <c r="AO192" i="2"/>
  <c r="AM192" i="2"/>
  <c r="AE192" i="2"/>
  <c r="AC192" i="2"/>
  <c r="AA192" i="2"/>
  <c r="Y192" i="2"/>
  <c r="W192" i="2"/>
  <c r="V192" i="2"/>
  <c r="U192" i="2"/>
  <c r="AS191" i="2"/>
  <c r="AQ191" i="2"/>
  <c r="AO191" i="2"/>
  <c r="AM191" i="2"/>
  <c r="AE191" i="2"/>
  <c r="AC191" i="2"/>
  <c r="AA191" i="2"/>
  <c r="Y191" i="2"/>
  <c r="W191" i="2"/>
  <c r="V191" i="2"/>
  <c r="U191" i="2"/>
  <c r="AU190" i="2"/>
  <c r="AU189" i="2"/>
  <c r="AU188" i="2"/>
  <c r="AU187" i="2"/>
  <c r="AU186" i="2"/>
  <c r="AU185" i="2"/>
  <c r="AU184" i="2"/>
  <c r="AU183" i="2"/>
  <c r="AU182" i="2"/>
  <c r="AU181" i="2"/>
  <c r="AU180" i="2"/>
  <c r="AU179" i="2"/>
  <c r="AS178" i="2"/>
  <c r="AQ178" i="2"/>
  <c r="AO178" i="2"/>
  <c r="AE178" i="2"/>
  <c r="AC178" i="2"/>
  <c r="AA178" i="2"/>
  <c r="Y178" i="2"/>
  <c r="W178" i="2"/>
  <c r="V178" i="2"/>
  <c r="U178" i="2"/>
  <c r="AU177" i="2"/>
  <c r="AS176" i="2"/>
  <c r="AQ176" i="2"/>
  <c r="AO176" i="2"/>
  <c r="AE176" i="2"/>
  <c r="AC176" i="2"/>
  <c r="AA176" i="2"/>
  <c r="Y176" i="2"/>
  <c r="W176" i="2"/>
  <c r="V176" i="2"/>
  <c r="U176" i="2"/>
  <c r="AU175" i="2"/>
  <c r="AU174" i="2"/>
  <c r="AU173" i="2"/>
  <c r="AU172" i="2"/>
  <c r="AU171" i="2"/>
  <c r="AS170" i="2"/>
  <c r="AQ170" i="2"/>
  <c r="AO170" i="2"/>
  <c r="AM170" i="2"/>
  <c r="AE170" i="2"/>
  <c r="AC170" i="2"/>
  <c r="AA170" i="2"/>
  <c r="Y170" i="2"/>
  <c r="W170" i="2"/>
  <c r="V170" i="2"/>
  <c r="U170" i="2"/>
  <c r="AS169" i="2"/>
  <c r="AQ169" i="2"/>
  <c r="AO169" i="2"/>
  <c r="AM169" i="2"/>
  <c r="AE169" i="2"/>
  <c r="AC169" i="2"/>
  <c r="AA169" i="2"/>
  <c r="Y169" i="2"/>
  <c r="W169" i="2"/>
  <c r="V169" i="2"/>
  <c r="U169" i="2"/>
  <c r="AU168" i="2"/>
  <c r="AU167" i="2"/>
  <c r="AU166" i="2"/>
  <c r="AU165" i="2"/>
  <c r="AS164" i="2"/>
  <c r="AQ164" i="2"/>
  <c r="AO164" i="2"/>
  <c r="AM164" i="2"/>
  <c r="AE164" i="2"/>
  <c r="AC164" i="2"/>
  <c r="AA164" i="2"/>
  <c r="Y164" i="2"/>
  <c r="W164" i="2"/>
  <c r="AU164" i="2" s="1"/>
  <c r="V164" i="2"/>
  <c r="U164" i="2"/>
  <c r="AS163" i="2"/>
  <c r="AQ163" i="2"/>
  <c r="AO163" i="2"/>
  <c r="AM163" i="2"/>
  <c r="AE163" i="2"/>
  <c r="AC163" i="2"/>
  <c r="AA163" i="2"/>
  <c r="Y163" i="2"/>
  <c r="W163" i="2"/>
  <c r="V163" i="2"/>
  <c r="U163" i="2"/>
  <c r="AS162" i="2"/>
  <c r="AQ162" i="2"/>
  <c r="AO162" i="2"/>
  <c r="AM162" i="2"/>
  <c r="AE162" i="2"/>
  <c r="AC162" i="2"/>
  <c r="AA162" i="2"/>
  <c r="Y162" i="2"/>
  <c r="W162" i="2"/>
  <c r="V162" i="2"/>
  <c r="U162" i="2"/>
  <c r="AS161" i="2"/>
  <c r="AQ161" i="2"/>
  <c r="AO161" i="2"/>
  <c r="AM161" i="2"/>
  <c r="AE161" i="2"/>
  <c r="AC161" i="2"/>
  <c r="AA161" i="2"/>
  <c r="Y161" i="2"/>
  <c r="W161" i="2"/>
  <c r="V161" i="2"/>
  <c r="U161" i="2"/>
  <c r="AS160" i="2"/>
  <c r="AQ160" i="2"/>
  <c r="AO160" i="2"/>
  <c r="AM160" i="2"/>
  <c r="AE160" i="2"/>
  <c r="AC160" i="2"/>
  <c r="AA160" i="2"/>
  <c r="Y160" i="2"/>
  <c r="W160" i="2"/>
  <c r="AU160" i="2" s="1"/>
  <c r="V160" i="2"/>
  <c r="U160" i="2"/>
  <c r="AS159" i="2"/>
  <c r="AQ159" i="2"/>
  <c r="AO159" i="2"/>
  <c r="AM159" i="2"/>
  <c r="AE159" i="2"/>
  <c r="AC159" i="2"/>
  <c r="AA159" i="2"/>
  <c r="Y159" i="2"/>
  <c r="W159" i="2"/>
  <c r="V159" i="2"/>
  <c r="U159" i="2"/>
  <c r="AU158" i="2"/>
  <c r="AU157" i="2"/>
  <c r="AU156" i="2"/>
  <c r="AU155" i="2"/>
  <c r="AU154" i="2"/>
  <c r="AU153" i="2"/>
  <c r="AU152" i="2"/>
  <c r="AU151" i="2"/>
  <c r="AU150" i="2"/>
  <c r="AU149" i="2"/>
  <c r="AU148" i="2"/>
  <c r="AU147" i="2"/>
  <c r="AU146" i="2"/>
  <c r="AU145" i="2"/>
  <c r="AU144" i="2"/>
  <c r="AS143" i="2"/>
  <c r="AQ143" i="2"/>
  <c r="AO143" i="2"/>
  <c r="AM143" i="2"/>
  <c r="AE143" i="2"/>
  <c r="AC143" i="2"/>
  <c r="AA143" i="2"/>
  <c r="Y143" i="2"/>
  <c r="W143" i="2"/>
  <c r="V143" i="2"/>
  <c r="U143" i="2"/>
  <c r="AS142" i="2"/>
  <c r="AQ142" i="2"/>
  <c r="AO142" i="2"/>
  <c r="AM142" i="2"/>
  <c r="AE142" i="2"/>
  <c r="AC142" i="2"/>
  <c r="AA142" i="2"/>
  <c r="Y142" i="2"/>
  <c r="W142" i="2"/>
  <c r="AU142" i="2" s="1"/>
  <c r="V142" i="2"/>
  <c r="U142" i="2"/>
  <c r="AU141" i="2"/>
  <c r="AU140" i="2"/>
  <c r="AU139" i="2"/>
  <c r="AU138" i="2"/>
  <c r="AU137" i="2"/>
  <c r="AU136" i="2"/>
  <c r="AU135" i="2"/>
  <c r="AU134" i="2"/>
  <c r="AU133" i="2"/>
  <c r="AS132" i="2"/>
  <c r="AQ132" i="2"/>
  <c r="AO132" i="2"/>
  <c r="AE132" i="2"/>
  <c r="AC132" i="2"/>
  <c r="AA132" i="2"/>
  <c r="Y132" i="2"/>
  <c r="W132" i="2"/>
  <c r="V132" i="2"/>
  <c r="U132" i="2"/>
  <c r="AS131" i="2"/>
  <c r="AQ131" i="2"/>
  <c r="AO131" i="2"/>
  <c r="AE131" i="2"/>
  <c r="AC131" i="2"/>
  <c r="AA131" i="2"/>
  <c r="Y131" i="2"/>
  <c r="W131" i="2"/>
  <c r="V131" i="2"/>
  <c r="U131" i="2"/>
  <c r="AU130" i="2"/>
  <c r="AU129" i="2"/>
  <c r="AU128" i="2"/>
  <c r="AU127" i="2"/>
  <c r="AU126" i="2"/>
  <c r="AU125" i="2"/>
  <c r="AS124" i="2"/>
  <c r="AQ124" i="2"/>
  <c r="AO124" i="2"/>
  <c r="AM124" i="2"/>
  <c r="AE124" i="2"/>
  <c r="AC124" i="2"/>
  <c r="AA124" i="2"/>
  <c r="Y124" i="2"/>
  <c r="W124" i="2"/>
  <c r="V124" i="2"/>
  <c r="U124" i="2"/>
  <c r="AS123" i="2"/>
  <c r="AQ123" i="2"/>
  <c r="AO123" i="2"/>
  <c r="AM123" i="2"/>
  <c r="AE123" i="2"/>
  <c r="AC123" i="2"/>
  <c r="AA123" i="2"/>
  <c r="Y123" i="2"/>
  <c r="W123" i="2"/>
  <c r="V123" i="2"/>
  <c r="U123" i="2"/>
  <c r="AU122" i="2"/>
  <c r="AU121" i="2"/>
  <c r="AU120" i="2"/>
  <c r="AU119" i="2"/>
  <c r="AU118" i="2"/>
  <c r="AU117" i="2"/>
  <c r="AU116" i="2"/>
  <c r="AU115" i="2"/>
  <c r="AU114" i="2"/>
  <c r="AU113" i="2"/>
  <c r="AU112" i="2"/>
  <c r="AS111" i="2"/>
  <c r="AQ111" i="2"/>
  <c r="AO111" i="2"/>
  <c r="AE111" i="2"/>
  <c r="AC111" i="2"/>
  <c r="AA111" i="2"/>
  <c r="Y111" i="2"/>
  <c r="W111" i="2"/>
  <c r="V111" i="2"/>
  <c r="U111" i="2"/>
  <c r="AS110" i="2"/>
  <c r="AQ110" i="2"/>
  <c r="AO110" i="2"/>
  <c r="AE110" i="2"/>
  <c r="AC110" i="2"/>
  <c r="AA110" i="2"/>
  <c r="Y110" i="2"/>
  <c r="W110" i="2"/>
  <c r="AU110" i="2" s="1"/>
  <c r="V110" i="2"/>
  <c r="U110" i="2"/>
  <c r="AU109" i="2"/>
  <c r="AU108" i="2"/>
  <c r="AU107" i="2"/>
  <c r="AU106" i="2"/>
  <c r="AU105" i="2"/>
  <c r="AU104" i="2"/>
  <c r="AU103" i="2"/>
  <c r="AU102" i="2"/>
  <c r="AU101" i="2"/>
  <c r="AU100" i="2"/>
  <c r="AU99" i="2"/>
  <c r="AU98" i="2"/>
  <c r="AS97" i="2"/>
  <c r="AQ97" i="2"/>
  <c r="AO97" i="2"/>
  <c r="AE97" i="2"/>
  <c r="AC97" i="2"/>
  <c r="AA97" i="2"/>
  <c r="Y97" i="2"/>
  <c r="W97" i="2"/>
  <c r="V97" i="2"/>
  <c r="U97" i="2"/>
  <c r="AS96" i="2"/>
  <c r="AQ96" i="2"/>
  <c r="AO96" i="2"/>
  <c r="AE96" i="2"/>
  <c r="AC96" i="2"/>
  <c r="AA96" i="2"/>
  <c r="Y96" i="2"/>
  <c r="W96" i="2"/>
  <c r="AU96" i="2" s="1"/>
  <c r="V96" i="2"/>
  <c r="U96" i="2"/>
  <c r="AU95" i="2"/>
  <c r="AU94" i="2"/>
  <c r="AU93" i="2"/>
  <c r="AU92" i="2"/>
  <c r="AU91" i="2"/>
  <c r="AU90" i="2"/>
  <c r="AU89" i="2"/>
  <c r="AU88" i="2"/>
  <c r="AU87" i="2"/>
  <c r="AU86" i="2"/>
  <c r="AU85" i="2"/>
  <c r="AU84" i="2"/>
  <c r="AU83" i="2"/>
  <c r="AU82" i="2"/>
  <c r="AU81" i="2"/>
  <c r="AU80" i="2"/>
  <c r="AU79" i="2"/>
  <c r="AU78" i="2"/>
  <c r="AS77" i="2"/>
  <c r="AQ77" i="2"/>
  <c r="AO77" i="2"/>
  <c r="AE77" i="2"/>
  <c r="AC77" i="2"/>
  <c r="AA77" i="2"/>
  <c r="Y77" i="2"/>
  <c r="W77" i="2"/>
  <c r="AU77" i="2" s="1"/>
  <c r="V77" i="2"/>
  <c r="U77" i="2"/>
  <c r="AS76" i="2"/>
  <c r="AQ76" i="2"/>
  <c r="AO76" i="2"/>
  <c r="AE76" i="2"/>
  <c r="AC76" i="2"/>
  <c r="AA76" i="2"/>
  <c r="Y76" i="2"/>
  <c r="W76" i="2"/>
  <c r="V76" i="2"/>
  <c r="U76" i="2"/>
  <c r="AS75" i="2"/>
  <c r="AQ75" i="2"/>
  <c r="AO75" i="2"/>
  <c r="AE75" i="2"/>
  <c r="AC75" i="2"/>
  <c r="AA75" i="2"/>
  <c r="Y75" i="2"/>
  <c r="W75" i="2"/>
  <c r="AU75" i="2" s="1"/>
  <c r="V75" i="2"/>
  <c r="U75" i="2"/>
  <c r="AU74" i="2"/>
  <c r="AU73" i="2"/>
  <c r="AU72" i="2"/>
  <c r="AU71" i="2"/>
  <c r="AU70" i="2"/>
  <c r="AU69" i="2"/>
  <c r="AU68" i="2"/>
  <c r="AS67" i="2"/>
  <c r="AQ67" i="2"/>
  <c r="AO67" i="2"/>
  <c r="AM67" i="2"/>
  <c r="AE67" i="2"/>
  <c r="AC67" i="2"/>
  <c r="AA67" i="2"/>
  <c r="Y67" i="2"/>
  <c r="W67" i="2"/>
  <c r="V67" i="2"/>
  <c r="U67" i="2"/>
  <c r="AS66" i="2"/>
  <c r="AQ66" i="2"/>
  <c r="AO66" i="2"/>
  <c r="AM66" i="2"/>
  <c r="AE66" i="2"/>
  <c r="AC66" i="2"/>
  <c r="AA66" i="2"/>
  <c r="Y66" i="2"/>
  <c r="W66" i="2"/>
  <c r="V66" i="2"/>
  <c r="U66" i="2"/>
  <c r="AU65" i="2"/>
  <c r="AU64" i="2"/>
  <c r="AS63" i="2"/>
  <c r="AQ63" i="2"/>
  <c r="AO63" i="2"/>
  <c r="AE63" i="2"/>
  <c r="AC63" i="2"/>
  <c r="AA63" i="2"/>
  <c r="Y63" i="2"/>
  <c r="W63" i="2"/>
  <c r="V63" i="2"/>
  <c r="U63" i="2"/>
  <c r="AS62" i="2"/>
  <c r="AQ62" i="2"/>
  <c r="AO62" i="2"/>
  <c r="AE62" i="2"/>
  <c r="AC62" i="2"/>
  <c r="AA62" i="2"/>
  <c r="Y62" i="2"/>
  <c r="W62" i="2"/>
  <c r="V62" i="2"/>
  <c r="U62" i="2"/>
  <c r="AS61" i="2"/>
  <c r="AQ61" i="2"/>
  <c r="AO61" i="2"/>
  <c r="AE61" i="2"/>
  <c r="AC61" i="2"/>
  <c r="AA61" i="2"/>
  <c r="Y61" i="2"/>
  <c r="W61" i="2"/>
  <c r="V61" i="2"/>
  <c r="U61" i="2"/>
  <c r="AU60" i="2"/>
  <c r="AS59" i="2"/>
  <c r="AQ59" i="2"/>
  <c r="AO59" i="2"/>
  <c r="AM59" i="2"/>
  <c r="AE59" i="2"/>
  <c r="AC59" i="2"/>
  <c r="AA59" i="2"/>
  <c r="Y59" i="2"/>
  <c r="W59" i="2"/>
  <c r="V59" i="2"/>
  <c r="U59" i="2"/>
  <c r="AS58" i="2"/>
  <c r="AQ58" i="2"/>
  <c r="AO58" i="2"/>
  <c r="AM58" i="2"/>
  <c r="AE58" i="2"/>
  <c r="AC58" i="2"/>
  <c r="AA58" i="2"/>
  <c r="Y58" i="2"/>
  <c r="W58" i="2"/>
  <c r="V58" i="2"/>
  <c r="U58" i="2"/>
  <c r="AU57" i="2"/>
  <c r="AU56" i="2"/>
  <c r="AU55" i="2"/>
  <c r="AU54" i="2"/>
  <c r="AS53" i="2"/>
  <c r="AQ53" i="2"/>
  <c r="AO53" i="2"/>
  <c r="AM53" i="2"/>
  <c r="AE53" i="2"/>
  <c r="AC53" i="2"/>
  <c r="AA53" i="2"/>
  <c r="Y53" i="2"/>
  <c r="W53" i="2"/>
  <c r="V53" i="2"/>
  <c r="U53" i="2"/>
  <c r="AS52" i="2"/>
  <c r="AQ52" i="2"/>
  <c r="AO52" i="2"/>
  <c r="AM52" i="2"/>
  <c r="AE52" i="2"/>
  <c r="AC52" i="2"/>
  <c r="AA52" i="2"/>
  <c r="Y52" i="2"/>
  <c r="W52" i="2"/>
  <c r="V52" i="2"/>
  <c r="U52" i="2"/>
  <c r="AU51" i="2"/>
  <c r="AU50" i="2"/>
  <c r="AU49" i="2"/>
  <c r="AS48" i="2"/>
  <c r="AQ48" i="2"/>
  <c r="AO48" i="2"/>
  <c r="AM48" i="2"/>
  <c r="AE48" i="2"/>
  <c r="AC48" i="2"/>
  <c r="AA48" i="2"/>
  <c r="Y48" i="2"/>
  <c r="W48" i="2"/>
  <c r="V48" i="2"/>
  <c r="U48" i="2"/>
  <c r="AS47" i="2"/>
  <c r="AQ47" i="2"/>
  <c r="AO47" i="2"/>
  <c r="AM47" i="2"/>
  <c r="AE47" i="2"/>
  <c r="AC47" i="2"/>
  <c r="AA47" i="2"/>
  <c r="Y47" i="2"/>
  <c r="W47" i="2"/>
  <c r="V47" i="2"/>
  <c r="U47" i="2"/>
  <c r="AS46" i="2"/>
  <c r="AQ46" i="2"/>
  <c r="AO46" i="2"/>
  <c r="AM46" i="2"/>
  <c r="AE46" i="2"/>
  <c r="AC46" i="2"/>
  <c r="AA46" i="2"/>
  <c r="Y46" i="2"/>
  <c r="W46" i="2"/>
  <c r="V46" i="2"/>
  <c r="U46" i="2"/>
  <c r="AS45" i="2"/>
  <c r="AQ45" i="2"/>
  <c r="AO45" i="2"/>
  <c r="AM45" i="2"/>
  <c r="AE45" i="2"/>
  <c r="AC45" i="2"/>
  <c r="AA45" i="2"/>
  <c r="Y45" i="2"/>
  <c r="W45" i="2"/>
  <c r="V45" i="2"/>
  <c r="U45" i="2"/>
  <c r="AU44" i="2"/>
  <c r="AU43" i="2"/>
  <c r="AU42" i="2"/>
  <c r="AS41" i="2"/>
  <c r="AQ41" i="2"/>
  <c r="AO41" i="2"/>
  <c r="AE41" i="2"/>
  <c r="AC41" i="2"/>
  <c r="AA41" i="2"/>
  <c r="Y41" i="2"/>
  <c r="W41" i="2"/>
  <c r="V41" i="2"/>
  <c r="U41" i="2"/>
  <c r="AS40" i="2"/>
  <c r="AQ40" i="2"/>
  <c r="AO40" i="2"/>
  <c r="AE40" i="2"/>
  <c r="AC40" i="2"/>
  <c r="AA40" i="2"/>
  <c r="Y40" i="2"/>
  <c r="W40" i="2"/>
  <c r="AU40" i="2" s="1"/>
  <c r="V40" i="2"/>
  <c r="U40" i="2"/>
  <c r="AU39" i="2"/>
  <c r="AU38" i="2"/>
  <c r="AS37" i="2"/>
  <c r="AQ37" i="2"/>
  <c r="AO37" i="2"/>
  <c r="AM37" i="2"/>
  <c r="AE37" i="2"/>
  <c r="AC37" i="2"/>
  <c r="AA37" i="2"/>
  <c r="Y37" i="2"/>
  <c r="W37" i="2"/>
  <c r="V37" i="2"/>
  <c r="U37" i="2"/>
  <c r="AS36" i="2"/>
  <c r="AQ36" i="2"/>
  <c r="AO36" i="2"/>
  <c r="AM36" i="2"/>
  <c r="AE36" i="2"/>
  <c r="AC36" i="2"/>
  <c r="AA36" i="2"/>
  <c r="Y36" i="2"/>
  <c r="W36" i="2"/>
  <c r="AU36" i="2" s="1"/>
  <c r="V36" i="2"/>
  <c r="U36" i="2"/>
  <c r="AS35" i="2"/>
  <c r="AQ35" i="2"/>
  <c r="AO35" i="2"/>
  <c r="AM35" i="2"/>
  <c r="AE35" i="2"/>
  <c r="AC35" i="2"/>
  <c r="AA35" i="2"/>
  <c r="Y35" i="2"/>
  <c r="W35" i="2"/>
  <c r="V35" i="2"/>
  <c r="U35" i="2"/>
  <c r="AS34" i="2"/>
  <c r="AQ34" i="2"/>
  <c r="AO34" i="2"/>
  <c r="AM34" i="2"/>
  <c r="AE34" i="2"/>
  <c r="AC34" i="2"/>
  <c r="AA34" i="2"/>
  <c r="Y34" i="2"/>
  <c r="W34" i="2"/>
  <c r="V34" i="2"/>
  <c r="U34" i="2"/>
  <c r="AU33" i="2"/>
  <c r="AU32" i="2"/>
  <c r="AU31" i="2"/>
  <c r="AS30" i="2"/>
  <c r="AQ30" i="2"/>
  <c r="AO30" i="2"/>
  <c r="AE30" i="2"/>
  <c r="AC30" i="2"/>
  <c r="AA30" i="2"/>
  <c r="Y30" i="2"/>
  <c r="W30" i="2"/>
  <c r="V30" i="2"/>
  <c r="U30" i="2"/>
  <c r="AS29" i="2"/>
  <c r="AQ29" i="2"/>
  <c r="AO29" i="2"/>
  <c r="AE29" i="2"/>
  <c r="AC29" i="2"/>
  <c r="AA29" i="2"/>
  <c r="Y29" i="2"/>
  <c r="W29" i="2"/>
  <c r="V29" i="2"/>
  <c r="U29" i="2"/>
  <c r="AU28" i="2"/>
  <c r="AU27" i="2"/>
  <c r="AU26" i="2"/>
  <c r="AU25" i="2"/>
  <c r="AU24" i="2"/>
  <c r="AU23" i="2"/>
  <c r="AU22" i="2"/>
  <c r="AU21" i="2"/>
  <c r="AU20" i="2"/>
  <c r="AU19" i="2"/>
  <c r="AU18" i="2"/>
  <c r="AU17" i="2"/>
  <c r="AU16" i="2"/>
  <c r="AU15" i="2"/>
  <c r="AU14" i="2"/>
  <c r="AU13" i="2"/>
  <c r="AW12" i="2"/>
  <c r="AW13" i="2" s="1"/>
  <c r="AW14" i="2" s="1"/>
  <c r="AW15" i="2" s="1"/>
  <c r="AW16" i="2" s="1"/>
  <c r="AW17" i="2" s="1"/>
  <c r="AW18" i="2" s="1"/>
  <c r="AW19" i="2" s="1"/>
  <c r="AW20" i="2" s="1"/>
  <c r="AW21" i="2" s="1"/>
  <c r="AW22" i="2" s="1"/>
  <c r="AW23" i="2" s="1"/>
  <c r="AW24" i="2" s="1"/>
  <c r="AW25" i="2" s="1"/>
  <c r="AW26" i="2" s="1"/>
  <c r="AW27" i="2" s="1"/>
  <c r="AW28" i="2" s="1"/>
  <c r="AW29" i="2" s="1"/>
  <c r="AW30" i="2" s="1"/>
  <c r="AW31" i="2" s="1"/>
  <c r="AW32" i="2" s="1"/>
  <c r="AW33" i="2" s="1"/>
  <c r="AW34" i="2" s="1"/>
  <c r="AW35" i="2" s="1"/>
  <c r="AW36" i="2" s="1"/>
  <c r="AW37" i="2" s="1"/>
  <c r="AW38" i="2" s="1"/>
  <c r="AW39" i="2" s="1"/>
  <c r="AW40" i="2" s="1"/>
  <c r="AW41" i="2" s="1"/>
  <c r="AW42" i="2" s="1"/>
  <c r="AW43" i="2" s="1"/>
  <c r="AW44" i="2" s="1"/>
  <c r="AW45" i="2" s="1"/>
  <c r="AW46" i="2" s="1"/>
  <c r="AW47" i="2" s="1"/>
  <c r="AW48" i="2" s="1"/>
  <c r="AW49" i="2" s="1"/>
  <c r="AW50" i="2" s="1"/>
  <c r="AW51" i="2" s="1"/>
  <c r="AW52" i="2" s="1"/>
  <c r="AW53" i="2" s="1"/>
  <c r="AW54" i="2" s="1"/>
  <c r="AW55" i="2" s="1"/>
  <c r="AW56" i="2" s="1"/>
  <c r="AW57" i="2" s="1"/>
  <c r="AW58" i="2" s="1"/>
  <c r="AW59" i="2" s="1"/>
  <c r="AW60" i="2" s="1"/>
  <c r="AW61" i="2" s="1"/>
  <c r="AW62" i="2" s="1"/>
  <c r="AW63" i="2" s="1"/>
  <c r="AW64" i="2" s="1"/>
  <c r="AW65" i="2" s="1"/>
  <c r="AW66" i="2" s="1"/>
  <c r="AW67" i="2" s="1"/>
  <c r="AW68" i="2" s="1"/>
  <c r="AW69" i="2" s="1"/>
  <c r="AW70" i="2" s="1"/>
  <c r="AW71" i="2" s="1"/>
  <c r="AW72" i="2" s="1"/>
  <c r="AW73" i="2" s="1"/>
  <c r="AW74" i="2" s="1"/>
  <c r="AW75" i="2" s="1"/>
  <c r="AW76" i="2" s="1"/>
  <c r="AW77" i="2" s="1"/>
  <c r="AW78" i="2" s="1"/>
  <c r="AW79" i="2" s="1"/>
  <c r="AW80" i="2" s="1"/>
  <c r="AW81" i="2" s="1"/>
  <c r="AW82" i="2" s="1"/>
  <c r="AW83" i="2" s="1"/>
  <c r="AW84" i="2" s="1"/>
  <c r="AW85" i="2" s="1"/>
  <c r="AW86" i="2" s="1"/>
  <c r="AW87" i="2" s="1"/>
  <c r="AW88" i="2" s="1"/>
  <c r="AW89" i="2" s="1"/>
  <c r="AW90" i="2" s="1"/>
  <c r="AW91" i="2" s="1"/>
  <c r="AW92" i="2" s="1"/>
  <c r="AW93" i="2" s="1"/>
  <c r="AW94" i="2" s="1"/>
  <c r="AW95" i="2" s="1"/>
  <c r="AW96" i="2" s="1"/>
  <c r="AW97" i="2" s="1"/>
  <c r="AW98" i="2" s="1"/>
  <c r="AW99" i="2" s="1"/>
  <c r="AW100" i="2" s="1"/>
  <c r="AW101" i="2" s="1"/>
  <c r="AW102" i="2" s="1"/>
  <c r="AW103" i="2" s="1"/>
  <c r="AW104" i="2" s="1"/>
  <c r="AW105" i="2" s="1"/>
  <c r="AW106" i="2" s="1"/>
  <c r="AW107" i="2" s="1"/>
  <c r="AW108" i="2" s="1"/>
  <c r="AW109" i="2" s="1"/>
  <c r="AW110" i="2" s="1"/>
  <c r="AW111" i="2" s="1"/>
  <c r="AW112" i="2" s="1"/>
  <c r="AW113" i="2" s="1"/>
  <c r="AW114" i="2" s="1"/>
  <c r="AW115" i="2" s="1"/>
  <c r="AW116" i="2" s="1"/>
  <c r="AW117" i="2" s="1"/>
  <c r="AW118" i="2" s="1"/>
  <c r="AW119" i="2" s="1"/>
  <c r="AW120" i="2" s="1"/>
  <c r="AW121" i="2" s="1"/>
  <c r="AW122" i="2" s="1"/>
  <c r="AW123" i="2" s="1"/>
  <c r="AW124" i="2" s="1"/>
  <c r="AW125" i="2" s="1"/>
  <c r="AW126" i="2" s="1"/>
  <c r="AW127" i="2" s="1"/>
  <c r="AW128" i="2" s="1"/>
  <c r="AW129" i="2" s="1"/>
  <c r="AW130" i="2" s="1"/>
  <c r="AW131" i="2" s="1"/>
  <c r="AW132" i="2" s="1"/>
  <c r="AW133" i="2" s="1"/>
  <c r="AW134" i="2" s="1"/>
  <c r="AW135" i="2" s="1"/>
  <c r="AW136" i="2" s="1"/>
  <c r="AW137" i="2" s="1"/>
  <c r="AW138" i="2" s="1"/>
  <c r="AW139" i="2" s="1"/>
  <c r="AW140" i="2" s="1"/>
  <c r="AW141" i="2" s="1"/>
  <c r="AW142" i="2" s="1"/>
  <c r="AW143" i="2" s="1"/>
  <c r="AW144" i="2" s="1"/>
  <c r="AW145" i="2" s="1"/>
  <c r="AW146" i="2" s="1"/>
  <c r="AW147" i="2" s="1"/>
  <c r="AW148" i="2" s="1"/>
  <c r="AW149" i="2" s="1"/>
  <c r="AW150" i="2" s="1"/>
  <c r="AW151" i="2" s="1"/>
  <c r="AW152" i="2" s="1"/>
  <c r="AW153" i="2" s="1"/>
  <c r="AW154" i="2" s="1"/>
  <c r="AW155" i="2" s="1"/>
  <c r="AW156" i="2" s="1"/>
  <c r="AW157" i="2" s="1"/>
  <c r="AW158" i="2" s="1"/>
  <c r="AW159" i="2" s="1"/>
  <c r="AW160" i="2" s="1"/>
  <c r="AW161" i="2" s="1"/>
  <c r="AW162" i="2" s="1"/>
  <c r="AW163" i="2" s="1"/>
  <c r="AW164" i="2" s="1"/>
  <c r="AW165" i="2" s="1"/>
  <c r="AW166" i="2" s="1"/>
  <c r="AW167" i="2" s="1"/>
  <c r="AW168" i="2" s="1"/>
  <c r="AW169" i="2" s="1"/>
  <c r="AW170" i="2" s="1"/>
  <c r="AW171" i="2" s="1"/>
  <c r="AW172" i="2" s="1"/>
  <c r="AW173" i="2" s="1"/>
  <c r="AW174" i="2" s="1"/>
  <c r="AW175" i="2" s="1"/>
  <c r="AW176" i="2" s="1"/>
  <c r="AW177" i="2" s="1"/>
  <c r="AW178" i="2" s="1"/>
  <c r="AW179" i="2" s="1"/>
  <c r="AW180" i="2" s="1"/>
  <c r="AW181" i="2" s="1"/>
  <c r="AW182" i="2" s="1"/>
  <c r="AW183" i="2" s="1"/>
  <c r="AW184" i="2" s="1"/>
  <c r="AW185" i="2" s="1"/>
  <c r="AW186" i="2" s="1"/>
  <c r="AW187" i="2" s="1"/>
  <c r="AW188" i="2" s="1"/>
  <c r="AW189" i="2" s="1"/>
  <c r="AW190" i="2" s="1"/>
  <c r="AW191" i="2" s="1"/>
  <c r="AW192" i="2" s="1"/>
  <c r="AW193" i="2" s="1"/>
  <c r="AW194" i="2" s="1"/>
  <c r="AW195" i="2" s="1"/>
  <c r="AW196" i="2" s="1"/>
  <c r="AW197" i="2" s="1"/>
  <c r="AW198" i="2" s="1"/>
  <c r="AW199" i="2" s="1"/>
  <c r="AW200" i="2" s="1"/>
  <c r="AW201" i="2" s="1"/>
  <c r="AW202" i="2" s="1"/>
  <c r="AW203" i="2" s="1"/>
  <c r="AW204" i="2" s="1"/>
  <c r="AW205" i="2" s="1"/>
  <c r="AW206" i="2" s="1"/>
  <c r="AW207" i="2" s="1"/>
  <c r="AW208" i="2" s="1"/>
  <c r="AW209" i="2" s="1"/>
  <c r="AW210" i="2" s="1"/>
  <c r="AW211" i="2" s="1"/>
  <c r="AW212" i="2" s="1"/>
  <c r="AW213" i="2" s="1"/>
  <c r="AW214" i="2" s="1"/>
  <c r="AW215" i="2" s="1"/>
  <c r="AW216" i="2" s="1"/>
  <c r="AW217" i="2" s="1"/>
  <c r="AW218" i="2" s="1"/>
  <c r="AW219" i="2" s="1"/>
  <c r="AW220" i="2" s="1"/>
  <c r="AW221" i="2" s="1"/>
  <c r="AW222" i="2" s="1"/>
  <c r="AW223" i="2" s="1"/>
  <c r="AW224" i="2" s="1"/>
  <c r="AW225" i="2" s="1"/>
  <c r="AW226" i="2" s="1"/>
  <c r="AW227" i="2" s="1"/>
  <c r="AW228" i="2" s="1"/>
  <c r="AW229" i="2" s="1"/>
  <c r="AW230" i="2" s="1"/>
  <c r="AW231" i="2" s="1"/>
  <c r="AW232" i="2" s="1"/>
  <c r="AW233" i="2" s="1"/>
  <c r="AW234" i="2" s="1"/>
  <c r="AW235" i="2" s="1"/>
  <c r="AW236" i="2" s="1"/>
  <c r="AW237" i="2" s="1"/>
  <c r="AW238" i="2" s="1"/>
  <c r="AW239" i="2" s="1"/>
  <c r="AW240" i="2" s="1"/>
  <c r="AW241" i="2" s="1"/>
  <c r="AW242" i="2" s="1"/>
  <c r="AW243" i="2" s="1"/>
  <c r="AW244" i="2" s="1"/>
  <c r="AW245" i="2" s="1"/>
  <c r="AW246" i="2" s="1"/>
  <c r="AW247" i="2" s="1"/>
  <c r="AW248" i="2" s="1"/>
  <c r="AW249" i="2" s="1"/>
  <c r="AW250" i="2" s="1"/>
  <c r="AW251" i="2" s="1"/>
  <c r="AW252" i="2" s="1"/>
  <c r="AW253" i="2" s="1"/>
  <c r="AW254" i="2" s="1"/>
  <c r="AW255" i="2" s="1"/>
  <c r="AW256" i="2" s="1"/>
  <c r="AW257" i="2" s="1"/>
  <c r="AW258" i="2" s="1"/>
  <c r="AW259" i="2" s="1"/>
  <c r="AW260" i="2" s="1"/>
  <c r="AW261" i="2" s="1"/>
  <c r="AW262" i="2" s="1"/>
  <c r="AW263" i="2" s="1"/>
  <c r="AW264" i="2" s="1"/>
  <c r="AW265" i="2" s="1"/>
  <c r="AW266" i="2" s="1"/>
  <c r="AW267" i="2" s="1"/>
  <c r="AW268" i="2" s="1"/>
  <c r="AW269" i="2" s="1"/>
  <c r="AW270" i="2" s="1"/>
  <c r="AW271" i="2" s="1"/>
  <c r="AW272" i="2" s="1"/>
  <c r="AW273" i="2" s="1"/>
  <c r="AW274" i="2" s="1"/>
  <c r="AW275" i="2" s="1"/>
  <c r="AW276" i="2" s="1"/>
  <c r="AW277" i="2" s="1"/>
  <c r="AW278" i="2" s="1"/>
  <c r="AW279" i="2" s="1"/>
  <c r="AW280" i="2" s="1"/>
  <c r="AW281" i="2" s="1"/>
  <c r="AW282" i="2" s="1"/>
  <c r="AW283" i="2" s="1"/>
  <c r="AW284" i="2" s="1"/>
  <c r="AW285" i="2" s="1"/>
  <c r="AW286" i="2" s="1"/>
  <c r="AW287" i="2" s="1"/>
  <c r="AW288" i="2" s="1"/>
  <c r="AW289" i="2" s="1"/>
  <c r="AW290" i="2" s="1"/>
  <c r="AW291" i="2" s="1"/>
  <c r="AW292" i="2" s="1"/>
  <c r="AW293" i="2" s="1"/>
  <c r="AW294" i="2" s="1"/>
  <c r="AW295" i="2" s="1"/>
  <c r="AW296" i="2" s="1"/>
  <c r="AW297" i="2" s="1"/>
  <c r="AW298" i="2" s="1"/>
  <c r="AW299" i="2" s="1"/>
  <c r="AW300" i="2" s="1"/>
  <c r="AW301" i="2" s="1"/>
  <c r="AW302" i="2" s="1"/>
  <c r="AW303" i="2" s="1"/>
  <c r="AW304" i="2" s="1"/>
  <c r="AW305" i="2" s="1"/>
  <c r="AW306" i="2" s="1"/>
  <c r="AW307" i="2" s="1"/>
  <c r="AW308" i="2" s="1"/>
  <c r="AW309" i="2" s="1"/>
  <c r="AW310" i="2" s="1"/>
  <c r="AW311" i="2" s="1"/>
  <c r="AW312" i="2" s="1"/>
  <c r="AW313" i="2" s="1"/>
  <c r="AW314" i="2" s="1"/>
  <c r="AW315" i="2" s="1"/>
  <c r="AW316" i="2" s="1"/>
  <c r="AW317" i="2" s="1"/>
  <c r="AW318" i="2" s="1"/>
  <c r="AW319" i="2" s="1"/>
  <c r="AW320" i="2" s="1"/>
  <c r="AW321" i="2" s="1"/>
  <c r="AW322" i="2" s="1"/>
  <c r="AW323" i="2" s="1"/>
  <c r="AW324" i="2" s="1"/>
  <c r="AW325" i="2" s="1"/>
  <c r="AW326" i="2" s="1"/>
  <c r="AW327" i="2" s="1"/>
  <c r="AW328" i="2" s="1"/>
  <c r="AW329" i="2" s="1"/>
  <c r="AW330" i="2" s="1"/>
  <c r="AW331" i="2" s="1"/>
  <c r="AW332" i="2" s="1"/>
  <c r="AW333" i="2" s="1"/>
  <c r="AW334" i="2" s="1"/>
  <c r="AW335" i="2" s="1"/>
  <c r="AW336" i="2" s="1"/>
  <c r="AW337" i="2" s="1"/>
  <c r="AW338" i="2" s="1"/>
  <c r="AW339" i="2" s="1"/>
  <c r="AW340" i="2" s="1"/>
  <c r="AW341" i="2" s="1"/>
  <c r="AW342" i="2" s="1"/>
  <c r="AW343" i="2" s="1"/>
  <c r="AW344" i="2" s="1"/>
  <c r="AW345" i="2" s="1"/>
  <c r="AW346" i="2" s="1"/>
  <c r="AW347" i="2" s="1"/>
  <c r="AW348" i="2" s="1"/>
  <c r="AW349" i="2" s="1"/>
  <c r="AW350" i="2" s="1"/>
  <c r="AW351" i="2" s="1"/>
  <c r="AW352" i="2" s="1"/>
  <c r="AW353" i="2" s="1"/>
  <c r="AW354" i="2" s="1"/>
  <c r="AW355" i="2" s="1"/>
  <c r="AW356" i="2" s="1"/>
  <c r="AW357" i="2" s="1"/>
  <c r="AW358" i="2" s="1"/>
  <c r="AW359" i="2" s="1"/>
  <c r="AW360" i="2" s="1"/>
  <c r="AW361" i="2" s="1"/>
  <c r="AW362" i="2" s="1"/>
  <c r="AW363" i="2" s="1"/>
  <c r="AW364" i="2" s="1"/>
  <c r="AW365" i="2" s="1"/>
  <c r="AW366" i="2" s="1"/>
  <c r="AW367" i="2" s="1"/>
  <c r="AW368" i="2" s="1"/>
  <c r="AW369" i="2" s="1"/>
  <c r="AW370" i="2" s="1"/>
  <c r="AW371" i="2" s="1"/>
  <c r="AW372" i="2" s="1"/>
  <c r="AW373" i="2" s="1"/>
  <c r="AW374" i="2" s="1"/>
  <c r="AW375" i="2" s="1"/>
  <c r="AW376" i="2" s="1"/>
  <c r="AW377" i="2" s="1"/>
  <c r="AW378" i="2" s="1"/>
  <c r="AW379" i="2" s="1"/>
  <c r="AW380" i="2" s="1"/>
  <c r="AW381" i="2" s="1"/>
  <c r="AW382" i="2" s="1"/>
  <c r="AW383" i="2" s="1"/>
  <c r="AW384" i="2" s="1"/>
  <c r="AW385" i="2" s="1"/>
  <c r="AW386" i="2" s="1"/>
  <c r="AW387" i="2" s="1"/>
  <c r="AW388" i="2" s="1"/>
  <c r="AW389" i="2" s="1"/>
  <c r="AW390" i="2" s="1"/>
  <c r="AW391" i="2" s="1"/>
  <c r="AW392" i="2" s="1"/>
  <c r="AW393" i="2" s="1"/>
  <c r="AW394" i="2" s="1"/>
  <c r="AW395" i="2" s="1"/>
  <c r="AW396" i="2" s="1"/>
  <c r="AW397" i="2" s="1"/>
  <c r="AW398" i="2" s="1"/>
  <c r="AW399" i="2" s="1"/>
  <c r="AW400" i="2" s="1"/>
  <c r="AW401" i="2" s="1"/>
  <c r="AW402" i="2" s="1"/>
  <c r="AW403" i="2" s="1"/>
  <c r="AW404" i="2" s="1"/>
  <c r="AW405" i="2" s="1"/>
  <c r="AW406" i="2" s="1"/>
  <c r="AW407" i="2" s="1"/>
  <c r="AW408" i="2" s="1"/>
  <c r="AW409" i="2" s="1"/>
  <c r="AW410" i="2" s="1"/>
  <c r="AW411" i="2" s="1"/>
  <c r="AW412" i="2" s="1"/>
  <c r="AW413" i="2" s="1"/>
  <c r="AW414" i="2" s="1"/>
  <c r="AW415" i="2" s="1"/>
  <c r="AW416" i="2" s="1"/>
  <c r="AW417" i="2" s="1"/>
  <c r="AW418" i="2" s="1"/>
  <c r="AW419" i="2" s="1"/>
  <c r="AW420" i="2" s="1"/>
  <c r="AW421" i="2" s="1"/>
  <c r="AW422" i="2" s="1"/>
  <c r="AW423" i="2" s="1"/>
  <c r="AW424" i="2" s="1"/>
  <c r="AW425" i="2" s="1"/>
  <c r="AW426" i="2" s="1"/>
  <c r="AW427" i="2" s="1"/>
  <c r="AW428" i="2" s="1"/>
  <c r="AW429" i="2" s="1"/>
  <c r="AW430" i="2" s="1"/>
  <c r="AW431" i="2" s="1"/>
  <c r="AW432" i="2" s="1"/>
  <c r="AW433" i="2" s="1"/>
  <c r="AW434" i="2" s="1"/>
  <c r="AW435" i="2" s="1"/>
  <c r="AW436" i="2" s="1"/>
  <c r="AW437" i="2" s="1"/>
  <c r="AW438" i="2" s="1"/>
  <c r="AW439" i="2" s="1"/>
  <c r="AW440" i="2" s="1"/>
  <c r="AW441" i="2" s="1"/>
  <c r="AW442" i="2" s="1"/>
  <c r="AW443" i="2" s="1"/>
  <c r="AW444" i="2" s="1"/>
  <c r="AW445" i="2" s="1"/>
  <c r="AW446" i="2" s="1"/>
  <c r="AW447" i="2" s="1"/>
  <c r="AW448" i="2" s="1"/>
  <c r="AW449" i="2" s="1"/>
  <c r="AW450" i="2" s="1"/>
  <c r="AW451" i="2" s="1"/>
  <c r="AW452" i="2" s="1"/>
  <c r="AW453" i="2" s="1"/>
  <c r="AW454" i="2" s="1"/>
  <c r="AW455" i="2" s="1"/>
  <c r="AW456" i="2" s="1"/>
  <c r="AW457" i="2" s="1"/>
  <c r="AW458" i="2" s="1"/>
  <c r="AU12" i="2"/>
  <c r="M12" i="2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M100" i="2" s="1"/>
  <c r="M101" i="2" s="1"/>
  <c r="M102" i="2" s="1"/>
  <c r="M103" i="2" s="1"/>
  <c r="M104" i="2" s="1"/>
  <c r="M105" i="2" s="1"/>
  <c r="M106" i="2" s="1"/>
  <c r="M107" i="2" s="1"/>
  <c r="M108" i="2" s="1"/>
  <c r="M109" i="2" s="1"/>
  <c r="M110" i="2" s="1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27" i="2" s="1"/>
  <c r="M128" i="2" s="1"/>
  <c r="M129" i="2" s="1"/>
  <c r="M130" i="2" s="1"/>
  <c r="M131" i="2" s="1"/>
  <c r="M132" i="2" s="1"/>
  <c r="M133" i="2" s="1"/>
  <c r="M134" i="2" s="1"/>
  <c r="M135" i="2" s="1"/>
  <c r="M136" i="2" s="1"/>
  <c r="M137" i="2" s="1"/>
  <c r="M138" i="2" s="1"/>
  <c r="M139" i="2" s="1"/>
  <c r="M140" i="2" s="1"/>
  <c r="M141" i="2" s="1"/>
  <c r="M142" i="2" s="1"/>
  <c r="M143" i="2" s="1"/>
  <c r="M144" i="2" s="1"/>
  <c r="M145" i="2" s="1"/>
  <c r="M146" i="2" s="1"/>
  <c r="M147" i="2" s="1"/>
  <c r="M148" i="2" s="1"/>
  <c r="M149" i="2" s="1"/>
  <c r="M150" i="2" s="1"/>
  <c r="M151" i="2" s="1"/>
  <c r="M152" i="2" s="1"/>
  <c r="M153" i="2" s="1"/>
  <c r="M154" i="2" s="1"/>
  <c r="M155" i="2" s="1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205" i="2" s="1"/>
  <c r="M206" i="2" s="1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M221" i="2" s="1"/>
  <c r="M222" i="2" s="1"/>
  <c r="M223" i="2" s="1"/>
  <c r="M224" i="2" s="1"/>
  <c r="M225" i="2" s="1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M321" i="2" s="1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M332" i="2" s="1"/>
  <c r="M333" i="2" s="1"/>
  <c r="M334" i="2" s="1"/>
  <c r="M335" i="2" s="1"/>
  <c r="M336" i="2" s="1"/>
  <c r="M337" i="2" s="1"/>
  <c r="M338" i="2" s="1"/>
  <c r="M339" i="2" s="1"/>
  <c r="M340" i="2" s="1"/>
  <c r="M341" i="2" s="1"/>
  <c r="M342" i="2" s="1"/>
  <c r="M343" i="2" s="1"/>
  <c r="M344" i="2" s="1"/>
  <c r="M345" i="2" s="1"/>
  <c r="M346" i="2" s="1"/>
  <c r="M347" i="2" s="1"/>
  <c r="M348" i="2" s="1"/>
  <c r="M349" i="2" s="1"/>
  <c r="M350" i="2" s="1"/>
  <c r="M351" i="2" s="1"/>
  <c r="M352" i="2" s="1"/>
  <c r="M353" i="2" s="1"/>
  <c r="M354" i="2" s="1"/>
  <c r="M355" i="2" s="1"/>
  <c r="M356" i="2" s="1"/>
  <c r="M357" i="2" s="1"/>
  <c r="M358" i="2" s="1"/>
  <c r="M359" i="2" s="1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87" i="2" s="1"/>
  <c r="M388" i="2" s="1"/>
  <c r="M389" i="2" s="1"/>
  <c r="M390" i="2" s="1"/>
  <c r="M391" i="2" s="1"/>
  <c r="M392" i="2" s="1"/>
  <c r="M393" i="2" s="1"/>
  <c r="M394" i="2" s="1"/>
  <c r="M395" i="2" s="1"/>
  <c r="M396" i="2" s="1"/>
  <c r="M397" i="2" s="1"/>
  <c r="M398" i="2" s="1"/>
  <c r="M399" i="2" s="1"/>
  <c r="M400" i="2" s="1"/>
  <c r="M401" i="2" s="1"/>
  <c r="M402" i="2" s="1"/>
  <c r="M403" i="2" s="1"/>
  <c r="M404" i="2" s="1"/>
  <c r="M405" i="2" s="1"/>
  <c r="M406" i="2" s="1"/>
  <c r="M407" i="2" s="1"/>
  <c r="M408" i="2" s="1"/>
  <c r="M409" i="2" s="1"/>
  <c r="M410" i="2" s="1"/>
  <c r="M411" i="2" s="1"/>
  <c r="M412" i="2" s="1"/>
  <c r="M413" i="2" s="1"/>
  <c r="M414" i="2" s="1"/>
  <c r="M415" i="2" s="1"/>
  <c r="M416" i="2" s="1"/>
  <c r="M417" i="2" s="1"/>
  <c r="M418" i="2" s="1"/>
  <c r="M419" i="2" s="1"/>
  <c r="M420" i="2" s="1"/>
  <c r="M421" i="2" s="1"/>
  <c r="M422" i="2" s="1"/>
  <c r="M423" i="2" s="1"/>
  <c r="M424" i="2" s="1"/>
  <c r="M425" i="2" s="1"/>
  <c r="M426" i="2" s="1"/>
  <c r="M427" i="2" s="1"/>
  <c r="M428" i="2" s="1"/>
  <c r="M429" i="2" s="1"/>
  <c r="M430" i="2" s="1"/>
  <c r="M431" i="2" s="1"/>
  <c r="M432" i="2" s="1"/>
  <c r="M433" i="2" s="1"/>
  <c r="M434" i="2" s="1"/>
  <c r="M435" i="2" s="1"/>
  <c r="M436" i="2" s="1"/>
  <c r="M437" i="2" s="1"/>
  <c r="M438" i="2" s="1"/>
  <c r="M439" i="2" s="1"/>
  <c r="M440" i="2" s="1"/>
  <c r="M441" i="2" s="1"/>
  <c r="M442" i="2" s="1"/>
  <c r="M443" i="2" s="1"/>
  <c r="M444" i="2" s="1"/>
  <c r="M445" i="2" s="1"/>
  <c r="M446" i="2" s="1"/>
  <c r="M447" i="2" s="1"/>
  <c r="M448" i="2" s="1"/>
  <c r="M449" i="2" s="1"/>
  <c r="M450" i="2" s="1"/>
  <c r="M451" i="2" s="1"/>
  <c r="M452" i="2" s="1"/>
  <c r="M453" i="2" s="1"/>
  <c r="M454" i="2" s="1"/>
  <c r="M455" i="2" s="1"/>
  <c r="M456" i="2" s="1"/>
  <c r="M457" i="2" s="1"/>
  <c r="M458" i="2" s="1"/>
  <c r="AU11" i="2"/>
  <c r="AU30" i="2" l="1"/>
  <c r="AU62" i="2"/>
  <c r="AU178" i="2"/>
  <c r="AU290" i="2"/>
  <c r="AU302" i="2"/>
  <c r="AU306" i="2"/>
  <c r="AU320" i="2"/>
  <c r="AU340" i="2"/>
  <c r="AU360" i="2"/>
  <c r="AU366" i="2"/>
  <c r="AU368" i="2"/>
  <c r="AU379" i="2"/>
  <c r="AU29" i="2"/>
  <c r="AU59" i="2"/>
  <c r="AU61" i="2"/>
  <c r="AU123" i="2"/>
  <c r="AU131" i="2"/>
  <c r="AU169" i="2"/>
  <c r="AU240" i="2"/>
  <c r="AU252" i="2"/>
  <c r="AU266" i="2"/>
  <c r="AU278" i="2"/>
  <c r="AU300" i="2"/>
  <c r="AU308" i="2"/>
  <c r="AU312" i="2"/>
  <c r="AU314" i="2"/>
  <c r="AU338" i="2"/>
  <c r="AU342" i="2"/>
  <c r="AU346" i="2"/>
  <c r="AU356" i="2"/>
  <c r="AU361" i="2"/>
  <c r="AU367" i="2"/>
  <c r="AU378" i="2"/>
  <c r="AU384" i="2"/>
  <c r="AU47" i="2"/>
  <c r="AU53" i="2"/>
  <c r="AU132" i="2"/>
  <c r="AU231" i="2"/>
  <c r="AU246" i="2"/>
  <c r="AU264" i="2"/>
  <c r="AU267" i="2"/>
  <c r="AU279" i="2"/>
  <c r="AU34" i="2"/>
  <c r="AU41" i="2"/>
  <c r="AU67" i="2"/>
  <c r="AU76" i="2"/>
  <c r="AU97" i="2"/>
  <c r="AU111" i="2"/>
  <c r="AU162" i="2"/>
  <c r="AU176" i="2"/>
  <c r="AU192" i="2"/>
  <c r="AU196" i="2"/>
  <c r="AU206" i="2"/>
  <c r="AU210" i="2"/>
  <c r="AU225" i="2"/>
  <c r="AU236" i="2"/>
  <c r="AU431" i="2"/>
  <c r="AU437" i="2"/>
  <c r="AU443" i="2"/>
  <c r="AU452" i="2"/>
  <c r="AU455" i="2"/>
  <c r="AU457" i="2"/>
  <c r="AU45" i="2"/>
  <c r="AU46" i="2"/>
  <c r="AU48" i="2"/>
  <c r="AU52" i="2"/>
  <c r="AU58" i="2"/>
  <c r="AU124" i="2"/>
  <c r="AU170" i="2"/>
  <c r="AU232" i="2"/>
  <c r="AU237" i="2"/>
  <c r="AU238" i="2"/>
  <c r="AU239" i="2"/>
  <c r="AU241" i="2"/>
  <c r="AU247" i="2"/>
  <c r="AU253" i="2"/>
  <c r="AU263" i="2"/>
  <c r="AU265" i="2"/>
  <c r="AU275" i="2"/>
  <c r="AU276" i="2"/>
  <c r="AU291" i="2"/>
  <c r="AU301" i="2"/>
  <c r="AU303" i="2"/>
  <c r="AU307" i="2"/>
  <c r="AU311" i="2"/>
  <c r="AU315" i="2"/>
  <c r="AU321" i="2"/>
  <c r="AU323" i="2"/>
  <c r="AU324" i="2"/>
  <c r="AU325" i="2"/>
  <c r="AU326" i="2"/>
  <c r="AU339" i="2"/>
  <c r="AU341" i="2"/>
  <c r="AU345" i="2"/>
  <c r="AU353" i="2"/>
  <c r="AU354" i="2"/>
  <c r="AU355" i="2"/>
  <c r="AU369" i="2"/>
  <c r="AU385" i="2"/>
  <c r="AU415" i="2"/>
  <c r="AU35" i="2"/>
  <c r="AU37" i="2"/>
  <c r="AU63" i="2"/>
  <c r="AU66" i="2"/>
  <c r="AU143" i="2"/>
  <c r="AU159" i="2"/>
  <c r="AU161" i="2"/>
  <c r="AU163" i="2"/>
  <c r="AU191" i="2"/>
  <c r="AU195" i="2"/>
  <c r="AU207" i="2"/>
  <c r="AU211" i="2"/>
  <c r="AU414" i="2"/>
  <c r="AU432" i="2"/>
  <c r="AU436" i="2"/>
  <c r="AU444" i="2"/>
  <c r="AU451" i="2"/>
</calcChain>
</file>

<file path=xl/sharedStrings.xml><?xml version="1.0" encoding="utf-8"?>
<sst xmlns="http://schemas.openxmlformats.org/spreadsheetml/2006/main" count="70459" uniqueCount="2713">
  <si>
    <t>Район</t>
  </si>
  <si>
    <t>Улица</t>
  </si>
  <si>
    <t>Код дома БТИ</t>
  </si>
  <si>
    <t>Ед. изм.</t>
  </si>
  <si>
    <t>Итого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</si>
  <si>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</si>
  <si>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</si>
  <si>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</si>
  <si>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</si>
  <si>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</si>
  <si>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</si>
  <si>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</si>
  <si>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</si>
  <si>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</si>
  <si>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</si>
  <si>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</si>
  <si>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</si>
  <si>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Тип стен</t>
  </si>
  <si>
    <t>Площадь жилых помещений</t>
  </si>
  <si>
    <t>Номер строения</t>
  </si>
  <si>
    <t>Тип дома</t>
  </si>
  <si>
    <t>Серия дома</t>
  </si>
  <si>
    <t>№ п/п</t>
  </si>
  <si>
    <t>Общая площадь дома</t>
  </si>
  <si>
    <t>Поставщик ресурсов</t>
  </si>
  <si>
    <t>Отопление (да/нет)</t>
  </si>
  <si>
    <t>Приложение № 1</t>
  </si>
  <si>
    <t> </t>
  </si>
  <si>
    <t>                              </t>
  </si>
  <si>
    <t> .</t>
  </si>
  <si>
    <t>Примечания:</t>
  </si>
  <si>
    <t>ХВС
(да/нет)</t>
  </si>
  <si>
    <t>ГВС
(да/нет)</t>
  </si>
  <si>
    <t>Графа "1" - номер по прорядку</t>
  </si>
  <si>
    <t>Водоотведение (да/нет)</t>
  </si>
  <si>
    <t>Газоснабжение (да/нет)</t>
  </si>
  <si>
    <t>Оснащение электроплитами
(да/нет)</t>
  </si>
  <si>
    <t>объем ТЭР</t>
  </si>
  <si>
    <t>Электоэнергия (да/нет)</t>
  </si>
  <si>
    <t>Кол-во лифтов дома, шт.</t>
  </si>
  <si>
    <t>Общая отапливаемая площадь дома</t>
  </si>
  <si>
    <t>Форма управления МКД</t>
  </si>
  <si>
    <t>МР*</t>
  </si>
  <si>
    <t>2013 год</t>
  </si>
  <si>
    <t>Суммарное фактическое потребление МКД по всем вводам</t>
  </si>
  <si>
    <t>2011 год</t>
  </si>
  <si>
    <t xml:space="preserve">2012 год </t>
  </si>
  <si>
    <t>Электроэнергия МОП</t>
  </si>
  <si>
    <t>Освещение МОП</t>
  </si>
  <si>
    <t>кВт.ч.</t>
  </si>
  <si>
    <t>Суммарный объем</t>
  </si>
  <si>
    <t>Вид ресурса (тепловая энергия для нужд отопления)</t>
  </si>
  <si>
    <t>Приложение № 2.1.</t>
  </si>
  <si>
    <t>Приложение № 2.2.</t>
  </si>
  <si>
    <t>Суммарный объем ТЭР</t>
  </si>
  <si>
    <t>Площадь  нежилых помещений (за искл. мест общего пользования)</t>
  </si>
  <si>
    <t>Оснащение газ. колонками (да/нет)</t>
  </si>
  <si>
    <t xml:space="preserve"> Технические характеристики МКД</t>
  </si>
  <si>
    <t>Адрес МКД</t>
  </si>
  <si>
    <t>Номер</t>
  </si>
  <si>
    <t>ХВС</t>
  </si>
  <si>
    <t>ГВС</t>
  </si>
  <si>
    <t>Газ</t>
  </si>
  <si>
    <t>Графа "11" - указывается тип дома (Блочный, Брежневка, Индивидуальный, Кирпично-Монолитный, Монолит, Панельные дома, Сталинка, Хрущевка, и т.д.)</t>
  </si>
  <si>
    <t>Графа "12" - указывается серия дома</t>
  </si>
  <si>
    <t>Графа "13" - указывается год сдачи дома в эксплуатацию</t>
  </si>
  <si>
    <t>Графа "14" - указывается тип стен</t>
  </si>
  <si>
    <t>Графа "16" - указывается количество подземных этажей</t>
  </si>
  <si>
    <t>Графа "18" - указывается количество квартир</t>
  </si>
  <si>
    <t>Графа "19" - указывается общая площадь дома, согласно паспорта БТИ</t>
  </si>
  <si>
    <t>Графа "21" - указывается общая площадь жилых помещений, согласно паспорта БТИ</t>
  </si>
  <si>
    <t>Графа "22" - указывается площадь нежилых помещений, за исключением мест общего пользования</t>
  </si>
  <si>
    <t>Графа "23" - указывается наличие централизованного подключения к электросетям (да/нет)</t>
  </si>
  <si>
    <t>Графа "24" - указывается наличие централизованного подключения к сетям холодного водоснабжения (да/нет)</t>
  </si>
  <si>
    <t>Графа "25" - указывается наличие централизованного подключения к сетям горячего водоснабжения  (да/нет)</t>
  </si>
  <si>
    <t>Графа "26" - указывается наличие централизованного водоотведения  (да/нет)</t>
  </si>
  <si>
    <t>Графа "27" - указывается наличие централизованного теплоснабжения  (да/нет)</t>
  </si>
  <si>
    <t>Графа "28" - указывается наличие централизованного газоснабжения  (да/нет)</t>
  </si>
  <si>
    <t>Графа "29" - указывается оснащение помещений газовыми колонками (да/нет)</t>
  </si>
  <si>
    <t>Графа "30" - указывается оснащение помещений газовыми плитами  (да/нет)</t>
  </si>
  <si>
    <t>Графа "31" - указывается оснащение помещений электрическими плитами  (да/нет)</t>
  </si>
  <si>
    <t>Количество общедомовых приборов учета энергоресурсов на вводах, шт.</t>
  </si>
  <si>
    <t>Тип подключения дома (ЦТП, ИТП)</t>
  </si>
  <si>
    <t>Потребитель ресурса (с кем у РСО заключен договор)</t>
  </si>
  <si>
    <t>Кол-во приборов учета тепловой энергии</t>
  </si>
  <si>
    <t>Наличие прибора электроэнергии (да/нет)</t>
  </si>
  <si>
    <t>Использование для расчетов приборов учета электроэнергии  (да/нет)</t>
  </si>
  <si>
    <t>Вид схемы теплоснабжения (закрытая, открытая)</t>
  </si>
  <si>
    <t>Графа "20" - указывается общая отапливаемая площадь дома, согласно паспорта БТИ (полезная)</t>
  </si>
  <si>
    <t>Количество элеваторных узлов (при их наличии)</t>
  </si>
  <si>
    <t>тип светильника</t>
  </si>
  <si>
    <t>количество светильников</t>
  </si>
  <si>
    <t>тип системы</t>
  </si>
  <si>
    <t>диаметр ввода</t>
  </si>
  <si>
    <t>давление на вводе</t>
  </si>
  <si>
    <t>температурный график тепловой сети</t>
  </si>
  <si>
    <t>наличие ГВС (да/нет)</t>
  </si>
  <si>
    <t>необходимость резерва ГВС</t>
  </si>
  <si>
    <t>наличие систем учета</t>
  </si>
  <si>
    <t>необходимость диспетчеризации</t>
  </si>
  <si>
    <t>схема присоеденения к тепловой сети</t>
  </si>
  <si>
    <t>резервирование насосов ГВС</t>
  </si>
  <si>
    <t>примечание</t>
  </si>
  <si>
    <t>Внутридомовое освещение</t>
  </si>
  <si>
    <t>Наружнее освещение</t>
  </si>
  <si>
    <t>Графа "32" - указывается общее количество лифтов в доме</t>
  </si>
  <si>
    <t>Графа "33" - указывается количество приборов учета электрической энергии установленных на вводах в дом</t>
  </si>
  <si>
    <t>Графа "34" - указывается количество приборов учета холодного водоснабжения установленных на вводах в дом</t>
  </si>
  <si>
    <t>Графа "35" - указывается количество приборов учета горячего водоснабжения установленных на вводах в дом</t>
  </si>
  <si>
    <t>Графа "36" - указывается количество приборов учета тепловой энергии установленных на вводах в дом</t>
  </si>
  <si>
    <t>Графа "37" - указывается количество приборов учета газа установленных на вводах в дом</t>
  </si>
  <si>
    <t>Оснащение газ.плитами
(да/нет)</t>
  </si>
  <si>
    <t>Общие характеристики многоквартирных домов (МКД) на территории</t>
  </si>
  <si>
    <t>___________________________________ района</t>
  </si>
  <si>
    <t>муниципальное образование</t>
  </si>
  <si>
    <t>Графа "2" - указывается полное наименование района</t>
  </si>
  <si>
    <t>Графа "3" - указывается полное наименование муниципального образования в районе</t>
  </si>
  <si>
    <t>примеча ние</t>
  </si>
  <si>
    <t>тел. +7 921 320 03 48</t>
  </si>
  <si>
    <t>Контактные данные:</t>
  </si>
  <si>
    <t>СПбГБУ "Центр энергосбережения"</t>
  </si>
  <si>
    <t>Бычков Дмитрий Леонидович</t>
  </si>
  <si>
    <t>Приложение № 1 - Примечания</t>
  </si>
  <si>
    <t>Комментарии</t>
  </si>
  <si>
    <t>Фактическое потребление тепловой энергии для нужд отопления</t>
  </si>
  <si>
    <t>в многоквартирных домах (МКД)</t>
  </si>
  <si>
    <t>Фактическое потребление электрической энергии</t>
  </si>
  <si>
    <t>*- в столбце «МР» (метод расчета):
Д – расчет по приборам учета
Р – расчетный метод (юридический акт, договорная величина и пр.).</t>
  </si>
  <si>
    <t>Графы "2"-"10" заполнять по всем многоквартирным домам района</t>
  </si>
  <si>
    <t>Кол-во парадных</t>
  </si>
  <si>
    <t>Кол-во квартир</t>
  </si>
  <si>
    <t>Год по стройки</t>
  </si>
  <si>
    <t>ЭЭ</t>
  </si>
  <si>
    <t>ТЭ</t>
  </si>
  <si>
    <t>Кол-во подземных этажей (при разной этажности указать через "/", начиная с 1-ой парадной)</t>
  </si>
  <si>
    <t>Количество этажей (при разной этажности указать через "/", начиная с 1-ой парадной)</t>
  </si>
  <si>
    <t>Графа "15" - указывается количество этажей (цокольный этаж, 1-й этаж и т.п.) (при разной этажности указать через "/", начиная с 1-ой парадной)</t>
  </si>
  <si>
    <t>Графа "17" - указывается количество пардных</t>
  </si>
  <si>
    <t>в местах общего пользования (МОП) многоквартирных домов (МКД)</t>
  </si>
  <si>
    <t>Сумм. объем</t>
  </si>
  <si>
    <t>Норматив ный температур ный график**</t>
  </si>
  <si>
    <t>Договор ная нагрузка</t>
  </si>
  <si>
    <t>Схема присоединения системы отопления (зависимая/ независимая)</t>
  </si>
  <si>
    <t>Наличие транзита на отопление (разгружен/ не разгружен)</t>
  </si>
  <si>
    <t>Силовая нагрузка</t>
  </si>
  <si>
    <t>Отопление</t>
  </si>
  <si>
    <t>Гкал</t>
  </si>
  <si>
    <t xml:space="preserve"> непосредственное управление.</t>
  </si>
  <si>
    <t>типов - столбец не заполняется.</t>
  </si>
  <si>
    <t>Графа "38" - комментарии</t>
  </si>
  <si>
    <t>Графа "5, 6, 7" - указывается номер дома, номер корпуса, номер строения</t>
  </si>
  <si>
    <t>Графа "4" - указывается полное наименование улицы</t>
  </si>
  <si>
    <t>Графа "9" - указывается форма управления домом: организацией с гос. участием (в т.ч. опосредованным); частная управляющая организация; ТСЖ, ЖК, ЖСК;</t>
  </si>
  <si>
    <t>Категория дома: ведомственный / общежитие / гостиничного типа / на сцепке / аварийный / культ. наследия</t>
  </si>
  <si>
    <t>Номер корпуса (литера)</t>
  </si>
  <si>
    <t>Графа "8" - указывается уникальный номер здания (УНОМ), начинающийся с цифрового значения района (справочник прилагается). 00_00000</t>
  </si>
  <si>
    <t>Графа "10" - указывается тип жилищного фонда: ведомственный дом, общежитие, дом гостиничного типа, дом на сцепке, дом аварийный, дом кутльтурного наследия.</t>
  </si>
  <si>
    <t xml:space="preserve">Если указан один из перечисленных признаков - остальные столбцы таблицы для такого МКД не заполняются. Если МКД не относится ни к отдному из перечисленных </t>
  </si>
  <si>
    <t>Перечень районов:</t>
  </si>
  <si>
    <t>Уникаль ный код дома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</si>
  <si>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</si>
  <si>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</si>
  <si>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</si>
  <si>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</si>
  <si>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</si>
  <si>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</si>
  <si>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</si>
  <si>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</si>
  <si>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</si>
  <si>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</si>
  <si>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</si>
  <si>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</si>
  <si>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</si>
  <si>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</si>
  <si>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</si>
  <si>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</si>
  <si>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</si>
  <si>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</si>
  <si>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Адмиралтейский район</t>
  </si>
  <si>
    <t>Василеостровский район</t>
  </si>
  <si>
    <t>Выборгский район</t>
  </si>
  <si>
    <t>Калининский район</t>
  </si>
  <si>
    <t>Кировский район</t>
  </si>
  <si>
    <t>Колпинский район</t>
  </si>
  <si>
    <t>Красногвардейский район</t>
  </si>
  <si>
    <t>Красносельский район</t>
  </si>
  <si>
    <t>Кронштадтcкий район</t>
  </si>
  <si>
    <t>Курортный район</t>
  </si>
  <si>
    <t>Московский район</t>
  </si>
  <si>
    <t>Невский район</t>
  </si>
  <si>
    <t>Петроградский район</t>
  </si>
  <si>
    <t>Петродворцовый район</t>
  </si>
  <si>
    <t>Приморский район</t>
  </si>
  <si>
    <t>Пушкинский район</t>
  </si>
  <si>
    <t>Фрунзенский район</t>
  </si>
  <si>
    <t>Центральный район</t>
  </si>
  <si>
    <t>13_1_333</t>
  </si>
  <si>
    <t>на сцепке</t>
  </si>
  <si>
    <t>13_1_336</t>
  </si>
  <si>
    <t>другое</t>
  </si>
  <si>
    <t>А</t>
  </si>
  <si>
    <t>Кронверкский пр.</t>
  </si>
  <si>
    <t>ТСЖ</t>
  </si>
  <si>
    <t>Каменноостровский пр.</t>
  </si>
  <si>
    <t>13-15</t>
  </si>
  <si>
    <t>Б</t>
  </si>
  <si>
    <t>В</t>
  </si>
  <si>
    <t>Г</t>
  </si>
  <si>
    <t>Д</t>
  </si>
  <si>
    <t>Ж</t>
  </si>
  <si>
    <t>2-я Березовая аллея</t>
  </si>
  <si>
    <t>16б</t>
  </si>
  <si>
    <t>Академика Павлова ул.</t>
  </si>
  <si>
    <t>Аптекарская наб.</t>
  </si>
  <si>
    <t>Аптекарский пр.</t>
  </si>
  <si>
    <t>8а</t>
  </si>
  <si>
    <t>Бармалеева ул.</t>
  </si>
  <si>
    <t>Е</t>
  </si>
  <si>
    <t>Барочная ул.</t>
  </si>
  <si>
    <t>Блохина ул.</t>
  </si>
  <si>
    <t xml:space="preserve"> 3/1 </t>
  </si>
  <si>
    <t xml:space="preserve">Большая Зеленина ул. </t>
  </si>
  <si>
    <t>Большая Монетная ул.</t>
  </si>
  <si>
    <t>9а</t>
  </si>
  <si>
    <t xml:space="preserve"> 24/2 </t>
  </si>
  <si>
    <t>Большая Посадская ул.</t>
  </si>
  <si>
    <t>ЖК</t>
  </si>
  <si>
    <t>Большая Пушкарская ул.</t>
  </si>
  <si>
    <t>ЖСК</t>
  </si>
  <si>
    <t>Большая Разночинная  ул.</t>
  </si>
  <si>
    <t>Большой пр. П.С.</t>
  </si>
  <si>
    <t xml:space="preserve"> 70-72 </t>
  </si>
  <si>
    <t xml:space="preserve"> 9/1 </t>
  </si>
  <si>
    <t>Воскова ул.</t>
  </si>
  <si>
    <t>Всеволода Вишневского ул.</t>
  </si>
  <si>
    <t xml:space="preserve"> 5-7 </t>
  </si>
  <si>
    <t>Вяземский пер.</t>
  </si>
  <si>
    <t>13_3_3</t>
  </si>
  <si>
    <t>13_3-2</t>
  </si>
  <si>
    <t>13_3_6</t>
  </si>
  <si>
    <t>13_3_7</t>
  </si>
  <si>
    <t>13_3-4</t>
  </si>
  <si>
    <t>13_3_9</t>
  </si>
  <si>
    <t>13_3_10</t>
  </si>
  <si>
    <t>13_3_11</t>
  </si>
  <si>
    <t>13_3_13</t>
  </si>
  <si>
    <t>13_3_15</t>
  </si>
  <si>
    <t>13_3-8</t>
  </si>
  <si>
    <t>13_3_16</t>
  </si>
  <si>
    <t>13_3_18</t>
  </si>
  <si>
    <t>13_3_19</t>
  </si>
  <si>
    <t>13_3_20</t>
  </si>
  <si>
    <t>13_3_22</t>
  </si>
  <si>
    <t>13_3-12</t>
  </si>
  <si>
    <t>13_3_24</t>
  </si>
  <si>
    <t>13_3_25</t>
  </si>
  <si>
    <t>13_3_1</t>
  </si>
  <si>
    <t>13_3-14</t>
  </si>
  <si>
    <t>13_3-17</t>
  </si>
  <si>
    <t>13_3-21</t>
  </si>
  <si>
    <t>13_3-23</t>
  </si>
  <si>
    <t>13_3-26</t>
  </si>
  <si>
    <t>13_3_27</t>
  </si>
  <si>
    <t>13_3_28</t>
  </si>
  <si>
    <t>13_3_29</t>
  </si>
  <si>
    <t>13_3-30</t>
  </si>
  <si>
    <t>13_3_31</t>
  </si>
  <si>
    <t>13_3-32</t>
  </si>
  <si>
    <t>13_3_33</t>
  </si>
  <si>
    <t>13_3_34</t>
  </si>
  <si>
    <t>13_3-35</t>
  </si>
  <si>
    <t>13_3_36</t>
  </si>
  <si>
    <t>13_3_37</t>
  </si>
  <si>
    <t>13_3_38</t>
  </si>
  <si>
    <t>13_4_1</t>
  </si>
  <si>
    <t>13_3_39</t>
  </si>
  <si>
    <t>общежитие</t>
  </si>
  <si>
    <t>13_4_2</t>
  </si>
  <si>
    <t>13_4_3</t>
  </si>
  <si>
    <t>13_4_4</t>
  </si>
  <si>
    <t>13_3_40</t>
  </si>
  <si>
    <t>Вязовая ул.</t>
  </si>
  <si>
    <t>13_3_41</t>
  </si>
  <si>
    <t>Графтио ул.</t>
  </si>
  <si>
    <t>13_3-42</t>
  </si>
  <si>
    <t>13_3_43</t>
  </si>
  <si>
    <t>Динамовская ул.</t>
  </si>
  <si>
    <t>13_3_44</t>
  </si>
  <si>
    <t>Динамо пр.</t>
  </si>
  <si>
    <t>13_3_45</t>
  </si>
  <si>
    <t>13_3_46</t>
  </si>
  <si>
    <t>13_3_47</t>
  </si>
  <si>
    <t>13_3_48</t>
  </si>
  <si>
    <t>Добролюбова пр.</t>
  </si>
  <si>
    <t>13_3_49</t>
  </si>
  <si>
    <t xml:space="preserve"> 7/2 </t>
  </si>
  <si>
    <t>13_3-50</t>
  </si>
  <si>
    <t>13_3-51</t>
  </si>
  <si>
    <t>13_3_52</t>
  </si>
  <si>
    <t>Ждановская наб.</t>
  </si>
  <si>
    <t>Зверинская ул.</t>
  </si>
  <si>
    <t>Частная управляющая организация</t>
  </si>
  <si>
    <t>13_3_53</t>
  </si>
  <si>
    <t>13_5_1</t>
  </si>
  <si>
    <t>13_3_54</t>
  </si>
  <si>
    <t>13_3_55</t>
  </si>
  <si>
    <t>13_3_56</t>
  </si>
  <si>
    <t xml:space="preserve"> 1-3 </t>
  </si>
  <si>
    <t xml:space="preserve"> 26-28 </t>
  </si>
  <si>
    <t>40а</t>
  </si>
  <si>
    <t>13_3_57</t>
  </si>
  <si>
    <t>13_3_58</t>
  </si>
  <si>
    <t>13_3_59</t>
  </si>
  <si>
    <t>13_3_60</t>
  </si>
  <si>
    <t>13_3_61</t>
  </si>
  <si>
    <t>13_3_62</t>
  </si>
  <si>
    <t>13_3_63</t>
  </si>
  <si>
    <t>13_3_64</t>
  </si>
  <si>
    <t>13_3_65</t>
  </si>
  <si>
    <t>13_3_66</t>
  </si>
  <si>
    <t>13_3_67</t>
  </si>
  <si>
    <t>13_3_68</t>
  </si>
  <si>
    <t>13_3_69</t>
  </si>
  <si>
    <t>Кемская ул.</t>
  </si>
  <si>
    <t>13_3_70</t>
  </si>
  <si>
    <t>13_3_71</t>
  </si>
  <si>
    <t>13_3_72</t>
  </si>
  <si>
    <t>Колпинская ул.</t>
  </si>
  <si>
    <t>13_3_73</t>
  </si>
  <si>
    <t>Конный пер.</t>
  </si>
  <si>
    <t>13_3_74</t>
  </si>
  <si>
    <t xml:space="preserve"> 1/24 </t>
  </si>
  <si>
    <t>Константиновский пр.</t>
  </si>
  <si>
    <t>13_3_75</t>
  </si>
  <si>
    <t>Красносельская ул.</t>
  </si>
  <si>
    <t>13_3_76</t>
  </si>
  <si>
    <t>13_3_77</t>
  </si>
  <si>
    <t>Крестовский пр.</t>
  </si>
  <si>
    <t>13_3_78</t>
  </si>
  <si>
    <t>13_3_79</t>
  </si>
  <si>
    <t>13_3_80</t>
  </si>
  <si>
    <t>13_3_81</t>
  </si>
  <si>
    <t>13_3_82</t>
  </si>
  <si>
    <t>13_3_83</t>
  </si>
  <si>
    <t>4а</t>
  </si>
  <si>
    <t>Крестьянский пер.</t>
  </si>
  <si>
    <t>13_3_84</t>
  </si>
  <si>
    <t>13_3_85</t>
  </si>
  <si>
    <t xml:space="preserve"> 29/37 </t>
  </si>
  <si>
    <t>Кронверкская ул.</t>
  </si>
  <si>
    <t xml:space="preserve"> 13/2 </t>
  </si>
  <si>
    <t>13_3_86</t>
  </si>
  <si>
    <t>13_3_87</t>
  </si>
  <si>
    <t>13_3_88</t>
  </si>
  <si>
    <t>13_3_89</t>
  </si>
  <si>
    <t>13_3_90</t>
  </si>
  <si>
    <t>13_3_91</t>
  </si>
  <si>
    <t>13_3_92</t>
  </si>
  <si>
    <t>13_3_93</t>
  </si>
  <si>
    <t>Кропоткина ул.</t>
  </si>
  <si>
    <t>13_3_94</t>
  </si>
  <si>
    <t>2,А</t>
  </si>
  <si>
    <t>Куйбышева ул.</t>
  </si>
  <si>
    <t>13_3_95</t>
  </si>
  <si>
    <t xml:space="preserve"> 33/8 </t>
  </si>
  <si>
    <t>13_3_96</t>
  </si>
  <si>
    <t>Лахтинская ул.</t>
  </si>
  <si>
    <t>13_3_97</t>
  </si>
  <si>
    <t>13_3_98</t>
  </si>
  <si>
    <t>13_3_99</t>
  </si>
  <si>
    <t>13_3_100</t>
  </si>
  <si>
    <t>Ленина ул.</t>
  </si>
  <si>
    <t xml:space="preserve"> 46/23 </t>
  </si>
  <si>
    <t>13_3_101</t>
  </si>
  <si>
    <t>13_3_102</t>
  </si>
  <si>
    <t>13_3_103</t>
  </si>
  <si>
    <t>Лизы Чайкиной ул.</t>
  </si>
  <si>
    <t>Льва Толстого ул.</t>
  </si>
  <si>
    <t>Малая Посадская ул.</t>
  </si>
  <si>
    <t xml:space="preserve"> 22-24 </t>
  </si>
  <si>
    <t>13_3_104</t>
  </si>
  <si>
    <t>13_3_105</t>
  </si>
  <si>
    <t>13_3_106</t>
  </si>
  <si>
    <t>13_3_107</t>
  </si>
  <si>
    <t>13_3_108</t>
  </si>
  <si>
    <t>13_3_109</t>
  </si>
  <si>
    <t>13_3_110</t>
  </si>
  <si>
    <t>13_3_111</t>
  </si>
  <si>
    <t>13_3_112</t>
  </si>
  <si>
    <t>13_3_113</t>
  </si>
  <si>
    <t>13_3_114</t>
  </si>
  <si>
    <t>13_3_115</t>
  </si>
  <si>
    <t>Малый пр. П.С.</t>
  </si>
  <si>
    <t>13_3_116</t>
  </si>
  <si>
    <t>16а</t>
  </si>
  <si>
    <t>Маркина ул.</t>
  </si>
  <si>
    <t>13_3_117</t>
  </si>
  <si>
    <t>Мартынова наб.</t>
  </si>
  <si>
    <t>13_3_118</t>
  </si>
  <si>
    <t>13_3_119</t>
  </si>
  <si>
    <t>13_3_120</t>
  </si>
  <si>
    <t>13_3_121</t>
  </si>
  <si>
    <t>13_3_122</t>
  </si>
  <si>
    <t>13_3_123</t>
  </si>
  <si>
    <t>13_3_124</t>
  </si>
  <si>
    <t xml:space="preserve"> 14/3 </t>
  </si>
  <si>
    <t>Мичуринская ул.</t>
  </si>
  <si>
    <t>13_3_125</t>
  </si>
  <si>
    <t>13_3_126</t>
  </si>
  <si>
    <t>13_3_127</t>
  </si>
  <si>
    <t>13_3_128</t>
  </si>
  <si>
    <t>13_3_129</t>
  </si>
  <si>
    <t>Морской пр.</t>
  </si>
  <si>
    <t>13_3_130</t>
  </si>
  <si>
    <t>Ораниенбаумская ул.</t>
  </si>
  <si>
    <t>13_3_131</t>
  </si>
  <si>
    <t>13_3_132</t>
  </si>
  <si>
    <t xml:space="preserve"> 11/85 </t>
  </si>
  <si>
    <t>Ординарная ул.</t>
  </si>
  <si>
    <t>13_3_133</t>
  </si>
  <si>
    <t>Песочная наб.</t>
  </si>
  <si>
    <t>13_3_134</t>
  </si>
  <si>
    <t>13_3_135</t>
  </si>
  <si>
    <t>13_3_136</t>
  </si>
  <si>
    <t>Петровская наб.</t>
  </si>
  <si>
    <t>13_3_137</t>
  </si>
  <si>
    <t>13_3_138</t>
  </si>
  <si>
    <t>13_3_139</t>
  </si>
  <si>
    <t>Петровский пр.</t>
  </si>
  <si>
    <t>Петрозаводская ул.</t>
  </si>
  <si>
    <t>13_3_140</t>
  </si>
  <si>
    <t>Пионерская ул.</t>
  </si>
  <si>
    <t>непосредственное управление</t>
  </si>
  <si>
    <t>13_6_1</t>
  </si>
  <si>
    <t>Плуталова ул.</t>
  </si>
  <si>
    <t>13_3_141</t>
  </si>
  <si>
    <t xml:space="preserve"> 16/65 </t>
  </si>
  <si>
    <t>Подковырова ул.</t>
  </si>
  <si>
    <t>13_3_142</t>
  </si>
  <si>
    <t>Подрезова ул.</t>
  </si>
  <si>
    <t>13_3_143</t>
  </si>
  <si>
    <t>13_3_144</t>
  </si>
  <si>
    <t>Профессора Попова ул.</t>
  </si>
  <si>
    <t>ведомственный дом</t>
  </si>
  <si>
    <t>13_7_1</t>
  </si>
  <si>
    <t>13_7_2</t>
  </si>
  <si>
    <t>13_7_3</t>
  </si>
  <si>
    <t>Пудожская ул</t>
  </si>
  <si>
    <t>13_3_145</t>
  </si>
  <si>
    <t>13_3_146</t>
  </si>
  <si>
    <t>13_3_147</t>
  </si>
  <si>
    <t>Реки Карповки наб</t>
  </si>
  <si>
    <t>13_4_5</t>
  </si>
  <si>
    <t>13_3_148</t>
  </si>
  <si>
    <t>13_3_149</t>
  </si>
  <si>
    <t>13_3_150</t>
  </si>
  <si>
    <t>13_4_6</t>
  </si>
  <si>
    <t>Рентгена ул.</t>
  </si>
  <si>
    <t>Рюхина ул.</t>
  </si>
  <si>
    <t>13_3_151</t>
  </si>
  <si>
    <t>13_3_152</t>
  </si>
  <si>
    <t>Стрельнинская ул.</t>
  </si>
  <si>
    <t>13_3_153</t>
  </si>
  <si>
    <t>Съезжинская ул.</t>
  </si>
  <si>
    <t>13_3_154</t>
  </si>
  <si>
    <t>13_3_155</t>
  </si>
  <si>
    <t>3а</t>
  </si>
  <si>
    <t>Чапыгина ул.</t>
  </si>
  <si>
    <t>13_3_156</t>
  </si>
  <si>
    <t>Чкаловский пр.</t>
  </si>
  <si>
    <t>13_4_7</t>
  </si>
  <si>
    <t>Шамшева ул.</t>
  </si>
  <si>
    <t>13_3_157</t>
  </si>
  <si>
    <t>13_3_158</t>
  </si>
  <si>
    <t>Эсперова ул.</t>
  </si>
  <si>
    <t>13_3_159</t>
  </si>
  <si>
    <t>Юризанская ул.</t>
  </si>
  <si>
    <t>13_3_160</t>
  </si>
  <si>
    <t>Яблочкова ул.</t>
  </si>
  <si>
    <t>13_3_161</t>
  </si>
  <si>
    <t>13_4_8</t>
  </si>
  <si>
    <t>13_4_9</t>
  </si>
  <si>
    <t>13_3_162</t>
  </si>
  <si>
    <t>13_3_163</t>
  </si>
  <si>
    <t>13_3_164</t>
  </si>
  <si>
    <t>13_3_165</t>
  </si>
  <si>
    <t>13_3_166</t>
  </si>
  <si>
    <t>13_3_167</t>
  </si>
  <si>
    <t>Введенская ул.</t>
  </si>
  <si>
    <t>13_3_168</t>
  </si>
  <si>
    <t>Малый  пр.П.С.</t>
  </si>
  <si>
    <t>13_3_169</t>
  </si>
  <si>
    <t>Мира ул.</t>
  </si>
  <si>
    <t>1,А</t>
  </si>
  <si>
    <t>13_5_2</t>
  </si>
  <si>
    <t>Ждановская ул.</t>
  </si>
  <si>
    <t>13_5_3</t>
  </si>
  <si>
    <t>Дивенская ул.</t>
  </si>
  <si>
    <t>13_5_4</t>
  </si>
  <si>
    <t>13_5_5</t>
  </si>
  <si>
    <t>Барочная ул</t>
  </si>
  <si>
    <t>13-3-170</t>
  </si>
  <si>
    <t>13_3_171</t>
  </si>
  <si>
    <t>Реки Карповки наб.</t>
  </si>
  <si>
    <t>13_3_172</t>
  </si>
  <si>
    <t>3,А</t>
  </si>
  <si>
    <t>13_5_6</t>
  </si>
  <si>
    <t>13_5_7</t>
  </si>
  <si>
    <t>Глухая Зеленина ул.</t>
  </si>
  <si>
    <t>13_5_8</t>
  </si>
  <si>
    <t>13_5_9</t>
  </si>
  <si>
    <t>Резная ул.</t>
  </si>
  <si>
    <t>13_5_10</t>
  </si>
  <si>
    <t>Мытнинский пер.</t>
  </si>
  <si>
    <t>Депутатская ул.</t>
  </si>
  <si>
    <t>13_3_173</t>
  </si>
  <si>
    <t>13_3_174</t>
  </si>
  <si>
    <t>13_5_11</t>
  </si>
  <si>
    <t xml:space="preserve">Корпусная ул. </t>
  </si>
  <si>
    <t>13_3_175</t>
  </si>
  <si>
    <t>13_3_176</t>
  </si>
  <si>
    <t>Введенский</t>
  </si>
  <si>
    <t xml:space="preserve">Блохина ул.  </t>
  </si>
  <si>
    <t>1/75</t>
  </si>
  <si>
    <t>13_2_1</t>
  </si>
  <si>
    <t>организация с гос.участием</t>
  </si>
  <si>
    <t xml:space="preserve"> </t>
  </si>
  <si>
    <t>кирпичные</t>
  </si>
  <si>
    <t>да</t>
  </si>
  <si>
    <t>нет</t>
  </si>
  <si>
    <t xml:space="preserve">нет </t>
  </si>
  <si>
    <t>2/77</t>
  </si>
  <si>
    <t>13_2_2</t>
  </si>
  <si>
    <t>1/79</t>
  </si>
  <si>
    <t>13_2_3</t>
  </si>
  <si>
    <t>культ.наследия</t>
  </si>
  <si>
    <t>3</t>
  </si>
  <si>
    <t>13_2_4</t>
  </si>
  <si>
    <t>Зоологический пер.</t>
  </si>
  <si>
    <t>1-3</t>
  </si>
  <si>
    <t>13_2_5</t>
  </si>
  <si>
    <t>Мытнинская наб.</t>
  </si>
  <si>
    <t>13_2_6</t>
  </si>
  <si>
    <t>13_2_7</t>
  </si>
  <si>
    <t>Петроградский</t>
  </si>
  <si>
    <t>Аптекарский остров</t>
  </si>
  <si>
    <t>Аптекарский</t>
  </si>
  <si>
    <t>13_1_1</t>
  </si>
  <si>
    <t>Организация с гос. участием</t>
  </si>
  <si>
    <t>Другое</t>
  </si>
  <si>
    <t>Кирпичные</t>
  </si>
  <si>
    <t>13_1_2</t>
  </si>
  <si>
    <t>Чкаловское</t>
  </si>
  <si>
    <t>Академика Павлова</t>
  </si>
  <si>
    <t>13_1_3</t>
  </si>
  <si>
    <t>Кронверкское</t>
  </si>
  <si>
    <t>Большая Монетная</t>
  </si>
  <si>
    <t>13_1_4</t>
  </si>
  <si>
    <t>культ. наследия</t>
  </si>
  <si>
    <t>13_1_5</t>
  </si>
  <si>
    <t>13_1_6</t>
  </si>
  <si>
    <t>13_1_7</t>
  </si>
  <si>
    <t>13_1_8</t>
  </si>
  <si>
    <t>13_1_9</t>
  </si>
  <si>
    <t>13_1_10</t>
  </si>
  <si>
    <t>19а</t>
  </si>
  <si>
    <t>13_1_11</t>
  </si>
  <si>
    <t>21/9</t>
  </si>
  <si>
    <t>13_1_12</t>
  </si>
  <si>
    <t>13_1_13</t>
  </si>
  <si>
    <t>13_1_14</t>
  </si>
  <si>
    <t>13_1_15</t>
  </si>
  <si>
    <t>13_1_16</t>
  </si>
  <si>
    <t>13_1_17</t>
  </si>
  <si>
    <t>13_1_18</t>
  </si>
  <si>
    <t>31-33</t>
  </si>
  <si>
    <t>13_1_19</t>
  </si>
  <si>
    <t>13_1_20</t>
  </si>
  <si>
    <t>13_1_21</t>
  </si>
  <si>
    <t>35/15</t>
  </si>
  <si>
    <t>13_1_22</t>
  </si>
  <si>
    <t>Большая Посадская</t>
  </si>
  <si>
    <t>1/10</t>
  </si>
  <si>
    <t>13_1_23</t>
  </si>
  <si>
    <t>Посадский</t>
  </si>
  <si>
    <t>13_1_24</t>
  </si>
  <si>
    <t>13_1_25</t>
  </si>
  <si>
    <t>13_1_26</t>
  </si>
  <si>
    <t>13_1_27</t>
  </si>
  <si>
    <t>9/5</t>
  </si>
  <si>
    <t>13_1_28</t>
  </si>
  <si>
    <t>13_1_29</t>
  </si>
  <si>
    <t>13_1_30</t>
  </si>
  <si>
    <t>13_1_31</t>
  </si>
  <si>
    <t>18/7</t>
  </si>
  <si>
    <t>13_1_32</t>
  </si>
  <si>
    <t>13_1_33</t>
  </si>
  <si>
    <t>Большая Пушкарская</t>
  </si>
  <si>
    <t>13_1_34</t>
  </si>
  <si>
    <t>13_1_35</t>
  </si>
  <si>
    <t>13_1_36</t>
  </si>
  <si>
    <t>13_1_37</t>
  </si>
  <si>
    <t>13_1_38</t>
  </si>
  <si>
    <t>13_1_39</t>
  </si>
  <si>
    <t>13_1_40</t>
  </si>
  <si>
    <t>13_1_41</t>
  </si>
  <si>
    <t>13_1_42</t>
  </si>
  <si>
    <t>13_1_43</t>
  </si>
  <si>
    <t>13_1_44</t>
  </si>
  <si>
    <t>28/2</t>
  </si>
  <si>
    <t>13_1_45</t>
  </si>
  <si>
    <t>13_1_46</t>
  </si>
  <si>
    <t>13_1_47</t>
  </si>
  <si>
    <t>13_1_48</t>
  </si>
  <si>
    <t>13_1_49</t>
  </si>
  <si>
    <t>13_1_50</t>
  </si>
  <si>
    <t>13_1_51</t>
  </si>
  <si>
    <t>13_1_52</t>
  </si>
  <si>
    <t>13_1_53</t>
  </si>
  <si>
    <t>13_1_54</t>
  </si>
  <si>
    <t>13_1_55</t>
  </si>
  <si>
    <t>13_1_56</t>
  </si>
  <si>
    <t>13_1_57</t>
  </si>
  <si>
    <t>42/16</t>
  </si>
  <si>
    <t>13_1_58</t>
  </si>
  <si>
    <t>13_1_59</t>
  </si>
  <si>
    <t>13_1_60</t>
  </si>
  <si>
    <t>13_1_61</t>
  </si>
  <si>
    <t>13_1_62</t>
  </si>
  <si>
    <t>13_1_63</t>
  </si>
  <si>
    <t>13_1_64</t>
  </si>
  <si>
    <t>13_1_65</t>
  </si>
  <si>
    <t>13_1_66</t>
  </si>
  <si>
    <t>13_1_67</t>
  </si>
  <si>
    <t>13_1_68</t>
  </si>
  <si>
    <t>13_1_69</t>
  </si>
  <si>
    <t>13_1_70</t>
  </si>
  <si>
    <t>13_1_71</t>
  </si>
  <si>
    <t>Бармалеева</t>
  </si>
  <si>
    <t>13_1_72</t>
  </si>
  <si>
    <t>13_1_73</t>
  </si>
  <si>
    <t>13_1_74</t>
  </si>
  <si>
    <t>13_1_75</t>
  </si>
  <si>
    <t>13_1_76</t>
  </si>
  <si>
    <t>13_1_77</t>
  </si>
  <si>
    <t>13_1_78</t>
  </si>
  <si>
    <t>13_1_79</t>
  </si>
  <si>
    <t>13_1_80</t>
  </si>
  <si>
    <t>13_1_81</t>
  </si>
  <si>
    <t>13_1_82</t>
  </si>
  <si>
    <t>13_1_83</t>
  </si>
  <si>
    <t>Большой</t>
  </si>
  <si>
    <t>13_1_84</t>
  </si>
  <si>
    <t>Петровский</t>
  </si>
  <si>
    <t>13_1_85</t>
  </si>
  <si>
    <t>33а</t>
  </si>
  <si>
    <t>13_1_86</t>
  </si>
  <si>
    <t>13_1_87</t>
  </si>
  <si>
    <t>35в</t>
  </si>
  <si>
    <t>13_1_88</t>
  </si>
  <si>
    <t>13_1_89</t>
  </si>
  <si>
    <t>13_1_90</t>
  </si>
  <si>
    <t>13_1_91</t>
  </si>
  <si>
    <t>13_1_92</t>
  </si>
  <si>
    <t>13_1_93</t>
  </si>
  <si>
    <t>49/18</t>
  </si>
  <si>
    <t>13_1_94</t>
  </si>
  <si>
    <t>51/9</t>
  </si>
  <si>
    <t>13_1_95</t>
  </si>
  <si>
    <t>13_1_96</t>
  </si>
  <si>
    <t>55/6</t>
  </si>
  <si>
    <t>13_1_97</t>
  </si>
  <si>
    <t>57/1</t>
  </si>
  <si>
    <t>13_1_98</t>
  </si>
  <si>
    <t>61/3</t>
  </si>
  <si>
    <t>13_1_99</t>
  </si>
  <si>
    <t>13_1_100</t>
  </si>
  <si>
    <t>13_1_101</t>
  </si>
  <si>
    <t>13_1_102</t>
  </si>
  <si>
    <t>13_1_103</t>
  </si>
  <si>
    <t>13_1_104</t>
  </si>
  <si>
    <t>13_1_105</t>
  </si>
  <si>
    <t>76-78</t>
  </si>
  <si>
    <t>13_1_106</t>
  </si>
  <si>
    <t>13_1_107</t>
  </si>
  <si>
    <t>13_1_108</t>
  </si>
  <si>
    <t>13_1_109</t>
  </si>
  <si>
    <t>13_1_110</t>
  </si>
  <si>
    <t>13_1_111</t>
  </si>
  <si>
    <t>13_1_112</t>
  </si>
  <si>
    <t>13_1_113</t>
  </si>
  <si>
    <t>13_1_114</t>
  </si>
  <si>
    <t>13_1_115</t>
  </si>
  <si>
    <t>13_1_116</t>
  </si>
  <si>
    <t>13_1_117</t>
  </si>
  <si>
    <t>13_1_118</t>
  </si>
  <si>
    <t>13_1_119</t>
  </si>
  <si>
    <t>Воскова</t>
  </si>
  <si>
    <t>13_1_120</t>
  </si>
  <si>
    <t>13_1_121</t>
  </si>
  <si>
    <t>13_1_122</t>
  </si>
  <si>
    <t>13_1_123</t>
  </si>
  <si>
    <t>8/5</t>
  </si>
  <si>
    <t>13_1_124</t>
  </si>
  <si>
    <t>13_1_125</t>
  </si>
  <si>
    <t>13_1_126</t>
  </si>
  <si>
    <t>13_1_127</t>
  </si>
  <si>
    <t>15-17</t>
  </si>
  <si>
    <t>13_1_128</t>
  </si>
  <si>
    <t>13_1_129</t>
  </si>
  <si>
    <t>18/10</t>
  </si>
  <si>
    <t>13_1_130</t>
  </si>
  <si>
    <t>20</t>
  </si>
  <si>
    <t>13_1_131</t>
  </si>
  <si>
    <t>13_1_132</t>
  </si>
  <si>
    <t>13_1_133</t>
  </si>
  <si>
    <t>13_1_134</t>
  </si>
  <si>
    <t>27/18</t>
  </si>
  <si>
    <t>13_1_135</t>
  </si>
  <si>
    <t>31/20</t>
  </si>
  <si>
    <t>13_1_136</t>
  </si>
  <si>
    <t>Всеволода Вишневского</t>
  </si>
  <si>
    <t>13_1_137</t>
  </si>
  <si>
    <t>13_1_138</t>
  </si>
  <si>
    <t>2/12</t>
  </si>
  <si>
    <t>13_1_139</t>
  </si>
  <si>
    <t>13_1_140</t>
  </si>
  <si>
    <t>13_1_141</t>
  </si>
  <si>
    <t>13_1_142</t>
  </si>
  <si>
    <t>13_1_143</t>
  </si>
  <si>
    <t>Графтио</t>
  </si>
  <si>
    <t>13_1_144</t>
  </si>
  <si>
    <t>13_1_145</t>
  </si>
  <si>
    <t>Дивенская</t>
  </si>
  <si>
    <t>9/3</t>
  </si>
  <si>
    <t>13_1_146</t>
  </si>
  <si>
    <t>13_1_147</t>
  </si>
  <si>
    <t>18/16</t>
  </si>
  <si>
    <t>13_1_148</t>
  </si>
  <si>
    <t>Каменноостровский</t>
  </si>
  <si>
    <t>13_1_149</t>
  </si>
  <si>
    <t>13_1_150</t>
  </si>
  <si>
    <t>13_1_151</t>
  </si>
  <si>
    <t>13_1_152</t>
  </si>
  <si>
    <t>13_1_153</t>
  </si>
  <si>
    <t>13_1_154</t>
  </si>
  <si>
    <t>9/2</t>
  </si>
  <si>
    <t>13_1_155</t>
  </si>
  <si>
    <t>13_1_156</t>
  </si>
  <si>
    <t>13/2</t>
  </si>
  <si>
    <t>13_1_157</t>
  </si>
  <si>
    <t>13_1_158</t>
  </si>
  <si>
    <t>13_1_159</t>
  </si>
  <si>
    <t>13_1_160</t>
  </si>
  <si>
    <t>13_1_161</t>
  </si>
  <si>
    <t>18/11</t>
  </si>
  <si>
    <t>13_1_162</t>
  </si>
  <si>
    <t>19/13</t>
  </si>
  <si>
    <t>13_1_163</t>
  </si>
  <si>
    <t>13_1_164</t>
  </si>
  <si>
    <t>13_1_165</t>
  </si>
  <si>
    <t>13_1_166</t>
  </si>
  <si>
    <t>13_1_167</t>
  </si>
  <si>
    <t>Аварийный</t>
  </si>
  <si>
    <t>13_1_168</t>
  </si>
  <si>
    <t>25/2</t>
  </si>
  <si>
    <t>13_1_169</t>
  </si>
  <si>
    <t>13_1_170</t>
  </si>
  <si>
    <t>13_1_171</t>
  </si>
  <si>
    <t>35/75</t>
  </si>
  <si>
    <t>13_1_172</t>
  </si>
  <si>
    <t>38/96</t>
  </si>
  <si>
    <t>13_1_173</t>
  </si>
  <si>
    <t>13_1_174</t>
  </si>
  <si>
    <t>13_1_175</t>
  </si>
  <si>
    <t>42Б</t>
  </si>
  <si>
    <t>13_1_176</t>
  </si>
  <si>
    <t>13_1_177</t>
  </si>
  <si>
    <t>44б</t>
  </si>
  <si>
    <t>13_1_178</t>
  </si>
  <si>
    <t>44/16</t>
  </si>
  <si>
    <t>13_1_179</t>
  </si>
  <si>
    <t>44в</t>
  </si>
  <si>
    <t>13_1_180</t>
  </si>
  <si>
    <t>13_1_181</t>
  </si>
  <si>
    <t>13_1_182</t>
  </si>
  <si>
    <t>13_1_183</t>
  </si>
  <si>
    <t>53/22</t>
  </si>
  <si>
    <t>13_1_184</t>
  </si>
  <si>
    <t>13_1_185</t>
  </si>
  <si>
    <t>13_1_186</t>
  </si>
  <si>
    <t>13_1_187</t>
  </si>
  <si>
    <t>13_1_188</t>
  </si>
  <si>
    <t>13_1_189</t>
  </si>
  <si>
    <t>13_1_190</t>
  </si>
  <si>
    <t>73-75</t>
  </si>
  <si>
    <t>13_1_191</t>
  </si>
  <si>
    <t>Карповки</t>
  </si>
  <si>
    <t>13_1_192</t>
  </si>
  <si>
    <t>13_1_193</t>
  </si>
  <si>
    <t>13_1_194</t>
  </si>
  <si>
    <t>13_1_195</t>
  </si>
  <si>
    <t>13_1_196</t>
  </si>
  <si>
    <t>13_1_197</t>
  </si>
  <si>
    <t>13_1_198</t>
  </si>
  <si>
    <t>13_1_199</t>
  </si>
  <si>
    <t>Котовского</t>
  </si>
  <si>
    <t>13_1_200</t>
  </si>
  <si>
    <t>13_1_201</t>
  </si>
  <si>
    <t>3/12</t>
  </si>
  <si>
    <t>13_1_202</t>
  </si>
  <si>
    <t>5/14</t>
  </si>
  <si>
    <t>13_1_203</t>
  </si>
  <si>
    <t>Кронверкская</t>
  </si>
  <si>
    <t>13_1_204</t>
  </si>
  <si>
    <t>13_1_205</t>
  </si>
  <si>
    <t>13_1_206</t>
  </si>
  <si>
    <t>13_1_207</t>
  </si>
  <si>
    <t>13_1_208</t>
  </si>
  <si>
    <t>З</t>
  </si>
  <si>
    <t>13_1_209</t>
  </si>
  <si>
    <t>17/1</t>
  </si>
  <si>
    <t>13_1_210</t>
  </si>
  <si>
    <t>13_1_211</t>
  </si>
  <si>
    <t>13_1_212</t>
  </si>
  <si>
    <t>Кронверкский</t>
  </si>
  <si>
    <t>13_1_213</t>
  </si>
  <si>
    <t>13_1_214</t>
  </si>
  <si>
    <t>13_1_215</t>
  </si>
  <si>
    <t>13_1_216</t>
  </si>
  <si>
    <t>13_1_217</t>
  </si>
  <si>
    <t>13_1_218</t>
  </si>
  <si>
    <t>13_1_219</t>
  </si>
  <si>
    <t>13_1_220</t>
  </si>
  <si>
    <t>13_1_221</t>
  </si>
  <si>
    <t>13_1_222</t>
  </si>
  <si>
    <t>Кропоткина</t>
  </si>
  <si>
    <t>13_1_223</t>
  </si>
  <si>
    <t>13_1_224</t>
  </si>
  <si>
    <t>13_1_225</t>
  </si>
  <si>
    <t>13_1_226</t>
  </si>
  <si>
    <t>13_1_227</t>
  </si>
  <si>
    <t>13_1_228</t>
  </si>
  <si>
    <t>13_1_229</t>
  </si>
  <si>
    <t>13_1_230</t>
  </si>
  <si>
    <t>13_1_231</t>
  </si>
  <si>
    <t>19/8</t>
  </si>
  <si>
    <t>13_1_232</t>
  </si>
  <si>
    <t>Посадское</t>
  </si>
  <si>
    <t>Куйбышева</t>
  </si>
  <si>
    <t>1/5</t>
  </si>
  <si>
    <t>13_1_233</t>
  </si>
  <si>
    <t>13_1_234</t>
  </si>
  <si>
    <t>13_1_235</t>
  </si>
  <si>
    <t>13_1_236</t>
  </si>
  <si>
    <t>13_1_237</t>
  </si>
  <si>
    <t>13_1_238</t>
  </si>
  <si>
    <t>13_1_239</t>
  </si>
  <si>
    <t>9/8</t>
  </si>
  <si>
    <t>13_1_240</t>
  </si>
  <si>
    <t>13_1_241</t>
  </si>
  <si>
    <t>13_1_242</t>
  </si>
  <si>
    <t>13_1_243</t>
  </si>
  <si>
    <t>13_1_244</t>
  </si>
  <si>
    <t>13_1_245</t>
  </si>
  <si>
    <t>13_1_246</t>
  </si>
  <si>
    <t>13_1_247</t>
  </si>
  <si>
    <t>13_1_248</t>
  </si>
  <si>
    <t>13_1_249</t>
  </si>
  <si>
    <t>13_1_250</t>
  </si>
  <si>
    <t>13_1_251</t>
  </si>
  <si>
    <t>13_1_252</t>
  </si>
  <si>
    <t>13_1_253</t>
  </si>
  <si>
    <t>13_1_254</t>
  </si>
  <si>
    <t>К</t>
  </si>
  <si>
    <t>13_1_255</t>
  </si>
  <si>
    <t>13_1_256</t>
  </si>
  <si>
    <t>13_1_257</t>
  </si>
  <si>
    <t>13_1_258</t>
  </si>
  <si>
    <t>13_1_259</t>
  </si>
  <si>
    <t>13_1_260</t>
  </si>
  <si>
    <t>33/8</t>
  </si>
  <si>
    <t>13_1_261</t>
  </si>
  <si>
    <t>13_1_262</t>
  </si>
  <si>
    <t>13_1_263</t>
  </si>
  <si>
    <t>38-40</t>
  </si>
  <si>
    <t>13_1_264</t>
  </si>
  <si>
    <t>Льва Толстого</t>
  </si>
  <si>
    <t>13_1_265</t>
  </si>
  <si>
    <t>13_1_266</t>
  </si>
  <si>
    <t>13_1_267</t>
  </si>
  <si>
    <t>13_1_268</t>
  </si>
  <si>
    <t>13_1_269</t>
  </si>
  <si>
    <t>Кроверское</t>
  </si>
  <si>
    <t>Ленина</t>
  </si>
  <si>
    <t>13_1_270</t>
  </si>
  <si>
    <t>13_1_271</t>
  </si>
  <si>
    <t>11/64</t>
  </si>
  <si>
    <t>13_1_272</t>
  </si>
  <si>
    <t>12/36</t>
  </si>
  <si>
    <t>13_1_273</t>
  </si>
  <si>
    <t>13_1_274</t>
  </si>
  <si>
    <t>13_1_275</t>
  </si>
  <si>
    <t>13_1_276</t>
  </si>
  <si>
    <t>13_1_277</t>
  </si>
  <si>
    <t>13_1_278</t>
  </si>
  <si>
    <t>13_1_279</t>
  </si>
  <si>
    <t>13_1_280</t>
  </si>
  <si>
    <t>13_1_281</t>
  </si>
  <si>
    <t>13_1_282</t>
  </si>
  <si>
    <t>13_1_283</t>
  </si>
  <si>
    <t>13_1_284</t>
  </si>
  <si>
    <t>13_1_285</t>
  </si>
  <si>
    <t>13_1_286</t>
  </si>
  <si>
    <t xml:space="preserve">Литераторов </t>
  </si>
  <si>
    <t>13_1_287</t>
  </si>
  <si>
    <t>13_1_288</t>
  </si>
  <si>
    <t>Малая Монетная</t>
  </si>
  <si>
    <t>13_1_289</t>
  </si>
  <si>
    <t>Малая Посадская</t>
  </si>
  <si>
    <t>13_1_290</t>
  </si>
  <si>
    <t>13_1_291</t>
  </si>
  <si>
    <t>13_1_292</t>
  </si>
  <si>
    <t>13_1_293</t>
  </si>
  <si>
    <t>7/4</t>
  </si>
  <si>
    <t>13_1_294</t>
  </si>
  <si>
    <t>13_1_295</t>
  </si>
  <si>
    <t>13_1_296</t>
  </si>
  <si>
    <t>13_1_297</t>
  </si>
  <si>
    <t>13_1_298</t>
  </si>
  <si>
    <t>13_1_299</t>
  </si>
  <si>
    <t>13_1_300</t>
  </si>
  <si>
    <t>13_1_301</t>
  </si>
  <si>
    <t>13_1_302</t>
  </si>
  <si>
    <t>13_1_303</t>
  </si>
  <si>
    <t>13_1_304</t>
  </si>
  <si>
    <t>13_1_305</t>
  </si>
  <si>
    <t>13_1_306</t>
  </si>
  <si>
    <t>25/4</t>
  </si>
  <si>
    <t>13_1_307</t>
  </si>
  <si>
    <t>Малая Пушкарская</t>
  </si>
  <si>
    <t>4-6</t>
  </si>
  <si>
    <t>13_1_308</t>
  </si>
  <si>
    <t>20/4</t>
  </si>
  <si>
    <t>13_1_309</t>
  </si>
  <si>
    <t>22-24</t>
  </si>
  <si>
    <t>13_1_310</t>
  </si>
  <si>
    <t>13_1_311</t>
  </si>
  <si>
    <t>13_1_312</t>
  </si>
  <si>
    <t>13_1_313</t>
  </si>
  <si>
    <t>13_1_314</t>
  </si>
  <si>
    <t>13_1_315</t>
  </si>
  <si>
    <t>13_1_316</t>
  </si>
  <si>
    <t>13_1_317</t>
  </si>
  <si>
    <t>13_1_318</t>
  </si>
  <si>
    <t>Малый</t>
  </si>
  <si>
    <t>70/18</t>
  </si>
  <si>
    <t>13_1_319</t>
  </si>
  <si>
    <t>13_1_320</t>
  </si>
  <si>
    <t>13_1_321</t>
  </si>
  <si>
    <t>13_1_322</t>
  </si>
  <si>
    <t>84-86</t>
  </si>
  <si>
    <t>13_1_323</t>
  </si>
  <si>
    <t>Маркина</t>
  </si>
  <si>
    <t>13_1_324</t>
  </si>
  <si>
    <t>Матвеевский</t>
  </si>
  <si>
    <t>2в</t>
  </si>
  <si>
    <t>13_1_325</t>
  </si>
  <si>
    <t>Мира</t>
  </si>
  <si>
    <t>1/9</t>
  </si>
  <si>
    <t>13_1_326</t>
  </si>
  <si>
    <t>2/11</t>
  </si>
  <si>
    <t>13_1_327</t>
  </si>
  <si>
    <t>13_1_328</t>
  </si>
  <si>
    <t>13_1_329</t>
  </si>
  <si>
    <t>13_1_330</t>
  </si>
  <si>
    <t>13_1_331</t>
  </si>
  <si>
    <t>13_1_332</t>
  </si>
  <si>
    <t>13_1_334</t>
  </si>
  <si>
    <t>13_1_335</t>
  </si>
  <si>
    <t>13_1_337</t>
  </si>
  <si>
    <t>13_1_338</t>
  </si>
  <si>
    <t>13_1_339</t>
  </si>
  <si>
    <t>13_1_340</t>
  </si>
  <si>
    <t>13_1_341</t>
  </si>
  <si>
    <t>13_1_342</t>
  </si>
  <si>
    <t>13_1_343</t>
  </si>
  <si>
    <t>13_1_344</t>
  </si>
  <si>
    <t>Мичуринская</t>
  </si>
  <si>
    <t>13_1_345</t>
  </si>
  <si>
    <t>13_1_346</t>
  </si>
  <si>
    <t>9/11</t>
  </si>
  <si>
    <t>13_1_347</t>
  </si>
  <si>
    <t>11/18</t>
  </si>
  <si>
    <t>13_1_348</t>
  </si>
  <si>
    <t>13_1_349</t>
  </si>
  <si>
    <t>13_1_350</t>
  </si>
  <si>
    <t>13_1_351</t>
  </si>
  <si>
    <t>21/11</t>
  </si>
  <si>
    <t>13_1_352</t>
  </si>
  <si>
    <t>Ординарная</t>
  </si>
  <si>
    <t>У</t>
  </si>
  <si>
    <t>13_1_353</t>
  </si>
  <si>
    <t>13_1_354</t>
  </si>
  <si>
    <t>13_1_355</t>
  </si>
  <si>
    <t>13_1_356</t>
  </si>
  <si>
    <t>13_1_357</t>
  </si>
  <si>
    <t>13_1_358</t>
  </si>
  <si>
    <t>13_1_359</t>
  </si>
  <si>
    <t>13_1_360</t>
  </si>
  <si>
    <t>13_1_361</t>
  </si>
  <si>
    <t>13_1_362</t>
  </si>
  <si>
    <t>13_1_363</t>
  </si>
  <si>
    <t>13_1_364</t>
  </si>
  <si>
    <t>13_1_365</t>
  </si>
  <si>
    <t>13_1_366</t>
  </si>
  <si>
    <t>Петровская</t>
  </si>
  <si>
    <t>2Б</t>
  </si>
  <si>
    <t>13_1_367</t>
  </si>
  <si>
    <t>Петроградская</t>
  </si>
  <si>
    <t>26-28</t>
  </si>
  <si>
    <t>13_1_368</t>
  </si>
  <si>
    <t>Ч</t>
  </si>
  <si>
    <t>13_1_369</t>
  </si>
  <si>
    <t>Петропавловская</t>
  </si>
  <si>
    <t>13_1_370</t>
  </si>
  <si>
    <t>13_1_371</t>
  </si>
  <si>
    <t>Плуталова</t>
  </si>
  <si>
    <t>13_1_372</t>
  </si>
  <si>
    <t>13_1_373</t>
  </si>
  <si>
    <t>13_1_374</t>
  </si>
  <si>
    <t>13_1_375</t>
  </si>
  <si>
    <t>13_1_376</t>
  </si>
  <si>
    <t>13_1_377</t>
  </si>
  <si>
    <t>13_1_378</t>
  </si>
  <si>
    <t>13_1_379</t>
  </si>
  <si>
    <t>Подковырова</t>
  </si>
  <si>
    <t>13_1_380</t>
  </si>
  <si>
    <t>13_1_381</t>
  </si>
  <si>
    <t>13_1_382</t>
  </si>
  <si>
    <t>13_1_383</t>
  </si>
  <si>
    <t>13_1_384</t>
  </si>
  <si>
    <t>11-13</t>
  </si>
  <si>
    <t>13_1_385</t>
  </si>
  <si>
    <t>13_1_386</t>
  </si>
  <si>
    <t>13_1_387</t>
  </si>
  <si>
    <t>13_1_388</t>
  </si>
  <si>
    <t>13_1_389</t>
  </si>
  <si>
    <t>13_1_390</t>
  </si>
  <si>
    <t>М</t>
  </si>
  <si>
    <t>13_1_391</t>
  </si>
  <si>
    <t>13_1_392</t>
  </si>
  <si>
    <t>43а</t>
  </si>
  <si>
    <t>13_1_393</t>
  </si>
  <si>
    <t>Подрезова</t>
  </si>
  <si>
    <t>13_1_394</t>
  </si>
  <si>
    <t>13_1_395</t>
  </si>
  <si>
    <t>13_1_396</t>
  </si>
  <si>
    <t>13_1_397</t>
  </si>
  <si>
    <t>13_1_398</t>
  </si>
  <si>
    <t>13_1_399</t>
  </si>
  <si>
    <t>14/69</t>
  </si>
  <si>
    <t>13_1_400</t>
  </si>
  <si>
    <t>Л</t>
  </si>
  <si>
    <t>13_1_401</t>
  </si>
  <si>
    <t>13_1_402</t>
  </si>
  <si>
    <t>13_1_403</t>
  </si>
  <si>
    <t>26б</t>
  </si>
  <si>
    <t>13_1_404</t>
  </si>
  <si>
    <t>13_1_405</t>
  </si>
  <si>
    <t>Полозова</t>
  </si>
  <si>
    <t>13_1_406</t>
  </si>
  <si>
    <t>13_1_407</t>
  </si>
  <si>
    <t>13_1_408</t>
  </si>
  <si>
    <t>13_1_409</t>
  </si>
  <si>
    <t>6/17</t>
  </si>
  <si>
    <t>13_1_410</t>
  </si>
  <si>
    <t>13_1_411</t>
  </si>
  <si>
    <t>13_1_412</t>
  </si>
  <si>
    <t>13_1_413</t>
  </si>
  <si>
    <t>13_1_414</t>
  </si>
  <si>
    <t>13_1_415</t>
  </si>
  <si>
    <t>13/63</t>
  </si>
  <si>
    <t>13_1_416</t>
  </si>
  <si>
    <t>13_1_417</t>
  </si>
  <si>
    <t>13_1_418</t>
  </si>
  <si>
    <t>21</t>
  </si>
  <si>
    <t>13_1_419</t>
  </si>
  <si>
    <t>13_1_420</t>
  </si>
  <si>
    <t>Профессора Попова</t>
  </si>
  <si>
    <t>13_1_421</t>
  </si>
  <si>
    <t>13_1_422</t>
  </si>
  <si>
    <t>Рентгена</t>
  </si>
  <si>
    <t>13_1_423</t>
  </si>
  <si>
    <t>13_1_424</t>
  </si>
  <si>
    <t>13_1_425</t>
  </si>
  <si>
    <t>13_1_426</t>
  </si>
  <si>
    <t>13_1_427</t>
  </si>
  <si>
    <t>15/31</t>
  </si>
  <si>
    <t>13_1_428</t>
  </si>
  <si>
    <t>13_1_429</t>
  </si>
  <si>
    <t>Саблинская</t>
  </si>
  <si>
    <t>13_1_430</t>
  </si>
  <si>
    <t>13_1_431</t>
  </si>
  <si>
    <t>5/21</t>
  </si>
  <si>
    <t>13_1_432</t>
  </si>
  <si>
    <t>Сытнинская</t>
  </si>
  <si>
    <t>13_1_433</t>
  </si>
  <si>
    <t>13_1_434</t>
  </si>
  <si>
    <t>13_1_435</t>
  </si>
  <si>
    <t>13_1_436</t>
  </si>
  <si>
    <t>13_1_437</t>
  </si>
  <si>
    <t>Троицкая</t>
  </si>
  <si>
    <t>13_1_438</t>
  </si>
  <si>
    <t>Чапаева</t>
  </si>
  <si>
    <t>13_1_439</t>
  </si>
  <si>
    <t>11/4</t>
  </si>
  <si>
    <t>13_1_440</t>
  </si>
  <si>
    <t>13_1_441</t>
  </si>
  <si>
    <t>13_1_442</t>
  </si>
  <si>
    <t>13_1_443</t>
  </si>
  <si>
    <t>13_1_444</t>
  </si>
  <si>
    <t>Чапыгина</t>
  </si>
  <si>
    <t>13_1_445</t>
  </si>
  <si>
    <t>13_1_446</t>
  </si>
  <si>
    <t>13_1_447</t>
  </si>
  <si>
    <t>13_1_448</t>
  </si>
  <si>
    <t>7/5</t>
  </si>
  <si>
    <t>13_2_8</t>
  </si>
  <si>
    <t>9</t>
  </si>
  <si>
    <t>13_2_9</t>
  </si>
  <si>
    <t>Провиантская ул.</t>
  </si>
  <si>
    <t>8</t>
  </si>
  <si>
    <t>13_2_10</t>
  </si>
  <si>
    <t>2/10</t>
  </si>
  <si>
    <t>13_2_11</t>
  </si>
  <si>
    <t>5/1</t>
  </si>
  <si>
    <t>13_2_12</t>
  </si>
  <si>
    <t>хрущевка</t>
  </si>
  <si>
    <t>13_2_13</t>
  </si>
  <si>
    <t xml:space="preserve">16 </t>
  </si>
  <si>
    <t>13_2_14</t>
  </si>
  <si>
    <t>13_2_15</t>
  </si>
  <si>
    <t>13_2_16</t>
  </si>
  <si>
    <t>13_2_17</t>
  </si>
  <si>
    <t>13_2_18</t>
  </si>
  <si>
    <t>13_2_19</t>
  </si>
  <si>
    <t>13_2_20</t>
  </si>
  <si>
    <t>13_2_21</t>
  </si>
  <si>
    <t>13_2_22</t>
  </si>
  <si>
    <t>13_2_23</t>
  </si>
  <si>
    <t>20/7</t>
  </si>
  <si>
    <t>13_2_24</t>
  </si>
  <si>
    <t>22</t>
  </si>
  <si>
    <t>13_2_25</t>
  </si>
  <si>
    <t>23</t>
  </si>
  <si>
    <t>13_2_26</t>
  </si>
  <si>
    <t>сталинка</t>
  </si>
  <si>
    <t xml:space="preserve">21 </t>
  </si>
  <si>
    <t>13_2_27</t>
  </si>
  <si>
    <t>13_2_28</t>
  </si>
  <si>
    <t>21 а</t>
  </si>
  <si>
    <t>13_2_29</t>
  </si>
  <si>
    <t>13_2_30</t>
  </si>
  <si>
    <t>25</t>
  </si>
  <si>
    <t>13_2_31</t>
  </si>
  <si>
    <t>27</t>
  </si>
  <si>
    <t>13_2_32</t>
  </si>
  <si>
    <t>Талалихина пер.</t>
  </si>
  <si>
    <t>5/15</t>
  </si>
  <si>
    <t>13_2_33</t>
  </si>
  <si>
    <t>22/3</t>
  </si>
  <si>
    <t>13_2_34</t>
  </si>
  <si>
    <t>Нестерова пер.</t>
  </si>
  <si>
    <t>13_2_35</t>
  </si>
  <si>
    <t>1</t>
  </si>
  <si>
    <t>13_2_36</t>
  </si>
  <si>
    <t>13_2_37</t>
  </si>
  <si>
    <t xml:space="preserve">22 </t>
  </si>
  <si>
    <t>13_2_38</t>
  </si>
  <si>
    <t>13_2_39</t>
  </si>
  <si>
    <t xml:space="preserve">24 </t>
  </si>
  <si>
    <t>13_2_40</t>
  </si>
  <si>
    <t>13_2_41</t>
  </si>
  <si>
    <t>13_2_42</t>
  </si>
  <si>
    <t>13_2_43</t>
  </si>
  <si>
    <t xml:space="preserve">11 </t>
  </si>
  <si>
    <t>13_2_44</t>
  </si>
  <si>
    <t>13_2_45</t>
  </si>
  <si>
    <t>4</t>
  </si>
  <si>
    <t>13_2_46</t>
  </si>
  <si>
    <t>5/2</t>
  </si>
  <si>
    <t>13_2_47</t>
  </si>
  <si>
    <t>6/3</t>
  </si>
  <si>
    <t>13_2_48</t>
  </si>
  <si>
    <t>аварийный</t>
  </si>
  <si>
    <t>7</t>
  </si>
  <si>
    <t>13_2_49</t>
  </si>
  <si>
    <t>13_2_50</t>
  </si>
  <si>
    <t>67/13</t>
  </si>
  <si>
    <t>13_2_51</t>
  </si>
  <si>
    <t xml:space="preserve">69 </t>
  </si>
  <si>
    <t>13_2_52</t>
  </si>
  <si>
    <t>13_2_53</t>
  </si>
  <si>
    <t>71/46</t>
  </si>
  <si>
    <t>13_2_54</t>
  </si>
  <si>
    <t>73/39</t>
  </si>
  <si>
    <t>13_2_55</t>
  </si>
  <si>
    <t>5</t>
  </si>
  <si>
    <t>13_2_56</t>
  </si>
  <si>
    <t>Татарский пер.</t>
  </si>
  <si>
    <t>13_2_57</t>
  </si>
  <si>
    <t>0</t>
  </si>
  <si>
    <t>13_2_58</t>
  </si>
  <si>
    <t>13_2_59</t>
  </si>
  <si>
    <t>13_2_60</t>
  </si>
  <si>
    <t>13_2_61</t>
  </si>
  <si>
    <t>29/9</t>
  </si>
  <si>
    <t>13_2_62</t>
  </si>
  <si>
    <t>13_2_63</t>
  </si>
  <si>
    <t>13_2_64</t>
  </si>
  <si>
    <t>13_2_65</t>
  </si>
  <si>
    <t>26</t>
  </si>
  <si>
    <t>13_2_66</t>
  </si>
  <si>
    <t>29</t>
  </si>
  <si>
    <t>13_2_67</t>
  </si>
  <si>
    <t xml:space="preserve">32 </t>
  </si>
  <si>
    <t>13_2_68</t>
  </si>
  <si>
    <t>13_2_69</t>
  </si>
  <si>
    <t>33</t>
  </si>
  <si>
    <t>13_2_70</t>
  </si>
  <si>
    <t>34</t>
  </si>
  <si>
    <t>13_2_71</t>
  </si>
  <si>
    <t>13_2_72</t>
  </si>
  <si>
    <t>36</t>
  </si>
  <si>
    <t>13_2_73</t>
  </si>
  <si>
    <t>38</t>
  </si>
  <si>
    <t>13_2_74</t>
  </si>
  <si>
    <t>кирпично-монолитный</t>
  </si>
  <si>
    <t>42</t>
  </si>
  <si>
    <t>13_2_75</t>
  </si>
  <si>
    <t>44</t>
  </si>
  <si>
    <t>13_2_76</t>
  </si>
  <si>
    <t>13_2_77</t>
  </si>
  <si>
    <t>13_2_78</t>
  </si>
  <si>
    <t>13_2_79</t>
  </si>
  <si>
    <t>19</t>
  </si>
  <si>
    <t>13_2_80</t>
  </si>
  <si>
    <t>13_2_81</t>
  </si>
  <si>
    <t>13_2_82</t>
  </si>
  <si>
    <t>13_2_83</t>
  </si>
  <si>
    <t xml:space="preserve">27 </t>
  </si>
  <si>
    <t>13_2_84</t>
  </si>
  <si>
    <t>13_2_85</t>
  </si>
  <si>
    <t xml:space="preserve">29 </t>
  </si>
  <si>
    <t>13_2_86</t>
  </si>
  <si>
    <t>13_2_87</t>
  </si>
  <si>
    <t>13_2_88</t>
  </si>
  <si>
    <t xml:space="preserve">7/4 </t>
  </si>
  <si>
    <t>13_2_89</t>
  </si>
  <si>
    <t>13_2_90</t>
  </si>
  <si>
    <t>1/3</t>
  </si>
  <si>
    <t>13_2_91</t>
  </si>
  <si>
    <t>13_2_92</t>
  </si>
  <si>
    <t xml:space="preserve">13/5 </t>
  </si>
  <si>
    <t>13_2_93</t>
  </si>
  <si>
    <t>13_2_94</t>
  </si>
  <si>
    <t>17 А</t>
  </si>
  <si>
    <t>13_2_95</t>
  </si>
  <si>
    <t>13_2_96</t>
  </si>
  <si>
    <t>13_2_97</t>
  </si>
  <si>
    <t>17 б</t>
  </si>
  <si>
    <t>13_2_98</t>
  </si>
  <si>
    <t>2/5</t>
  </si>
  <si>
    <t>13_2_99</t>
  </si>
  <si>
    <t>13_2_100</t>
  </si>
  <si>
    <t>6-8</t>
  </si>
  <si>
    <t>13_2_101</t>
  </si>
  <si>
    <t>7-9</t>
  </si>
  <si>
    <t>13_2_102</t>
  </si>
  <si>
    <t>13_2_103</t>
  </si>
  <si>
    <t>1/8</t>
  </si>
  <si>
    <t>13_2_104</t>
  </si>
  <si>
    <t>13_2_105</t>
  </si>
  <si>
    <t>13_2_106</t>
  </si>
  <si>
    <t>27/1</t>
  </si>
  <si>
    <t>13_2_107</t>
  </si>
  <si>
    <t>13_2_108</t>
  </si>
  <si>
    <t xml:space="preserve">12 </t>
  </si>
  <si>
    <t>13_2_109</t>
  </si>
  <si>
    <t>13_2_110</t>
  </si>
  <si>
    <t>5/13</t>
  </si>
  <si>
    <t>13_2_111</t>
  </si>
  <si>
    <t>6</t>
  </si>
  <si>
    <t>13_2_112</t>
  </si>
  <si>
    <t>13_2_113</t>
  </si>
  <si>
    <t>13_2_114</t>
  </si>
  <si>
    <t>13_2_115</t>
  </si>
  <si>
    <t>13_2_116</t>
  </si>
  <si>
    <t>7/18</t>
  </si>
  <si>
    <t>13_2_117</t>
  </si>
  <si>
    <t>13_2_118</t>
  </si>
  <si>
    <t>13_2_119</t>
  </si>
  <si>
    <t>13_2_120</t>
  </si>
  <si>
    <t>13_2_121</t>
  </si>
  <si>
    <t>13_2_122</t>
  </si>
  <si>
    <t>13_2_123</t>
  </si>
  <si>
    <t>14-16</t>
  </si>
  <si>
    <t>13_2_124</t>
  </si>
  <si>
    <t>13_2_125</t>
  </si>
  <si>
    <t xml:space="preserve">17 </t>
  </si>
  <si>
    <t>13_2_126</t>
  </si>
  <si>
    <t>13_2_127</t>
  </si>
  <si>
    <t>13_2_128</t>
  </si>
  <si>
    <t>53</t>
  </si>
  <si>
    <t>13_2_129</t>
  </si>
  <si>
    <t>55</t>
  </si>
  <si>
    <t>13_2_130</t>
  </si>
  <si>
    <t>59</t>
  </si>
  <si>
    <t>13_2_131</t>
  </si>
  <si>
    <t xml:space="preserve">61/28  </t>
  </si>
  <si>
    <t>13_2_132</t>
  </si>
  <si>
    <t xml:space="preserve">61/28 </t>
  </si>
  <si>
    <t>13_2_133</t>
  </si>
  <si>
    <t>63/31</t>
  </si>
  <si>
    <t>13_2_134</t>
  </si>
  <si>
    <t>65</t>
  </si>
  <si>
    <t>13_2_135</t>
  </si>
  <si>
    <t>13_2_136</t>
  </si>
  <si>
    <t>13_2_137</t>
  </si>
  <si>
    <t>13_2_138</t>
  </si>
  <si>
    <t>13_2_139</t>
  </si>
  <si>
    <t>37</t>
  </si>
  <si>
    <t>13_2_140</t>
  </si>
  <si>
    <t>32</t>
  </si>
  <si>
    <t>13_2_141</t>
  </si>
  <si>
    <t>13_2_142</t>
  </si>
  <si>
    <t>13_2_143</t>
  </si>
  <si>
    <t>13_2_144</t>
  </si>
  <si>
    <t>2</t>
  </si>
  <si>
    <t>13_2_145</t>
  </si>
  <si>
    <t>13_2_146</t>
  </si>
  <si>
    <t>13_2_147</t>
  </si>
  <si>
    <t>13_2_148</t>
  </si>
  <si>
    <t>13_2_149</t>
  </si>
  <si>
    <t>13/4</t>
  </si>
  <si>
    <t>13_2_150</t>
  </si>
  <si>
    <t xml:space="preserve">3/15 </t>
  </si>
  <si>
    <t>13_2_151</t>
  </si>
  <si>
    <t>13_2_152</t>
  </si>
  <si>
    <t>13_2_153</t>
  </si>
  <si>
    <t>13_2_154</t>
  </si>
  <si>
    <t>23/1</t>
  </si>
  <si>
    <t>13_2_155</t>
  </si>
  <si>
    <t>13_2_156</t>
  </si>
  <si>
    <t>13_2_157</t>
  </si>
  <si>
    <t>13_2_158</t>
  </si>
  <si>
    <t>13_2_159</t>
  </si>
  <si>
    <t>13_2_160</t>
  </si>
  <si>
    <t>13_2_161</t>
  </si>
  <si>
    <t>авайрийный</t>
  </si>
  <si>
    <t>Гатчинская ул.</t>
  </si>
  <si>
    <t>17/60</t>
  </si>
  <si>
    <t>13_2_162</t>
  </si>
  <si>
    <t>19-21</t>
  </si>
  <si>
    <t>13_2_163</t>
  </si>
  <si>
    <t>23-25</t>
  </si>
  <si>
    <t>13_2_164</t>
  </si>
  <si>
    <t>13_2_165</t>
  </si>
  <si>
    <t>13_2_166</t>
  </si>
  <si>
    <t>13_2_167</t>
  </si>
  <si>
    <t>13_2_168</t>
  </si>
  <si>
    <t>13_2_169</t>
  </si>
  <si>
    <t>13_2_170</t>
  </si>
  <si>
    <t>64/13</t>
  </si>
  <si>
    <t>13_2_171</t>
  </si>
  <si>
    <t>66/32</t>
  </si>
  <si>
    <t>13_2_172</t>
  </si>
  <si>
    <t xml:space="preserve">18 </t>
  </si>
  <si>
    <t>13_2_173</t>
  </si>
  <si>
    <t>13_2_174</t>
  </si>
  <si>
    <t>13_2_175</t>
  </si>
  <si>
    <t>13_2_176</t>
  </si>
  <si>
    <t>13_2_177</t>
  </si>
  <si>
    <t xml:space="preserve">23 </t>
  </si>
  <si>
    <t>13_2_178</t>
  </si>
  <si>
    <t>13_2_179</t>
  </si>
  <si>
    <t>24</t>
  </si>
  <si>
    <t>13_2_180</t>
  </si>
  <si>
    <t>25 Б</t>
  </si>
  <si>
    <t>13_2_181</t>
  </si>
  <si>
    <t>13_2_182</t>
  </si>
  <si>
    <t>28</t>
  </si>
  <si>
    <t>13_2_183</t>
  </si>
  <si>
    <t>13_2_184</t>
  </si>
  <si>
    <t>13_2_185</t>
  </si>
  <si>
    <t>13_2_186</t>
  </si>
  <si>
    <t>13_2_187</t>
  </si>
  <si>
    <t>13_2_188</t>
  </si>
  <si>
    <t>13_2_189</t>
  </si>
  <si>
    <t>13_2_190</t>
  </si>
  <si>
    <t>13_2_191</t>
  </si>
  <si>
    <t xml:space="preserve">55/13 </t>
  </si>
  <si>
    <t>13_2_192</t>
  </si>
  <si>
    <t>13_2_193</t>
  </si>
  <si>
    <t>30</t>
  </si>
  <si>
    <t>13_2_194</t>
  </si>
  <si>
    <t>13_2_195</t>
  </si>
  <si>
    <t>13_2_196</t>
  </si>
  <si>
    <t>13_2_197</t>
  </si>
  <si>
    <t>13_2_198</t>
  </si>
  <si>
    <t>13_2_199</t>
  </si>
  <si>
    <t>13_2_200</t>
  </si>
  <si>
    <t>13_2_201</t>
  </si>
  <si>
    <t>1/56</t>
  </si>
  <si>
    <t>13_2_202</t>
  </si>
  <si>
    <t>1/60</t>
  </si>
  <si>
    <t>13_2_203</t>
  </si>
  <si>
    <t>13_2_204</t>
  </si>
  <si>
    <t xml:space="preserve">6 </t>
  </si>
  <si>
    <t>13_2_205</t>
  </si>
  <si>
    <t>13_2_206</t>
  </si>
  <si>
    <t>13_2_207</t>
  </si>
  <si>
    <t>13_2_208</t>
  </si>
  <si>
    <t>13_2_209</t>
  </si>
  <si>
    <t>13_2_210</t>
  </si>
  <si>
    <t>13_2_211</t>
  </si>
  <si>
    <t>57</t>
  </si>
  <si>
    <t>13_2_212</t>
  </si>
  <si>
    <t>46/1 А</t>
  </si>
  <si>
    <t>13_2_213</t>
  </si>
  <si>
    <t>13_2_214</t>
  </si>
  <si>
    <t>2/54</t>
  </si>
  <si>
    <t>13_2_215</t>
  </si>
  <si>
    <t>13_2_216</t>
  </si>
  <si>
    <t>13_2_217</t>
  </si>
  <si>
    <t>13_2_218</t>
  </si>
  <si>
    <t>13_2_219</t>
  </si>
  <si>
    <t>47</t>
  </si>
  <si>
    <t>13_2_220</t>
  </si>
  <si>
    <t>52</t>
  </si>
  <si>
    <t>13_2_221</t>
  </si>
  <si>
    <t>13_2_222</t>
  </si>
  <si>
    <t xml:space="preserve">3 </t>
  </si>
  <si>
    <t>13_2_223</t>
  </si>
  <si>
    <t>13_2_224</t>
  </si>
  <si>
    <t>5-7</t>
  </si>
  <si>
    <t>13_2_225</t>
  </si>
  <si>
    <t>5/50</t>
  </si>
  <si>
    <t>13_2_226</t>
  </si>
  <si>
    <t>6 А</t>
  </si>
  <si>
    <t>13_2_227</t>
  </si>
  <si>
    <t>13_2_228</t>
  </si>
  <si>
    <t xml:space="preserve">10 </t>
  </si>
  <si>
    <t>13_2_229</t>
  </si>
  <si>
    <t>13_2_230</t>
  </si>
  <si>
    <t>13_2_231</t>
  </si>
  <si>
    <t>13_2_232</t>
  </si>
  <si>
    <t xml:space="preserve"> 15 </t>
  </si>
  <si>
    <t>13_2_233</t>
  </si>
  <si>
    <t xml:space="preserve">15 </t>
  </si>
  <si>
    <t>13_2_234</t>
  </si>
  <si>
    <t>13_2_235</t>
  </si>
  <si>
    <t>Большая Зеленина ул.</t>
  </si>
  <si>
    <t>1/44</t>
  </si>
  <si>
    <t>13_2_236</t>
  </si>
  <si>
    <t>13_2_237</t>
  </si>
  <si>
    <t>13_2_238</t>
  </si>
  <si>
    <t>13_2_239</t>
  </si>
  <si>
    <t>13_2_240</t>
  </si>
  <si>
    <t>11/1</t>
  </si>
  <si>
    <t>13_2_241</t>
  </si>
  <si>
    <t>13_2_242</t>
  </si>
  <si>
    <t>13_2_243</t>
  </si>
  <si>
    <t>13_2_244</t>
  </si>
  <si>
    <t>13_2_245</t>
  </si>
  <si>
    <t>20 Б</t>
  </si>
  <si>
    <t>13_2_246</t>
  </si>
  <si>
    <t>13_2_247</t>
  </si>
  <si>
    <t>13_2_248</t>
  </si>
  <si>
    <t>27-29</t>
  </si>
  <si>
    <t>13_2_249</t>
  </si>
  <si>
    <t>13_2_250</t>
  </si>
  <si>
    <t>13_2_251</t>
  </si>
  <si>
    <t>13_2_252</t>
  </si>
  <si>
    <t>2/42</t>
  </si>
  <si>
    <t>13_2_253</t>
  </si>
  <si>
    <t>13_2_254</t>
  </si>
  <si>
    <t xml:space="preserve">8 </t>
  </si>
  <si>
    <t>13_2_255</t>
  </si>
  <si>
    <t>13_2_256</t>
  </si>
  <si>
    <t>Большая Разночинная ул.</t>
  </si>
  <si>
    <t>13_2_257</t>
  </si>
  <si>
    <t xml:space="preserve">9 </t>
  </si>
  <si>
    <t>13_2_258</t>
  </si>
  <si>
    <t>36-38</t>
  </si>
  <si>
    <t>13_2_259</t>
  </si>
  <si>
    <t>13_2_260</t>
  </si>
  <si>
    <t>13_2_261</t>
  </si>
  <si>
    <t>Ропшинская ул.</t>
  </si>
  <si>
    <t xml:space="preserve">19/40 </t>
  </si>
  <si>
    <t>13_2_262</t>
  </si>
  <si>
    <t xml:space="preserve">20 </t>
  </si>
  <si>
    <t>13_2_263</t>
  </si>
  <si>
    <t>13_2_264</t>
  </si>
  <si>
    <t>13_2_265</t>
  </si>
  <si>
    <t>13_2_266</t>
  </si>
  <si>
    <t>13_2_267</t>
  </si>
  <si>
    <t>13_2_268</t>
  </si>
  <si>
    <t>13_2_269</t>
  </si>
  <si>
    <t>9/13</t>
  </si>
  <si>
    <t>13_2_270</t>
  </si>
  <si>
    <t>11/32</t>
  </si>
  <si>
    <t>13_2_271</t>
  </si>
  <si>
    <t>35</t>
  </si>
  <si>
    <t>13_2_272</t>
  </si>
  <si>
    <t xml:space="preserve">4 </t>
  </si>
  <si>
    <t>13_2_273</t>
  </si>
  <si>
    <t>Малая Разночинная ул.</t>
  </si>
  <si>
    <t>13_2_274</t>
  </si>
  <si>
    <t>13_2_275</t>
  </si>
  <si>
    <t>34-36</t>
  </si>
  <si>
    <t>13_2_276</t>
  </si>
  <si>
    <t>13_2_277</t>
  </si>
  <si>
    <t>Ижорская ул.</t>
  </si>
  <si>
    <t>13_2_278</t>
  </si>
  <si>
    <t>13_2_279</t>
  </si>
  <si>
    <t xml:space="preserve">13/39 </t>
  </si>
  <si>
    <t>13_2_280</t>
  </si>
  <si>
    <t>13_2_281</t>
  </si>
  <si>
    <t>13_2_282</t>
  </si>
  <si>
    <t>13_2_283</t>
  </si>
  <si>
    <t>14/41</t>
  </si>
  <si>
    <t>13_2_284</t>
  </si>
  <si>
    <t>1/32</t>
  </si>
  <si>
    <t>13_2_285</t>
  </si>
  <si>
    <t xml:space="preserve">3-5 </t>
  </si>
  <si>
    <t>13_2_286</t>
  </si>
  <si>
    <t>13_2_287</t>
  </si>
  <si>
    <t>13_2_288</t>
  </si>
  <si>
    <t>13_2_289</t>
  </si>
  <si>
    <t>13_2_290</t>
  </si>
  <si>
    <t>Рыбацкая ул.</t>
  </si>
  <si>
    <t>13_2_291</t>
  </si>
  <si>
    <t>13_2_292</t>
  </si>
  <si>
    <t>а</t>
  </si>
  <si>
    <t>13_2_293</t>
  </si>
  <si>
    <t xml:space="preserve">6-8 </t>
  </si>
  <si>
    <t>13_2_294</t>
  </si>
  <si>
    <t>13_2_295</t>
  </si>
  <si>
    <t>13_2_296</t>
  </si>
  <si>
    <t>13_2_297</t>
  </si>
  <si>
    <t>2 Б</t>
  </si>
  <si>
    <t>13_2_298</t>
  </si>
  <si>
    <t>2 В</t>
  </si>
  <si>
    <t>13_2_299</t>
  </si>
  <si>
    <t>13_2_300</t>
  </si>
  <si>
    <t>29-31</t>
  </si>
  <si>
    <t>13_2_301</t>
  </si>
  <si>
    <t xml:space="preserve">2/1 </t>
  </si>
  <si>
    <t>13_2_302</t>
  </si>
  <si>
    <t>13_2_303</t>
  </si>
  <si>
    <t>13_2_304</t>
  </si>
  <si>
    <t>13_2_305</t>
  </si>
  <si>
    <t>13_2_306</t>
  </si>
  <si>
    <t>13_2_307</t>
  </si>
  <si>
    <t>13_2_308</t>
  </si>
  <si>
    <t>13_2_309</t>
  </si>
  <si>
    <t>16/1</t>
  </si>
  <si>
    <t>13_2_310</t>
  </si>
  <si>
    <t>13_2_311</t>
  </si>
  <si>
    <t>13_2_312</t>
  </si>
  <si>
    <t>13_2_313</t>
  </si>
  <si>
    <t xml:space="preserve">11/1 </t>
  </si>
  <si>
    <t>13_2_314</t>
  </si>
  <si>
    <t>1/2</t>
  </si>
  <si>
    <t>13_2_315</t>
  </si>
  <si>
    <t>13_2_316</t>
  </si>
  <si>
    <t>1 Б</t>
  </si>
  <si>
    <t>13_2_317</t>
  </si>
  <si>
    <t>13_2_318</t>
  </si>
  <si>
    <t>13_2_319</t>
  </si>
  <si>
    <t>Офицерский пер.</t>
  </si>
  <si>
    <t xml:space="preserve">7 </t>
  </si>
  <si>
    <t>13_2_320</t>
  </si>
  <si>
    <t>13_2_321</t>
  </si>
  <si>
    <t>13_2_322</t>
  </si>
  <si>
    <t>Красного Курсанта ул.</t>
  </si>
  <si>
    <t>9 А</t>
  </si>
  <si>
    <t>13_2_323</t>
  </si>
  <si>
    <t>13_2_324</t>
  </si>
  <si>
    <t>13_2_325</t>
  </si>
  <si>
    <t>13_2_326</t>
  </si>
  <si>
    <t>9 Б</t>
  </si>
  <si>
    <t>13_2_327</t>
  </si>
  <si>
    <t>13_2_328</t>
  </si>
  <si>
    <t xml:space="preserve">15/2 </t>
  </si>
  <si>
    <t>13_2_329</t>
  </si>
  <si>
    <t>13_2_330</t>
  </si>
  <si>
    <t xml:space="preserve">5/11 </t>
  </si>
  <si>
    <t>13_2_331</t>
  </si>
  <si>
    <t>13_2_332</t>
  </si>
  <si>
    <t>13_2_333</t>
  </si>
  <si>
    <t>13_2_334</t>
  </si>
  <si>
    <t>13_2_335</t>
  </si>
  <si>
    <t>13_2_336</t>
  </si>
  <si>
    <t>13_2_337</t>
  </si>
  <si>
    <t>13_2_338</t>
  </si>
  <si>
    <t>13_2_339</t>
  </si>
  <si>
    <t>8 Б</t>
  </si>
  <si>
    <t>13_2_340</t>
  </si>
  <si>
    <t>13_2_341</t>
  </si>
  <si>
    <t>Гребецкая Малая  ул.</t>
  </si>
  <si>
    <t>13_2_342</t>
  </si>
  <si>
    <t>31</t>
  </si>
  <si>
    <t>13_2_343</t>
  </si>
  <si>
    <t>13_2_344</t>
  </si>
  <si>
    <t>13_2_345</t>
  </si>
  <si>
    <t>13_2_346</t>
  </si>
  <si>
    <t xml:space="preserve">12/24 </t>
  </si>
  <si>
    <t>13_2_347</t>
  </si>
  <si>
    <t>13_2_348</t>
  </si>
  <si>
    <t>13_2_349</t>
  </si>
  <si>
    <t>13_2_350</t>
  </si>
  <si>
    <t>13_2_351</t>
  </si>
  <si>
    <t>13_2_352</t>
  </si>
  <si>
    <t>13_2_353</t>
  </si>
  <si>
    <t>13_2_354</t>
  </si>
  <si>
    <t>20/5</t>
  </si>
  <si>
    <t>13_2_355</t>
  </si>
  <si>
    <t>13_2_356</t>
  </si>
  <si>
    <t>26/2</t>
  </si>
  <si>
    <t>13_2_357</t>
  </si>
  <si>
    <t>28/1</t>
  </si>
  <si>
    <t>13_2_358</t>
  </si>
  <si>
    <t>13_2_359</t>
  </si>
  <si>
    <t>13_2_360</t>
  </si>
  <si>
    <t>13_2_361</t>
  </si>
  <si>
    <t>13_2_362</t>
  </si>
  <si>
    <t>Мончегорская ул.</t>
  </si>
  <si>
    <t>13_2_363</t>
  </si>
  <si>
    <t>13_2_364</t>
  </si>
  <si>
    <t>13_2_365</t>
  </si>
  <si>
    <t>10 Б</t>
  </si>
  <si>
    <t>13_2_366</t>
  </si>
  <si>
    <t>13_2_367</t>
  </si>
  <si>
    <t>9/17</t>
  </si>
  <si>
    <t>13_2_368</t>
  </si>
  <si>
    <t>13_2_369</t>
  </si>
  <si>
    <t>13_2_370</t>
  </si>
  <si>
    <t>44/6</t>
  </si>
  <si>
    <t>13_2_371</t>
  </si>
  <si>
    <t>39</t>
  </si>
  <si>
    <t>13_2_372</t>
  </si>
  <si>
    <t>41</t>
  </si>
  <si>
    <t>13_2_373</t>
  </si>
  <si>
    <t>13_2_374</t>
  </si>
  <si>
    <t>13_2_375</t>
  </si>
  <si>
    <t>15/4</t>
  </si>
  <si>
    <t>13_2_376</t>
  </si>
  <si>
    <t xml:space="preserve">19/8 </t>
  </si>
  <si>
    <t>13_2_377</t>
  </si>
  <si>
    <t>13_2_378</t>
  </si>
  <si>
    <t>13_2_379</t>
  </si>
  <si>
    <t>Вакуленчука ул.</t>
  </si>
  <si>
    <t>13_2_380</t>
  </si>
  <si>
    <t>20 А</t>
  </si>
  <si>
    <t>13_2_381</t>
  </si>
  <si>
    <t>22 А</t>
  </si>
  <si>
    <t>13_2_382</t>
  </si>
  <si>
    <t>13_2_383</t>
  </si>
  <si>
    <t>13_2_384</t>
  </si>
  <si>
    <t>13_2_385</t>
  </si>
  <si>
    <t>8/3</t>
  </si>
  <si>
    <t>13_2_386</t>
  </si>
  <si>
    <t>13_2_387</t>
  </si>
  <si>
    <t>13_2_388</t>
  </si>
  <si>
    <t>13_2_389</t>
  </si>
  <si>
    <t>13_2_390</t>
  </si>
  <si>
    <t>Адмирала Лазарева наб.</t>
  </si>
  <si>
    <t>13_2_391</t>
  </si>
  <si>
    <t>13_2_392</t>
  </si>
  <si>
    <t>13_2_393</t>
  </si>
  <si>
    <t>13_2_394</t>
  </si>
  <si>
    <t>14/18</t>
  </si>
  <si>
    <t>13_2_395</t>
  </si>
  <si>
    <t>13_2_396</t>
  </si>
  <si>
    <t xml:space="preserve"> 16</t>
  </si>
  <si>
    <t>13_2_397</t>
  </si>
  <si>
    <t>13_2_398</t>
  </si>
  <si>
    <t>13_2_399</t>
  </si>
  <si>
    <t>13_2_400</t>
  </si>
  <si>
    <t>13_2_401</t>
  </si>
  <si>
    <t>13_2_402</t>
  </si>
  <si>
    <t>13_2_403</t>
  </si>
  <si>
    <t>13_2_404</t>
  </si>
  <si>
    <t>43</t>
  </si>
  <si>
    <t>13_2_405</t>
  </si>
  <si>
    <t>13_2_406</t>
  </si>
  <si>
    <t>13_2_407</t>
  </si>
  <si>
    <t>13_2_408</t>
  </si>
  <si>
    <t>13_2_409</t>
  </si>
  <si>
    <t>Корпусная ул.</t>
  </si>
  <si>
    <t>13_2_410</t>
  </si>
  <si>
    <t>28 Г</t>
  </si>
  <si>
    <t>13_2_411</t>
  </si>
  <si>
    <t xml:space="preserve">26 </t>
  </si>
  <si>
    <t>13_2_412</t>
  </si>
  <si>
    <t>13_2_413</t>
  </si>
  <si>
    <t>13_2_414</t>
  </si>
  <si>
    <t>13_2_415</t>
  </si>
  <si>
    <t>13_2_416</t>
  </si>
  <si>
    <t>13_2_417</t>
  </si>
  <si>
    <t>45</t>
  </si>
  <si>
    <t>13_2_418</t>
  </si>
  <si>
    <t>13_2_419</t>
  </si>
  <si>
    <t>61</t>
  </si>
  <si>
    <t>13_2_420</t>
  </si>
  <si>
    <t>63</t>
  </si>
  <si>
    <t>13_2_421</t>
  </si>
  <si>
    <t>13_2_422</t>
  </si>
  <si>
    <t>13_2_423</t>
  </si>
  <si>
    <t>13_2_424</t>
  </si>
  <si>
    <t>3/22</t>
  </si>
  <si>
    <t>13_2_425</t>
  </si>
  <si>
    <t xml:space="preserve">36 </t>
  </si>
  <si>
    <t>13_2_426</t>
  </si>
  <si>
    <t>13_2_427</t>
  </si>
  <si>
    <t>32/2</t>
  </si>
  <si>
    <t>13_2_428</t>
  </si>
  <si>
    <t>13_2_429</t>
  </si>
  <si>
    <t>13_2_430</t>
  </si>
  <si>
    <t>Газовая ул.</t>
  </si>
  <si>
    <t>1 А</t>
  </si>
  <si>
    <t>13_2_431</t>
  </si>
  <si>
    <t>13_2_432</t>
  </si>
  <si>
    <t>13_2_433</t>
  </si>
  <si>
    <t>13_2_434</t>
  </si>
  <si>
    <t>13_2_435</t>
  </si>
  <si>
    <t>Пудожская ул.</t>
  </si>
  <si>
    <t>13_2_436</t>
  </si>
  <si>
    <t>13_2_437</t>
  </si>
  <si>
    <t>Левашовский пр.</t>
  </si>
  <si>
    <t>13_2_438</t>
  </si>
  <si>
    <t>13_2_439</t>
  </si>
  <si>
    <t>4 А</t>
  </si>
  <si>
    <t>13_2_440</t>
  </si>
  <si>
    <t>Лодейнопольская ул.</t>
  </si>
  <si>
    <t>13_2_441</t>
  </si>
  <si>
    <t>13_2_442</t>
  </si>
  <si>
    <t>13_2_443</t>
  </si>
  <si>
    <t xml:space="preserve">14 </t>
  </si>
  <si>
    <t>13_2_444</t>
  </si>
  <si>
    <t>13_2_445</t>
  </si>
  <si>
    <t>13_2_446</t>
  </si>
  <si>
    <t>13_2_447</t>
  </si>
  <si>
    <t>13_2_448</t>
  </si>
  <si>
    <t>13_2_449</t>
  </si>
  <si>
    <t>13_2_450</t>
  </si>
  <si>
    <t>51</t>
  </si>
  <si>
    <t>13_2_451</t>
  </si>
  <si>
    <t>13_2_452</t>
  </si>
  <si>
    <t>48</t>
  </si>
  <si>
    <t>13_2_453</t>
  </si>
  <si>
    <t>50</t>
  </si>
  <si>
    <t>13_2_454</t>
  </si>
  <si>
    <t>13_2_455</t>
  </si>
  <si>
    <t>13_2_456</t>
  </si>
  <si>
    <t>13_2_457</t>
  </si>
  <si>
    <t>Карповки наб. реки</t>
  </si>
  <si>
    <t>13_2_458</t>
  </si>
  <si>
    <t>13_2_459</t>
  </si>
  <si>
    <t>60</t>
  </si>
  <si>
    <t>13_2_460</t>
  </si>
  <si>
    <t>58</t>
  </si>
  <si>
    <t>13_2_461</t>
  </si>
  <si>
    <t>13_2_462</t>
  </si>
  <si>
    <t xml:space="preserve">54 </t>
  </si>
  <si>
    <t>13_2_463</t>
  </si>
  <si>
    <t>13_2_464</t>
  </si>
  <si>
    <t xml:space="preserve">56 </t>
  </si>
  <si>
    <t>13_2_465</t>
  </si>
  <si>
    <t>13_2_466</t>
  </si>
  <si>
    <t>13_2_467</t>
  </si>
  <si>
    <t>13_2_468</t>
  </si>
  <si>
    <t>13_2_469</t>
  </si>
  <si>
    <t>13_2_470</t>
  </si>
  <si>
    <t>24/2</t>
  </si>
  <si>
    <t>13_2_471</t>
  </si>
  <si>
    <t>13_2_472</t>
  </si>
  <si>
    <t>Даля ул.</t>
  </si>
  <si>
    <t>13_2_473</t>
  </si>
  <si>
    <t>панельные</t>
  </si>
  <si>
    <t xml:space="preserve">41/5 </t>
  </si>
  <si>
    <t>13_2_474</t>
  </si>
  <si>
    <t>13_2_475</t>
  </si>
  <si>
    <t>13_2_476</t>
  </si>
  <si>
    <t>Грота ул.</t>
  </si>
  <si>
    <t xml:space="preserve">1-3 </t>
  </si>
  <si>
    <t>13_2_477</t>
  </si>
  <si>
    <t>13_2_478</t>
  </si>
  <si>
    <t>13_2_479</t>
  </si>
  <si>
    <t>13_2_480</t>
  </si>
  <si>
    <t>13_2_481</t>
  </si>
  <si>
    <t>13_2_482</t>
  </si>
  <si>
    <t>40</t>
  </si>
  <si>
    <t>13_2_483</t>
  </si>
  <si>
    <t>13_2_484</t>
  </si>
  <si>
    <t>64 к1</t>
  </si>
  <si>
    <t>13_2_485</t>
  </si>
  <si>
    <t>64 к7</t>
  </si>
  <si>
    <t>С</t>
  </si>
  <si>
    <t>13_2_486</t>
  </si>
  <si>
    <t>64 к5</t>
  </si>
  <si>
    <t>13_2_487</t>
  </si>
  <si>
    <t>64 к2</t>
  </si>
  <si>
    <t>13_2_488</t>
  </si>
  <si>
    <t>64 к8</t>
  </si>
  <si>
    <t>П</t>
  </si>
  <si>
    <t>13_2_489</t>
  </si>
  <si>
    <t>64 к6</t>
  </si>
  <si>
    <t>И</t>
  </si>
  <si>
    <t>13_2_490</t>
  </si>
  <si>
    <t>54/31</t>
  </si>
  <si>
    <t>13_2_491</t>
  </si>
  <si>
    <t>13_2_492</t>
  </si>
  <si>
    <t>79</t>
  </si>
  <si>
    <t>13_2_493</t>
  </si>
  <si>
    <t>81</t>
  </si>
  <si>
    <t>13_2_494</t>
  </si>
  <si>
    <t>Малой Невки наб. реки</t>
  </si>
  <si>
    <t>13_2_495</t>
  </si>
  <si>
    <t xml:space="preserve">43 </t>
  </si>
  <si>
    <t>13_2_496</t>
  </si>
  <si>
    <t>13_2_497</t>
  </si>
  <si>
    <t>13_2_498</t>
  </si>
  <si>
    <t>13_2_499</t>
  </si>
  <si>
    <t>Новоладожская ул.</t>
  </si>
  <si>
    <t>13_2_500</t>
  </si>
  <si>
    <t>46</t>
  </si>
  <si>
    <t>13_2_501</t>
  </si>
  <si>
    <t>13_2_502</t>
  </si>
  <si>
    <t>13_2_503</t>
  </si>
  <si>
    <t>13_2_504</t>
  </si>
  <si>
    <t>13_2_505</t>
  </si>
  <si>
    <t>13_2_506</t>
  </si>
  <si>
    <t>Ремесленная ул.</t>
  </si>
  <si>
    <t>13_2_507</t>
  </si>
  <si>
    <t>13_2_508</t>
  </si>
  <si>
    <t>13_2_509</t>
  </si>
  <si>
    <t>Петровский пер.</t>
  </si>
  <si>
    <t>13_2_510</t>
  </si>
  <si>
    <t>13_2_511</t>
  </si>
  <si>
    <t>13_2_512</t>
  </si>
  <si>
    <t>13_2_513</t>
  </si>
  <si>
    <t xml:space="preserve">34 </t>
  </si>
  <si>
    <t>13_2_514</t>
  </si>
  <si>
    <t>13_2_515</t>
  </si>
  <si>
    <t>13_2_516</t>
  </si>
  <si>
    <t>13_2_517</t>
  </si>
  <si>
    <t>13_2_518</t>
  </si>
  <si>
    <t>20 к2</t>
  </si>
  <si>
    <t>13_2_519</t>
  </si>
  <si>
    <t>20 к3</t>
  </si>
  <si>
    <t>13_2_520</t>
  </si>
  <si>
    <t>20 к5</t>
  </si>
  <si>
    <t>13_2_521</t>
  </si>
  <si>
    <t>20 к6</t>
  </si>
  <si>
    <t>13_2_522</t>
  </si>
  <si>
    <t>20 к7</t>
  </si>
  <si>
    <t>13_2_523</t>
  </si>
  <si>
    <t>20 к8</t>
  </si>
  <si>
    <t>13_2_524</t>
  </si>
  <si>
    <t>13_2_525</t>
  </si>
  <si>
    <t>13_2_526</t>
  </si>
  <si>
    <t>13_2_527</t>
  </si>
  <si>
    <t>13_2_528</t>
  </si>
  <si>
    <t>13_2_529</t>
  </si>
  <si>
    <t xml:space="preserve">19 </t>
  </si>
  <si>
    <t>13_2_530</t>
  </si>
  <si>
    <t>13_2_531</t>
  </si>
  <si>
    <t>13_2_532</t>
  </si>
  <si>
    <t>13_2_533</t>
  </si>
  <si>
    <t>13_2_534</t>
  </si>
  <si>
    <t>13_2_535</t>
  </si>
  <si>
    <t>13_2_536</t>
  </si>
  <si>
    <t>31/1</t>
  </si>
  <si>
    <t>13_2_537</t>
  </si>
  <si>
    <t>13_2_538</t>
  </si>
  <si>
    <t>13_2_539</t>
  </si>
  <si>
    <t>13_2_540</t>
  </si>
  <si>
    <t>13_2_541</t>
  </si>
  <si>
    <t>13_2_542</t>
  </si>
  <si>
    <t>13_2_543</t>
  </si>
  <si>
    <t>13_2_544</t>
  </si>
  <si>
    <t>13_2_545</t>
  </si>
  <si>
    <t>8/9</t>
  </si>
  <si>
    <t>13_2_546</t>
  </si>
  <si>
    <t>13_2_547</t>
  </si>
  <si>
    <t>ООО "Петербургтеплоэнерго"</t>
  </si>
  <si>
    <t>ИТП</t>
  </si>
  <si>
    <t>Закрытая</t>
  </si>
  <si>
    <t>ООО "Жилкомсервис № 1 Петроградского района"</t>
  </si>
  <si>
    <t>Местная</t>
  </si>
  <si>
    <t>95-70</t>
  </si>
  <si>
    <t>Двухтрубная</t>
  </si>
  <si>
    <t>Р</t>
  </si>
  <si>
    <t>зависимая</t>
  </si>
  <si>
    <t>ОАО "Ремонтно-эксплуатационное управление"</t>
  </si>
  <si>
    <t xml:space="preserve">ФГБОУ ВПО "Петербургский государственный университет путей сообщения Императора Александра I" </t>
  </si>
  <si>
    <t>Открытая</t>
  </si>
  <si>
    <t>ОАО "Киностудия" Ленфильм"</t>
  </si>
  <si>
    <t>32,20,50,32</t>
  </si>
  <si>
    <t>65,32,65,32</t>
  </si>
  <si>
    <t>ОАО "Иван Федоров"</t>
  </si>
  <si>
    <t>Четырёхтрубная</t>
  </si>
  <si>
    <t>65,32,50</t>
  </si>
  <si>
    <t>закрытая</t>
  </si>
  <si>
    <t xml:space="preserve">2-х тр. </t>
  </si>
  <si>
    <t>от 4,8-5,2 кг/см2</t>
  </si>
  <si>
    <t>отсутствует</t>
  </si>
  <si>
    <t>имеется</t>
  </si>
  <si>
    <t>не треб.</t>
  </si>
  <si>
    <t>инф.отсут.</t>
  </si>
  <si>
    <t>97,73</t>
  </si>
  <si>
    <t>205,05</t>
  </si>
  <si>
    <t>105,53</t>
  </si>
  <si>
    <t>58,92</t>
  </si>
  <si>
    <t>145,36</t>
  </si>
  <si>
    <t>104,51</t>
  </si>
  <si>
    <t>68,94</t>
  </si>
  <si>
    <t>80,9</t>
  </si>
  <si>
    <t>119,41</t>
  </si>
  <si>
    <t>91,29</t>
  </si>
  <si>
    <t>108,77</t>
  </si>
  <si>
    <t>152,76</t>
  </si>
  <si>
    <t>96,17</t>
  </si>
  <si>
    <t>127,69</t>
  </si>
  <si>
    <t>38,73</t>
  </si>
  <si>
    <t>52,74</t>
  </si>
  <si>
    <t>32,65</t>
  </si>
  <si>
    <t>45,95</t>
  </si>
  <si>
    <t>114,35</t>
  </si>
  <si>
    <t>68,41</t>
  </si>
  <si>
    <t>97,22</t>
  </si>
  <si>
    <t>109,84</t>
  </si>
  <si>
    <t>94,57</t>
  </si>
  <si>
    <t>49,41</t>
  </si>
  <si>
    <t>40,81</t>
  </si>
  <si>
    <t>40,5</t>
  </si>
  <si>
    <t>91,99</t>
  </si>
  <si>
    <t>63,57</t>
  </si>
  <si>
    <t>100,69</t>
  </si>
  <si>
    <t>64,65</t>
  </si>
  <si>
    <t>81,11</t>
  </si>
  <si>
    <t>48,15</t>
  </si>
  <si>
    <t>18,86</t>
  </si>
  <si>
    <t>184,04</t>
  </si>
  <si>
    <t>100,08</t>
  </si>
  <si>
    <t>89,88</t>
  </si>
  <si>
    <t>35,78</t>
  </si>
  <si>
    <t>21,84</t>
  </si>
  <si>
    <t>29,81</t>
  </si>
  <si>
    <t>110,6</t>
  </si>
  <si>
    <t>109,67</t>
  </si>
  <si>
    <t>ГУП "ТЭК СПб"</t>
  </si>
  <si>
    <t>75,22</t>
  </si>
  <si>
    <t>101,69</t>
  </si>
  <si>
    <t>60,81</t>
  </si>
  <si>
    <t>88,04</t>
  </si>
  <si>
    <t>70,53</t>
  </si>
  <si>
    <t>34,4</t>
  </si>
  <si>
    <t>124,01</t>
  </si>
  <si>
    <t>73,77</t>
  </si>
  <si>
    <t>110,18</t>
  </si>
  <si>
    <t>47,05</t>
  </si>
  <si>
    <t>105,43</t>
  </si>
  <si>
    <t>69,98</t>
  </si>
  <si>
    <t>94,42</t>
  </si>
  <si>
    <t>90,17</t>
  </si>
  <si>
    <t>54,53</t>
  </si>
  <si>
    <t>80,25</t>
  </si>
  <si>
    <t>14,8</t>
  </si>
  <si>
    <t>14,79</t>
  </si>
  <si>
    <t>133,54</t>
  </si>
  <si>
    <t>57,26</t>
  </si>
  <si>
    <t>47,18</t>
  </si>
  <si>
    <t>139,82</t>
  </si>
  <si>
    <t>90,85</t>
  </si>
  <si>
    <t>51,37</t>
  </si>
  <si>
    <t>Завод им.Кулакова</t>
  </si>
  <si>
    <t xml:space="preserve">4-х тр. </t>
  </si>
  <si>
    <t>22,77</t>
  </si>
  <si>
    <t>201,2</t>
  </si>
  <si>
    <t>20,41</t>
  </si>
  <si>
    <t>9,35</t>
  </si>
  <si>
    <t>14,12</t>
  </si>
  <si>
    <t>56,99</t>
  </si>
  <si>
    <t>11,58</t>
  </si>
  <si>
    <t>70,12</t>
  </si>
  <si>
    <t>100,12</t>
  </si>
  <si>
    <t>56,96</t>
  </si>
  <si>
    <t>64,73</t>
  </si>
  <si>
    <t>36,28</t>
  </si>
  <si>
    <t>95,54</t>
  </si>
  <si>
    <t>94,98</t>
  </si>
  <si>
    <t>89,47</t>
  </si>
  <si>
    <t>76,91</t>
  </si>
  <si>
    <t>45,13</t>
  </si>
  <si>
    <t>44,93</t>
  </si>
  <si>
    <t>97,26</t>
  </si>
  <si>
    <t>60,36</t>
  </si>
  <si>
    <t>86,92</t>
  </si>
  <si>
    <t>15,41</t>
  </si>
  <si>
    <t>83,76</t>
  </si>
  <si>
    <t>106,17</t>
  </si>
  <si>
    <t>69,47</t>
  </si>
  <si>
    <t>9,36</t>
  </si>
  <si>
    <t>17,01</t>
  </si>
  <si>
    <t>48,26</t>
  </si>
  <si>
    <t>28,7</t>
  </si>
  <si>
    <t>41,86</t>
  </si>
  <si>
    <t>55,13</t>
  </si>
  <si>
    <t>152,7</t>
  </si>
  <si>
    <t>146,77</t>
  </si>
  <si>
    <t>198,2</t>
  </si>
  <si>
    <t>27,87</t>
  </si>
  <si>
    <t>133,15</t>
  </si>
  <si>
    <t>53,14</t>
  </si>
  <si>
    <t>243,53</t>
  </si>
  <si>
    <t>166,18</t>
  </si>
  <si>
    <t>102,53</t>
  </si>
  <si>
    <t>114,7</t>
  </si>
  <si>
    <t>48,49</t>
  </si>
  <si>
    <t>40,82</t>
  </si>
  <si>
    <t>24,46</t>
  </si>
  <si>
    <t>144,65</t>
  </si>
  <si>
    <t>31,97</t>
  </si>
  <si>
    <t>85,81</t>
  </si>
  <si>
    <t>14,92</t>
  </si>
  <si>
    <t>136,56</t>
  </si>
  <si>
    <t>136,41</t>
  </si>
  <si>
    <t>132,51</t>
  </si>
  <si>
    <t>125,9</t>
  </si>
  <si>
    <t>83,25</t>
  </si>
  <si>
    <t>73,93</t>
  </si>
  <si>
    <t>129,1</t>
  </si>
  <si>
    <t>93,71</t>
  </si>
  <si>
    <t>69,15</t>
  </si>
  <si>
    <t>75,95</t>
  </si>
  <si>
    <t>116,06</t>
  </si>
  <si>
    <t>71,04</t>
  </si>
  <si>
    <t>85,36</t>
  </si>
  <si>
    <t>217,92</t>
  </si>
  <si>
    <t>121,74</t>
  </si>
  <si>
    <t>202,74</t>
  </si>
  <si>
    <t>12,86</t>
  </si>
  <si>
    <t>101,8</t>
  </si>
  <si>
    <t>30,2</t>
  </si>
  <si>
    <t>19,3</t>
  </si>
  <si>
    <t>24,22</t>
  </si>
  <si>
    <t>169,88</t>
  </si>
  <si>
    <t>169,26</t>
  </si>
  <si>
    <t>23,67</t>
  </si>
  <si>
    <t>33,88</t>
  </si>
  <si>
    <t>33,08</t>
  </si>
  <si>
    <t>32,7</t>
  </si>
  <si>
    <t>44,96</t>
  </si>
  <si>
    <t>34,55</t>
  </si>
  <si>
    <t>23,06</t>
  </si>
  <si>
    <t>31,3</t>
  </si>
  <si>
    <t>92,45</t>
  </si>
  <si>
    <t>84,64</t>
  </si>
  <si>
    <t>100,47</t>
  </si>
  <si>
    <t>136,05</t>
  </si>
  <si>
    <t>72,4</t>
  </si>
  <si>
    <t>28,53</t>
  </si>
  <si>
    <t>20,63</t>
  </si>
  <si>
    <t>43,36</t>
  </si>
  <si>
    <t>112,52</t>
  </si>
  <si>
    <t>73,62</t>
  </si>
  <si>
    <t>100,09</t>
  </si>
  <si>
    <t>97,39</t>
  </si>
  <si>
    <t>133,74</t>
  </si>
  <si>
    <t>92,71</t>
  </si>
  <si>
    <t>125,29</t>
  </si>
  <si>
    <t>244,01</t>
  </si>
  <si>
    <t>147,78</t>
  </si>
  <si>
    <t>96,57</t>
  </si>
  <si>
    <t>83,16</t>
  </si>
  <si>
    <t>44,65</t>
  </si>
  <si>
    <t>15,49</t>
  </si>
  <si>
    <t>38,16</t>
  </si>
  <si>
    <t>106,45</t>
  </si>
  <si>
    <t>93,24</t>
  </si>
  <si>
    <t>85,89</t>
  </si>
  <si>
    <t>55,79</t>
  </si>
  <si>
    <t>75,91</t>
  </si>
  <si>
    <t>83,21</t>
  </si>
  <si>
    <t>36,64</t>
  </si>
  <si>
    <t>173,34</t>
  </si>
  <si>
    <t>117,34</t>
  </si>
  <si>
    <t>61,95</t>
  </si>
  <si>
    <t>56,82</t>
  </si>
  <si>
    <t>144,69</t>
  </si>
  <si>
    <t>8,71</t>
  </si>
  <si>
    <t>12,17</t>
  </si>
  <si>
    <t>14,37</t>
  </si>
  <si>
    <t>74,59</t>
  </si>
  <si>
    <t>88,94</t>
  </si>
  <si>
    <t>31,22</t>
  </si>
  <si>
    <t>107,45</t>
  </si>
  <si>
    <t>67,16</t>
  </si>
  <si>
    <t>68,04</t>
  </si>
  <si>
    <t>47,3</t>
  </si>
  <si>
    <t>46,99</t>
  </si>
  <si>
    <t>28,62</t>
  </si>
  <si>
    <t>46,64</t>
  </si>
  <si>
    <t>30,95</t>
  </si>
  <si>
    <t>17,7</t>
  </si>
  <si>
    <t>26,86</t>
  </si>
  <si>
    <t>112,02</t>
  </si>
  <si>
    <t>69,68</t>
  </si>
  <si>
    <t>65,59</t>
  </si>
  <si>
    <t>44,58</t>
  </si>
  <si>
    <t>26,33</t>
  </si>
  <si>
    <t>39,17</t>
  </si>
  <si>
    <t>114,91</t>
  </si>
  <si>
    <t>191,41</t>
  </si>
  <si>
    <t>42,76</t>
  </si>
  <si>
    <t>117,26</t>
  </si>
  <si>
    <t>197,68</t>
  </si>
  <si>
    <t>27,3</t>
  </si>
  <si>
    <t>26,75</t>
  </si>
  <si>
    <t>36,98</t>
  </si>
  <si>
    <t>95,75</t>
  </si>
  <si>
    <t>44,53</t>
  </si>
  <si>
    <t>103,75</t>
  </si>
  <si>
    <t>отключён от тепла</t>
  </si>
  <si>
    <t>отключен от тепла</t>
  </si>
  <si>
    <t>45,65</t>
  </si>
  <si>
    <t>86,34</t>
  </si>
  <si>
    <t>84,43</t>
  </si>
  <si>
    <t>50,75</t>
  </si>
  <si>
    <t>50,37</t>
  </si>
  <si>
    <t>135,8</t>
  </si>
  <si>
    <t>62,86</t>
  </si>
  <si>
    <t>44,41</t>
  </si>
  <si>
    <t>40,88</t>
  </si>
  <si>
    <t>66,09</t>
  </si>
  <si>
    <t>47,85</t>
  </si>
  <si>
    <t>47,61</t>
  </si>
  <si>
    <t>88,22</t>
  </si>
  <si>
    <t>87,83</t>
  </si>
  <si>
    <t>22,99</t>
  </si>
  <si>
    <t>32,95</t>
  </si>
  <si>
    <t>203,37</t>
  </si>
  <si>
    <t>136,39</t>
  </si>
  <si>
    <t>190,21</t>
  </si>
  <si>
    <t>100,74</t>
  </si>
  <si>
    <t>63,52</t>
  </si>
  <si>
    <t>91,65</t>
  </si>
  <si>
    <t>25,84</t>
  </si>
  <si>
    <t>84,78</t>
  </si>
  <si>
    <t>57,12</t>
  </si>
  <si>
    <t>83,63</t>
  </si>
  <si>
    <t>67,28</t>
  </si>
  <si>
    <t>39,49</t>
  </si>
  <si>
    <t>45,39</t>
  </si>
  <si>
    <t>73,57</t>
  </si>
  <si>
    <t>78,43</t>
  </si>
  <si>
    <t>81,51</t>
  </si>
  <si>
    <t>89,76</t>
  </si>
  <si>
    <t>123,59</t>
  </si>
  <si>
    <t>13,31</t>
  </si>
  <si>
    <t>10,71</t>
  </si>
  <si>
    <t>6,56</t>
  </si>
  <si>
    <t>159,6</t>
  </si>
  <si>
    <t>123,61</t>
  </si>
  <si>
    <t>120,81</t>
  </si>
  <si>
    <t>62,68</t>
  </si>
  <si>
    <t>62,16</t>
  </si>
  <si>
    <t>180,92</t>
  </si>
  <si>
    <t>63,05</t>
  </si>
  <si>
    <t>61,86</t>
  </si>
  <si>
    <t>12,76</t>
  </si>
  <si>
    <t>106,06</t>
  </si>
  <si>
    <t>68,52</t>
  </si>
  <si>
    <t>99,8</t>
  </si>
  <si>
    <t>107,38</t>
  </si>
  <si>
    <t>66,38</t>
  </si>
  <si>
    <t>97,74</t>
  </si>
  <si>
    <t>84,89</t>
  </si>
  <si>
    <t>102,39</t>
  </si>
  <si>
    <t>102,75</t>
  </si>
  <si>
    <t>63,63</t>
  </si>
  <si>
    <t>25,69</t>
  </si>
  <si>
    <t>43,72</t>
  </si>
  <si>
    <t>91,38</t>
  </si>
  <si>
    <t>244,31</t>
  </si>
  <si>
    <t>60,02</t>
  </si>
  <si>
    <t>171,04</t>
  </si>
  <si>
    <t>118,02</t>
  </si>
  <si>
    <t>160,44</t>
  </si>
  <si>
    <t>17,36</t>
  </si>
  <si>
    <t>36,11</t>
  </si>
  <si>
    <t>79,59</t>
  </si>
  <si>
    <t>58,84</t>
  </si>
  <si>
    <t>58,78</t>
  </si>
  <si>
    <t>107,18</t>
  </si>
  <si>
    <t>91,83</t>
  </si>
  <si>
    <t>84,3</t>
  </si>
  <si>
    <t>119,81</t>
  </si>
  <si>
    <t>132,18</t>
  </si>
  <si>
    <t>101,54</t>
  </si>
  <si>
    <t>71,71</t>
  </si>
  <si>
    <t>99,15</t>
  </si>
  <si>
    <t>70,97</t>
  </si>
  <si>
    <t>129,84</t>
  </si>
  <si>
    <t>75,26</t>
  </si>
  <si>
    <t>41,92</t>
  </si>
  <si>
    <t>89,74</t>
  </si>
  <si>
    <t>53,56</t>
  </si>
  <si>
    <t>83,45</t>
  </si>
  <si>
    <t>59,28</t>
  </si>
  <si>
    <t>44,19</t>
  </si>
  <si>
    <t>44,55</t>
  </si>
  <si>
    <t>44,08</t>
  </si>
  <si>
    <t>81,78</t>
  </si>
  <si>
    <t>58,34</t>
  </si>
  <si>
    <t>55,02</t>
  </si>
  <si>
    <t>57,8</t>
  </si>
  <si>
    <t>37,22</t>
  </si>
  <si>
    <t>32,64</t>
  </si>
  <si>
    <t>61,48</t>
  </si>
  <si>
    <t>40,08</t>
  </si>
  <si>
    <t>32,84</t>
  </si>
  <si>
    <t>28,15</t>
  </si>
  <si>
    <t>16,41</t>
  </si>
  <si>
    <t>96,02</t>
  </si>
  <si>
    <t>74,23</t>
  </si>
  <si>
    <t>64,22</t>
  </si>
  <si>
    <t>49,6</t>
  </si>
  <si>
    <t>35,82</t>
  </si>
  <si>
    <t>55,05</t>
  </si>
  <si>
    <t>39,26</t>
  </si>
  <si>
    <t>23,97</t>
  </si>
  <si>
    <t>23,94</t>
  </si>
  <si>
    <t>44,95</t>
  </si>
  <si>
    <t>23,93</t>
  </si>
  <si>
    <t>97,89</t>
  </si>
  <si>
    <t>64,5</t>
  </si>
  <si>
    <t>73,74</t>
  </si>
  <si>
    <t>37,63</t>
  </si>
  <si>
    <t>120,05</t>
  </si>
  <si>
    <t>84,19</t>
  </si>
  <si>
    <t>76,59</t>
  </si>
  <si>
    <t>53,46</t>
  </si>
  <si>
    <t>364,67</t>
  </si>
  <si>
    <t>149,44</t>
  </si>
  <si>
    <t>104,92</t>
  </si>
  <si>
    <t>61,68</t>
  </si>
  <si>
    <t>40,33</t>
  </si>
  <si>
    <t>57,38</t>
  </si>
  <si>
    <t>38,01</t>
  </si>
  <si>
    <t>92,79</t>
  </si>
  <si>
    <t>61,29</t>
  </si>
  <si>
    <t>88,97</t>
  </si>
  <si>
    <t>76,79</t>
  </si>
  <si>
    <t>69,04</t>
  </si>
  <si>
    <t>18,17</t>
  </si>
  <si>
    <t>43,18</t>
  </si>
  <si>
    <t>128,74</t>
  </si>
  <si>
    <t>85,42</t>
  </si>
  <si>
    <t>107,93</t>
  </si>
  <si>
    <t>144,77</t>
  </si>
  <si>
    <t>90,95</t>
  </si>
  <si>
    <t>95,92</t>
  </si>
  <si>
    <t>20,12</t>
  </si>
  <si>
    <t>146,99</t>
  </si>
  <si>
    <t>80,03</t>
  </si>
  <si>
    <t>115,24</t>
  </si>
  <si>
    <t>71,03</t>
  </si>
  <si>
    <t>46,03</t>
  </si>
  <si>
    <t>48,1</t>
  </si>
  <si>
    <t>25,32</t>
  </si>
  <si>
    <t>76,53</t>
  </si>
  <si>
    <t>46,18</t>
  </si>
  <si>
    <t>66,4</t>
  </si>
  <si>
    <t>96,19</t>
  </si>
  <si>
    <t>57,72</t>
  </si>
  <si>
    <t>83,54</t>
  </si>
  <si>
    <t>106,33</t>
  </si>
  <si>
    <t>108,68</t>
  </si>
  <si>
    <t>14,75</t>
  </si>
  <si>
    <t>20,86</t>
  </si>
  <si>
    <t>104,57</t>
  </si>
  <si>
    <t>62,54</t>
  </si>
  <si>
    <t>90,89</t>
  </si>
  <si>
    <t>132,08</t>
  </si>
  <si>
    <t>111,32</t>
  </si>
  <si>
    <t>133,84</t>
  </si>
  <si>
    <t>17,06</t>
  </si>
  <si>
    <t>31,62</t>
  </si>
  <si>
    <t>38,89</t>
  </si>
  <si>
    <t>50,11</t>
  </si>
  <si>
    <t>25,13</t>
  </si>
  <si>
    <t>58,79</t>
  </si>
  <si>
    <t>56,74</t>
  </si>
  <si>
    <t>72,9</t>
  </si>
  <si>
    <t>129,78</t>
  </si>
  <si>
    <t>60,78</t>
  </si>
  <si>
    <t>88,73</t>
  </si>
  <si>
    <t>105,22</t>
  </si>
  <si>
    <t>145,91</t>
  </si>
  <si>
    <t>93,56</t>
  </si>
  <si>
    <t>137,9</t>
  </si>
  <si>
    <t>31,28</t>
  </si>
  <si>
    <t>22,96</t>
  </si>
  <si>
    <t>32,44</t>
  </si>
  <si>
    <t>7,32</t>
  </si>
  <si>
    <t>80,33</t>
  </si>
  <si>
    <t>159,54</t>
  </si>
  <si>
    <t>123,25</t>
  </si>
  <si>
    <t>84,61</t>
  </si>
  <si>
    <t>103,67</t>
  </si>
  <si>
    <t>38,28</t>
  </si>
  <si>
    <t>110,31</t>
  </si>
  <si>
    <t>67,96</t>
  </si>
  <si>
    <t>103,69</t>
  </si>
  <si>
    <t>10,24</t>
  </si>
  <si>
    <t>64,21</t>
  </si>
  <si>
    <t>40,62</t>
  </si>
  <si>
    <t>56,83</t>
  </si>
  <si>
    <t>25,37</t>
  </si>
  <si>
    <t>85,7</t>
  </si>
  <si>
    <t>28,35</t>
  </si>
  <si>
    <t>21,81</t>
  </si>
  <si>
    <t>10,83</t>
  </si>
  <si>
    <t>41,07</t>
  </si>
  <si>
    <t>40,48</t>
  </si>
  <si>
    <t>57,09</t>
  </si>
  <si>
    <t>102,91</t>
  </si>
  <si>
    <t>37,53</t>
  </si>
  <si>
    <t>27,21</t>
  </si>
  <si>
    <t>38,42</t>
  </si>
  <si>
    <t>78,27</t>
  </si>
  <si>
    <t>49,19</t>
  </si>
  <si>
    <t>72,97</t>
  </si>
  <si>
    <t>47,15</t>
  </si>
  <si>
    <t>93,6</t>
  </si>
  <si>
    <t>77,31</t>
  </si>
  <si>
    <t>77,17</t>
  </si>
  <si>
    <t>57,71</t>
  </si>
  <si>
    <t>46,83</t>
  </si>
  <si>
    <t>34,33</t>
  </si>
  <si>
    <t>87,79</t>
  </si>
  <si>
    <t>70,32</t>
  </si>
  <si>
    <t>68,03</t>
  </si>
  <si>
    <t>17,07</t>
  </si>
  <si>
    <t>24,98</t>
  </si>
  <si>
    <t>19,43</t>
  </si>
  <si>
    <t>22,38</t>
  </si>
  <si>
    <t>148,03</t>
  </si>
  <si>
    <t>101,61</t>
  </si>
  <si>
    <t>139,63</t>
  </si>
  <si>
    <t>89,64</t>
  </si>
  <si>
    <t>58,18</t>
  </si>
  <si>
    <t>82,2</t>
  </si>
  <si>
    <t>30,54</t>
  </si>
  <si>
    <t>88,07</t>
  </si>
  <si>
    <t>24,48</t>
  </si>
  <si>
    <t>33,14</t>
  </si>
  <si>
    <t>164,96</t>
  </si>
  <si>
    <t>118,59</t>
  </si>
  <si>
    <t>6,04</t>
  </si>
  <si>
    <t>26,45</t>
  </si>
  <si>
    <t>61,61</t>
  </si>
  <si>
    <t>61,6</t>
  </si>
  <si>
    <t>138,66</t>
  </si>
  <si>
    <t>106,61</t>
  </si>
  <si>
    <t>119,19</t>
  </si>
  <si>
    <t>102,4</t>
  </si>
  <si>
    <t>78,4</t>
  </si>
  <si>
    <t>71,95</t>
  </si>
  <si>
    <t>25,57</t>
  </si>
  <si>
    <t>19,53</t>
  </si>
  <si>
    <t>14,25</t>
  </si>
  <si>
    <t>177,33</t>
  </si>
  <si>
    <t>136,45</t>
  </si>
  <si>
    <t>134,82</t>
  </si>
  <si>
    <t>153,32</t>
  </si>
  <si>
    <t>19,28</t>
  </si>
  <si>
    <t>63,36</t>
  </si>
  <si>
    <t>39,68</t>
  </si>
  <si>
    <t>59,09</t>
  </si>
  <si>
    <t>35,79</t>
  </si>
  <si>
    <t>29,63</t>
  </si>
  <si>
    <t>29,46</t>
  </si>
  <si>
    <t>75,76</t>
  </si>
  <si>
    <t>51,81</t>
  </si>
  <si>
    <t>68,59</t>
  </si>
  <si>
    <t>57,99</t>
  </si>
  <si>
    <t>46,84</t>
  </si>
  <si>
    <t>35,15</t>
  </si>
  <si>
    <t>81,09</t>
  </si>
  <si>
    <t>60,23</t>
  </si>
  <si>
    <t>67,2</t>
  </si>
  <si>
    <t>76,63</t>
  </si>
  <si>
    <t>58,05</t>
  </si>
  <si>
    <t>56,63</t>
  </si>
  <si>
    <t>24,69</t>
  </si>
  <si>
    <t>26,56</t>
  </si>
  <si>
    <t>155,28</t>
  </si>
  <si>
    <t>103,08</t>
  </si>
  <si>
    <t>145,67</t>
  </si>
  <si>
    <t>10,79</t>
  </si>
  <si>
    <t>64,74</t>
  </si>
  <si>
    <t>37,27</t>
  </si>
  <si>
    <t>59,76</t>
  </si>
  <si>
    <t>17,91</t>
  </si>
  <si>
    <t>22,04</t>
  </si>
  <si>
    <t>42,84</t>
  </si>
  <si>
    <t>23,53</t>
  </si>
  <si>
    <t>18,85</t>
  </si>
  <si>
    <t>15,03</t>
  </si>
  <si>
    <t>81,67</t>
  </si>
  <si>
    <t>53,9</t>
  </si>
  <si>
    <t>179,43</t>
  </si>
  <si>
    <t>104,7</t>
  </si>
  <si>
    <t>156,09</t>
  </si>
  <si>
    <t>91,89</t>
  </si>
  <si>
    <t>80,39</t>
  </si>
  <si>
    <t>222,99</t>
  </si>
  <si>
    <t>141,04</t>
  </si>
  <si>
    <t>199,21</t>
  </si>
  <si>
    <t>32,07</t>
  </si>
  <si>
    <t>32,06</t>
  </si>
  <si>
    <t>127,24</t>
  </si>
  <si>
    <t>101,25</t>
  </si>
  <si>
    <t>71,46</t>
  </si>
  <si>
    <t>45,91</t>
  </si>
  <si>
    <t>47,81</t>
  </si>
  <si>
    <t>149,14</t>
  </si>
  <si>
    <t>38,93</t>
  </si>
  <si>
    <t>42,58</t>
  </si>
  <si>
    <t>21,83</t>
  </si>
  <si>
    <t>115,04</t>
  </si>
  <si>
    <t>72,33</t>
  </si>
  <si>
    <t>104,35</t>
  </si>
  <si>
    <t>140,49</t>
  </si>
  <si>
    <t>85,94</t>
  </si>
  <si>
    <t>126,01</t>
  </si>
  <si>
    <t>48,44</t>
  </si>
  <si>
    <t>73,12</t>
  </si>
  <si>
    <t>45,41</t>
  </si>
  <si>
    <t>69,96</t>
  </si>
  <si>
    <t>52,84</t>
  </si>
  <si>
    <t>34,48</t>
  </si>
  <si>
    <t>34,47</t>
  </si>
  <si>
    <t>43,1</t>
  </si>
  <si>
    <t>30,64</t>
  </si>
  <si>
    <t>33,91</t>
  </si>
  <si>
    <t>65,11</t>
  </si>
  <si>
    <t>50,76</t>
  </si>
  <si>
    <t>53,28</t>
  </si>
  <si>
    <t>18,35</t>
  </si>
  <si>
    <t>17,96</t>
  </si>
  <si>
    <t>20,09</t>
  </si>
  <si>
    <t>33,45</t>
  </si>
  <si>
    <t>24,2</t>
  </si>
  <si>
    <t>49,7</t>
  </si>
  <si>
    <t>13,08</t>
  </si>
  <si>
    <t>115,64</t>
  </si>
  <si>
    <t>74,15</t>
  </si>
  <si>
    <t>52,3</t>
  </si>
  <si>
    <t>42,74</t>
  </si>
  <si>
    <t>24,02</t>
  </si>
  <si>
    <t>11,16</t>
  </si>
  <si>
    <t>20,3</t>
  </si>
  <si>
    <t>106,29</t>
  </si>
  <si>
    <t>61,38</t>
  </si>
  <si>
    <t>24,12</t>
  </si>
  <si>
    <t>165,89</t>
  </si>
  <si>
    <t>23,95</t>
  </si>
  <si>
    <t>14,74</t>
  </si>
  <si>
    <t>66,84</t>
  </si>
  <si>
    <t>156,41</t>
  </si>
  <si>
    <t>90,63</t>
  </si>
  <si>
    <t>137,55</t>
  </si>
  <si>
    <t>69,34</t>
  </si>
  <si>
    <t>52,56</t>
  </si>
  <si>
    <t>77,94</t>
  </si>
  <si>
    <t>139,35</t>
  </si>
  <si>
    <t>200,98</t>
  </si>
  <si>
    <t>123,34</t>
  </si>
  <si>
    <t>72,63</t>
  </si>
  <si>
    <t>107,61</t>
  </si>
  <si>
    <t>139,33</t>
  </si>
  <si>
    <t>83,49</t>
  </si>
  <si>
    <t>32,32</t>
  </si>
  <si>
    <t>42,98</t>
  </si>
  <si>
    <t>56,48</t>
  </si>
  <si>
    <t>26,06</t>
  </si>
  <si>
    <t>50,99</t>
  </si>
  <si>
    <t>101,44</t>
  </si>
  <si>
    <t>112,23</t>
  </si>
  <si>
    <t>107,96</t>
  </si>
  <si>
    <t>69,61</t>
  </si>
  <si>
    <t>97,45</t>
  </si>
  <si>
    <t>105,72</t>
  </si>
  <si>
    <t>69,67</t>
  </si>
  <si>
    <t>65,4</t>
  </si>
  <si>
    <t>68,55</t>
  </si>
  <si>
    <t>44,13</t>
  </si>
  <si>
    <t>62,9</t>
  </si>
  <si>
    <t>23,92</t>
  </si>
  <si>
    <t>60,87</t>
  </si>
  <si>
    <t>58,08</t>
  </si>
  <si>
    <t>46,07</t>
  </si>
  <si>
    <t>25,89</t>
  </si>
  <si>
    <t>42,24</t>
  </si>
  <si>
    <t>62,46</t>
  </si>
  <si>
    <t>36,99</t>
  </si>
  <si>
    <t>158,55</t>
  </si>
  <si>
    <t>110,26</t>
  </si>
  <si>
    <t>123,54</t>
  </si>
  <si>
    <t>134,88</t>
  </si>
  <si>
    <t>112,25</t>
  </si>
  <si>
    <t>69,46</t>
  </si>
  <si>
    <t>101,89</t>
  </si>
  <si>
    <t>45,44</t>
  </si>
  <si>
    <t>16,01</t>
  </si>
  <si>
    <t>15,73</t>
  </si>
  <si>
    <t>89,35</t>
  </si>
  <si>
    <t>97,37</t>
  </si>
  <si>
    <t>83,43</t>
  </si>
  <si>
    <t>81,93</t>
  </si>
  <si>
    <t>48,38</t>
  </si>
  <si>
    <t>71,8</t>
  </si>
  <si>
    <t>49,22</t>
  </si>
  <si>
    <t>51,08</t>
  </si>
  <si>
    <t>98,47</t>
  </si>
  <si>
    <t>98,44</t>
  </si>
  <si>
    <t>44,77</t>
  </si>
  <si>
    <t>128,27</t>
  </si>
  <si>
    <t>44,27</t>
  </si>
  <si>
    <t>125,53</t>
  </si>
  <si>
    <t>79,8</t>
  </si>
  <si>
    <t>120,53</t>
  </si>
  <si>
    <t>138,89</t>
  </si>
  <si>
    <t>86,13</t>
  </si>
  <si>
    <t>130,16</t>
  </si>
  <si>
    <t>13,78</t>
  </si>
  <si>
    <t>90,19</t>
  </si>
  <si>
    <t>96,22</t>
  </si>
  <si>
    <t>23,46</t>
  </si>
  <si>
    <t>194,19</t>
  </si>
  <si>
    <t>154,89</t>
  </si>
  <si>
    <t>194,05</t>
  </si>
  <si>
    <t>178,33</t>
  </si>
  <si>
    <t>110,06</t>
  </si>
  <si>
    <t>164,98</t>
  </si>
  <si>
    <t>133,87</t>
  </si>
  <si>
    <t>66,61</t>
  </si>
  <si>
    <t>70,49</t>
  </si>
  <si>
    <t>69,74</t>
  </si>
  <si>
    <t>75,34</t>
  </si>
  <si>
    <t>72,5</t>
  </si>
  <si>
    <t>43,15</t>
  </si>
  <si>
    <t>64,02</t>
  </si>
  <si>
    <t>32,11</t>
  </si>
  <si>
    <t>235,3</t>
  </si>
  <si>
    <t>142,34</t>
  </si>
  <si>
    <t>211,94</t>
  </si>
  <si>
    <t>150,94</t>
  </si>
  <si>
    <t>88,61</t>
  </si>
  <si>
    <t>134,37</t>
  </si>
  <si>
    <t>117,42</t>
  </si>
  <si>
    <t>29,49</t>
  </si>
  <si>
    <t>42,77</t>
  </si>
  <si>
    <t>72,49</t>
  </si>
  <si>
    <t>71,85</t>
  </si>
  <si>
    <t>135,55</t>
  </si>
  <si>
    <t>134,75</t>
  </si>
  <si>
    <t>182,14</t>
  </si>
  <si>
    <t>63,27</t>
  </si>
  <si>
    <t>184,03</t>
  </si>
  <si>
    <t>170,22</t>
  </si>
  <si>
    <t>186,88</t>
  </si>
  <si>
    <t>186,18</t>
  </si>
  <si>
    <t>43,55</t>
  </si>
  <si>
    <t>84,99</t>
  </si>
  <si>
    <t>73,66</t>
  </si>
  <si>
    <t>236,87</t>
  </si>
  <si>
    <t>140,48</t>
  </si>
  <si>
    <t>215,29</t>
  </si>
  <si>
    <t>206,48</t>
  </si>
  <si>
    <t>184,51</t>
  </si>
  <si>
    <t>120,91</t>
  </si>
  <si>
    <t>93,76</t>
  </si>
  <si>
    <t>78,69</t>
  </si>
  <si>
    <t>4,43</t>
  </si>
  <si>
    <t>213,77</t>
  </si>
  <si>
    <t>170,8</t>
  </si>
  <si>
    <t>110,17</t>
  </si>
  <si>
    <t>203,17</t>
  </si>
  <si>
    <t>248,48</t>
  </si>
  <si>
    <t>71,17</t>
  </si>
  <si>
    <t>70,28</t>
  </si>
  <si>
    <t>99,63</t>
  </si>
  <si>
    <t>77,84</t>
  </si>
  <si>
    <t>59,94</t>
  </si>
  <si>
    <t>130,26</t>
  </si>
  <si>
    <t>115,34</t>
  </si>
  <si>
    <t>76,1</t>
  </si>
  <si>
    <t>72,98</t>
  </si>
  <si>
    <t>46,3</t>
  </si>
  <si>
    <t>45,82</t>
  </si>
  <si>
    <t>33,64</t>
  </si>
  <si>
    <t>49,58</t>
  </si>
  <si>
    <t>49,57</t>
  </si>
  <si>
    <t>ГУМВДУГиБДД</t>
  </si>
  <si>
    <t>автономное</t>
  </si>
  <si>
    <t>нет данных</t>
  </si>
  <si>
    <t>3,2</t>
  </si>
  <si>
    <t>3,72</t>
  </si>
  <si>
    <t>42,23</t>
  </si>
  <si>
    <t>32,28</t>
  </si>
  <si>
    <t>41,04</t>
  </si>
  <si>
    <t>247,25</t>
  </si>
  <si>
    <t>167,55</t>
  </si>
  <si>
    <t>244,07</t>
  </si>
  <si>
    <t>119,2</t>
  </si>
  <si>
    <t>135,9</t>
  </si>
  <si>
    <t>100,63</t>
  </si>
  <si>
    <t>133,37</t>
  </si>
  <si>
    <t>86,95</t>
  </si>
  <si>
    <t>108,57</t>
  </si>
  <si>
    <t>87,19</t>
  </si>
  <si>
    <t>118,71</t>
  </si>
  <si>
    <t>313,53</t>
  </si>
  <si>
    <t>49,89</t>
  </si>
  <si>
    <t>35,89</t>
  </si>
  <si>
    <t>92,61</t>
  </si>
  <si>
    <t>94,12</t>
  </si>
  <si>
    <t>18,88</t>
  </si>
  <si>
    <t>18,42</t>
  </si>
  <si>
    <t>54,34</t>
  </si>
  <si>
    <t>38,38</t>
  </si>
  <si>
    <t>22,09</t>
  </si>
  <si>
    <t>15,02</t>
  </si>
  <si>
    <t>15,01</t>
  </si>
  <si>
    <t>51,79</t>
  </si>
  <si>
    <t>54,98</t>
  </si>
  <si>
    <t>9,43</t>
  </si>
  <si>
    <t>22,37</t>
  </si>
  <si>
    <t>30,58</t>
  </si>
  <si>
    <t>96,45</t>
  </si>
  <si>
    <t>53,83</t>
  </si>
  <si>
    <t>87,75</t>
  </si>
  <si>
    <t>160,05</t>
  </si>
  <si>
    <t>86,88</t>
  </si>
  <si>
    <t>25,86</t>
  </si>
  <si>
    <t>196,94</t>
  </si>
  <si>
    <t>112,33</t>
  </si>
  <si>
    <t>182,66</t>
  </si>
  <si>
    <t>31,86</t>
  </si>
  <si>
    <t>24,73</t>
  </si>
  <si>
    <t>38,33</t>
  </si>
  <si>
    <t>36,69</t>
  </si>
  <si>
    <t>12,69</t>
  </si>
  <si>
    <t>24,37</t>
  </si>
  <si>
    <t>1,87</t>
  </si>
  <si>
    <t>5,24</t>
  </si>
  <si>
    <t>30,42</t>
  </si>
  <si>
    <t>89,79</t>
  </si>
  <si>
    <t>120,61</t>
  </si>
  <si>
    <t>77,15</t>
  </si>
  <si>
    <t>115,99</t>
  </si>
  <si>
    <t>25,17</t>
  </si>
  <si>
    <t>59,49</t>
  </si>
  <si>
    <t>34,72</t>
  </si>
  <si>
    <t>57,73</t>
  </si>
  <si>
    <t>188,33</t>
  </si>
  <si>
    <t>109,48</t>
  </si>
  <si>
    <t>175,78</t>
  </si>
  <si>
    <t>220,28</t>
  </si>
  <si>
    <t>58,9</t>
  </si>
  <si>
    <t>65,84</t>
  </si>
  <si>
    <t>59,72</t>
  </si>
  <si>
    <t>65,48</t>
  </si>
  <si>
    <t>57,31</t>
  </si>
  <si>
    <t>56,98</t>
  </si>
  <si>
    <t>124,44</t>
  </si>
  <si>
    <t>43,92</t>
  </si>
  <si>
    <t>20,57</t>
  </si>
  <si>
    <t>15,47</t>
  </si>
  <si>
    <t>42,71</t>
  </si>
  <si>
    <t>174,9</t>
  </si>
  <si>
    <t>110,95</t>
  </si>
  <si>
    <t>167,45</t>
  </si>
  <si>
    <t>37,93</t>
  </si>
  <si>
    <t>ООО "Жилкомсервис № 2 Петроградского района"</t>
  </si>
  <si>
    <t>с ЛН</t>
  </si>
  <si>
    <t>нет информации</t>
  </si>
  <si>
    <t>по приборам</t>
  </si>
  <si>
    <t>СВД</t>
  </si>
  <si>
    <t>ОАО "Петербургская сбытовая компания"</t>
  </si>
  <si>
    <t xml:space="preserve">Силовая нагрузка + электроэнергия МОП </t>
  </si>
  <si>
    <t>лампа накаливания</t>
  </si>
  <si>
    <t>энергосберегающие</t>
  </si>
  <si>
    <t>ООО "Жилкомсервис № 2Петроградского района"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</si>
</sst>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2" x14ac:knownFonts="1"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1"/>
      <color theme="1"/>
      <name val="Times New Roman"/>
      <family val="1"/>
      <charset val="204"/>
    </font>
    <font>
      <i/>
      <sz val="11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2"/>
      <color rgb="FF00B050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9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FFE9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/>
  </cellStyleXfs>
  <cellXfs count="179">
    <xf numFmtId="0" fontId="0" fillId="0" borderId="0" xfId="0"/>
    <xf numFmtId="0" fontId="1" fillId="0" borderId="0" xfId="0" applyFont="1"/>
    <xf numFmtId="0" fontId="1" fillId="0" borderId="0" xfId="0" applyFont="1" applyFill="1"/>
    <xf numFmtId="0" fontId="1" fillId="0" borderId="0" xfId="0" applyFont="1" applyAlignment="1">
      <alignment wrapText="1"/>
    </xf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3" fillId="0" borderId="0" xfId="0" applyFont="1" applyAlignment="1">
      <alignment wrapText="1"/>
    </xf>
    <xf numFmtId="164" fontId="3" fillId="5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/>
    <xf numFmtId="0" fontId="5" fillId="0" borderId="0" xfId="0" applyFont="1" applyAlignment="1">
      <alignment wrapText="1"/>
    </xf>
    <xf numFmtId="0" fontId="1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5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7" fillId="0" borderId="1" xfId="0" applyFont="1" applyBorder="1"/>
    <xf numFmtId="0" fontId="4" fillId="0" borderId="0" xfId="0" applyFont="1"/>
    <xf numFmtId="0" fontId="8" fillId="0" borderId="0" xfId="0" applyFont="1"/>
    <xf numFmtId="0" fontId="3" fillId="5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4" fillId="0" borderId="0" xfId="0" applyFont="1" applyFill="1"/>
    <xf numFmtId="0" fontId="2" fillId="5" borderId="1" xfId="0" applyFont="1" applyFill="1" applyBorder="1" applyAlignment="1">
      <alignment horizontal="center" vertical="center" wrapText="1"/>
    </xf>
    <xf numFmtId="0" fontId="1" fillId="0" borderId="1" xfId="0" applyFont="1" applyFill="1" applyBorder="1"/>
    <xf numFmtId="0" fontId="5" fillId="0" borderId="1" xfId="0" applyFont="1" applyFill="1" applyBorder="1" applyAlignment="1">
      <alignment wrapText="1"/>
    </xf>
    <xf numFmtId="0" fontId="4" fillId="0" borderId="1" xfId="0" applyFont="1" applyFill="1" applyBorder="1"/>
    <xf numFmtId="0" fontId="3" fillId="7" borderId="1" xfId="0" applyFont="1" applyFill="1" applyBorder="1" applyAlignment="1">
      <alignment horizontal="center" vertical="center" wrapText="1"/>
    </xf>
    <xf numFmtId="0" fontId="10" fillId="0" borderId="0" xfId="0" applyFont="1" applyAlignment="1"/>
    <xf numFmtId="0" fontId="1" fillId="0" borderId="0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wrapText="1"/>
    </xf>
    <xf numFmtId="0" fontId="9" fillId="0" borderId="1" xfId="0" applyFont="1" applyFill="1" applyBorder="1" applyAlignment="1">
      <alignment wrapText="1"/>
    </xf>
    <xf numFmtId="0" fontId="10" fillId="0" borderId="0" xfId="0" applyFont="1"/>
    <xf numFmtId="0" fontId="1" fillId="0" borderId="0" xfId="0" applyFont="1" applyBorder="1"/>
    <xf numFmtId="0" fontId="4" fillId="0" borderId="1" xfId="0" applyFont="1" applyBorder="1"/>
    <xf numFmtId="0" fontId="1" fillId="0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2" fillId="0" borderId="0" xfId="0" applyFont="1"/>
    <xf numFmtId="0" fontId="4" fillId="2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3" fontId="1" fillId="0" borderId="0" xfId="0" applyNumberFormat="1" applyFont="1" applyAlignment="1">
      <alignment horizontal="left"/>
    </xf>
    <xf numFmtId="0" fontId="1" fillId="0" borderId="0" xfId="0" applyFont="1" applyFill="1" applyBorder="1"/>
    <xf numFmtId="0" fontId="5" fillId="0" borderId="0" xfId="0" applyFont="1" applyFill="1" applyBorder="1" applyAlignment="1">
      <alignment wrapText="1"/>
    </xf>
    <xf numFmtId="0" fontId="1" fillId="0" borderId="0" xfId="0" applyFont="1" applyFill="1" applyAlignment="1">
      <alignment vertical="top"/>
    </xf>
    <xf numFmtId="0" fontId="1" fillId="0" borderId="0" xfId="0" applyFont="1" applyFill="1" applyAlignment="1">
      <alignment horizontal="center" vertical="top" wrapText="1"/>
    </xf>
    <xf numFmtId="0" fontId="4" fillId="0" borderId="0" xfId="0" applyFont="1" applyBorder="1"/>
    <xf numFmtId="0" fontId="9" fillId="0" borderId="0" xfId="0" applyFont="1" applyFill="1" applyBorder="1" applyAlignment="1">
      <alignment wrapText="1"/>
    </xf>
    <xf numFmtId="0" fontId="1" fillId="2" borderId="1" xfId="0" applyFont="1" applyFill="1" applyBorder="1"/>
    <xf numFmtId="0" fontId="1" fillId="8" borderId="1" xfId="0" applyFont="1" applyFill="1" applyBorder="1"/>
    <xf numFmtId="0" fontId="1" fillId="9" borderId="1" xfId="0" applyFont="1" applyFill="1" applyBorder="1"/>
    <xf numFmtId="0" fontId="1" fillId="5" borderId="1" xfId="0" applyFont="1" applyFill="1" applyBorder="1"/>
    <xf numFmtId="0" fontId="8" fillId="5" borderId="1" xfId="0" applyFont="1" applyFill="1" applyBorder="1"/>
    <xf numFmtId="0" fontId="4" fillId="5" borderId="1" xfId="0" applyFont="1" applyFill="1" applyBorder="1"/>
    <xf numFmtId="0" fontId="1" fillId="10" borderId="1" xfId="0" applyFont="1" applyFill="1" applyBorder="1"/>
    <xf numFmtId="0" fontId="4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7" fillId="0" borderId="0" xfId="0" applyFont="1"/>
    <xf numFmtId="0" fontId="4" fillId="12" borderId="0" xfId="0" applyFont="1" applyFill="1"/>
    <xf numFmtId="0" fontId="3" fillId="12" borderId="0" xfId="0" applyFont="1" applyFill="1"/>
    <xf numFmtId="49" fontId="4" fillId="12" borderId="0" xfId="0" applyNumberFormat="1" applyFont="1" applyFill="1" applyAlignment="1">
      <alignment horizontal="center"/>
    </xf>
    <xf numFmtId="0" fontId="2" fillId="2" borderId="3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/>
    <xf numFmtId="0" fontId="1" fillId="0" borderId="7" xfId="0" applyFont="1" applyBorder="1"/>
    <xf numFmtId="0" fontId="1" fillId="0" borderId="7" xfId="0" applyFont="1" applyBorder="1" applyAlignment="1"/>
    <xf numFmtId="0" fontId="2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49" fontId="1" fillId="0" borderId="0" xfId="0" applyNumberFormat="1" applyFont="1"/>
    <xf numFmtId="49" fontId="1" fillId="0" borderId="1" xfId="0" applyNumberFormat="1" applyFont="1" applyBorder="1"/>
    <xf numFmtId="0" fontId="1" fillId="13" borderId="0" xfId="0" applyFont="1" applyFill="1"/>
    <xf numFmtId="0" fontId="5" fillId="13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wrapText="1"/>
    </xf>
    <xf numFmtId="0" fontId="1" fillId="13" borderId="0" xfId="0" applyFont="1" applyFill="1" applyAlignment="1">
      <alignment wrapText="1"/>
    </xf>
    <xf numFmtId="2" fontId="1" fillId="0" borderId="1" xfId="0" applyNumberFormat="1" applyFont="1" applyFill="1" applyBorder="1"/>
    <xf numFmtId="0" fontId="4" fillId="0" borderId="4" xfId="0" applyFont="1" applyFill="1" applyBorder="1"/>
    <xf numFmtId="0" fontId="1" fillId="0" borderId="4" xfId="0" applyFont="1" applyFill="1" applyBorder="1"/>
    <xf numFmtId="0" fontId="4" fillId="0" borderId="4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wrapText="1"/>
    </xf>
    <xf numFmtId="0" fontId="1" fillId="0" borderId="0" xfId="0" applyFont="1" applyFill="1" applyAlignment="1">
      <alignment wrapText="1"/>
    </xf>
    <xf numFmtId="0" fontId="7" fillId="0" borderId="1" xfId="0" applyFont="1" applyFill="1" applyBorder="1"/>
    <xf numFmtId="0" fontId="1" fillId="0" borderId="1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wrapText="1"/>
    </xf>
    <xf numFmtId="0" fontId="1" fillId="0" borderId="1" xfId="0" applyFont="1" applyFill="1" applyBorder="1" applyAlignment="1">
      <alignment horizontal="left" wrapText="1"/>
    </xf>
    <xf numFmtId="2" fontId="1" fillId="0" borderId="1" xfId="0" applyNumberFormat="1" applyFont="1" applyFill="1" applyBorder="1" applyAlignment="1">
      <alignment wrapText="1"/>
    </xf>
    <xf numFmtId="2" fontId="5" fillId="0" borderId="1" xfId="0" applyNumberFormat="1" applyFont="1" applyFill="1" applyBorder="1" applyAlignment="1">
      <alignment wrapText="1"/>
    </xf>
    <xf numFmtId="0" fontId="5" fillId="0" borderId="1" xfId="0" applyFont="1" applyFill="1" applyBorder="1" applyAlignment="1">
      <alignment horizontal="left" wrapText="1"/>
    </xf>
    <xf numFmtId="0" fontId="1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2" fontId="5" fillId="0" borderId="1" xfId="0" applyNumberFormat="1" applyFont="1" applyFill="1" applyBorder="1" applyAlignment="1">
      <alignment horizontal="right"/>
    </xf>
    <xf numFmtId="0" fontId="5" fillId="0" borderId="4" xfId="0" applyFont="1" applyFill="1" applyBorder="1" applyAlignment="1">
      <alignment wrapText="1"/>
    </xf>
    <xf numFmtId="0" fontId="1" fillId="0" borderId="1" xfId="0" applyFont="1" applyFill="1" applyBorder="1" applyAlignment="1">
      <alignment horizontal="right" wrapText="1"/>
    </xf>
    <xf numFmtId="2" fontId="5" fillId="0" borderId="1" xfId="0" applyNumberFormat="1" applyFont="1" applyFill="1" applyBorder="1" applyAlignment="1">
      <alignment horizontal="right" wrapText="1"/>
    </xf>
    <xf numFmtId="2" fontId="4" fillId="0" borderId="1" xfId="0" applyNumberFormat="1" applyFont="1" applyFill="1" applyBorder="1" applyAlignment="1">
      <alignment horizontal="right" vertical="center" wrapText="1"/>
    </xf>
    <xf numFmtId="0" fontId="4" fillId="0" borderId="1" xfId="0" applyFont="1" applyFill="1" applyBorder="1" applyAlignment="1">
      <alignment horizontal="right" vertical="center" wrapText="1"/>
    </xf>
    <xf numFmtId="0" fontId="1" fillId="0" borderId="4" xfId="0" applyFont="1" applyFill="1" applyBorder="1" applyAlignment="1">
      <alignment wrapText="1"/>
    </xf>
    <xf numFmtId="0" fontId="4" fillId="0" borderId="3" xfId="0" applyFont="1" applyFill="1" applyBorder="1"/>
    <xf numFmtId="0" fontId="1" fillId="0" borderId="3" xfId="0" applyFont="1" applyFill="1" applyBorder="1" applyAlignment="1">
      <alignment wrapText="1"/>
    </xf>
    <xf numFmtId="0" fontId="2" fillId="2" borderId="1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left" vertical="center"/>
    </xf>
    <xf numFmtId="0" fontId="2" fillId="3" borderId="6" xfId="0" applyFont="1" applyFill="1" applyBorder="1" applyAlignment="1">
      <alignment horizontal="left" vertical="center"/>
    </xf>
    <xf numFmtId="0" fontId="2" fillId="3" borderId="7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wrapText="1"/>
    </xf>
    <xf numFmtId="0" fontId="2" fillId="5" borderId="1" xfId="0" applyFont="1" applyFill="1" applyBorder="1" applyAlignment="1">
      <alignment wrapText="1"/>
    </xf>
    <xf numFmtId="0" fontId="3" fillId="5" borderId="2" xfId="0" applyFont="1" applyFill="1" applyBorder="1" applyAlignment="1">
      <alignment horizontal="center" wrapText="1"/>
    </xf>
    <xf numFmtId="0" fontId="3" fillId="5" borderId="6" xfId="0" applyFont="1" applyFill="1" applyBorder="1" applyAlignment="1">
      <alignment horizontal="center" wrapText="1"/>
    </xf>
    <xf numFmtId="0" fontId="3" fillId="5" borderId="7" xfId="0" applyFont="1" applyFill="1" applyBorder="1" applyAlignment="1">
      <alignment horizontal="center" wrapText="1"/>
    </xf>
    <xf numFmtId="0" fontId="3" fillId="5" borderId="2" xfId="0" applyFont="1" applyFill="1" applyBorder="1" applyAlignment="1">
      <alignment horizontal="left" wrapText="1"/>
    </xf>
    <xf numFmtId="0" fontId="3" fillId="5" borderId="6" xfId="0" applyFont="1" applyFill="1" applyBorder="1" applyAlignment="1">
      <alignment horizontal="left" wrapText="1"/>
    </xf>
    <xf numFmtId="0" fontId="3" fillId="5" borderId="7" xfId="0" applyFont="1" applyFill="1" applyBorder="1" applyAlignment="1">
      <alignment horizontal="left" wrapText="1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3" fillId="7" borderId="4" xfId="0" applyFont="1" applyFill="1" applyBorder="1" applyAlignment="1">
      <alignment horizontal="center" vertical="center" wrapText="1"/>
    </xf>
    <xf numFmtId="0" fontId="3" fillId="7" borderId="5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0" fontId="2" fillId="8" borderId="5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wrapText="1"/>
    </xf>
    <xf numFmtId="0" fontId="1" fillId="0" borderId="3" xfId="0" applyFont="1" applyFill="1" applyBorder="1" applyAlignment="1">
      <alignment horizontal="center" wrapText="1"/>
    </xf>
    <xf numFmtId="0" fontId="1" fillId="0" borderId="4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wrapText="1"/>
    </xf>
    <xf numFmtId="0" fontId="0" fillId="0" borderId="5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1" fillId="0" borderId="0" xfId="0" applyFont="1" applyFill="1" applyAlignment="1">
      <alignment horizontal="left" vertical="top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99FF99"/>
      <color rgb="FFEFFE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069"/>
  <sheetViews>
    <sheetView tabSelected="1" view="pageBreakPreview" topLeftCell="A993" zoomScale="70" zoomScaleNormal="60" zoomScaleSheetLayoutView="70" workbookViewId="0">
      <selection activeCell="A1002" sqref="A1002"/>
    </sheetView>
  </sheetViews>
  <sheetFormatPr defaultColWidth="9.109375" defaultRowHeight="15.6" x14ac:dyDescent="0.3"/>
  <cols>
    <col min="1" max="1" width="5.44140625" style="1" customWidth="1"/>
    <col min="2" max="2" width="15.44140625" style="1" customWidth="1"/>
    <col min="3" max="3" width="16.6640625" style="1" customWidth="1"/>
    <col min="4" max="4" width="16" style="1" customWidth="1"/>
    <col min="5" max="5" width="9.6640625" style="1" customWidth="1"/>
    <col min="6" max="7" width="10.88671875" style="1" customWidth="1"/>
    <col min="8" max="8" width="11.33203125" style="1" customWidth="1"/>
    <col min="9" max="9" width="18.109375" style="1" customWidth="1"/>
    <col min="10" max="10" width="20.6640625" style="1" customWidth="1"/>
    <col min="11" max="13" width="9.6640625" style="1" customWidth="1"/>
    <col min="14" max="14" width="13.109375" style="1" customWidth="1"/>
    <col min="15" max="16" width="17.44140625" style="1" customWidth="1"/>
    <col min="17" max="18" width="11.44140625" style="1" customWidth="1"/>
    <col min="19" max="19" width="11.109375" style="1" customWidth="1"/>
    <col min="20" max="20" width="12.109375" style="1" customWidth="1"/>
    <col min="21" max="21" width="13.33203125" style="1" customWidth="1"/>
    <col min="22" max="22" width="15.88671875" style="1" customWidth="1"/>
    <col min="23" max="23" width="9.6640625" style="1" customWidth="1"/>
    <col min="24" max="25" width="9.109375" style="1" customWidth="1"/>
    <col min="26" max="28" width="9.6640625" style="1" customWidth="1"/>
    <col min="29" max="30" width="8.6640625" style="1" customWidth="1"/>
    <col min="31" max="32" width="8.88671875" style="1" customWidth="1"/>
    <col min="33" max="37" width="7.44140625" style="1" customWidth="1"/>
    <col min="38" max="38" width="16.33203125" style="1" customWidth="1"/>
    <col min="39" max="16384" width="9.109375" style="1"/>
  </cols>
  <sheetData>
    <row r="1" spans="1:38" x14ac:dyDescent="0.3">
      <c r="A1" s="1" t="s">
        <v>26</v>
      </c>
      <c r="AE1" s="2"/>
      <c r="AF1" s="2"/>
    </row>
    <row r="2" spans="1:38" ht="17.399999999999999" x14ac:dyDescent="0.3">
      <c r="A2" s="32" t="s">
        <v>112</v>
      </c>
      <c r="C2" s="32"/>
      <c r="AE2" s="2"/>
      <c r="AF2" s="2"/>
    </row>
    <row r="3" spans="1:38" ht="17.399999999999999" x14ac:dyDescent="0.3">
      <c r="A3" s="32" t="s">
        <v>113</v>
      </c>
      <c r="C3" s="32"/>
      <c r="AE3" s="2"/>
      <c r="AF3" s="2"/>
    </row>
    <row r="4" spans="1:38" x14ac:dyDescent="0.3">
      <c r="A4" s="22"/>
      <c r="B4" s="22" t="s">
        <v>128</v>
      </c>
      <c r="AE4" s="2"/>
      <c r="AF4" s="2"/>
    </row>
    <row r="5" spans="1:38" s="37" customFormat="1" ht="58.2" customHeight="1" x14ac:dyDescent="0.3">
      <c r="A5" s="121" t="s">
        <v>22</v>
      </c>
      <c r="B5" s="130" t="s">
        <v>58</v>
      </c>
      <c r="C5" s="131"/>
      <c r="D5" s="131"/>
      <c r="E5" s="131"/>
      <c r="F5" s="131"/>
      <c r="G5" s="131"/>
      <c r="H5" s="131"/>
      <c r="I5" s="131"/>
      <c r="J5" s="132"/>
      <c r="K5" s="127" t="s">
        <v>57</v>
      </c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28"/>
      <c r="Z5" s="128"/>
      <c r="AA5" s="128"/>
      <c r="AB5" s="128"/>
      <c r="AC5" s="128"/>
      <c r="AD5" s="128"/>
      <c r="AE5" s="128"/>
      <c r="AF5" s="129"/>
      <c r="AG5" s="122" t="s">
        <v>81</v>
      </c>
      <c r="AH5" s="123"/>
      <c r="AI5" s="123"/>
      <c r="AJ5" s="123"/>
      <c r="AK5" s="124"/>
      <c r="AL5" s="125" t="s">
        <v>123</v>
      </c>
    </row>
    <row r="6" spans="1:38" s="43" customFormat="1" ht="151.19999999999999" customHeight="1" x14ac:dyDescent="0.3">
      <c r="A6" s="121"/>
      <c r="B6" s="45" t="s">
        <v>0</v>
      </c>
      <c r="C6" s="45" t="s">
        <v>114</v>
      </c>
      <c r="D6" s="36" t="s">
        <v>1</v>
      </c>
      <c r="E6" s="38" t="s">
        <v>59</v>
      </c>
      <c r="F6" s="36" t="s">
        <v>154</v>
      </c>
      <c r="G6" s="36" t="s">
        <v>19</v>
      </c>
      <c r="H6" s="36" t="s">
        <v>159</v>
      </c>
      <c r="I6" s="36" t="s">
        <v>41</v>
      </c>
      <c r="J6" s="81" t="s">
        <v>153</v>
      </c>
      <c r="K6" s="39" t="s">
        <v>20</v>
      </c>
      <c r="L6" s="39" t="s">
        <v>21</v>
      </c>
      <c r="M6" s="39" t="s">
        <v>131</v>
      </c>
      <c r="N6" s="39" t="s">
        <v>17</v>
      </c>
      <c r="O6" s="40" t="s">
        <v>135</v>
      </c>
      <c r="P6" s="40" t="s">
        <v>134</v>
      </c>
      <c r="Q6" s="39" t="s">
        <v>129</v>
      </c>
      <c r="R6" s="55" t="s">
        <v>130</v>
      </c>
      <c r="S6" s="27" t="s">
        <v>23</v>
      </c>
      <c r="T6" s="27" t="s">
        <v>40</v>
      </c>
      <c r="U6" s="27" t="s">
        <v>18</v>
      </c>
      <c r="V6" s="27" t="s">
        <v>55</v>
      </c>
      <c r="W6" s="41" t="s">
        <v>38</v>
      </c>
      <c r="X6" s="41" t="s">
        <v>31</v>
      </c>
      <c r="Y6" s="41" t="s">
        <v>32</v>
      </c>
      <c r="Z6" s="41" t="s">
        <v>34</v>
      </c>
      <c r="AA6" s="42" t="s">
        <v>25</v>
      </c>
      <c r="AB6" s="42" t="s">
        <v>35</v>
      </c>
      <c r="AC6" s="42" t="s">
        <v>56</v>
      </c>
      <c r="AD6" s="42" t="s">
        <v>111</v>
      </c>
      <c r="AE6" s="42" t="s">
        <v>36</v>
      </c>
      <c r="AF6" s="42" t="s">
        <v>39</v>
      </c>
      <c r="AG6" s="76" t="s">
        <v>132</v>
      </c>
      <c r="AH6" s="76" t="s">
        <v>60</v>
      </c>
      <c r="AI6" s="76" t="s">
        <v>61</v>
      </c>
      <c r="AJ6" s="76" t="s">
        <v>133</v>
      </c>
      <c r="AK6" s="76" t="s">
        <v>62</v>
      </c>
      <c r="AL6" s="126"/>
    </row>
    <row r="7" spans="1:38" s="35" customFormat="1" x14ac:dyDescent="0.3">
      <c r="A7" s="71">
        <v>1</v>
      </c>
      <c r="B7" s="71">
        <v>2</v>
      </c>
      <c r="C7" s="71">
        <v>3</v>
      </c>
      <c r="D7" s="71">
        <v>4</v>
      </c>
      <c r="E7" s="71">
        <v>5</v>
      </c>
      <c r="F7" s="71">
        <v>6</v>
      </c>
      <c r="G7" s="71">
        <v>7</v>
      </c>
      <c r="H7" s="71">
        <v>8</v>
      </c>
      <c r="I7" s="71">
        <v>9</v>
      </c>
      <c r="J7" s="71">
        <v>10</v>
      </c>
      <c r="K7" s="72">
        <v>11</v>
      </c>
      <c r="L7" s="72">
        <v>12</v>
      </c>
      <c r="M7" s="72">
        <v>13</v>
      </c>
      <c r="N7" s="72">
        <v>14</v>
      </c>
      <c r="O7" s="72">
        <v>15</v>
      </c>
      <c r="P7" s="72">
        <v>16</v>
      </c>
      <c r="Q7" s="72">
        <v>17</v>
      </c>
      <c r="R7" s="72">
        <v>18</v>
      </c>
      <c r="S7" s="74">
        <v>19</v>
      </c>
      <c r="T7" s="74">
        <v>20</v>
      </c>
      <c r="U7" s="74">
        <v>21</v>
      </c>
      <c r="V7" s="74">
        <v>22</v>
      </c>
      <c r="W7" s="75">
        <v>23</v>
      </c>
      <c r="X7" s="75">
        <v>24</v>
      </c>
      <c r="Y7" s="75">
        <v>25</v>
      </c>
      <c r="Z7" s="75">
        <v>26</v>
      </c>
      <c r="AA7" s="75">
        <v>27</v>
      </c>
      <c r="AB7" s="75">
        <v>28</v>
      </c>
      <c r="AC7" s="75">
        <v>29</v>
      </c>
      <c r="AD7" s="75">
        <v>30</v>
      </c>
      <c r="AE7" s="75">
        <v>31</v>
      </c>
      <c r="AF7" s="41">
        <v>32</v>
      </c>
      <c r="AG7" s="73">
        <v>33</v>
      </c>
      <c r="AH7" s="73">
        <v>34</v>
      </c>
      <c r="AI7" s="73">
        <v>35</v>
      </c>
      <c r="AJ7" s="73">
        <v>36</v>
      </c>
      <c r="AK7" s="73">
        <v>37</v>
      </c>
      <c r="AL7" s="53">
        <v>38</v>
      </c>
    </row>
    <row r="8" spans="1:38" ht="31.2" x14ac:dyDescent="0.3">
      <c r="A8" s="53">
        <v>1</v>
      </c>
      <c r="B8" s="24" t="s">
        <v>544</v>
      </c>
      <c r="C8" s="24" t="s">
        <v>545</v>
      </c>
      <c r="D8" s="82" t="s">
        <v>546</v>
      </c>
      <c r="E8" s="24">
        <v>7</v>
      </c>
      <c r="F8" s="24" t="s">
        <v>200</v>
      </c>
      <c r="G8" s="24"/>
      <c r="H8" s="24" t="s">
        <v>547</v>
      </c>
      <c r="I8" s="30" t="s">
        <v>548</v>
      </c>
      <c r="J8" s="24"/>
      <c r="K8" s="24" t="s">
        <v>549</v>
      </c>
      <c r="L8" s="24" t="s">
        <v>549</v>
      </c>
      <c r="M8" s="24">
        <v>1895</v>
      </c>
      <c r="N8" s="24" t="s">
        <v>550</v>
      </c>
      <c r="O8" s="24">
        <v>4</v>
      </c>
      <c r="P8" s="24">
        <v>0</v>
      </c>
      <c r="Q8" s="24">
        <v>3</v>
      </c>
      <c r="R8" s="24">
        <v>9</v>
      </c>
      <c r="S8" s="24">
        <v>1698.3999999999999</v>
      </c>
      <c r="T8" s="24">
        <v>1698.3999999999999</v>
      </c>
      <c r="U8" s="24">
        <v>1665.1</v>
      </c>
      <c r="V8" s="24">
        <v>33.299999999999997</v>
      </c>
      <c r="W8" s="24" t="s">
        <v>528</v>
      </c>
      <c r="X8" s="24" t="s">
        <v>528</v>
      </c>
      <c r="Y8" s="24" t="s">
        <v>529</v>
      </c>
      <c r="Z8" s="102" t="s">
        <v>528</v>
      </c>
      <c r="AA8" s="24" t="s">
        <v>528</v>
      </c>
      <c r="AB8" s="24" t="s">
        <v>529</v>
      </c>
      <c r="AC8" s="24" t="s">
        <v>528</v>
      </c>
      <c r="AD8" s="24" t="s">
        <v>529</v>
      </c>
      <c r="AE8" s="24" t="s">
        <v>528</v>
      </c>
      <c r="AF8" s="24">
        <v>0</v>
      </c>
      <c r="AG8" s="24">
        <v>0</v>
      </c>
      <c r="AH8" s="24">
        <v>1</v>
      </c>
      <c r="AI8" s="24">
        <v>0</v>
      </c>
      <c r="AJ8" s="24">
        <v>1</v>
      </c>
      <c r="AK8" s="24">
        <v>0</v>
      </c>
      <c r="AL8" s="24"/>
    </row>
    <row r="9" spans="1:38" ht="31.2" x14ac:dyDescent="0.3">
      <c r="A9" s="53">
        <v>2</v>
      </c>
      <c r="B9" s="24" t="s">
        <v>544</v>
      </c>
      <c r="C9" s="24" t="s">
        <v>545</v>
      </c>
      <c r="D9" s="82" t="s">
        <v>546</v>
      </c>
      <c r="E9" s="24">
        <v>10</v>
      </c>
      <c r="F9" s="24" t="s">
        <v>205</v>
      </c>
      <c r="G9" s="24"/>
      <c r="H9" s="24" t="s">
        <v>551</v>
      </c>
      <c r="I9" s="30" t="s">
        <v>548</v>
      </c>
      <c r="J9" s="24"/>
      <c r="K9" s="24" t="s">
        <v>549</v>
      </c>
      <c r="L9" s="24" t="s">
        <v>549</v>
      </c>
      <c r="M9" s="24">
        <v>1898</v>
      </c>
      <c r="N9" s="24" t="s">
        <v>550</v>
      </c>
      <c r="O9" s="24">
        <v>5</v>
      </c>
      <c r="P9" s="24">
        <v>0</v>
      </c>
      <c r="Q9" s="24">
        <v>2</v>
      </c>
      <c r="R9" s="24">
        <v>13</v>
      </c>
      <c r="S9" s="24">
        <v>1708.5</v>
      </c>
      <c r="T9" s="24">
        <v>1708.5</v>
      </c>
      <c r="U9" s="24">
        <v>1150.3</v>
      </c>
      <c r="V9" s="24">
        <v>558.20000000000005</v>
      </c>
      <c r="W9" s="24" t="s">
        <v>528</v>
      </c>
      <c r="X9" s="24" t="s">
        <v>528</v>
      </c>
      <c r="Y9" s="24" t="s">
        <v>529</v>
      </c>
      <c r="Z9" s="102" t="s">
        <v>528</v>
      </c>
      <c r="AA9" s="24" t="s">
        <v>528</v>
      </c>
      <c r="AB9" s="24" t="s">
        <v>528</v>
      </c>
      <c r="AC9" s="24" t="s">
        <v>528</v>
      </c>
      <c r="AD9" s="24" t="s">
        <v>528</v>
      </c>
      <c r="AE9" s="24" t="s">
        <v>529</v>
      </c>
      <c r="AF9" s="24">
        <v>0</v>
      </c>
      <c r="AG9" s="24">
        <v>0</v>
      </c>
      <c r="AH9" s="24">
        <v>1</v>
      </c>
      <c r="AI9" s="24">
        <v>0</v>
      </c>
      <c r="AJ9" s="24">
        <v>0</v>
      </c>
      <c r="AK9" s="24">
        <v>0</v>
      </c>
      <c r="AL9" s="24"/>
    </row>
    <row r="10" spans="1:38" ht="31.2" x14ac:dyDescent="0.3">
      <c r="A10" s="53">
        <v>3</v>
      </c>
      <c r="B10" s="24" t="s">
        <v>544</v>
      </c>
      <c r="C10" s="24" t="s">
        <v>552</v>
      </c>
      <c r="D10" s="82" t="s">
        <v>553</v>
      </c>
      <c r="E10" s="24">
        <v>14</v>
      </c>
      <c r="F10" s="24" t="s">
        <v>200</v>
      </c>
      <c r="G10" s="24"/>
      <c r="H10" s="24" t="s">
        <v>554</v>
      </c>
      <c r="I10" s="30" t="s">
        <v>548</v>
      </c>
      <c r="J10" s="24"/>
      <c r="K10" s="24" t="s">
        <v>549</v>
      </c>
      <c r="L10" s="24" t="s">
        <v>549</v>
      </c>
      <c r="M10" s="24">
        <v>1956</v>
      </c>
      <c r="N10" s="24" t="s">
        <v>550</v>
      </c>
      <c r="O10" s="24">
        <v>6</v>
      </c>
      <c r="P10" s="24">
        <v>0</v>
      </c>
      <c r="Q10" s="24">
        <v>6</v>
      </c>
      <c r="R10" s="24">
        <v>75</v>
      </c>
      <c r="S10" s="24">
        <v>6121.32</v>
      </c>
      <c r="T10" s="24">
        <v>6121.32</v>
      </c>
      <c r="U10" s="24">
        <v>5613.32</v>
      </c>
      <c r="V10" s="24">
        <v>508</v>
      </c>
      <c r="W10" s="24" t="s">
        <v>528</v>
      </c>
      <c r="X10" s="24" t="s">
        <v>528</v>
      </c>
      <c r="Y10" s="24" t="s">
        <v>529</v>
      </c>
      <c r="Z10" s="102" t="s">
        <v>528</v>
      </c>
      <c r="AA10" s="24" t="s">
        <v>528</v>
      </c>
      <c r="AB10" s="24" t="s">
        <v>528</v>
      </c>
      <c r="AC10" s="24" t="s">
        <v>528</v>
      </c>
      <c r="AD10" s="24" t="s">
        <v>528</v>
      </c>
      <c r="AE10" s="24" t="s">
        <v>529</v>
      </c>
      <c r="AF10" s="24">
        <v>2</v>
      </c>
      <c r="AG10" s="24">
        <v>0</v>
      </c>
      <c r="AH10" s="24">
        <v>1</v>
      </c>
      <c r="AI10" s="24">
        <v>0</v>
      </c>
      <c r="AJ10" s="24">
        <v>1</v>
      </c>
      <c r="AK10" s="24">
        <v>0</v>
      </c>
      <c r="AL10" s="24"/>
    </row>
    <row r="11" spans="1:38" ht="31.2" x14ac:dyDescent="0.3">
      <c r="A11" s="53">
        <v>4</v>
      </c>
      <c r="B11" s="24" t="s">
        <v>544</v>
      </c>
      <c r="C11" s="24" t="s">
        <v>555</v>
      </c>
      <c r="D11" s="82" t="s">
        <v>556</v>
      </c>
      <c r="E11" s="24">
        <v>3</v>
      </c>
      <c r="F11" s="24" t="s">
        <v>200</v>
      </c>
      <c r="G11" s="24"/>
      <c r="H11" s="24" t="s">
        <v>557</v>
      </c>
      <c r="I11" s="30" t="s">
        <v>548</v>
      </c>
      <c r="J11" s="24" t="s">
        <v>558</v>
      </c>
      <c r="K11" s="24" t="s">
        <v>549</v>
      </c>
      <c r="L11" s="24" t="s">
        <v>549</v>
      </c>
      <c r="M11" s="24">
        <v>1912</v>
      </c>
      <c r="N11" s="24" t="s">
        <v>550</v>
      </c>
      <c r="O11" s="24">
        <v>7</v>
      </c>
      <c r="P11" s="24">
        <v>0</v>
      </c>
      <c r="Q11" s="24">
        <v>5</v>
      </c>
      <c r="R11" s="24">
        <v>56</v>
      </c>
      <c r="S11" s="24">
        <v>5675.0999999999995</v>
      </c>
      <c r="T11" s="24">
        <v>5675.0999999999995</v>
      </c>
      <c r="U11" s="24">
        <v>5164.6099999999997</v>
      </c>
      <c r="V11" s="24">
        <v>510.49</v>
      </c>
      <c r="W11" s="24" t="s">
        <v>528</v>
      </c>
      <c r="X11" s="24" t="s">
        <v>528</v>
      </c>
      <c r="Y11" s="24" t="s">
        <v>529</v>
      </c>
      <c r="Z11" s="102" t="s">
        <v>528</v>
      </c>
      <c r="AA11" s="24" t="s">
        <v>528</v>
      </c>
      <c r="AB11" s="24" t="s">
        <v>528</v>
      </c>
      <c r="AC11" s="24" t="s">
        <v>528</v>
      </c>
      <c r="AD11" s="24" t="s">
        <v>528</v>
      </c>
      <c r="AE11" s="24" t="s">
        <v>529</v>
      </c>
      <c r="AF11" s="24">
        <v>4</v>
      </c>
      <c r="AG11" s="24">
        <v>0</v>
      </c>
      <c r="AH11" s="24">
        <v>1</v>
      </c>
      <c r="AI11" s="24">
        <v>0</v>
      </c>
      <c r="AJ11" s="24">
        <v>1</v>
      </c>
      <c r="AK11" s="24">
        <v>0</v>
      </c>
      <c r="AL11" s="24"/>
    </row>
    <row r="12" spans="1:38" ht="31.2" x14ac:dyDescent="0.3">
      <c r="A12" s="53">
        <v>5</v>
      </c>
      <c r="B12" s="24" t="s">
        <v>544</v>
      </c>
      <c r="C12" s="24" t="s">
        <v>555</v>
      </c>
      <c r="D12" s="82" t="s">
        <v>556</v>
      </c>
      <c r="E12" s="24">
        <v>4</v>
      </c>
      <c r="F12" s="24" t="s">
        <v>200</v>
      </c>
      <c r="G12" s="24"/>
      <c r="H12" s="24" t="s">
        <v>559</v>
      </c>
      <c r="I12" s="30" t="s">
        <v>548</v>
      </c>
      <c r="J12" s="24"/>
      <c r="K12" s="24" t="s">
        <v>549</v>
      </c>
      <c r="L12" s="24" t="s">
        <v>549</v>
      </c>
      <c r="M12" s="24">
        <v>1911</v>
      </c>
      <c r="N12" s="24" t="s">
        <v>550</v>
      </c>
      <c r="O12" s="24">
        <v>5</v>
      </c>
      <c r="P12" s="24">
        <v>0</v>
      </c>
      <c r="Q12" s="24">
        <v>3</v>
      </c>
      <c r="R12" s="24">
        <v>19</v>
      </c>
      <c r="S12" s="24">
        <v>1658.2</v>
      </c>
      <c r="T12" s="24">
        <v>1658.2</v>
      </c>
      <c r="U12" s="24">
        <v>1483.2</v>
      </c>
      <c r="V12" s="24">
        <v>175</v>
      </c>
      <c r="W12" s="24" t="s">
        <v>528</v>
      </c>
      <c r="X12" s="24" t="s">
        <v>528</v>
      </c>
      <c r="Y12" s="24" t="s">
        <v>529</v>
      </c>
      <c r="Z12" s="102" t="s">
        <v>528</v>
      </c>
      <c r="AA12" s="24" t="s">
        <v>528</v>
      </c>
      <c r="AB12" s="24" t="s">
        <v>528</v>
      </c>
      <c r="AC12" s="24" t="s">
        <v>528</v>
      </c>
      <c r="AD12" s="24" t="s">
        <v>528</v>
      </c>
      <c r="AE12" s="24" t="s">
        <v>529</v>
      </c>
      <c r="AF12" s="24">
        <v>0</v>
      </c>
      <c r="AG12" s="24">
        <v>0</v>
      </c>
      <c r="AH12" s="24">
        <v>1</v>
      </c>
      <c r="AI12" s="24">
        <v>0</v>
      </c>
      <c r="AJ12" s="24">
        <v>1</v>
      </c>
      <c r="AK12" s="24">
        <v>0</v>
      </c>
      <c r="AL12" s="24"/>
    </row>
    <row r="13" spans="1:38" ht="31.2" x14ac:dyDescent="0.3">
      <c r="A13" s="53">
        <v>6</v>
      </c>
      <c r="B13" s="24" t="s">
        <v>544</v>
      </c>
      <c r="C13" s="24" t="s">
        <v>555</v>
      </c>
      <c r="D13" s="82" t="s">
        <v>556</v>
      </c>
      <c r="E13" s="24">
        <v>6</v>
      </c>
      <c r="F13" s="24" t="s">
        <v>200</v>
      </c>
      <c r="G13" s="24"/>
      <c r="H13" s="24" t="s">
        <v>560</v>
      </c>
      <c r="I13" s="30" t="s">
        <v>548</v>
      </c>
      <c r="J13" s="24"/>
      <c r="K13" s="24" t="s">
        <v>549</v>
      </c>
      <c r="L13" s="24" t="s">
        <v>549</v>
      </c>
      <c r="M13" s="24">
        <v>1911</v>
      </c>
      <c r="N13" s="24" t="s">
        <v>550</v>
      </c>
      <c r="O13" s="24">
        <v>6</v>
      </c>
      <c r="P13" s="24">
        <v>0</v>
      </c>
      <c r="Q13" s="24">
        <v>3</v>
      </c>
      <c r="R13" s="24">
        <v>19</v>
      </c>
      <c r="S13" s="24">
        <v>1740.7</v>
      </c>
      <c r="T13" s="24">
        <v>1740.7</v>
      </c>
      <c r="U13" s="24">
        <v>1569.8</v>
      </c>
      <c r="V13" s="24">
        <v>170.9</v>
      </c>
      <c r="W13" s="24" t="s">
        <v>528</v>
      </c>
      <c r="X13" s="24" t="s">
        <v>528</v>
      </c>
      <c r="Y13" s="24" t="s">
        <v>529</v>
      </c>
      <c r="Z13" s="102" t="s">
        <v>528</v>
      </c>
      <c r="AA13" s="24" t="s">
        <v>528</v>
      </c>
      <c r="AB13" s="24" t="s">
        <v>528</v>
      </c>
      <c r="AC13" s="24" t="s">
        <v>528</v>
      </c>
      <c r="AD13" s="24" t="s">
        <v>528</v>
      </c>
      <c r="AE13" s="24" t="s">
        <v>529</v>
      </c>
      <c r="AF13" s="24">
        <v>0</v>
      </c>
      <c r="AG13" s="24">
        <v>0</v>
      </c>
      <c r="AH13" s="24">
        <v>1</v>
      </c>
      <c r="AI13" s="24">
        <v>0</v>
      </c>
      <c r="AJ13" s="24">
        <v>1</v>
      </c>
      <c r="AK13" s="24">
        <v>0</v>
      </c>
      <c r="AL13" s="24"/>
    </row>
    <row r="14" spans="1:38" ht="31.2" x14ac:dyDescent="0.3">
      <c r="A14" s="53">
        <v>7</v>
      </c>
      <c r="B14" s="24" t="s">
        <v>544</v>
      </c>
      <c r="C14" s="24" t="s">
        <v>555</v>
      </c>
      <c r="D14" s="82" t="s">
        <v>556</v>
      </c>
      <c r="E14" s="24">
        <v>7</v>
      </c>
      <c r="F14" s="24" t="s">
        <v>200</v>
      </c>
      <c r="G14" s="24"/>
      <c r="H14" s="24" t="s">
        <v>561</v>
      </c>
      <c r="I14" s="30" t="s">
        <v>548</v>
      </c>
      <c r="J14" s="24"/>
      <c r="K14" s="24" t="s">
        <v>549</v>
      </c>
      <c r="L14" s="24" t="s">
        <v>549</v>
      </c>
      <c r="M14" s="24">
        <v>1907</v>
      </c>
      <c r="N14" s="24" t="s">
        <v>550</v>
      </c>
      <c r="O14" s="24">
        <v>6</v>
      </c>
      <c r="P14" s="24">
        <v>0</v>
      </c>
      <c r="Q14" s="24">
        <v>2</v>
      </c>
      <c r="R14" s="24">
        <v>39</v>
      </c>
      <c r="S14" s="24">
        <v>2174.9</v>
      </c>
      <c r="T14" s="24">
        <v>2174.9</v>
      </c>
      <c r="U14" s="24">
        <v>2101.8000000000002</v>
      </c>
      <c r="V14" s="24">
        <v>73.099999999999994</v>
      </c>
      <c r="W14" s="24" t="s">
        <v>528</v>
      </c>
      <c r="X14" s="24" t="s">
        <v>528</v>
      </c>
      <c r="Y14" s="24" t="s">
        <v>529</v>
      </c>
      <c r="Z14" s="102" t="s">
        <v>528</v>
      </c>
      <c r="AA14" s="24" t="s">
        <v>528</v>
      </c>
      <c r="AB14" s="24" t="s">
        <v>528</v>
      </c>
      <c r="AC14" s="24" t="s">
        <v>528</v>
      </c>
      <c r="AD14" s="24" t="s">
        <v>528</v>
      </c>
      <c r="AE14" s="24" t="s">
        <v>529</v>
      </c>
      <c r="AF14" s="24">
        <v>0</v>
      </c>
      <c r="AG14" s="24">
        <v>0</v>
      </c>
      <c r="AH14" s="24">
        <v>1</v>
      </c>
      <c r="AI14" s="24">
        <v>0</v>
      </c>
      <c r="AJ14" s="24">
        <v>1</v>
      </c>
      <c r="AK14" s="24">
        <v>0</v>
      </c>
      <c r="AL14" s="24"/>
    </row>
    <row r="15" spans="1:38" ht="31.2" x14ac:dyDescent="0.3">
      <c r="A15" s="53">
        <v>8</v>
      </c>
      <c r="B15" s="24" t="s">
        <v>544</v>
      </c>
      <c r="C15" s="24" t="s">
        <v>555</v>
      </c>
      <c r="D15" s="82" t="s">
        <v>556</v>
      </c>
      <c r="E15" s="24">
        <v>9</v>
      </c>
      <c r="F15" s="24" t="s">
        <v>200</v>
      </c>
      <c r="G15" s="24"/>
      <c r="H15" s="24" t="s">
        <v>562</v>
      </c>
      <c r="I15" s="30" t="s">
        <v>548</v>
      </c>
      <c r="J15" s="24"/>
      <c r="K15" s="24" t="s">
        <v>549</v>
      </c>
      <c r="L15" s="24" t="s">
        <v>549</v>
      </c>
      <c r="M15" s="24">
        <v>1911</v>
      </c>
      <c r="N15" s="24" t="s">
        <v>550</v>
      </c>
      <c r="O15" s="24">
        <v>7</v>
      </c>
      <c r="P15" s="24">
        <v>0</v>
      </c>
      <c r="Q15" s="24">
        <v>7</v>
      </c>
      <c r="R15" s="24">
        <v>61</v>
      </c>
      <c r="S15" s="24">
        <v>7432</v>
      </c>
      <c r="T15" s="24">
        <v>7432</v>
      </c>
      <c r="U15" s="24">
        <v>6485.16</v>
      </c>
      <c r="V15" s="24">
        <v>946.84</v>
      </c>
      <c r="W15" s="24" t="s">
        <v>528</v>
      </c>
      <c r="X15" s="24" t="s">
        <v>528</v>
      </c>
      <c r="Y15" s="24" t="s">
        <v>529</v>
      </c>
      <c r="Z15" s="102" t="s">
        <v>528</v>
      </c>
      <c r="AA15" s="24" t="s">
        <v>528</v>
      </c>
      <c r="AB15" s="24" t="s">
        <v>528</v>
      </c>
      <c r="AC15" s="24" t="s">
        <v>528</v>
      </c>
      <c r="AD15" s="24" t="s">
        <v>528</v>
      </c>
      <c r="AE15" s="24" t="s">
        <v>529</v>
      </c>
      <c r="AF15" s="24">
        <v>4</v>
      </c>
      <c r="AG15" s="24">
        <v>0</v>
      </c>
      <c r="AH15" s="24">
        <v>1</v>
      </c>
      <c r="AI15" s="24">
        <v>0</v>
      </c>
      <c r="AJ15" s="24">
        <v>1</v>
      </c>
      <c r="AK15" s="24">
        <v>0</v>
      </c>
      <c r="AL15" s="24"/>
    </row>
    <row r="16" spans="1:38" ht="31.2" x14ac:dyDescent="0.3">
      <c r="A16" s="53">
        <v>9</v>
      </c>
      <c r="B16" s="24" t="s">
        <v>544</v>
      </c>
      <c r="C16" s="24" t="s">
        <v>555</v>
      </c>
      <c r="D16" s="82" t="s">
        <v>556</v>
      </c>
      <c r="E16" s="24">
        <v>11</v>
      </c>
      <c r="F16" s="24" t="s">
        <v>200</v>
      </c>
      <c r="G16" s="24"/>
      <c r="H16" s="24" t="s">
        <v>563</v>
      </c>
      <c r="I16" s="30" t="s">
        <v>548</v>
      </c>
      <c r="J16" s="24" t="s">
        <v>558</v>
      </c>
      <c r="K16" s="24" t="s">
        <v>549</v>
      </c>
      <c r="L16" s="24" t="s">
        <v>549</v>
      </c>
      <c r="M16" s="24">
        <v>1910</v>
      </c>
      <c r="N16" s="24" t="s">
        <v>550</v>
      </c>
      <c r="O16" s="24">
        <v>5</v>
      </c>
      <c r="P16" s="24">
        <v>0</v>
      </c>
      <c r="Q16" s="24">
        <v>3</v>
      </c>
      <c r="R16" s="24">
        <v>4</v>
      </c>
      <c r="S16" s="24">
        <v>3715.7000000000003</v>
      </c>
      <c r="T16" s="24">
        <v>3715.7000000000003</v>
      </c>
      <c r="U16" s="24">
        <v>384.4</v>
      </c>
      <c r="V16" s="24">
        <v>3331.3</v>
      </c>
      <c r="W16" s="24" t="s">
        <v>528</v>
      </c>
      <c r="X16" s="24" t="s">
        <v>528</v>
      </c>
      <c r="Y16" s="24" t="s">
        <v>529</v>
      </c>
      <c r="Z16" s="102" t="s">
        <v>528</v>
      </c>
      <c r="AA16" s="24" t="s">
        <v>528</v>
      </c>
      <c r="AB16" s="24" t="s">
        <v>528</v>
      </c>
      <c r="AC16" s="24" t="s">
        <v>528</v>
      </c>
      <c r="AD16" s="24" t="s">
        <v>528</v>
      </c>
      <c r="AE16" s="24" t="s">
        <v>529</v>
      </c>
      <c r="AF16" s="24">
        <v>0</v>
      </c>
      <c r="AG16" s="24">
        <v>0</v>
      </c>
      <c r="AH16" s="24">
        <v>1</v>
      </c>
      <c r="AI16" s="24">
        <v>0</v>
      </c>
      <c r="AJ16" s="24">
        <v>1</v>
      </c>
      <c r="AK16" s="24">
        <v>0</v>
      </c>
      <c r="AL16" s="24"/>
    </row>
    <row r="17" spans="1:38" ht="31.2" x14ac:dyDescent="0.3">
      <c r="A17" s="53">
        <v>10</v>
      </c>
      <c r="B17" s="24" t="s">
        <v>544</v>
      </c>
      <c r="C17" s="24" t="s">
        <v>555</v>
      </c>
      <c r="D17" s="82" t="s">
        <v>556</v>
      </c>
      <c r="E17" s="24">
        <v>18</v>
      </c>
      <c r="F17" s="24" t="s">
        <v>200</v>
      </c>
      <c r="G17" s="24"/>
      <c r="H17" s="24" t="s">
        <v>564</v>
      </c>
      <c r="I17" s="30" t="s">
        <v>548</v>
      </c>
      <c r="J17" s="24" t="s">
        <v>558</v>
      </c>
      <c r="K17" s="24" t="s">
        <v>549</v>
      </c>
      <c r="L17" s="24" t="s">
        <v>549</v>
      </c>
      <c r="M17" s="24">
        <v>1914</v>
      </c>
      <c r="N17" s="24" t="s">
        <v>550</v>
      </c>
      <c r="O17" s="24">
        <v>7</v>
      </c>
      <c r="P17" s="24">
        <v>0</v>
      </c>
      <c r="Q17" s="24">
        <v>6</v>
      </c>
      <c r="R17" s="24">
        <v>60</v>
      </c>
      <c r="S17" s="24">
        <v>6295.38</v>
      </c>
      <c r="T17" s="24">
        <v>6295.38</v>
      </c>
      <c r="U17" s="24">
        <v>5705.38</v>
      </c>
      <c r="V17" s="24">
        <v>590</v>
      </c>
      <c r="W17" s="24" t="s">
        <v>528</v>
      </c>
      <c r="X17" s="24" t="s">
        <v>528</v>
      </c>
      <c r="Y17" s="24" t="s">
        <v>529</v>
      </c>
      <c r="Z17" s="102" t="s">
        <v>528</v>
      </c>
      <c r="AA17" s="24" t="s">
        <v>528</v>
      </c>
      <c r="AB17" s="24" t="s">
        <v>528</v>
      </c>
      <c r="AC17" s="24" t="s">
        <v>528</v>
      </c>
      <c r="AD17" s="24" t="s">
        <v>528</v>
      </c>
      <c r="AE17" s="24" t="s">
        <v>529</v>
      </c>
      <c r="AF17" s="24">
        <v>2</v>
      </c>
      <c r="AG17" s="24">
        <v>0</v>
      </c>
      <c r="AH17" s="24">
        <v>1</v>
      </c>
      <c r="AI17" s="24">
        <v>0</v>
      </c>
      <c r="AJ17" s="24">
        <v>1</v>
      </c>
      <c r="AK17" s="24">
        <v>0</v>
      </c>
      <c r="AL17" s="24"/>
    </row>
    <row r="18" spans="1:38" ht="31.2" x14ac:dyDescent="0.3">
      <c r="A18" s="53">
        <v>11</v>
      </c>
      <c r="B18" s="24" t="s">
        <v>544</v>
      </c>
      <c r="C18" s="24" t="s">
        <v>555</v>
      </c>
      <c r="D18" s="82" t="s">
        <v>556</v>
      </c>
      <c r="E18" s="24" t="s">
        <v>565</v>
      </c>
      <c r="F18" s="24" t="s">
        <v>200</v>
      </c>
      <c r="G18" s="24"/>
      <c r="H18" s="24" t="s">
        <v>566</v>
      </c>
      <c r="I18" s="30" t="s">
        <v>548</v>
      </c>
      <c r="J18" s="24"/>
      <c r="K18" s="24" t="s">
        <v>549</v>
      </c>
      <c r="L18" s="24" t="s">
        <v>549</v>
      </c>
      <c r="M18" s="24">
        <v>1917</v>
      </c>
      <c r="N18" s="24" t="s">
        <v>550</v>
      </c>
      <c r="O18" s="24">
        <v>5</v>
      </c>
      <c r="P18" s="24">
        <v>0</v>
      </c>
      <c r="Q18" s="24">
        <v>4</v>
      </c>
      <c r="R18" s="24">
        <v>34</v>
      </c>
      <c r="S18" s="24">
        <v>2932.11</v>
      </c>
      <c r="T18" s="24">
        <v>2932.11</v>
      </c>
      <c r="U18" s="24">
        <v>2785.11</v>
      </c>
      <c r="V18" s="24">
        <v>147</v>
      </c>
      <c r="W18" s="24" t="s">
        <v>528</v>
      </c>
      <c r="X18" s="24" t="s">
        <v>528</v>
      </c>
      <c r="Y18" s="24" t="s">
        <v>529</v>
      </c>
      <c r="Z18" s="102" t="s">
        <v>528</v>
      </c>
      <c r="AA18" s="24" t="s">
        <v>528</v>
      </c>
      <c r="AB18" s="24" t="s">
        <v>528</v>
      </c>
      <c r="AC18" s="24" t="s">
        <v>528</v>
      </c>
      <c r="AD18" s="24" t="s">
        <v>528</v>
      </c>
      <c r="AE18" s="24" t="s">
        <v>529</v>
      </c>
      <c r="AF18" s="24">
        <v>0</v>
      </c>
      <c r="AG18" s="24">
        <v>0</v>
      </c>
      <c r="AH18" s="24">
        <v>1</v>
      </c>
      <c r="AI18" s="24">
        <v>0</v>
      </c>
      <c r="AJ18" s="24">
        <v>0</v>
      </c>
      <c r="AK18" s="24">
        <v>0</v>
      </c>
      <c r="AL18" s="24"/>
    </row>
    <row r="19" spans="1:38" ht="31.2" x14ac:dyDescent="0.3">
      <c r="A19" s="53">
        <v>12</v>
      </c>
      <c r="B19" s="24" t="s">
        <v>544</v>
      </c>
      <c r="C19" s="24" t="s">
        <v>555</v>
      </c>
      <c r="D19" s="82" t="s">
        <v>556</v>
      </c>
      <c r="E19" s="24" t="s">
        <v>567</v>
      </c>
      <c r="F19" s="24" t="s">
        <v>200</v>
      </c>
      <c r="G19" s="24"/>
      <c r="H19" s="24" t="s">
        <v>568</v>
      </c>
      <c r="I19" s="30" t="s">
        <v>548</v>
      </c>
      <c r="J19" s="24"/>
      <c r="K19" s="24" t="s">
        <v>549</v>
      </c>
      <c r="L19" s="24" t="s">
        <v>549</v>
      </c>
      <c r="M19" s="24">
        <v>1910</v>
      </c>
      <c r="N19" s="24" t="s">
        <v>550</v>
      </c>
      <c r="O19" s="24">
        <v>6</v>
      </c>
      <c r="P19" s="24">
        <v>0</v>
      </c>
      <c r="Q19" s="24">
        <v>7</v>
      </c>
      <c r="R19" s="24">
        <v>63</v>
      </c>
      <c r="S19" s="24">
        <v>6563</v>
      </c>
      <c r="T19" s="24">
        <v>6563</v>
      </c>
      <c r="U19" s="24">
        <v>5910.6</v>
      </c>
      <c r="V19" s="24">
        <v>652.4</v>
      </c>
      <c r="W19" s="24" t="s">
        <v>528</v>
      </c>
      <c r="X19" s="24" t="s">
        <v>528</v>
      </c>
      <c r="Y19" s="24" t="s">
        <v>529</v>
      </c>
      <c r="Z19" s="102" t="s">
        <v>528</v>
      </c>
      <c r="AA19" s="24" t="s">
        <v>528</v>
      </c>
      <c r="AB19" s="24" t="s">
        <v>528</v>
      </c>
      <c r="AC19" s="24" t="s">
        <v>528</v>
      </c>
      <c r="AD19" s="24" t="s">
        <v>528</v>
      </c>
      <c r="AE19" s="24" t="s">
        <v>529</v>
      </c>
      <c r="AF19" s="24">
        <v>3</v>
      </c>
      <c r="AG19" s="24">
        <v>0</v>
      </c>
      <c r="AH19" s="24">
        <v>1</v>
      </c>
      <c r="AI19" s="24">
        <v>0</v>
      </c>
      <c r="AJ19" s="24">
        <v>1</v>
      </c>
      <c r="AK19" s="24">
        <v>0</v>
      </c>
      <c r="AL19" s="24"/>
    </row>
    <row r="20" spans="1:38" ht="31.2" x14ac:dyDescent="0.3">
      <c r="A20" s="53">
        <v>13</v>
      </c>
      <c r="B20" s="24" t="s">
        <v>544</v>
      </c>
      <c r="C20" s="24" t="s">
        <v>555</v>
      </c>
      <c r="D20" s="82" t="s">
        <v>556</v>
      </c>
      <c r="E20" s="24">
        <v>22</v>
      </c>
      <c r="F20" s="24" t="s">
        <v>200</v>
      </c>
      <c r="G20" s="24"/>
      <c r="H20" s="24" t="s">
        <v>569</v>
      </c>
      <c r="I20" s="30" t="s">
        <v>548</v>
      </c>
      <c r="J20" s="24" t="s">
        <v>558</v>
      </c>
      <c r="K20" s="24" t="s">
        <v>549</v>
      </c>
      <c r="L20" s="24" t="s">
        <v>549</v>
      </c>
      <c r="M20" s="24">
        <v>1908</v>
      </c>
      <c r="N20" s="24" t="s">
        <v>550</v>
      </c>
      <c r="O20" s="24">
        <v>6</v>
      </c>
      <c r="P20" s="24">
        <v>0</v>
      </c>
      <c r="Q20" s="24">
        <v>6</v>
      </c>
      <c r="R20" s="24">
        <v>93</v>
      </c>
      <c r="S20" s="24">
        <v>7198.27</v>
      </c>
      <c r="T20" s="24">
        <v>7198.27</v>
      </c>
      <c r="U20" s="24">
        <v>6876.67</v>
      </c>
      <c r="V20" s="24">
        <v>321.60000000000002</v>
      </c>
      <c r="W20" s="24" t="s">
        <v>528</v>
      </c>
      <c r="X20" s="24" t="s">
        <v>528</v>
      </c>
      <c r="Y20" s="24" t="s">
        <v>529</v>
      </c>
      <c r="Z20" s="102" t="s">
        <v>528</v>
      </c>
      <c r="AA20" s="24" t="s">
        <v>528</v>
      </c>
      <c r="AB20" s="24" t="s">
        <v>528</v>
      </c>
      <c r="AC20" s="24" t="s">
        <v>528</v>
      </c>
      <c r="AD20" s="24" t="s">
        <v>528</v>
      </c>
      <c r="AE20" s="24" t="s">
        <v>529</v>
      </c>
      <c r="AF20" s="24">
        <v>6</v>
      </c>
      <c r="AG20" s="24">
        <v>0</v>
      </c>
      <c r="AH20" s="24">
        <v>1</v>
      </c>
      <c r="AI20" s="24">
        <v>0</v>
      </c>
      <c r="AJ20" s="24">
        <v>1</v>
      </c>
      <c r="AK20" s="24">
        <v>0</v>
      </c>
      <c r="AL20" s="24"/>
    </row>
    <row r="21" spans="1:38" ht="31.2" x14ac:dyDescent="0.3">
      <c r="A21" s="53">
        <v>14</v>
      </c>
      <c r="B21" s="24" t="s">
        <v>544</v>
      </c>
      <c r="C21" s="24" t="s">
        <v>555</v>
      </c>
      <c r="D21" s="82" t="s">
        <v>556</v>
      </c>
      <c r="E21" s="24">
        <v>23</v>
      </c>
      <c r="F21" s="24" t="s">
        <v>200</v>
      </c>
      <c r="G21" s="24"/>
      <c r="H21" s="24" t="s">
        <v>570</v>
      </c>
      <c r="I21" s="30" t="s">
        <v>548</v>
      </c>
      <c r="J21" s="24" t="s">
        <v>558</v>
      </c>
      <c r="K21" s="24" t="s">
        <v>549</v>
      </c>
      <c r="L21" s="24" t="s">
        <v>549</v>
      </c>
      <c r="M21" s="24">
        <v>1910</v>
      </c>
      <c r="N21" s="24" t="s">
        <v>550</v>
      </c>
      <c r="O21" s="24">
        <v>7</v>
      </c>
      <c r="P21" s="24">
        <v>0</v>
      </c>
      <c r="Q21" s="24">
        <v>10</v>
      </c>
      <c r="R21" s="24">
        <v>95</v>
      </c>
      <c r="S21" s="24">
        <v>14328.72</v>
      </c>
      <c r="T21" s="24">
        <v>14328.72</v>
      </c>
      <c r="U21" s="24">
        <v>12774.4</v>
      </c>
      <c r="V21" s="24">
        <v>1554.32</v>
      </c>
      <c r="W21" s="24" t="s">
        <v>528</v>
      </c>
      <c r="X21" s="24" t="s">
        <v>528</v>
      </c>
      <c r="Y21" s="24" t="s">
        <v>529</v>
      </c>
      <c r="Z21" s="102" t="s">
        <v>528</v>
      </c>
      <c r="AA21" s="24" t="s">
        <v>528</v>
      </c>
      <c r="AB21" s="24" t="s">
        <v>528</v>
      </c>
      <c r="AC21" s="24" t="s">
        <v>528</v>
      </c>
      <c r="AD21" s="24" t="s">
        <v>528</v>
      </c>
      <c r="AE21" s="24" t="s">
        <v>529</v>
      </c>
      <c r="AF21" s="24">
        <v>5</v>
      </c>
      <c r="AG21" s="24">
        <v>0</v>
      </c>
      <c r="AH21" s="24">
        <v>1</v>
      </c>
      <c r="AI21" s="24">
        <v>0</v>
      </c>
      <c r="AJ21" s="24">
        <v>2</v>
      </c>
      <c r="AK21" s="24">
        <v>0</v>
      </c>
      <c r="AL21" s="24"/>
    </row>
    <row r="22" spans="1:38" ht="31.2" x14ac:dyDescent="0.3">
      <c r="A22" s="53">
        <v>15</v>
      </c>
      <c r="B22" s="24" t="s">
        <v>544</v>
      </c>
      <c r="C22" s="24" t="s">
        <v>555</v>
      </c>
      <c r="D22" s="82" t="s">
        <v>556</v>
      </c>
      <c r="E22" s="24">
        <v>24</v>
      </c>
      <c r="F22" s="24" t="s">
        <v>200</v>
      </c>
      <c r="G22" s="24"/>
      <c r="H22" s="24" t="s">
        <v>571</v>
      </c>
      <c r="I22" s="30" t="s">
        <v>548</v>
      </c>
      <c r="J22" s="24"/>
      <c r="K22" s="24" t="s">
        <v>549</v>
      </c>
      <c r="L22" s="24" t="s">
        <v>549</v>
      </c>
      <c r="M22" s="24">
        <v>1952</v>
      </c>
      <c r="N22" s="24" t="s">
        <v>550</v>
      </c>
      <c r="O22" s="24">
        <v>5</v>
      </c>
      <c r="P22" s="24">
        <v>0</v>
      </c>
      <c r="Q22" s="24">
        <v>3</v>
      </c>
      <c r="R22" s="24">
        <v>31</v>
      </c>
      <c r="S22" s="24">
        <v>3164.3999999999996</v>
      </c>
      <c r="T22" s="24">
        <v>3164.3999999999996</v>
      </c>
      <c r="U22" s="24">
        <v>2357.6999999999998</v>
      </c>
      <c r="V22" s="24">
        <v>806.7</v>
      </c>
      <c r="W22" s="24" t="s">
        <v>528</v>
      </c>
      <c r="X22" s="24" t="s">
        <v>528</v>
      </c>
      <c r="Y22" s="24" t="s">
        <v>529</v>
      </c>
      <c r="Z22" s="102" t="s">
        <v>528</v>
      </c>
      <c r="AA22" s="24" t="s">
        <v>528</v>
      </c>
      <c r="AB22" s="24" t="s">
        <v>528</v>
      </c>
      <c r="AC22" s="24" t="s">
        <v>528</v>
      </c>
      <c r="AD22" s="24" t="s">
        <v>528</v>
      </c>
      <c r="AE22" s="24" t="s">
        <v>529</v>
      </c>
      <c r="AF22" s="24">
        <v>0</v>
      </c>
      <c r="AG22" s="24">
        <v>0</v>
      </c>
      <c r="AH22" s="24">
        <v>1</v>
      </c>
      <c r="AI22" s="24">
        <v>0</v>
      </c>
      <c r="AJ22" s="24">
        <v>1</v>
      </c>
      <c r="AK22" s="24">
        <v>0</v>
      </c>
      <c r="AL22" s="24"/>
    </row>
    <row r="23" spans="1:38" ht="31.2" x14ac:dyDescent="0.3">
      <c r="A23" s="53">
        <v>16</v>
      </c>
      <c r="B23" s="24" t="s">
        <v>544</v>
      </c>
      <c r="C23" s="24" t="s">
        <v>555</v>
      </c>
      <c r="D23" s="82" t="s">
        <v>556</v>
      </c>
      <c r="E23" s="24">
        <v>25</v>
      </c>
      <c r="F23" s="24" t="s">
        <v>200</v>
      </c>
      <c r="G23" s="24"/>
      <c r="H23" s="24" t="s">
        <v>572</v>
      </c>
      <c r="I23" s="30" t="s">
        <v>548</v>
      </c>
      <c r="J23" s="24"/>
      <c r="K23" s="24" t="s">
        <v>549</v>
      </c>
      <c r="L23" s="24" t="s">
        <v>549</v>
      </c>
      <c r="M23" s="24">
        <v>1953</v>
      </c>
      <c r="N23" s="24" t="s">
        <v>550</v>
      </c>
      <c r="O23" s="24">
        <v>5</v>
      </c>
      <c r="P23" s="24">
        <v>0</v>
      </c>
      <c r="Q23" s="24">
        <v>7</v>
      </c>
      <c r="R23" s="24">
        <v>67</v>
      </c>
      <c r="S23" s="24">
        <v>6300</v>
      </c>
      <c r="T23" s="24">
        <v>6300</v>
      </c>
      <c r="U23" s="24">
        <v>4879</v>
      </c>
      <c r="V23" s="24">
        <v>1421</v>
      </c>
      <c r="W23" s="24" t="s">
        <v>528</v>
      </c>
      <c r="X23" s="24" t="s">
        <v>528</v>
      </c>
      <c r="Y23" s="24" t="s">
        <v>529</v>
      </c>
      <c r="Z23" s="102" t="s">
        <v>528</v>
      </c>
      <c r="AA23" s="24" t="s">
        <v>528</v>
      </c>
      <c r="AB23" s="24" t="s">
        <v>528</v>
      </c>
      <c r="AC23" s="24" t="s">
        <v>528</v>
      </c>
      <c r="AD23" s="24" t="s">
        <v>528</v>
      </c>
      <c r="AE23" s="24" t="s">
        <v>529</v>
      </c>
      <c r="AF23" s="24">
        <v>2</v>
      </c>
      <c r="AG23" s="24">
        <v>0</v>
      </c>
      <c r="AH23" s="24">
        <v>1</v>
      </c>
      <c r="AI23" s="24">
        <v>0</v>
      </c>
      <c r="AJ23" s="24">
        <v>1</v>
      </c>
      <c r="AK23" s="24">
        <v>0</v>
      </c>
      <c r="AL23" s="24"/>
    </row>
    <row r="24" spans="1:38" ht="31.2" x14ac:dyDescent="0.3">
      <c r="A24" s="53">
        <v>17</v>
      </c>
      <c r="B24" s="24" t="s">
        <v>544</v>
      </c>
      <c r="C24" s="24" t="s">
        <v>555</v>
      </c>
      <c r="D24" s="82" t="s">
        <v>556</v>
      </c>
      <c r="E24" s="24">
        <v>29</v>
      </c>
      <c r="F24" s="24" t="s">
        <v>200</v>
      </c>
      <c r="G24" s="24"/>
      <c r="H24" s="24" t="s">
        <v>573</v>
      </c>
      <c r="I24" s="30" t="s">
        <v>548</v>
      </c>
      <c r="J24" s="24" t="s">
        <v>558</v>
      </c>
      <c r="K24" s="24" t="s">
        <v>549</v>
      </c>
      <c r="L24" s="24" t="s">
        <v>549</v>
      </c>
      <c r="M24" s="24">
        <v>1911</v>
      </c>
      <c r="N24" s="24" t="s">
        <v>550</v>
      </c>
      <c r="O24" s="24">
        <v>7</v>
      </c>
      <c r="P24" s="24">
        <v>0</v>
      </c>
      <c r="Q24" s="24">
        <v>9</v>
      </c>
      <c r="R24" s="24">
        <v>85</v>
      </c>
      <c r="S24" s="24">
        <v>9734.7999999999993</v>
      </c>
      <c r="T24" s="24">
        <v>9734.7999999999993</v>
      </c>
      <c r="U24" s="24">
        <v>8910.4</v>
      </c>
      <c r="V24" s="24">
        <v>824.4</v>
      </c>
      <c r="W24" s="24" t="s">
        <v>528</v>
      </c>
      <c r="X24" s="24" t="s">
        <v>528</v>
      </c>
      <c r="Y24" s="24" t="s">
        <v>529</v>
      </c>
      <c r="Z24" s="102" t="s">
        <v>528</v>
      </c>
      <c r="AA24" s="24" t="s">
        <v>528</v>
      </c>
      <c r="AB24" s="24" t="s">
        <v>528</v>
      </c>
      <c r="AC24" s="24" t="s">
        <v>528</v>
      </c>
      <c r="AD24" s="24" t="s">
        <v>528</v>
      </c>
      <c r="AE24" s="24" t="s">
        <v>529</v>
      </c>
      <c r="AF24" s="24">
        <v>5</v>
      </c>
      <c r="AG24" s="24">
        <v>0</v>
      </c>
      <c r="AH24" s="24">
        <v>1</v>
      </c>
      <c r="AI24" s="24">
        <v>0</v>
      </c>
      <c r="AJ24" s="24">
        <v>1</v>
      </c>
      <c r="AK24" s="24">
        <v>0</v>
      </c>
      <c r="AL24" s="24"/>
    </row>
    <row r="25" spans="1:38" ht="31.2" x14ac:dyDescent="0.3">
      <c r="A25" s="53">
        <v>18</v>
      </c>
      <c r="B25" s="24" t="s">
        <v>544</v>
      </c>
      <c r="C25" s="24" t="s">
        <v>555</v>
      </c>
      <c r="D25" s="82" t="s">
        <v>556</v>
      </c>
      <c r="E25" s="24">
        <v>30</v>
      </c>
      <c r="F25" s="24" t="s">
        <v>200</v>
      </c>
      <c r="G25" s="24"/>
      <c r="H25" s="24" t="s">
        <v>574</v>
      </c>
      <c r="I25" s="30" t="s">
        <v>548</v>
      </c>
      <c r="J25" s="24"/>
      <c r="K25" s="24" t="s">
        <v>549</v>
      </c>
      <c r="L25" s="24" t="s">
        <v>549</v>
      </c>
      <c r="M25" s="24">
        <v>1939</v>
      </c>
      <c r="N25" s="24" t="s">
        <v>550</v>
      </c>
      <c r="O25" s="24">
        <v>6</v>
      </c>
      <c r="P25" s="24">
        <v>0</v>
      </c>
      <c r="Q25" s="24">
        <v>9</v>
      </c>
      <c r="R25" s="24">
        <v>89</v>
      </c>
      <c r="S25" s="24">
        <v>8617.5</v>
      </c>
      <c r="T25" s="24">
        <v>8617.5</v>
      </c>
      <c r="U25" s="24">
        <v>7293.2</v>
      </c>
      <c r="V25" s="24">
        <v>1324.3</v>
      </c>
      <c r="W25" s="24" t="s">
        <v>528</v>
      </c>
      <c r="X25" s="24" t="s">
        <v>528</v>
      </c>
      <c r="Y25" s="24" t="s">
        <v>529</v>
      </c>
      <c r="Z25" s="102" t="s">
        <v>528</v>
      </c>
      <c r="AA25" s="24" t="s">
        <v>528</v>
      </c>
      <c r="AB25" s="24" t="s">
        <v>528</v>
      </c>
      <c r="AC25" s="24" t="s">
        <v>528</v>
      </c>
      <c r="AD25" s="24" t="s">
        <v>528</v>
      </c>
      <c r="AE25" s="24" t="s">
        <v>529</v>
      </c>
      <c r="AF25" s="24">
        <v>9</v>
      </c>
      <c r="AG25" s="24">
        <v>0</v>
      </c>
      <c r="AH25" s="24">
        <v>1</v>
      </c>
      <c r="AI25" s="24">
        <v>0</v>
      </c>
      <c r="AJ25" s="24">
        <v>1</v>
      </c>
      <c r="AK25" s="24">
        <v>0</v>
      </c>
      <c r="AL25" s="24"/>
    </row>
    <row r="26" spans="1:38" ht="31.2" x14ac:dyDescent="0.3">
      <c r="A26" s="53">
        <v>19</v>
      </c>
      <c r="B26" s="24" t="s">
        <v>544</v>
      </c>
      <c r="C26" s="24" t="s">
        <v>555</v>
      </c>
      <c r="D26" s="82" t="s">
        <v>556</v>
      </c>
      <c r="E26" s="24" t="s">
        <v>575</v>
      </c>
      <c r="F26" s="24" t="s">
        <v>200</v>
      </c>
      <c r="G26" s="24"/>
      <c r="H26" s="24" t="s">
        <v>576</v>
      </c>
      <c r="I26" s="30" t="s">
        <v>548</v>
      </c>
      <c r="J26" s="24"/>
      <c r="K26" s="24" t="s">
        <v>549</v>
      </c>
      <c r="L26" s="24" t="s">
        <v>549</v>
      </c>
      <c r="M26" s="24">
        <v>1930</v>
      </c>
      <c r="N26" s="24" t="s">
        <v>550</v>
      </c>
      <c r="O26" s="24">
        <v>5</v>
      </c>
      <c r="P26" s="24">
        <v>0</v>
      </c>
      <c r="Q26" s="24">
        <v>3</v>
      </c>
      <c r="R26" s="24">
        <v>30</v>
      </c>
      <c r="S26" s="24">
        <v>2808.33</v>
      </c>
      <c r="T26" s="24">
        <v>2808.33</v>
      </c>
      <c r="U26" s="24">
        <v>2654.33</v>
      </c>
      <c r="V26" s="24">
        <v>154</v>
      </c>
      <c r="W26" s="24" t="s">
        <v>528</v>
      </c>
      <c r="X26" s="24" t="s">
        <v>528</v>
      </c>
      <c r="Y26" s="24" t="s">
        <v>529</v>
      </c>
      <c r="Z26" s="102" t="s">
        <v>528</v>
      </c>
      <c r="AA26" s="24" t="s">
        <v>528</v>
      </c>
      <c r="AB26" s="24" t="s">
        <v>528</v>
      </c>
      <c r="AC26" s="24" t="s">
        <v>528</v>
      </c>
      <c r="AD26" s="24" t="s">
        <v>528</v>
      </c>
      <c r="AE26" s="24" t="s">
        <v>529</v>
      </c>
      <c r="AF26" s="24">
        <v>0</v>
      </c>
      <c r="AG26" s="24">
        <v>0</v>
      </c>
      <c r="AH26" s="24">
        <v>1</v>
      </c>
      <c r="AI26" s="24">
        <v>0</v>
      </c>
      <c r="AJ26" s="24">
        <v>1</v>
      </c>
      <c r="AK26" s="24">
        <v>0</v>
      </c>
      <c r="AL26" s="24"/>
    </row>
    <row r="27" spans="1:38" ht="31.2" x14ac:dyDescent="0.3">
      <c r="A27" s="53">
        <v>20</v>
      </c>
      <c r="B27" s="24" t="s">
        <v>544</v>
      </c>
      <c r="C27" s="24" t="s">
        <v>555</v>
      </c>
      <c r="D27" s="82" t="s">
        <v>556</v>
      </c>
      <c r="E27" s="24" t="s">
        <v>575</v>
      </c>
      <c r="F27" s="24" t="s">
        <v>206</v>
      </c>
      <c r="G27" s="24"/>
      <c r="H27" s="24" t="s">
        <v>577</v>
      </c>
      <c r="I27" s="30" t="s">
        <v>548</v>
      </c>
      <c r="J27" s="24"/>
      <c r="K27" s="24" t="s">
        <v>549</v>
      </c>
      <c r="L27" s="24" t="s">
        <v>549</v>
      </c>
      <c r="M27" s="24">
        <v>1930</v>
      </c>
      <c r="N27" s="24" t="s">
        <v>550</v>
      </c>
      <c r="O27" s="24">
        <v>4</v>
      </c>
      <c r="P27" s="24">
        <v>0</v>
      </c>
      <c r="Q27" s="24">
        <v>3</v>
      </c>
      <c r="R27" s="24">
        <v>30</v>
      </c>
      <c r="S27" s="24">
        <v>2358.27</v>
      </c>
      <c r="T27" s="24">
        <v>2358.27</v>
      </c>
      <c r="U27" s="24">
        <v>1988.27</v>
      </c>
      <c r="V27" s="24">
        <v>370</v>
      </c>
      <c r="W27" s="24" t="s">
        <v>528</v>
      </c>
      <c r="X27" s="24" t="s">
        <v>528</v>
      </c>
      <c r="Y27" s="24" t="s">
        <v>529</v>
      </c>
      <c r="Z27" s="102" t="s">
        <v>528</v>
      </c>
      <c r="AA27" s="24" t="s">
        <v>528</v>
      </c>
      <c r="AB27" s="24" t="s">
        <v>528</v>
      </c>
      <c r="AC27" s="24" t="s">
        <v>528</v>
      </c>
      <c r="AD27" s="24" t="s">
        <v>528</v>
      </c>
      <c r="AE27" s="24" t="s">
        <v>529</v>
      </c>
      <c r="AF27" s="24">
        <v>0</v>
      </c>
      <c r="AG27" s="24">
        <v>0</v>
      </c>
      <c r="AH27" s="24">
        <v>1</v>
      </c>
      <c r="AI27" s="24">
        <v>0</v>
      </c>
      <c r="AJ27" s="24">
        <v>1</v>
      </c>
      <c r="AK27" s="24">
        <v>0</v>
      </c>
      <c r="AL27" s="24"/>
    </row>
    <row r="28" spans="1:38" ht="31.2" x14ac:dyDescent="0.3">
      <c r="A28" s="53">
        <v>21</v>
      </c>
      <c r="B28" s="24" t="s">
        <v>544</v>
      </c>
      <c r="C28" s="24" t="s">
        <v>555</v>
      </c>
      <c r="D28" s="82" t="s">
        <v>556</v>
      </c>
      <c r="E28" s="24">
        <v>32</v>
      </c>
      <c r="F28" s="24" t="s">
        <v>200</v>
      </c>
      <c r="G28" s="24"/>
      <c r="H28" s="24" t="s">
        <v>578</v>
      </c>
      <c r="I28" s="30" t="s">
        <v>548</v>
      </c>
      <c r="J28" s="24"/>
      <c r="K28" s="24" t="s">
        <v>549</v>
      </c>
      <c r="L28" s="24" t="s">
        <v>549</v>
      </c>
      <c r="M28" s="24">
        <v>1960</v>
      </c>
      <c r="N28" s="24" t="s">
        <v>550</v>
      </c>
      <c r="O28" s="24">
        <v>5</v>
      </c>
      <c r="P28" s="24">
        <v>0</v>
      </c>
      <c r="Q28" s="24">
        <v>4</v>
      </c>
      <c r="R28" s="24">
        <v>46</v>
      </c>
      <c r="S28" s="24">
        <v>3837.3999999999996</v>
      </c>
      <c r="T28" s="24">
        <v>3837.3999999999996</v>
      </c>
      <c r="U28" s="24">
        <v>3039.1</v>
      </c>
      <c r="V28" s="24">
        <v>798.3</v>
      </c>
      <c r="W28" s="24" t="s">
        <v>528</v>
      </c>
      <c r="X28" s="24" t="s">
        <v>528</v>
      </c>
      <c r="Y28" s="24" t="s">
        <v>529</v>
      </c>
      <c r="Z28" s="102" t="s">
        <v>528</v>
      </c>
      <c r="AA28" s="24" t="s">
        <v>528</v>
      </c>
      <c r="AB28" s="24" t="s">
        <v>528</v>
      </c>
      <c r="AC28" s="24" t="s">
        <v>528</v>
      </c>
      <c r="AD28" s="24" t="s">
        <v>528</v>
      </c>
      <c r="AE28" s="24" t="s">
        <v>529</v>
      </c>
      <c r="AF28" s="24">
        <v>0</v>
      </c>
      <c r="AG28" s="24">
        <v>0</v>
      </c>
      <c r="AH28" s="24">
        <v>1</v>
      </c>
      <c r="AI28" s="24">
        <v>0</v>
      </c>
      <c r="AJ28" s="24">
        <v>1</v>
      </c>
      <c r="AK28" s="24">
        <v>0</v>
      </c>
      <c r="AL28" s="24"/>
    </row>
    <row r="29" spans="1:38" ht="31.2" x14ac:dyDescent="0.3">
      <c r="A29" s="53">
        <v>22</v>
      </c>
      <c r="B29" s="24" t="s">
        <v>544</v>
      </c>
      <c r="C29" s="24" t="s">
        <v>555</v>
      </c>
      <c r="D29" s="82" t="s">
        <v>556</v>
      </c>
      <c r="E29" s="24" t="s">
        <v>579</v>
      </c>
      <c r="F29" s="24" t="s">
        <v>200</v>
      </c>
      <c r="G29" s="24"/>
      <c r="H29" s="24" t="s">
        <v>580</v>
      </c>
      <c r="I29" s="30" t="s">
        <v>548</v>
      </c>
      <c r="J29" s="24"/>
      <c r="K29" s="24" t="s">
        <v>549</v>
      </c>
      <c r="L29" s="24" t="s">
        <v>549</v>
      </c>
      <c r="M29" s="24">
        <v>1910</v>
      </c>
      <c r="N29" s="24" t="s">
        <v>550</v>
      </c>
      <c r="O29" s="24">
        <v>4</v>
      </c>
      <c r="P29" s="24">
        <v>0</v>
      </c>
      <c r="Q29" s="24">
        <v>1</v>
      </c>
      <c r="R29" s="24">
        <v>19</v>
      </c>
      <c r="S29" s="24">
        <v>1585.8</v>
      </c>
      <c r="T29" s="24">
        <v>1585.8</v>
      </c>
      <c r="U29" s="24">
        <v>1272.8</v>
      </c>
      <c r="V29" s="24">
        <v>313</v>
      </c>
      <c r="W29" s="24" t="s">
        <v>528</v>
      </c>
      <c r="X29" s="24" t="s">
        <v>528</v>
      </c>
      <c r="Y29" s="24" t="s">
        <v>529</v>
      </c>
      <c r="Z29" s="102" t="s">
        <v>528</v>
      </c>
      <c r="AA29" s="24" t="s">
        <v>528</v>
      </c>
      <c r="AB29" s="24" t="s">
        <v>528</v>
      </c>
      <c r="AC29" s="24" t="s">
        <v>528</v>
      </c>
      <c r="AD29" s="24" t="s">
        <v>528</v>
      </c>
      <c r="AE29" s="24" t="s">
        <v>529</v>
      </c>
      <c r="AF29" s="24">
        <v>0</v>
      </c>
      <c r="AG29" s="24">
        <v>0</v>
      </c>
      <c r="AH29" s="24">
        <v>1</v>
      </c>
      <c r="AI29" s="24">
        <v>0</v>
      </c>
      <c r="AJ29" s="24">
        <v>1</v>
      </c>
      <c r="AK29" s="24">
        <v>0</v>
      </c>
      <c r="AL29" s="24"/>
    </row>
    <row r="30" spans="1:38" ht="31.2" x14ac:dyDescent="0.3">
      <c r="A30" s="53">
        <v>23</v>
      </c>
      <c r="B30" s="24" t="s">
        <v>544</v>
      </c>
      <c r="C30" s="24"/>
      <c r="D30" s="82" t="s">
        <v>581</v>
      </c>
      <c r="E30" s="24" t="s">
        <v>582</v>
      </c>
      <c r="F30" s="24" t="s">
        <v>200</v>
      </c>
      <c r="G30" s="24"/>
      <c r="H30" s="24" t="s">
        <v>583</v>
      </c>
      <c r="I30" s="30" t="s">
        <v>548</v>
      </c>
      <c r="J30" s="24" t="s">
        <v>558</v>
      </c>
      <c r="K30" s="24" t="s">
        <v>549</v>
      </c>
      <c r="L30" s="24" t="s">
        <v>549</v>
      </c>
      <c r="M30" s="24">
        <v>1910</v>
      </c>
      <c r="N30" s="24" t="s">
        <v>550</v>
      </c>
      <c r="O30" s="24">
        <v>5</v>
      </c>
      <c r="P30" s="24">
        <v>0</v>
      </c>
      <c r="Q30" s="24">
        <v>4</v>
      </c>
      <c r="R30" s="24">
        <v>27</v>
      </c>
      <c r="S30" s="24">
        <v>5518.5</v>
      </c>
      <c r="T30" s="24">
        <v>5518.5</v>
      </c>
      <c r="U30" s="24">
        <v>4339.13</v>
      </c>
      <c r="V30" s="24">
        <v>1179.3699999999999</v>
      </c>
      <c r="W30" s="24" t="s">
        <v>528</v>
      </c>
      <c r="X30" s="24" t="s">
        <v>528</v>
      </c>
      <c r="Y30" s="24" t="s">
        <v>529</v>
      </c>
      <c r="Z30" s="102" t="s">
        <v>528</v>
      </c>
      <c r="AA30" s="24" t="s">
        <v>528</v>
      </c>
      <c r="AB30" s="24" t="s">
        <v>528</v>
      </c>
      <c r="AC30" s="24" t="s">
        <v>528</v>
      </c>
      <c r="AD30" s="24" t="s">
        <v>528</v>
      </c>
      <c r="AE30" s="24" t="s">
        <v>529</v>
      </c>
      <c r="AF30" s="24">
        <v>0</v>
      </c>
      <c r="AG30" s="24">
        <v>0</v>
      </c>
      <c r="AH30" s="24">
        <v>1</v>
      </c>
      <c r="AI30" s="24">
        <v>0</v>
      </c>
      <c r="AJ30" s="24">
        <v>1</v>
      </c>
      <c r="AK30" s="24">
        <v>0</v>
      </c>
      <c r="AL30" s="24"/>
    </row>
    <row r="31" spans="1:38" ht="31.2" x14ac:dyDescent="0.3">
      <c r="A31" s="53">
        <v>24</v>
      </c>
      <c r="B31" s="24" t="s">
        <v>544</v>
      </c>
      <c r="C31" s="24" t="s">
        <v>584</v>
      </c>
      <c r="D31" s="82" t="s">
        <v>581</v>
      </c>
      <c r="E31" s="24">
        <v>4</v>
      </c>
      <c r="F31" s="24" t="s">
        <v>200</v>
      </c>
      <c r="G31" s="24"/>
      <c r="H31" s="24" t="s">
        <v>585</v>
      </c>
      <c r="I31" s="30" t="s">
        <v>548</v>
      </c>
      <c r="J31" s="24"/>
      <c r="K31" s="24" t="s">
        <v>549</v>
      </c>
      <c r="L31" s="24" t="s">
        <v>549</v>
      </c>
      <c r="M31" s="24">
        <v>1901</v>
      </c>
      <c r="N31" s="24" t="s">
        <v>550</v>
      </c>
      <c r="O31" s="24">
        <v>4</v>
      </c>
      <c r="P31" s="24">
        <v>0</v>
      </c>
      <c r="Q31" s="24">
        <v>7</v>
      </c>
      <c r="R31" s="24">
        <v>6</v>
      </c>
      <c r="S31" s="24">
        <v>1526.6</v>
      </c>
      <c r="T31" s="24">
        <v>1526.6</v>
      </c>
      <c r="U31" s="24">
        <v>954.6</v>
      </c>
      <c r="V31" s="24">
        <v>572</v>
      </c>
      <c r="W31" s="24" t="s">
        <v>528</v>
      </c>
      <c r="X31" s="24" t="s">
        <v>528</v>
      </c>
      <c r="Y31" s="24" t="s">
        <v>529</v>
      </c>
      <c r="Z31" s="102" t="s">
        <v>528</v>
      </c>
      <c r="AA31" s="24" t="s">
        <v>528</v>
      </c>
      <c r="AB31" s="24" t="s">
        <v>528</v>
      </c>
      <c r="AC31" s="24" t="s">
        <v>528</v>
      </c>
      <c r="AD31" s="24" t="s">
        <v>528</v>
      </c>
      <c r="AE31" s="24" t="s">
        <v>529</v>
      </c>
      <c r="AF31" s="24">
        <v>0</v>
      </c>
      <c r="AG31" s="24">
        <v>0</v>
      </c>
      <c r="AH31" s="24">
        <v>1</v>
      </c>
      <c r="AI31" s="24">
        <v>0</v>
      </c>
      <c r="AJ31" s="24">
        <v>1</v>
      </c>
      <c r="AK31" s="24">
        <v>0</v>
      </c>
      <c r="AL31" s="24"/>
    </row>
    <row r="32" spans="1:38" ht="31.2" x14ac:dyDescent="0.3">
      <c r="A32" s="53">
        <v>25</v>
      </c>
      <c r="B32" s="24" t="s">
        <v>544</v>
      </c>
      <c r="C32" s="24" t="s">
        <v>584</v>
      </c>
      <c r="D32" s="82" t="s">
        <v>581</v>
      </c>
      <c r="E32" s="24">
        <v>4</v>
      </c>
      <c r="F32" s="24" t="s">
        <v>205</v>
      </c>
      <c r="G32" s="24"/>
      <c r="H32" s="24" t="s">
        <v>586</v>
      </c>
      <c r="I32" s="30" t="s">
        <v>548</v>
      </c>
      <c r="J32" s="24"/>
      <c r="K32" s="24" t="s">
        <v>549</v>
      </c>
      <c r="L32" s="24" t="s">
        <v>549</v>
      </c>
      <c r="M32" s="24">
        <v>1901</v>
      </c>
      <c r="N32" s="24" t="s">
        <v>550</v>
      </c>
      <c r="O32" s="24">
        <v>5</v>
      </c>
      <c r="P32" s="24">
        <v>0</v>
      </c>
      <c r="Q32" s="24">
        <v>6</v>
      </c>
      <c r="R32" s="24">
        <v>14</v>
      </c>
      <c r="S32" s="24">
        <v>1051.5999999999999</v>
      </c>
      <c r="T32" s="24">
        <v>1051.5999999999999</v>
      </c>
      <c r="U32" s="24">
        <v>912.6</v>
      </c>
      <c r="V32" s="24">
        <v>139</v>
      </c>
      <c r="W32" s="24" t="s">
        <v>528</v>
      </c>
      <c r="X32" s="24" t="s">
        <v>528</v>
      </c>
      <c r="Y32" s="24" t="s">
        <v>529</v>
      </c>
      <c r="Z32" s="102" t="s">
        <v>528</v>
      </c>
      <c r="AA32" s="24" t="s">
        <v>528</v>
      </c>
      <c r="AB32" s="24" t="s">
        <v>528</v>
      </c>
      <c r="AC32" s="24" t="s">
        <v>528</v>
      </c>
      <c r="AD32" s="24" t="s">
        <v>528</v>
      </c>
      <c r="AE32" s="24" t="s">
        <v>529</v>
      </c>
      <c r="AF32" s="24">
        <v>0</v>
      </c>
      <c r="AG32" s="24">
        <v>0</v>
      </c>
      <c r="AH32" s="24">
        <v>1</v>
      </c>
      <c r="AI32" s="24">
        <v>0</v>
      </c>
      <c r="AJ32" s="24">
        <v>1</v>
      </c>
      <c r="AK32" s="24">
        <v>0</v>
      </c>
      <c r="AL32" s="24"/>
    </row>
    <row r="33" spans="1:38" ht="31.2" x14ac:dyDescent="0.3">
      <c r="A33" s="53">
        <v>26</v>
      </c>
      <c r="B33" s="24" t="s">
        <v>544</v>
      </c>
      <c r="C33" s="24" t="s">
        <v>584</v>
      </c>
      <c r="D33" s="82" t="s">
        <v>581</v>
      </c>
      <c r="E33" s="24">
        <v>4</v>
      </c>
      <c r="F33" s="24" t="s">
        <v>206</v>
      </c>
      <c r="G33" s="24"/>
      <c r="H33" s="24" t="s">
        <v>587</v>
      </c>
      <c r="I33" s="30" t="s">
        <v>548</v>
      </c>
      <c r="J33" s="24"/>
      <c r="K33" s="24" t="s">
        <v>549</v>
      </c>
      <c r="L33" s="24" t="s">
        <v>549</v>
      </c>
      <c r="M33" s="24">
        <v>1901</v>
      </c>
      <c r="N33" s="24" t="s">
        <v>550</v>
      </c>
      <c r="O33" s="24">
        <v>5</v>
      </c>
      <c r="P33" s="24">
        <v>0</v>
      </c>
      <c r="Q33" s="24">
        <v>6</v>
      </c>
      <c r="R33" s="24">
        <v>14</v>
      </c>
      <c r="S33" s="24">
        <v>1030.5</v>
      </c>
      <c r="T33" s="24">
        <v>1030.5</v>
      </c>
      <c r="U33" s="24">
        <v>891.5</v>
      </c>
      <c r="V33" s="24">
        <v>139</v>
      </c>
      <c r="W33" s="24" t="s">
        <v>528</v>
      </c>
      <c r="X33" s="24" t="s">
        <v>528</v>
      </c>
      <c r="Y33" s="24" t="s">
        <v>529</v>
      </c>
      <c r="Z33" s="102" t="s">
        <v>528</v>
      </c>
      <c r="AA33" s="24" t="s">
        <v>528</v>
      </c>
      <c r="AB33" s="24" t="s">
        <v>528</v>
      </c>
      <c r="AC33" s="24" t="s">
        <v>528</v>
      </c>
      <c r="AD33" s="24" t="s">
        <v>528</v>
      </c>
      <c r="AE33" s="24" t="s">
        <v>529</v>
      </c>
      <c r="AF33" s="24">
        <v>0</v>
      </c>
      <c r="AG33" s="24">
        <v>0</v>
      </c>
      <c r="AH33" s="24">
        <v>1</v>
      </c>
      <c r="AI33" s="24">
        <v>0</v>
      </c>
      <c r="AJ33" s="24">
        <v>1</v>
      </c>
      <c r="AK33" s="24">
        <v>0</v>
      </c>
      <c r="AL33" s="24"/>
    </row>
    <row r="34" spans="1:38" ht="31.2" x14ac:dyDescent="0.3">
      <c r="A34" s="53">
        <v>27</v>
      </c>
      <c r="B34" s="24" t="s">
        <v>544</v>
      </c>
      <c r="C34" s="24" t="s">
        <v>584</v>
      </c>
      <c r="D34" s="82" t="s">
        <v>581</v>
      </c>
      <c r="E34" s="24">
        <v>4</v>
      </c>
      <c r="F34" s="24" t="s">
        <v>207</v>
      </c>
      <c r="G34" s="24"/>
      <c r="H34" s="24" t="s">
        <v>588</v>
      </c>
      <c r="I34" s="30" t="s">
        <v>548</v>
      </c>
      <c r="J34" s="24"/>
      <c r="K34" s="24" t="s">
        <v>549</v>
      </c>
      <c r="L34" s="24" t="s">
        <v>549</v>
      </c>
      <c r="M34" s="24">
        <v>1902</v>
      </c>
      <c r="N34" s="24" t="s">
        <v>550</v>
      </c>
      <c r="O34" s="24">
        <v>5</v>
      </c>
      <c r="P34" s="24">
        <v>0</v>
      </c>
      <c r="Q34" s="24">
        <v>6</v>
      </c>
      <c r="R34" s="24">
        <v>14</v>
      </c>
      <c r="S34" s="24">
        <v>853.9</v>
      </c>
      <c r="T34" s="24">
        <v>853.9</v>
      </c>
      <c r="U34" s="24">
        <v>750.9</v>
      </c>
      <c r="V34" s="24">
        <v>103</v>
      </c>
      <c r="W34" s="24" t="s">
        <v>528</v>
      </c>
      <c r="X34" s="24" t="s">
        <v>528</v>
      </c>
      <c r="Y34" s="24" t="s">
        <v>529</v>
      </c>
      <c r="Z34" s="102" t="s">
        <v>528</v>
      </c>
      <c r="AA34" s="24" t="s">
        <v>528</v>
      </c>
      <c r="AB34" s="24" t="s">
        <v>528</v>
      </c>
      <c r="AC34" s="24" t="s">
        <v>528</v>
      </c>
      <c r="AD34" s="24" t="s">
        <v>528</v>
      </c>
      <c r="AE34" s="24" t="s">
        <v>529</v>
      </c>
      <c r="AF34" s="24">
        <v>0</v>
      </c>
      <c r="AG34" s="24">
        <v>0</v>
      </c>
      <c r="AH34" s="24">
        <v>1</v>
      </c>
      <c r="AI34" s="24">
        <v>0</v>
      </c>
      <c r="AJ34" s="24">
        <v>1</v>
      </c>
      <c r="AK34" s="24">
        <v>0</v>
      </c>
      <c r="AL34" s="24"/>
    </row>
    <row r="35" spans="1:38" ht="31.2" x14ac:dyDescent="0.3">
      <c r="A35" s="53">
        <v>28</v>
      </c>
      <c r="B35" s="24" t="s">
        <v>544</v>
      </c>
      <c r="C35" s="24" t="s">
        <v>584</v>
      </c>
      <c r="D35" s="82" t="s">
        <v>581</v>
      </c>
      <c r="E35" s="24" t="s">
        <v>589</v>
      </c>
      <c r="F35" s="24" t="s">
        <v>200</v>
      </c>
      <c r="G35" s="24"/>
      <c r="H35" s="24" t="s">
        <v>590</v>
      </c>
      <c r="I35" s="30" t="s">
        <v>548</v>
      </c>
      <c r="J35" s="24"/>
      <c r="K35" s="24" t="s">
        <v>549</v>
      </c>
      <c r="L35" s="24" t="s">
        <v>549</v>
      </c>
      <c r="M35" s="24">
        <v>1916</v>
      </c>
      <c r="N35" s="24" t="s">
        <v>550</v>
      </c>
      <c r="O35" s="24">
        <v>6</v>
      </c>
      <c r="P35" s="24">
        <v>0</v>
      </c>
      <c r="Q35" s="24">
        <v>5</v>
      </c>
      <c r="R35" s="24">
        <v>102</v>
      </c>
      <c r="S35" s="24">
        <v>11668.4</v>
      </c>
      <c r="T35" s="24">
        <v>11668.4</v>
      </c>
      <c r="U35" s="24">
        <v>9867.7999999999993</v>
      </c>
      <c r="V35" s="24">
        <v>1800.6</v>
      </c>
      <c r="W35" s="24" t="s">
        <v>528</v>
      </c>
      <c r="X35" s="24" t="s">
        <v>528</v>
      </c>
      <c r="Y35" s="24" t="s">
        <v>529</v>
      </c>
      <c r="Z35" s="102" t="s">
        <v>528</v>
      </c>
      <c r="AA35" s="24" t="s">
        <v>528</v>
      </c>
      <c r="AB35" s="24" t="s">
        <v>528</v>
      </c>
      <c r="AC35" s="24" t="s">
        <v>528</v>
      </c>
      <c r="AD35" s="24" t="s">
        <v>528</v>
      </c>
      <c r="AE35" s="24" t="s">
        <v>529</v>
      </c>
      <c r="AF35" s="24">
        <v>8</v>
      </c>
      <c r="AG35" s="24">
        <v>0</v>
      </c>
      <c r="AH35" s="24">
        <v>1</v>
      </c>
      <c r="AI35" s="24">
        <v>0</v>
      </c>
      <c r="AJ35" s="24">
        <v>2</v>
      </c>
      <c r="AK35" s="24">
        <v>0</v>
      </c>
      <c r="AL35" s="24"/>
    </row>
    <row r="36" spans="1:38" ht="31.2" x14ac:dyDescent="0.3">
      <c r="A36" s="53">
        <v>29</v>
      </c>
      <c r="B36" s="24" t="s">
        <v>544</v>
      </c>
      <c r="C36" s="24" t="s">
        <v>584</v>
      </c>
      <c r="D36" s="82" t="s">
        <v>581</v>
      </c>
      <c r="E36" s="24" t="s">
        <v>589</v>
      </c>
      <c r="F36" s="24" t="s">
        <v>205</v>
      </c>
      <c r="G36" s="24"/>
      <c r="H36" s="24" t="s">
        <v>591</v>
      </c>
      <c r="I36" s="30" t="s">
        <v>548</v>
      </c>
      <c r="J36" s="24"/>
      <c r="K36" s="24" t="s">
        <v>549</v>
      </c>
      <c r="L36" s="24" t="s">
        <v>549</v>
      </c>
      <c r="M36" s="24">
        <v>1916</v>
      </c>
      <c r="N36" s="24" t="s">
        <v>550</v>
      </c>
      <c r="O36" s="24">
        <v>6</v>
      </c>
      <c r="P36" s="24">
        <v>0</v>
      </c>
      <c r="Q36" s="24">
        <v>16</v>
      </c>
      <c r="R36" s="24">
        <v>134</v>
      </c>
      <c r="S36" s="24">
        <v>10816.800000000001</v>
      </c>
      <c r="T36" s="24">
        <v>10816.800000000001</v>
      </c>
      <c r="U36" s="24">
        <v>10650.7</v>
      </c>
      <c r="V36" s="24">
        <v>166.1</v>
      </c>
      <c r="W36" s="24" t="s">
        <v>528</v>
      </c>
      <c r="X36" s="24" t="s">
        <v>528</v>
      </c>
      <c r="Y36" s="24" t="s">
        <v>529</v>
      </c>
      <c r="Z36" s="102" t="s">
        <v>528</v>
      </c>
      <c r="AA36" s="24" t="s">
        <v>528</v>
      </c>
      <c r="AB36" s="24" t="s">
        <v>528</v>
      </c>
      <c r="AC36" s="24" t="s">
        <v>528</v>
      </c>
      <c r="AD36" s="24" t="s">
        <v>528</v>
      </c>
      <c r="AE36" s="24" t="s">
        <v>529</v>
      </c>
      <c r="AF36" s="24">
        <v>5</v>
      </c>
      <c r="AG36" s="24">
        <v>0</v>
      </c>
      <c r="AH36" s="24">
        <v>1</v>
      </c>
      <c r="AI36" s="24">
        <v>0</v>
      </c>
      <c r="AJ36" s="24">
        <v>1</v>
      </c>
      <c r="AK36" s="24">
        <v>0</v>
      </c>
      <c r="AL36" s="24"/>
    </row>
    <row r="37" spans="1:38" ht="31.2" x14ac:dyDescent="0.3">
      <c r="A37" s="53">
        <v>30</v>
      </c>
      <c r="B37" s="24" t="s">
        <v>544</v>
      </c>
      <c r="C37" s="24" t="s">
        <v>584</v>
      </c>
      <c r="D37" s="82" t="s">
        <v>581</v>
      </c>
      <c r="E37" s="24">
        <v>10</v>
      </c>
      <c r="F37" s="24" t="s">
        <v>200</v>
      </c>
      <c r="G37" s="24"/>
      <c r="H37" s="24" t="s">
        <v>592</v>
      </c>
      <c r="I37" s="30" t="s">
        <v>548</v>
      </c>
      <c r="J37" s="24"/>
      <c r="K37" s="24" t="s">
        <v>549</v>
      </c>
      <c r="L37" s="24" t="s">
        <v>549</v>
      </c>
      <c r="M37" s="24">
        <v>1914</v>
      </c>
      <c r="N37" s="24" t="s">
        <v>550</v>
      </c>
      <c r="O37" s="24">
        <v>6</v>
      </c>
      <c r="P37" s="24">
        <v>0</v>
      </c>
      <c r="Q37" s="24">
        <v>5</v>
      </c>
      <c r="R37" s="24">
        <v>40</v>
      </c>
      <c r="S37" s="24">
        <v>3418.75</v>
      </c>
      <c r="T37" s="24">
        <v>3418.75</v>
      </c>
      <c r="U37" s="24">
        <v>3291.93</v>
      </c>
      <c r="V37" s="24">
        <v>126.82</v>
      </c>
      <c r="W37" s="24" t="s">
        <v>528</v>
      </c>
      <c r="X37" s="24" t="s">
        <v>528</v>
      </c>
      <c r="Y37" s="24" t="s">
        <v>529</v>
      </c>
      <c r="Z37" s="102" t="s">
        <v>528</v>
      </c>
      <c r="AA37" s="24" t="s">
        <v>528</v>
      </c>
      <c r="AB37" s="24" t="s">
        <v>528</v>
      </c>
      <c r="AC37" s="24" t="s">
        <v>528</v>
      </c>
      <c r="AD37" s="24" t="s">
        <v>528</v>
      </c>
      <c r="AE37" s="24" t="s">
        <v>529</v>
      </c>
      <c r="AF37" s="24">
        <v>2</v>
      </c>
      <c r="AG37" s="24">
        <v>0</v>
      </c>
      <c r="AH37" s="24">
        <v>1</v>
      </c>
      <c r="AI37" s="24">
        <v>0</v>
      </c>
      <c r="AJ37" s="24">
        <v>1</v>
      </c>
      <c r="AK37" s="24">
        <v>0</v>
      </c>
      <c r="AL37" s="24"/>
    </row>
    <row r="38" spans="1:38" ht="31.2" x14ac:dyDescent="0.3">
      <c r="A38" s="53">
        <v>31</v>
      </c>
      <c r="B38" s="24" t="s">
        <v>544</v>
      </c>
      <c r="C38" s="24" t="s">
        <v>584</v>
      </c>
      <c r="D38" s="82" t="s">
        <v>581</v>
      </c>
      <c r="E38" s="24">
        <v>10</v>
      </c>
      <c r="F38" s="24" t="s">
        <v>205</v>
      </c>
      <c r="G38" s="24"/>
      <c r="H38" s="24" t="s">
        <v>593</v>
      </c>
      <c r="I38" s="30" t="s">
        <v>548</v>
      </c>
      <c r="J38" s="24"/>
      <c r="K38" s="24" t="s">
        <v>549</v>
      </c>
      <c r="L38" s="24" t="s">
        <v>549</v>
      </c>
      <c r="M38" s="24">
        <v>1913</v>
      </c>
      <c r="N38" s="24" t="s">
        <v>550</v>
      </c>
      <c r="O38" s="24">
        <v>5</v>
      </c>
      <c r="P38" s="24">
        <v>0</v>
      </c>
      <c r="Q38" s="24">
        <v>5</v>
      </c>
      <c r="R38" s="24">
        <v>23</v>
      </c>
      <c r="S38" s="24">
        <v>1401.76</v>
      </c>
      <c r="T38" s="24">
        <v>1401.76</v>
      </c>
      <c r="U38" s="24">
        <v>1401.76</v>
      </c>
      <c r="V38" s="24">
        <v>0</v>
      </c>
      <c r="W38" s="24" t="s">
        <v>528</v>
      </c>
      <c r="X38" s="24" t="s">
        <v>528</v>
      </c>
      <c r="Y38" s="24" t="s">
        <v>529</v>
      </c>
      <c r="Z38" s="102" t="s">
        <v>528</v>
      </c>
      <c r="AA38" s="24" t="s">
        <v>528</v>
      </c>
      <c r="AB38" s="24" t="s">
        <v>528</v>
      </c>
      <c r="AC38" s="24" t="s">
        <v>528</v>
      </c>
      <c r="AD38" s="24" t="s">
        <v>528</v>
      </c>
      <c r="AE38" s="24" t="s">
        <v>529</v>
      </c>
      <c r="AF38" s="24">
        <v>1</v>
      </c>
      <c r="AG38" s="24">
        <v>0</v>
      </c>
      <c r="AH38" s="24">
        <v>1</v>
      </c>
      <c r="AI38" s="24">
        <v>0</v>
      </c>
      <c r="AJ38" s="24">
        <v>1</v>
      </c>
      <c r="AK38" s="24">
        <v>0</v>
      </c>
      <c r="AL38" s="24"/>
    </row>
    <row r="39" spans="1:38" ht="31.2" x14ac:dyDescent="0.3">
      <c r="A39" s="53">
        <v>32</v>
      </c>
      <c r="B39" s="24" t="s">
        <v>544</v>
      </c>
      <c r="C39" s="24" t="s">
        <v>584</v>
      </c>
      <c r="D39" s="82" t="s">
        <v>581</v>
      </c>
      <c r="E39" s="24" t="s">
        <v>594</v>
      </c>
      <c r="F39" s="24" t="s">
        <v>200</v>
      </c>
      <c r="G39" s="24"/>
      <c r="H39" s="24" t="s">
        <v>595</v>
      </c>
      <c r="I39" s="30" t="s">
        <v>548</v>
      </c>
      <c r="J39" s="24"/>
      <c r="K39" s="24" t="s">
        <v>549</v>
      </c>
      <c r="L39" s="24" t="s">
        <v>549</v>
      </c>
      <c r="M39" s="24">
        <v>1911</v>
      </c>
      <c r="N39" s="24" t="s">
        <v>550</v>
      </c>
      <c r="O39" s="24">
        <v>5</v>
      </c>
      <c r="P39" s="24">
        <v>0</v>
      </c>
      <c r="Q39" s="24">
        <v>4</v>
      </c>
      <c r="R39" s="24">
        <v>22</v>
      </c>
      <c r="S39" s="24">
        <v>2562.8900000000003</v>
      </c>
      <c r="T39" s="24">
        <v>2562.8900000000003</v>
      </c>
      <c r="U39" s="24">
        <v>1869.89</v>
      </c>
      <c r="V39" s="24">
        <v>693</v>
      </c>
      <c r="W39" s="24" t="s">
        <v>528</v>
      </c>
      <c r="X39" s="24" t="s">
        <v>528</v>
      </c>
      <c r="Y39" s="24" t="s">
        <v>529</v>
      </c>
      <c r="Z39" s="102" t="s">
        <v>528</v>
      </c>
      <c r="AA39" s="24" t="s">
        <v>528</v>
      </c>
      <c r="AB39" s="24" t="s">
        <v>528</v>
      </c>
      <c r="AC39" s="24" t="s">
        <v>528</v>
      </c>
      <c r="AD39" s="24" t="s">
        <v>528</v>
      </c>
      <c r="AE39" s="24" t="s">
        <v>529</v>
      </c>
      <c r="AF39" s="24">
        <v>1</v>
      </c>
      <c r="AG39" s="24">
        <v>0</v>
      </c>
      <c r="AH39" s="24">
        <v>1</v>
      </c>
      <c r="AI39" s="24">
        <v>0</v>
      </c>
      <c r="AJ39" s="24">
        <v>1</v>
      </c>
      <c r="AK39" s="24">
        <v>0</v>
      </c>
      <c r="AL39" s="24"/>
    </row>
    <row r="40" spans="1:38" ht="31.2" x14ac:dyDescent="0.3">
      <c r="A40" s="53">
        <v>33</v>
      </c>
      <c r="B40" s="24" t="s">
        <v>544</v>
      </c>
      <c r="C40" s="24" t="s">
        <v>584</v>
      </c>
      <c r="D40" s="82" t="s">
        <v>581</v>
      </c>
      <c r="E40" s="24" t="s">
        <v>594</v>
      </c>
      <c r="F40" s="24" t="s">
        <v>205</v>
      </c>
      <c r="G40" s="24"/>
      <c r="H40" s="24" t="s">
        <v>596</v>
      </c>
      <c r="I40" s="30" t="s">
        <v>548</v>
      </c>
      <c r="J40" s="24"/>
      <c r="K40" s="24" t="s">
        <v>549</v>
      </c>
      <c r="L40" s="24" t="s">
        <v>549</v>
      </c>
      <c r="M40" s="24">
        <v>1881</v>
      </c>
      <c r="N40" s="24" t="s">
        <v>550</v>
      </c>
      <c r="O40" s="24">
        <v>3</v>
      </c>
      <c r="P40" s="24">
        <v>0</v>
      </c>
      <c r="Q40" s="24">
        <v>3</v>
      </c>
      <c r="R40" s="24">
        <v>18</v>
      </c>
      <c r="S40" s="24">
        <v>1704.9</v>
      </c>
      <c r="T40" s="24">
        <v>1704.9</v>
      </c>
      <c r="U40" s="24">
        <v>1164.9000000000001</v>
      </c>
      <c r="V40" s="24">
        <v>540</v>
      </c>
      <c r="W40" s="24" t="s">
        <v>528</v>
      </c>
      <c r="X40" s="24" t="s">
        <v>528</v>
      </c>
      <c r="Y40" s="24" t="s">
        <v>529</v>
      </c>
      <c r="Z40" s="102" t="s">
        <v>528</v>
      </c>
      <c r="AA40" s="24" t="s">
        <v>528</v>
      </c>
      <c r="AB40" s="24" t="s">
        <v>528</v>
      </c>
      <c r="AC40" s="24" t="s">
        <v>528</v>
      </c>
      <c r="AD40" s="24" t="s">
        <v>528</v>
      </c>
      <c r="AE40" s="24" t="s">
        <v>529</v>
      </c>
      <c r="AF40" s="24">
        <v>0</v>
      </c>
      <c r="AG40" s="24">
        <v>0</v>
      </c>
      <c r="AH40" s="24">
        <v>1</v>
      </c>
      <c r="AI40" s="24">
        <v>0</v>
      </c>
      <c r="AJ40" s="24">
        <v>1</v>
      </c>
      <c r="AK40" s="24">
        <v>0</v>
      </c>
      <c r="AL40" s="24"/>
    </row>
    <row r="41" spans="1:38" ht="31.2" x14ac:dyDescent="0.3">
      <c r="A41" s="53">
        <v>34</v>
      </c>
      <c r="B41" s="24" t="s">
        <v>544</v>
      </c>
      <c r="C41" s="24" t="s">
        <v>555</v>
      </c>
      <c r="D41" s="82" t="s">
        <v>597</v>
      </c>
      <c r="E41" s="24">
        <v>17</v>
      </c>
      <c r="F41" s="24" t="s">
        <v>200</v>
      </c>
      <c r="G41" s="24"/>
      <c r="H41" s="24" t="s">
        <v>598</v>
      </c>
      <c r="I41" s="30" t="s">
        <v>548</v>
      </c>
      <c r="J41" s="24"/>
      <c r="K41" s="24" t="s">
        <v>549</v>
      </c>
      <c r="L41" s="24" t="s">
        <v>549</v>
      </c>
      <c r="M41" s="24">
        <v>1916</v>
      </c>
      <c r="N41" s="24" t="s">
        <v>550</v>
      </c>
      <c r="O41" s="24">
        <v>5</v>
      </c>
      <c r="P41" s="24">
        <v>0</v>
      </c>
      <c r="Q41" s="24">
        <v>2</v>
      </c>
      <c r="R41" s="24">
        <v>31</v>
      </c>
      <c r="S41" s="24">
        <v>2584.75</v>
      </c>
      <c r="T41" s="24">
        <v>2584.75</v>
      </c>
      <c r="U41" s="24">
        <v>2399.35</v>
      </c>
      <c r="V41" s="24">
        <v>185.4</v>
      </c>
      <c r="W41" s="24" t="s">
        <v>528</v>
      </c>
      <c r="X41" s="24" t="s">
        <v>528</v>
      </c>
      <c r="Y41" s="24" t="s">
        <v>529</v>
      </c>
      <c r="Z41" s="102" t="s">
        <v>528</v>
      </c>
      <c r="AA41" s="24" t="s">
        <v>528</v>
      </c>
      <c r="AB41" s="24" t="s">
        <v>528</v>
      </c>
      <c r="AC41" s="24" t="s">
        <v>528</v>
      </c>
      <c r="AD41" s="24" t="s">
        <v>528</v>
      </c>
      <c r="AE41" s="24" t="s">
        <v>529</v>
      </c>
      <c r="AF41" s="24">
        <v>0</v>
      </c>
      <c r="AG41" s="24">
        <v>0</v>
      </c>
      <c r="AH41" s="24">
        <v>1</v>
      </c>
      <c r="AI41" s="24">
        <v>0</v>
      </c>
      <c r="AJ41" s="24">
        <v>1</v>
      </c>
      <c r="AK41" s="24">
        <v>0</v>
      </c>
      <c r="AL41" s="24"/>
    </row>
    <row r="42" spans="1:38" ht="31.2" x14ac:dyDescent="0.3">
      <c r="A42" s="53">
        <v>35</v>
      </c>
      <c r="B42" s="24" t="s">
        <v>544</v>
      </c>
      <c r="C42" s="24" t="s">
        <v>555</v>
      </c>
      <c r="D42" s="82" t="s">
        <v>597</v>
      </c>
      <c r="E42" s="24">
        <v>19</v>
      </c>
      <c r="F42" s="24" t="s">
        <v>200</v>
      </c>
      <c r="G42" s="24"/>
      <c r="H42" s="24" t="s">
        <v>599</v>
      </c>
      <c r="I42" s="30" t="s">
        <v>548</v>
      </c>
      <c r="J42" s="24"/>
      <c r="K42" s="24" t="s">
        <v>549</v>
      </c>
      <c r="L42" s="24" t="s">
        <v>549</v>
      </c>
      <c r="M42" s="24">
        <v>1901</v>
      </c>
      <c r="N42" s="24" t="s">
        <v>550</v>
      </c>
      <c r="O42" s="24">
        <v>6</v>
      </c>
      <c r="P42" s="24">
        <v>0</v>
      </c>
      <c r="Q42" s="24">
        <v>2</v>
      </c>
      <c r="R42" s="24">
        <v>35</v>
      </c>
      <c r="S42" s="24">
        <v>2502.0600000000004</v>
      </c>
      <c r="T42" s="24">
        <v>2502.0600000000004</v>
      </c>
      <c r="U42" s="24">
        <v>2195.8000000000002</v>
      </c>
      <c r="V42" s="24">
        <v>306.26</v>
      </c>
      <c r="W42" s="24" t="s">
        <v>528</v>
      </c>
      <c r="X42" s="24" t="s">
        <v>528</v>
      </c>
      <c r="Y42" s="24" t="s">
        <v>529</v>
      </c>
      <c r="Z42" s="102" t="s">
        <v>528</v>
      </c>
      <c r="AA42" s="24" t="s">
        <v>528</v>
      </c>
      <c r="AB42" s="24" t="s">
        <v>528</v>
      </c>
      <c r="AC42" s="24" t="s">
        <v>528</v>
      </c>
      <c r="AD42" s="24" t="s">
        <v>528</v>
      </c>
      <c r="AE42" s="24" t="s">
        <v>529</v>
      </c>
      <c r="AF42" s="24">
        <v>1</v>
      </c>
      <c r="AG42" s="24">
        <v>0</v>
      </c>
      <c r="AH42" s="24">
        <v>1</v>
      </c>
      <c r="AI42" s="24">
        <v>0</v>
      </c>
      <c r="AJ42" s="24">
        <v>1</v>
      </c>
      <c r="AK42" s="24">
        <v>0</v>
      </c>
      <c r="AL42" s="24"/>
    </row>
    <row r="43" spans="1:38" ht="31.2" x14ac:dyDescent="0.3">
      <c r="A43" s="53">
        <v>36</v>
      </c>
      <c r="B43" s="24" t="s">
        <v>544</v>
      </c>
      <c r="C43" s="24" t="s">
        <v>555</v>
      </c>
      <c r="D43" s="82" t="s">
        <v>597</v>
      </c>
      <c r="E43" s="24">
        <v>19</v>
      </c>
      <c r="F43" s="24" t="s">
        <v>205</v>
      </c>
      <c r="G43" s="24"/>
      <c r="H43" s="24" t="s">
        <v>600</v>
      </c>
      <c r="I43" s="30" t="s">
        <v>548</v>
      </c>
      <c r="J43" s="24"/>
      <c r="K43" s="24" t="s">
        <v>549</v>
      </c>
      <c r="L43" s="24" t="s">
        <v>549</v>
      </c>
      <c r="M43" s="24">
        <v>1898</v>
      </c>
      <c r="N43" s="24" t="s">
        <v>550</v>
      </c>
      <c r="O43" s="24">
        <v>4</v>
      </c>
      <c r="P43" s="24">
        <v>0</v>
      </c>
      <c r="Q43" s="24">
        <v>2</v>
      </c>
      <c r="R43" s="24">
        <v>28</v>
      </c>
      <c r="S43" s="24">
        <v>1690</v>
      </c>
      <c r="T43" s="24">
        <v>1690</v>
      </c>
      <c r="U43" s="24">
        <v>1503</v>
      </c>
      <c r="V43" s="24">
        <v>187</v>
      </c>
      <c r="W43" s="24" t="s">
        <v>528</v>
      </c>
      <c r="X43" s="24" t="s">
        <v>528</v>
      </c>
      <c r="Y43" s="24" t="s">
        <v>529</v>
      </c>
      <c r="Z43" s="102" t="s">
        <v>528</v>
      </c>
      <c r="AA43" s="24" t="s">
        <v>528</v>
      </c>
      <c r="AB43" s="24" t="s">
        <v>528</v>
      </c>
      <c r="AC43" s="24" t="s">
        <v>528</v>
      </c>
      <c r="AD43" s="24" t="s">
        <v>528</v>
      </c>
      <c r="AE43" s="24" t="s">
        <v>529</v>
      </c>
      <c r="AF43" s="24">
        <v>0</v>
      </c>
      <c r="AG43" s="24">
        <v>0</v>
      </c>
      <c r="AH43" s="24">
        <v>1</v>
      </c>
      <c r="AI43" s="24">
        <v>0</v>
      </c>
      <c r="AJ43" s="24">
        <v>1</v>
      </c>
      <c r="AK43" s="24">
        <v>0</v>
      </c>
      <c r="AL43" s="24"/>
    </row>
    <row r="44" spans="1:38" ht="31.2" x14ac:dyDescent="0.3">
      <c r="A44" s="53">
        <v>37</v>
      </c>
      <c r="B44" s="24" t="s">
        <v>544</v>
      </c>
      <c r="C44" s="24" t="s">
        <v>555</v>
      </c>
      <c r="D44" s="82" t="s">
        <v>597</v>
      </c>
      <c r="E44" s="24">
        <v>21</v>
      </c>
      <c r="F44" s="24" t="s">
        <v>200</v>
      </c>
      <c r="G44" s="24"/>
      <c r="H44" s="24" t="s">
        <v>601</v>
      </c>
      <c r="I44" s="30" t="s">
        <v>548</v>
      </c>
      <c r="J44" s="24"/>
      <c r="K44" s="24" t="s">
        <v>549</v>
      </c>
      <c r="L44" s="24" t="s">
        <v>549</v>
      </c>
      <c r="M44" s="24">
        <v>1901</v>
      </c>
      <c r="N44" s="24" t="s">
        <v>550</v>
      </c>
      <c r="O44" s="24">
        <v>6</v>
      </c>
      <c r="P44" s="24">
        <v>0</v>
      </c>
      <c r="Q44" s="24">
        <v>3</v>
      </c>
      <c r="R44" s="24">
        <v>25</v>
      </c>
      <c r="S44" s="24">
        <v>2314.38</v>
      </c>
      <c r="T44" s="24">
        <v>2314.38</v>
      </c>
      <c r="U44" s="24">
        <v>1721.38</v>
      </c>
      <c r="V44" s="24">
        <v>593</v>
      </c>
      <c r="W44" s="24" t="s">
        <v>528</v>
      </c>
      <c r="X44" s="24" t="s">
        <v>528</v>
      </c>
      <c r="Y44" s="24" t="s">
        <v>529</v>
      </c>
      <c r="Z44" s="102" t="s">
        <v>528</v>
      </c>
      <c r="AA44" s="24" t="s">
        <v>528</v>
      </c>
      <c r="AB44" s="24" t="s">
        <v>528</v>
      </c>
      <c r="AC44" s="24" t="s">
        <v>528</v>
      </c>
      <c r="AD44" s="24" t="s">
        <v>528</v>
      </c>
      <c r="AE44" s="24" t="s">
        <v>529</v>
      </c>
      <c r="AF44" s="24">
        <v>0</v>
      </c>
      <c r="AG44" s="24">
        <v>0</v>
      </c>
      <c r="AH44" s="24">
        <v>1</v>
      </c>
      <c r="AI44" s="24">
        <v>0</v>
      </c>
      <c r="AJ44" s="24">
        <v>1</v>
      </c>
      <c r="AK44" s="24">
        <v>0</v>
      </c>
      <c r="AL44" s="24"/>
    </row>
    <row r="45" spans="1:38" ht="31.2" x14ac:dyDescent="0.3">
      <c r="A45" s="53">
        <v>38</v>
      </c>
      <c r="B45" s="24" t="s">
        <v>544</v>
      </c>
      <c r="C45" s="24" t="s">
        <v>555</v>
      </c>
      <c r="D45" s="82" t="s">
        <v>597</v>
      </c>
      <c r="E45" s="24">
        <v>21</v>
      </c>
      <c r="F45" s="24" t="s">
        <v>205</v>
      </c>
      <c r="G45" s="24"/>
      <c r="H45" s="24" t="s">
        <v>602</v>
      </c>
      <c r="I45" s="30" t="s">
        <v>548</v>
      </c>
      <c r="J45" s="24"/>
      <c r="K45" s="24" t="s">
        <v>549</v>
      </c>
      <c r="L45" s="24" t="s">
        <v>549</v>
      </c>
      <c r="M45" s="24">
        <v>1906</v>
      </c>
      <c r="N45" s="24" t="s">
        <v>550</v>
      </c>
      <c r="O45" s="24">
        <v>6</v>
      </c>
      <c r="P45" s="24">
        <v>0</v>
      </c>
      <c r="Q45" s="24">
        <v>2</v>
      </c>
      <c r="R45" s="24">
        <v>20</v>
      </c>
      <c r="S45" s="24">
        <v>990.9</v>
      </c>
      <c r="T45" s="24">
        <v>990.9</v>
      </c>
      <c r="U45" s="24">
        <v>827.9</v>
      </c>
      <c r="V45" s="24">
        <v>163</v>
      </c>
      <c r="W45" s="24" t="s">
        <v>528</v>
      </c>
      <c r="X45" s="24" t="s">
        <v>528</v>
      </c>
      <c r="Y45" s="24" t="s">
        <v>529</v>
      </c>
      <c r="Z45" s="102" t="s">
        <v>528</v>
      </c>
      <c r="AA45" s="24" t="s">
        <v>528</v>
      </c>
      <c r="AB45" s="24" t="s">
        <v>528</v>
      </c>
      <c r="AC45" s="24" t="s">
        <v>528</v>
      </c>
      <c r="AD45" s="24" t="s">
        <v>528</v>
      </c>
      <c r="AE45" s="24" t="s">
        <v>529</v>
      </c>
      <c r="AF45" s="24">
        <v>0</v>
      </c>
      <c r="AG45" s="24">
        <v>0</v>
      </c>
      <c r="AH45" s="24">
        <v>1</v>
      </c>
      <c r="AI45" s="24">
        <v>0</v>
      </c>
      <c r="AJ45" s="24">
        <v>1</v>
      </c>
      <c r="AK45" s="24">
        <v>0</v>
      </c>
      <c r="AL45" s="24"/>
    </row>
    <row r="46" spans="1:38" ht="31.2" x14ac:dyDescent="0.3">
      <c r="A46" s="53">
        <v>39</v>
      </c>
      <c r="B46" s="24" t="s">
        <v>544</v>
      </c>
      <c r="C46" s="24" t="s">
        <v>555</v>
      </c>
      <c r="D46" s="82" t="s">
        <v>597</v>
      </c>
      <c r="E46" s="24">
        <v>23</v>
      </c>
      <c r="F46" s="24" t="s">
        <v>200</v>
      </c>
      <c r="G46" s="24"/>
      <c r="H46" s="24" t="s">
        <v>603</v>
      </c>
      <c r="I46" s="30" t="s">
        <v>548</v>
      </c>
      <c r="J46" s="24"/>
      <c r="K46" s="24" t="s">
        <v>549</v>
      </c>
      <c r="L46" s="24" t="s">
        <v>549</v>
      </c>
      <c r="M46" s="24">
        <v>1961</v>
      </c>
      <c r="N46" s="24" t="s">
        <v>550</v>
      </c>
      <c r="O46" s="24">
        <v>5</v>
      </c>
      <c r="P46" s="24">
        <v>0</v>
      </c>
      <c r="Q46" s="24">
        <v>3</v>
      </c>
      <c r="R46" s="24">
        <v>54</v>
      </c>
      <c r="S46" s="24">
        <v>2784.2</v>
      </c>
      <c r="T46" s="24">
        <v>2784.2</v>
      </c>
      <c r="U46" s="24">
        <v>2502.1999999999998</v>
      </c>
      <c r="V46" s="24">
        <v>282</v>
      </c>
      <c r="W46" s="24" t="s">
        <v>528</v>
      </c>
      <c r="X46" s="24" t="s">
        <v>528</v>
      </c>
      <c r="Y46" s="24" t="s">
        <v>529</v>
      </c>
      <c r="Z46" s="102" t="s">
        <v>528</v>
      </c>
      <c r="AA46" s="24" t="s">
        <v>528</v>
      </c>
      <c r="AB46" s="24" t="s">
        <v>528</v>
      </c>
      <c r="AC46" s="24" t="s">
        <v>528</v>
      </c>
      <c r="AD46" s="24" t="s">
        <v>528</v>
      </c>
      <c r="AE46" s="24" t="s">
        <v>529</v>
      </c>
      <c r="AF46" s="24">
        <v>0</v>
      </c>
      <c r="AG46" s="24">
        <v>0</v>
      </c>
      <c r="AH46" s="24">
        <v>1</v>
      </c>
      <c r="AI46" s="24">
        <v>0</v>
      </c>
      <c r="AJ46" s="24">
        <v>1</v>
      </c>
      <c r="AK46" s="24">
        <v>0</v>
      </c>
      <c r="AL46" s="24"/>
    </row>
    <row r="47" spans="1:38" ht="31.2" x14ac:dyDescent="0.3">
      <c r="A47" s="53">
        <v>40</v>
      </c>
      <c r="B47" s="24" t="s">
        <v>544</v>
      </c>
      <c r="C47" s="24" t="s">
        <v>555</v>
      </c>
      <c r="D47" s="82" t="s">
        <v>597</v>
      </c>
      <c r="E47" s="24">
        <v>24</v>
      </c>
      <c r="F47" s="24" t="s">
        <v>200</v>
      </c>
      <c r="G47" s="24"/>
      <c r="H47" s="24" t="s">
        <v>604</v>
      </c>
      <c r="I47" s="30" t="s">
        <v>548</v>
      </c>
      <c r="J47" s="24"/>
      <c r="K47" s="24" t="s">
        <v>549</v>
      </c>
      <c r="L47" s="24" t="s">
        <v>549</v>
      </c>
      <c r="M47" s="24">
        <v>1903</v>
      </c>
      <c r="N47" s="24" t="s">
        <v>550</v>
      </c>
      <c r="O47" s="24">
        <v>3</v>
      </c>
      <c r="P47" s="24">
        <v>0</v>
      </c>
      <c r="Q47" s="24">
        <v>3</v>
      </c>
      <c r="R47" s="24">
        <v>12</v>
      </c>
      <c r="S47" s="24">
        <v>1489.14</v>
      </c>
      <c r="T47" s="24">
        <v>1489.14</v>
      </c>
      <c r="U47" s="24">
        <v>1186.6400000000001</v>
      </c>
      <c r="V47" s="24">
        <v>302.5</v>
      </c>
      <c r="W47" s="24" t="s">
        <v>528</v>
      </c>
      <c r="X47" s="24" t="s">
        <v>528</v>
      </c>
      <c r="Y47" s="24" t="s">
        <v>529</v>
      </c>
      <c r="Z47" s="102" t="s">
        <v>528</v>
      </c>
      <c r="AA47" s="24" t="s">
        <v>528</v>
      </c>
      <c r="AB47" s="24" t="s">
        <v>528</v>
      </c>
      <c r="AC47" s="24" t="s">
        <v>528</v>
      </c>
      <c r="AD47" s="24" t="s">
        <v>528</v>
      </c>
      <c r="AE47" s="24" t="s">
        <v>529</v>
      </c>
      <c r="AF47" s="24">
        <v>0</v>
      </c>
      <c r="AG47" s="24">
        <v>0</v>
      </c>
      <c r="AH47" s="24">
        <v>1</v>
      </c>
      <c r="AI47" s="24">
        <v>0</v>
      </c>
      <c r="AJ47" s="24">
        <v>0</v>
      </c>
      <c r="AK47" s="24">
        <v>0</v>
      </c>
      <c r="AL47" s="24"/>
    </row>
    <row r="48" spans="1:38" ht="31.2" x14ac:dyDescent="0.3">
      <c r="A48" s="53">
        <v>41</v>
      </c>
      <c r="B48" s="24" t="s">
        <v>544</v>
      </c>
      <c r="C48" s="24" t="s">
        <v>555</v>
      </c>
      <c r="D48" s="82" t="s">
        <v>597</v>
      </c>
      <c r="E48" s="24">
        <v>25</v>
      </c>
      <c r="F48" s="24" t="s">
        <v>200</v>
      </c>
      <c r="G48" s="24"/>
      <c r="H48" s="24" t="s">
        <v>605</v>
      </c>
      <c r="I48" s="30" t="s">
        <v>548</v>
      </c>
      <c r="J48" s="24"/>
      <c r="K48" s="24" t="s">
        <v>549</v>
      </c>
      <c r="L48" s="24" t="s">
        <v>549</v>
      </c>
      <c r="M48" s="24">
        <v>1908</v>
      </c>
      <c r="N48" s="24" t="s">
        <v>550</v>
      </c>
      <c r="O48" s="24">
        <v>5</v>
      </c>
      <c r="P48" s="24">
        <v>0</v>
      </c>
      <c r="Q48" s="24">
        <v>3</v>
      </c>
      <c r="R48" s="24">
        <v>8</v>
      </c>
      <c r="S48" s="24">
        <v>1131.9000000000001</v>
      </c>
      <c r="T48" s="24">
        <v>1131.9000000000001</v>
      </c>
      <c r="U48" s="24">
        <v>944.9</v>
      </c>
      <c r="V48" s="24">
        <v>187</v>
      </c>
      <c r="W48" s="24" t="s">
        <v>528</v>
      </c>
      <c r="X48" s="24" t="s">
        <v>528</v>
      </c>
      <c r="Y48" s="24" t="s">
        <v>529</v>
      </c>
      <c r="Z48" s="102" t="s">
        <v>528</v>
      </c>
      <c r="AA48" s="24" t="s">
        <v>528</v>
      </c>
      <c r="AB48" s="24" t="s">
        <v>528</v>
      </c>
      <c r="AC48" s="24" t="s">
        <v>528</v>
      </c>
      <c r="AD48" s="24" t="s">
        <v>528</v>
      </c>
      <c r="AE48" s="24" t="s">
        <v>529</v>
      </c>
      <c r="AF48" s="24">
        <v>0</v>
      </c>
      <c r="AG48" s="24">
        <v>0</v>
      </c>
      <c r="AH48" s="24">
        <v>1</v>
      </c>
      <c r="AI48" s="24">
        <v>0</v>
      </c>
      <c r="AJ48" s="24">
        <v>1</v>
      </c>
      <c r="AK48" s="24">
        <v>0</v>
      </c>
      <c r="AL48" s="24"/>
    </row>
    <row r="49" spans="1:38" ht="31.2" x14ac:dyDescent="0.3">
      <c r="A49" s="53">
        <v>42</v>
      </c>
      <c r="B49" s="24" t="s">
        <v>544</v>
      </c>
      <c r="C49" s="24" t="s">
        <v>555</v>
      </c>
      <c r="D49" s="82" t="s">
        <v>597</v>
      </c>
      <c r="E49" s="24">
        <v>26</v>
      </c>
      <c r="F49" s="24" t="s">
        <v>200</v>
      </c>
      <c r="G49" s="24"/>
      <c r="H49" s="24" t="s">
        <v>606</v>
      </c>
      <c r="I49" s="30" t="s">
        <v>548</v>
      </c>
      <c r="J49" s="24" t="s">
        <v>558</v>
      </c>
      <c r="K49" s="24" t="s">
        <v>549</v>
      </c>
      <c r="L49" s="24" t="s">
        <v>549</v>
      </c>
      <c r="M49" s="24">
        <v>1900</v>
      </c>
      <c r="N49" s="24" t="s">
        <v>550</v>
      </c>
      <c r="O49" s="24">
        <v>4</v>
      </c>
      <c r="P49" s="24">
        <v>0</v>
      </c>
      <c r="Q49" s="24">
        <v>1</v>
      </c>
      <c r="R49" s="24">
        <v>5</v>
      </c>
      <c r="S49" s="24">
        <v>1087.2</v>
      </c>
      <c r="T49" s="24">
        <v>1087.2</v>
      </c>
      <c r="U49" s="24">
        <v>1087.2</v>
      </c>
      <c r="V49" s="24">
        <v>0</v>
      </c>
      <c r="W49" s="24" t="s">
        <v>528</v>
      </c>
      <c r="X49" s="24" t="s">
        <v>528</v>
      </c>
      <c r="Y49" s="24" t="s">
        <v>529</v>
      </c>
      <c r="Z49" s="102" t="s">
        <v>528</v>
      </c>
      <c r="AA49" s="24" t="s">
        <v>528</v>
      </c>
      <c r="AB49" s="24" t="s">
        <v>528</v>
      </c>
      <c r="AC49" s="24" t="s">
        <v>528</v>
      </c>
      <c r="AD49" s="24" t="s">
        <v>528</v>
      </c>
      <c r="AE49" s="24" t="s">
        <v>529</v>
      </c>
      <c r="AF49" s="24">
        <v>0</v>
      </c>
      <c r="AG49" s="24">
        <v>0</v>
      </c>
      <c r="AH49" s="24">
        <v>1</v>
      </c>
      <c r="AI49" s="24">
        <v>0</v>
      </c>
      <c r="AJ49" s="24">
        <v>1</v>
      </c>
      <c r="AK49" s="24">
        <v>0</v>
      </c>
      <c r="AL49" s="24"/>
    </row>
    <row r="50" spans="1:38" ht="31.2" x14ac:dyDescent="0.3">
      <c r="A50" s="53">
        <v>43</v>
      </c>
      <c r="B50" s="24" t="s">
        <v>544</v>
      </c>
      <c r="C50" s="24" t="s">
        <v>555</v>
      </c>
      <c r="D50" s="82" t="s">
        <v>597</v>
      </c>
      <c r="E50" s="24">
        <v>26</v>
      </c>
      <c r="F50" s="24" t="s">
        <v>205</v>
      </c>
      <c r="G50" s="24"/>
      <c r="H50" s="24" t="s">
        <v>607</v>
      </c>
      <c r="I50" s="30" t="s">
        <v>548</v>
      </c>
      <c r="J50" s="24" t="s">
        <v>558</v>
      </c>
      <c r="K50" s="24" t="s">
        <v>549</v>
      </c>
      <c r="L50" s="24" t="s">
        <v>549</v>
      </c>
      <c r="M50" s="24">
        <v>1900</v>
      </c>
      <c r="N50" s="24" t="s">
        <v>550</v>
      </c>
      <c r="O50" s="24">
        <v>4</v>
      </c>
      <c r="P50" s="24">
        <v>0</v>
      </c>
      <c r="Q50" s="24">
        <v>1</v>
      </c>
      <c r="R50" s="24">
        <v>7</v>
      </c>
      <c r="S50" s="24">
        <v>844</v>
      </c>
      <c r="T50" s="24">
        <v>844</v>
      </c>
      <c r="U50" s="24">
        <v>732.9</v>
      </c>
      <c r="V50" s="24">
        <v>111.1</v>
      </c>
      <c r="W50" s="24" t="s">
        <v>528</v>
      </c>
      <c r="X50" s="24" t="s">
        <v>528</v>
      </c>
      <c r="Y50" s="24" t="s">
        <v>529</v>
      </c>
      <c r="Z50" s="102" t="s">
        <v>528</v>
      </c>
      <c r="AA50" s="24" t="s">
        <v>528</v>
      </c>
      <c r="AB50" s="24" t="s">
        <v>529</v>
      </c>
      <c r="AC50" s="24" t="s">
        <v>528</v>
      </c>
      <c r="AD50" s="24" t="s">
        <v>529</v>
      </c>
      <c r="AE50" s="24" t="s">
        <v>528</v>
      </c>
      <c r="AF50" s="24">
        <v>0</v>
      </c>
      <c r="AG50" s="24">
        <v>0</v>
      </c>
      <c r="AH50" s="24">
        <v>1</v>
      </c>
      <c r="AI50" s="24">
        <v>0</v>
      </c>
      <c r="AJ50" s="24">
        <v>0</v>
      </c>
      <c r="AK50" s="24">
        <v>0</v>
      </c>
      <c r="AL50" s="24"/>
    </row>
    <row r="51" spans="1:38" ht="31.2" x14ac:dyDescent="0.3">
      <c r="A51" s="53">
        <v>44</v>
      </c>
      <c r="B51" s="24" t="s">
        <v>544</v>
      </c>
      <c r="C51" s="24" t="s">
        <v>555</v>
      </c>
      <c r="D51" s="82" t="s">
        <v>597</v>
      </c>
      <c r="E51" s="24">
        <v>27</v>
      </c>
      <c r="F51" s="24" t="s">
        <v>200</v>
      </c>
      <c r="G51" s="24"/>
      <c r="H51" s="24" t="s">
        <v>608</v>
      </c>
      <c r="I51" s="30" t="s">
        <v>548</v>
      </c>
      <c r="J51" s="24"/>
      <c r="K51" s="24" t="s">
        <v>549</v>
      </c>
      <c r="L51" s="24" t="s">
        <v>549</v>
      </c>
      <c r="M51" s="24">
        <v>1906</v>
      </c>
      <c r="N51" s="24" t="s">
        <v>550</v>
      </c>
      <c r="O51" s="24">
        <v>5</v>
      </c>
      <c r="P51" s="24">
        <v>0</v>
      </c>
      <c r="Q51" s="24">
        <v>1</v>
      </c>
      <c r="R51" s="24">
        <v>6</v>
      </c>
      <c r="S51" s="24">
        <v>636.4</v>
      </c>
      <c r="T51" s="24">
        <v>636.4</v>
      </c>
      <c r="U51" s="24">
        <v>476.8</v>
      </c>
      <c r="V51" s="24">
        <v>159.6</v>
      </c>
      <c r="W51" s="24" t="s">
        <v>528</v>
      </c>
      <c r="X51" s="24" t="s">
        <v>528</v>
      </c>
      <c r="Y51" s="24" t="s">
        <v>529</v>
      </c>
      <c r="Z51" s="102" t="s">
        <v>528</v>
      </c>
      <c r="AA51" s="24" t="s">
        <v>528</v>
      </c>
      <c r="AB51" s="24" t="s">
        <v>528</v>
      </c>
      <c r="AC51" s="24" t="s">
        <v>528</v>
      </c>
      <c r="AD51" s="24" t="s">
        <v>528</v>
      </c>
      <c r="AE51" s="24" t="s">
        <v>529</v>
      </c>
      <c r="AF51" s="24">
        <v>0</v>
      </c>
      <c r="AG51" s="24">
        <v>0</v>
      </c>
      <c r="AH51" s="24">
        <v>1</v>
      </c>
      <c r="AI51" s="24">
        <v>0</v>
      </c>
      <c r="AJ51" s="24">
        <v>0</v>
      </c>
      <c r="AK51" s="24">
        <v>0</v>
      </c>
      <c r="AL51" s="24"/>
    </row>
    <row r="52" spans="1:38" ht="31.2" x14ac:dyDescent="0.3">
      <c r="A52" s="53">
        <v>45</v>
      </c>
      <c r="B52" s="24" t="s">
        <v>544</v>
      </c>
      <c r="C52" s="24" t="s">
        <v>555</v>
      </c>
      <c r="D52" s="82" t="s">
        <v>597</v>
      </c>
      <c r="E52" s="24" t="s">
        <v>609</v>
      </c>
      <c r="F52" s="24" t="s">
        <v>200</v>
      </c>
      <c r="G52" s="24"/>
      <c r="H52" s="24" t="s">
        <v>610</v>
      </c>
      <c r="I52" s="30" t="s">
        <v>548</v>
      </c>
      <c r="J52" s="24"/>
      <c r="K52" s="24" t="s">
        <v>549</v>
      </c>
      <c r="L52" s="24" t="s">
        <v>549</v>
      </c>
      <c r="M52" s="24">
        <v>1912</v>
      </c>
      <c r="N52" s="24" t="s">
        <v>550</v>
      </c>
      <c r="O52" s="24">
        <v>5</v>
      </c>
      <c r="P52" s="24">
        <v>0</v>
      </c>
      <c r="Q52" s="24">
        <v>5</v>
      </c>
      <c r="R52" s="24">
        <v>27</v>
      </c>
      <c r="S52" s="24">
        <v>3978.6000000000004</v>
      </c>
      <c r="T52" s="24">
        <v>3978.6000000000004</v>
      </c>
      <c r="U52" s="24">
        <v>3143.13</v>
      </c>
      <c r="V52" s="24">
        <v>835.47</v>
      </c>
      <c r="W52" s="24" t="s">
        <v>528</v>
      </c>
      <c r="X52" s="24" t="s">
        <v>528</v>
      </c>
      <c r="Y52" s="24" t="s">
        <v>529</v>
      </c>
      <c r="Z52" s="102" t="s">
        <v>528</v>
      </c>
      <c r="AA52" s="24" t="s">
        <v>528</v>
      </c>
      <c r="AB52" s="24" t="s">
        <v>528</v>
      </c>
      <c r="AC52" s="24" t="s">
        <v>528</v>
      </c>
      <c r="AD52" s="24" t="s">
        <v>528</v>
      </c>
      <c r="AE52" s="24" t="s">
        <v>529</v>
      </c>
      <c r="AF52" s="24">
        <v>3</v>
      </c>
      <c r="AG52" s="24">
        <v>0</v>
      </c>
      <c r="AH52" s="24">
        <v>1</v>
      </c>
      <c r="AI52" s="24">
        <v>0</v>
      </c>
      <c r="AJ52" s="24">
        <v>1</v>
      </c>
      <c r="AK52" s="24">
        <v>0</v>
      </c>
      <c r="AL52" s="24"/>
    </row>
    <row r="53" spans="1:38" ht="31.2" x14ac:dyDescent="0.3">
      <c r="A53" s="53">
        <v>46</v>
      </c>
      <c r="B53" s="24" t="s">
        <v>544</v>
      </c>
      <c r="C53" s="24" t="s">
        <v>555</v>
      </c>
      <c r="D53" s="82" t="s">
        <v>597</v>
      </c>
      <c r="E53" s="24">
        <v>29</v>
      </c>
      <c r="F53" s="24" t="s">
        <v>200</v>
      </c>
      <c r="G53" s="24"/>
      <c r="H53" s="24" t="s">
        <v>611</v>
      </c>
      <c r="I53" s="30" t="s">
        <v>548</v>
      </c>
      <c r="J53" s="24"/>
      <c r="K53" s="24" t="s">
        <v>549</v>
      </c>
      <c r="L53" s="24" t="s">
        <v>549</v>
      </c>
      <c r="M53" s="24">
        <v>1896</v>
      </c>
      <c r="N53" s="24" t="s">
        <v>550</v>
      </c>
      <c r="O53" s="24">
        <v>5</v>
      </c>
      <c r="P53" s="24">
        <v>0</v>
      </c>
      <c r="Q53" s="24">
        <v>4</v>
      </c>
      <c r="R53" s="24">
        <v>26</v>
      </c>
      <c r="S53" s="24">
        <v>3580.37</v>
      </c>
      <c r="T53" s="24">
        <v>3580.37</v>
      </c>
      <c r="U53" s="24">
        <v>2256.37</v>
      </c>
      <c r="V53" s="24">
        <v>1324</v>
      </c>
      <c r="W53" s="24" t="s">
        <v>528</v>
      </c>
      <c r="X53" s="24" t="s">
        <v>528</v>
      </c>
      <c r="Y53" s="24" t="s">
        <v>529</v>
      </c>
      <c r="Z53" s="102" t="s">
        <v>528</v>
      </c>
      <c r="AA53" s="24" t="s">
        <v>528</v>
      </c>
      <c r="AB53" s="24" t="s">
        <v>528</v>
      </c>
      <c r="AC53" s="24" t="s">
        <v>528</v>
      </c>
      <c r="AD53" s="24" t="s">
        <v>528</v>
      </c>
      <c r="AE53" s="24" t="s">
        <v>529</v>
      </c>
      <c r="AF53" s="24">
        <v>0</v>
      </c>
      <c r="AG53" s="24">
        <v>0</v>
      </c>
      <c r="AH53" s="24">
        <v>1</v>
      </c>
      <c r="AI53" s="24">
        <v>0</v>
      </c>
      <c r="AJ53" s="24">
        <v>1</v>
      </c>
      <c r="AK53" s="24">
        <v>0</v>
      </c>
      <c r="AL53" s="24"/>
    </row>
    <row r="54" spans="1:38" ht="31.2" x14ac:dyDescent="0.3">
      <c r="A54" s="53">
        <v>47</v>
      </c>
      <c r="B54" s="24" t="s">
        <v>544</v>
      </c>
      <c r="C54" s="24" t="s">
        <v>555</v>
      </c>
      <c r="D54" s="82" t="s">
        <v>597</v>
      </c>
      <c r="E54" s="24">
        <v>30</v>
      </c>
      <c r="F54" s="24" t="s">
        <v>200</v>
      </c>
      <c r="G54" s="24"/>
      <c r="H54" s="24" t="s">
        <v>612</v>
      </c>
      <c r="I54" s="30" t="s">
        <v>548</v>
      </c>
      <c r="J54" s="24"/>
      <c r="K54" s="24" t="s">
        <v>549</v>
      </c>
      <c r="L54" s="24" t="s">
        <v>549</v>
      </c>
      <c r="M54" s="24">
        <v>1877</v>
      </c>
      <c r="N54" s="24" t="s">
        <v>550</v>
      </c>
      <c r="O54" s="24">
        <v>4</v>
      </c>
      <c r="P54" s="24">
        <v>0</v>
      </c>
      <c r="Q54" s="24">
        <v>7</v>
      </c>
      <c r="R54" s="24">
        <v>51</v>
      </c>
      <c r="S54" s="24">
        <v>5518.7</v>
      </c>
      <c r="T54" s="24">
        <v>5518.7</v>
      </c>
      <c r="U54" s="24">
        <v>4222</v>
      </c>
      <c r="V54" s="24">
        <v>1296.7</v>
      </c>
      <c r="W54" s="24" t="s">
        <v>528</v>
      </c>
      <c r="X54" s="24" t="s">
        <v>528</v>
      </c>
      <c r="Y54" s="24" t="s">
        <v>529</v>
      </c>
      <c r="Z54" s="102" t="s">
        <v>528</v>
      </c>
      <c r="AA54" s="24" t="s">
        <v>528</v>
      </c>
      <c r="AB54" s="24" t="s">
        <v>528</v>
      </c>
      <c r="AC54" s="24" t="s">
        <v>528</v>
      </c>
      <c r="AD54" s="24" t="s">
        <v>528</v>
      </c>
      <c r="AE54" s="24" t="s">
        <v>529</v>
      </c>
      <c r="AF54" s="24">
        <v>0</v>
      </c>
      <c r="AG54" s="24">
        <v>0</v>
      </c>
      <c r="AH54" s="24">
        <v>1</v>
      </c>
      <c r="AI54" s="24">
        <v>0</v>
      </c>
      <c r="AJ54" s="24">
        <v>1</v>
      </c>
      <c r="AK54" s="24">
        <v>0</v>
      </c>
      <c r="AL54" s="24"/>
    </row>
    <row r="55" spans="1:38" ht="31.2" x14ac:dyDescent="0.3">
      <c r="A55" s="53">
        <v>48</v>
      </c>
      <c r="B55" s="24" t="s">
        <v>544</v>
      </c>
      <c r="C55" s="24" t="s">
        <v>555</v>
      </c>
      <c r="D55" s="82" t="s">
        <v>597</v>
      </c>
      <c r="E55" s="24">
        <v>31</v>
      </c>
      <c r="F55" s="24" t="s">
        <v>200</v>
      </c>
      <c r="G55" s="24"/>
      <c r="H55" s="24" t="s">
        <v>613</v>
      </c>
      <c r="I55" s="30" t="s">
        <v>548</v>
      </c>
      <c r="J55" s="24"/>
      <c r="K55" s="24" t="s">
        <v>549</v>
      </c>
      <c r="L55" s="24" t="s">
        <v>549</v>
      </c>
      <c r="M55" s="24">
        <v>1901</v>
      </c>
      <c r="N55" s="24" t="s">
        <v>550</v>
      </c>
      <c r="O55" s="24">
        <v>5</v>
      </c>
      <c r="P55" s="24">
        <v>0</v>
      </c>
      <c r="Q55" s="24">
        <v>2</v>
      </c>
      <c r="R55" s="24">
        <v>13</v>
      </c>
      <c r="S55" s="24">
        <v>1013.2</v>
      </c>
      <c r="T55" s="24">
        <v>1013.2</v>
      </c>
      <c r="U55" s="24">
        <v>922.2</v>
      </c>
      <c r="V55" s="24">
        <v>91</v>
      </c>
      <c r="W55" s="24" t="s">
        <v>528</v>
      </c>
      <c r="X55" s="24" t="s">
        <v>528</v>
      </c>
      <c r="Y55" s="24" t="s">
        <v>529</v>
      </c>
      <c r="Z55" s="102" t="s">
        <v>528</v>
      </c>
      <c r="AA55" s="24" t="s">
        <v>528</v>
      </c>
      <c r="AB55" s="24" t="s">
        <v>528</v>
      </c>
      <c r="AC55" s="24" t="s">
        <v>528</v>
      </c>
      <c r="AD55" s="24" t="s">
        <v>528</v>
      </c>
      <c r="AE55" s="24" t="s">
        <v>529</v>
      </c>
      <c r="AF55" s="24">
        <v>0</v>
      </c>
      <c r="AG55" s="24">
        <v>0</v>
      </c>
      <c r="AH55" s="24">
        <v>1</v>
      </c>
      <c r="AI55" s="24">
        <v>0</v>
      </c>
      <c r="AJ55" s="24">
        <v>1</v>
      </c>
      <c r="AK55" s="24">
        <v>0</v>
      </c>
      <c r="AL55" s="24"/>
    </row>
    <row r="56" spans="1:38" ht="31.2" x14ac:dyDescent="0.3">
      <c r="A56" s="53">
        <v>49</v>
      </c>
      <c r="B56" s="24" t="s">
        <v>544</v>
      </c>
      <c r="C56" s="24" t="s">
        <v>555</v>
      </c>
      <c r="D56" s="82" t="s">
        <v>597</v>
      </c>
      <c r="E56" s="24">
        <v>31</v>
      </c>
      <c r="F56" s="24" t="s">
        <v>205</v>
      </c>
      <c r="G56" s="24"/>
      <c r="H56" s="24" t="s">
        <v>614</v>
      </c>
      <c r="I56" s="30" t="s">
        <v>548</v>
      </c>
      <c r="J56" s="24"/>
      <c r="K56" s="24" t="s">
        <v>549</v>
      </c>
      <c r="L56" s="24" t="s">
        <v>549</v>
      </c>
      <c r="M56" s="24">
        <v>1901</v>
      </c>
      <c r="N56" s="24" t="s">
        <v>550</v>
      </c>
      <c r="O56" s="24">
        <v>5</v>
      </c>
      <c r="P56" s="24">
        <v>0</v>
      </c>
      <c r="Q56" s="24">
        <v>1</v>
      </c>
      <c r="R56" s="24">
        <v>12</v>
      </c>
      <c r="S56" s="24">
        <v>1032</v>
      </c>
      <c r="T56" s="24">
        <v>1032</v>
      </c>
      <c r="U56" s="24">
        <v>933.9</v>
      </c>
      <c r="V56" s="24">
        <v>98.1</v>
      </c>
      <c r="W56" s="24" t="s">
        <v>528</v>
      </c>
      <c r="X56" s="24" t="s">
        <v>528</v>
      </c>
      <c r="Y56" s="24" t="s">
        <v>529</v>
      </c>
      <c r="Z56" s="102" t="s">
        <v>528</v>
      </c>
      <c r="AA56" s="24" t="s">
        <v>528</v>
      </c>
      <c r="AB56" s="24" t="s">
        <v>528</v>
      </c>
      <c r="AC56" s="24" t="s">
        <v>528</v>
      </c>
      <c r="AD56" s="24" t="s">
        <v>528</v>
      </c>
      <c r="AE56" s="24" t="s">
        <v>529</v>
      </c>
      <c r="AF56" s="24">
        <v>0</v>
      </c>
      <c r="AG56" s="24">
        <v>0</v>
      </c>
      <c r="AH56" s="24">
        <v>1</v>
      </c>
      <c r="AI56" s="24">
        <v>0</v>
      </c>
      <c r="AJ56" s="24">
        <v>0</v>
      </c>
      <c r="AK56" s="24">
        <v>0</v>
      </c>
      <c r="AL56" s="24"/>
    </row>
    <row r="57" spans="1:38" ht="31.2" x14ac:dyDescent="0.3">
      <c r="A57" s="53">
        <v>50</v>
      </c>
      <c r="B57" s="24" t="s">
        <v>544</v>
      </c>
      <c r="C57" s="24" t="s">
        <v>555</v>
      </c>
      <c r="D57" s="82" t="s">
        <v>597</v>
      </c>
      <c r="E57" s="24">
        <v>32</v>
      </c>
      <c r="F57" s="24" t="s">
        <v>200</v>
      </c>
      <c r="G57" s="24"/>
      <c r="H57" s="24" t="s">
        <v>615</v>
      </c>
      <c r="I57" s="30" t="s">
        <v>548</v>
      </c>
      <c r="J57" s="24"/>
      <c r="K57" s="24" t="s">
        <v>549</v>
      </c>
      <c r="L57" s="24" t="s">
        <v>549</v>
      </c>
      <c r="M57" s="24">
        <v>1877</v>
      </c>
      <c r="N57" s="24" t="s">
        <v>550</v>
      </c>
      <c r="O57" s="24">
        <v>5</v>
      </c>
      <c r="P57" s="24">
        <v>0</v>
      </c>
      <c r="Q57" s="24">
        <v>1</v>
      </c>
      <c r="R57" s="24">
        <v>19</v>
      </c>
      <c r="S57" s="24">
        <v>1914</v>
      </c>
      <c r="T57" s="24">
        <v>1914</v>
      </c>
      <c r="U57" s="24">
        <v>1571.3</v>
      </c>
      <c r="V57" s="24">
        <v>342.7</v>
      </c>
      <c r="W57" s="24" t="s">
        <v>528</v>
      </c>
      <c r="X57" s="24" t="s">
        <v>528</v>
      </c>
      <c r="Y57" s="24" t="s">
        <v>529</v>
      </c>
      <c r="Z57" s="102" t="s">
        <v>528</v>
      </c>
      <c r="AA57" s="24" t="s">
        <v>528</v>
      </c>
      <c r="AB57" s="24" t="s">
        <v>528</v>
      </c>
      <c r="AC57" s="24" t="s">
        <v>528</v>
      </c>
      <c r="AD57" s="24" t="s">
        <v>528</v>
      </c>
      <c r="AE57" s="24" t="s">
        <v>529</v>
      </c>
      <c r="AF57" s="24">
        <v>0</v>
      </c>
      <c r="AG57" s="24">
        <v>0</v>
      </c>
      <c r="AH57" s="24">
        <v>1</v>
      </c>
      <c r="AI57" s="24">
        <v>0</v>
      </c>
      <c r="AJ57" s="24">
        <v>1</v>
      </c>
      <c r="AK57" s="24">
        <v>0</v>
      </c>
      <c r="AL57" s="24"/>
    </row>
    <row r="58" spans="1:38" ht="31.2" x14ac:dyDescent="0.3">
      <c r="A58" s="53">
        <v>51</v>
      </c>
      <c r="B58" s="24" t="s">
        <v>544</v>
      </c>
      <c r="C58" s="24" t="s">
        <v>555</v>
      </c>
      <c r="D58" s="82" t="s">
        <v>597</v>
      </c>
      <c r="E58" s="24">
        <v>34</v>
      </c>
      <c r="F58" s="24" t="s">
        <v>200</v>
      </c>
      <c r="G58" s="24"/>
      <c r="H58" s="24" t="s">
        <v>616</v>
      </c>
      <c r="I58" s="30" t="s">
        <v>548</v>
      </c>
      <c r="J58" s="24"/>
      <c r="K58" s="24" t="s">
        <v>549</v>
      </c>
      <c r="L58" s="24" t="s">
        <v>549</v>
      </c>
      <c r="M58" s="24">
        <v>1911</v>
      </c>
      <c r="N58" s="24" t="s">
        <v>550</v>
      </c>
      <c r="O58" s="24">
        <v>6</v>
      </c>
      <c r="P58" s="24">
        <v>0</v>
      </c>
      <c r="Q58" s="24">
        <v>3</v>
      </c>
      <c r="R58" s="24">
        <v>62</v>
      </c>
      <c r="S58" s="24">
        <v>5007.3999999999996</v>
      </c>
      <c r="T58" s="24">
        <v>5007.3999999999996</v>
      </c>
      <c r="U58" s="24">
        <v>4665.5</v>
      </c>
      <c r="V58" s="24">
        <v>341.9</v>
      </c>
      <c r="W58" s="24" t="s">
        <v>528</v>
      </c>
      <c r="X58" s="24" t="s">
        <v>528</v>
      </c>
      <c r="Y58" s="24" t="s">
        <v>529</v>
      </c>
      <c r="Z58" s="102" t="s">
        <v>528</v>
      </c>
      <c r="AA58" s="24" t="s">
        <v>528</v>
      </c>
      <c r="AB58" s="24" t="s">
        <v>528</v>
      </c>
      <c r="AC58" s="24" t="s">
        <v>528</v>
      </c>
      <c r="AD58" s="24" t="s">
        <v>528</v>
      </c>
      <c r="AE58" s="24" t="s">
        <v>529</v>
      </c>
      <c r="AF58" s="24">
        <v>5</v>
      </c>
      <c r="AG58" s="24">
        <v>0</v>
      </c>
      <c r="AH58" s="24">
        <v>1</v>
      </c>
      <c r="AI58" s="24">
        <v>0</v>
      </c>
      <c r="AJ58" s="24">
        <v>1</v>
      </c>
      <c r="AK58" s="24">
        <v>0</v>
      </c>
      <c r="AL58" s="24"/>
    </row>
    <row r="59" spans="1:38" ht="31.2" x14ac:dyDescent="0.3">
      <c r="A59" s="53">
        <v>52</v>
      </c>
      <c r="B59" s="24" t="s">
        <v>544</v>
      </c>
      <c r="C59" s="24" t="s">
        <v>555</v>
      </c>
      <c r="D59" s="82" t="s">
        <v>597</v>
      </c>
      <c r="E59" s="24">
        <v>34</v>
      </c>
      <c r="F59" s="24" t="s">
        <v>205</v>
      </c>
      <c r="G59" s="24"/>
      <c r="H59" s="24" t="s">
        <v>617</v>
      </c>
      <c r="I59" s="30" t="s">
        <v>548</v>
      </c>
      <c r="J59" s="24"/>
      <c r="K59" s="24" t="s">
        <v>549</v>
      </c>
      <c r="L59" s="24" t="s">
        <v>549</v>
      </c>
      <c r="M59" s="24">
        <v>1912</v>
      </c>
      <c r="N59" s="24" t="s">
        <v>550</v>
      </c>
      <c r="O59" s="24">
        <v>6</v>
      </c>
      <c r="P59" s="24">
        <v>0</v>
      </c>
      <c r="Q59" s="24">
        <v>2</v>
      </c>
      <c r="R59" s="24">
        <v>31</v>
      </c>
      <c r="S59" s="24">
        <v>2717</v>
      </c>
      <c r="T59" s="24">
        <v>2717</v>
      </c>
      <c r="U59" s="24">
        <v>2103.3000000000002</v>
      </c>
      <c r="V59" s="24">
        <v>613.70000000000005</v>
      </c>
      <c r="W59" s="24" t="s">
        <v>528</v>
      </c>
      <c r="X59" s="24" t="s">
        <v>528</v>
      </c>
      <c r="Y59" s="24" t="s">
        <v>529</v>
      </c>
      <c r="Z59" s="102" t="s">
        <v>528</v>
      </c>
      <c r="AA59" s="24" t="s">
        <v>528</v>
      </c>
      <c r="AB59" s="24" t="s">
        <v>528</v>
      </c>
      <c r="AC59" s="24" t="s">
        <v>528</v>
      </c>
      <c r="AD59" s="24" t="s">
        <v>528</v>
      </c>
      <c r="AE59" s="24" t="s">
        <v>529</v>
      </c>
      <c r="AF59" s="24">
        <v>0</v>
      </c>
      <c r="AG59" s="24">
        <v>0</v>
      </c>
      <c r="AH59" s="24">
        <v>1</v>
      </c>
      <c r="AI59" s="24">
        <v>0</v>
      </c>
      <c r="AJ59" s="24">
        <v>1</v>
      </c>
      <c r="AK59" s="24">
        <v>0</v>
      </c>
      <c r="AL59" s="24"/>
    </row>
    <row r="60" spans="1:38" ht="31.2" x14ac:dyDescent="0.3">
      <c r="A60" s="53">
        <v>53</v>
      </c>
      <c r="B60" s="24" t="s">
        <v>544</v>
      </c>
      <c r="C60" s="24" t="s">
        <v>555</v>
      </c>
      <c r="D60" s="82" t="s">
        <v>597</v>
      </c>
      <c r="E60" s="24">
        <v>34</v>
      </c>
      <c r="F60" s="24" t="s">
        <v>206</v>
      </c>
      <c r="G60" s="24"/>
      <c r="H60" s="24" t="s">
        <v>618</v>
      </c>
      <c r="I60" s="30" t="s">
        <v>548</v>
      </c>
      <c r="J60" s="24"/>
      <c r="K60" s="24" t="s">
        <v>549</v>
      </c>
      <c r="L60" s="24" t="s">
        <v>549</v>
      </c>
      <c r="M60" s="24">
        <v>1912</v>
      </c>
      <c r="N60" s="24" t="s">
        <v>550</v>
      </c>
      <c r="O60" s="24">
        <v>6</v>
      </c>
      <c r="P60" s="24">
        <v>0</v>
      </c>
      <c r="Q60" s="24">
        <v>2</v>
      </c>
      <c r="R60" s="24">
        <v>35</v>
      </c>
      <c r="S60" s="24">
        <v>2747</v>
      </c>
      <c r="T60" s="24">
        <v>2747</v>
      </c>
      <c r="U60" s="24">
        <v>2359.5</v>
      </c>
      <c r="V60" s="24">
        <v>387.5</v>
      </c>
      <c r="W60" s="24" t="s">
        <v>528</v>
      </c>
      <c r="X60" s="24" t="s">
        <v>528</v>
      </c>
      <c r="Y60" s="24" t="s">
        <v>529</v>
      </c>
      <c r="Z60" s="102" t="s">
        <v>528</v>
      </c>
      <c r="AA60" s="24" t="s">
        <v>528</v>
      </c>
      <c r="AB60" s="24" t="s">
        <v>528</v>
      </c>
      <c r="AC60" s="24" t="s">
        <v>528</v>
      </c>
      <c r="AD60" s="24" t="s">
        <v>528</v>
      </c>
      <c r="AE60" s="24" t="s">
        <v>529</v>
      </c>
      <c r="AF60" s="24">
        <v>0</v>
      </c>
      <c r="AG60" s="24">
        <v>0</v>
      </c>
      <c r="AH60" s="24">
        <v>1</v>
      </c>
      <c r="AI60" s="24">
        <v>0</v>
      </c>
      <c r="AJ60" s="24">
        <v>1</v>
      </c>
      <c r="AK60" s="24">
        <v>0</v>
      </c>
      <c r="AL60" s="24"/>
    </row>
    <row r="61" spans="1:38" ht="31.2" x14ac:dyDescent="0.3">
      <c r="A61" s="53">
        <v>54</v>
      </c>
      <c r="B61" s="24" t="s">
        <v>544</v>
      </c>
      <c r="C61" s="24" t="s">
        <v>555</v>
      </c>
      <c r="D61" s="82" t="s">
        <v>597</v>
      </c>
      <c r="E61" s="24">
        <v>38</v>
      </c>
      <c r="F61" s="24" t="s">
        <v>200</v>
      </c>
      <c r="G61" s="24"/>
      <c r="H61" s="24" t="s">
        <v>619</v>
      </c>
      <c r="I61" s="30" t="s">
        <v>548</v>
      </c>
      <c r="J61" s="24" t="s">
        <v>558</v>
      </c>
      <c r="K61" s="24" t="s">
        <v>549</v>
      </c>
      <c r="L61" s="24" t="s">
        <v>549</v>
      </c>
      <c r="M61" s="24">
        <v>1900</v>
      </c>
      <c r="N61" s="24" t="s">
        <v>550</v>
      </c>
      <c r="O61" s="24">
        <v>6</v>
      </c>
      <c r="P61" s="24">
        <v>0</v>
      </c>
      <c r="Q61" s="24">
        <v>4</v>
      </c>
      <c r="R61" s="24">
        <v>46</v>
      </c>
      <c r="S61" s="24">
        <v>3900.87</v>
      </c>
      <c r="T61" s="24">
        <v>3900.87</v>
      </c>
      <c r="U61" s="24">
        <v>3409.58</v>
      </c>
      <c r="V61" s="24">
        <v>491.29</v>
      </c>
      <c r="W61" s="24" t="s">
        <v>528</v>
      </c>
      <c r="X61" s="24" t="s">
        <v>528</v>
      </c>
      <c r="Y61" s="24" t="s">
        <v>529</v>
      </c>
      <c r="Z61" s="102" t="s">
        <v>528</v>
      </c>
      <c r="AA61" s="24" t="s">
        <v>528</v>
      </c>
      <c r="AB61" s="24" t="s">
        <v>528</v>
      </c>
      <c r="AC61" s="24" t="s">
        <v>528</v>
      </c>
      <c r="AD61" s="24" t="s">
        <v>528</v>
      </c>
      <c r="AE61" s="24" t="s">
        <v>529</v>
      </c>
      <c r="AF61" s="24">
        <v>0</v>
      </c>
      <c r="AG61" s="24">
        <v>0</v>
      </c>
      <c r="AH61" s="24">
        <v>1</v>
      </c>
      <c r="AI61" s="24">
        <v>0</v>
      </c>
      <c r="AJ61" s="24">
        <v>1</v>
      </c>
      <c r="AK61" s="24">
        <v>0</v>
      </c>
      <c r="AL61" s="24"/>
    </row>
    <row r="62" spans="1:38" ht="31.2" x14ac:dyDescent="0.3">
      <c r="A62" s="53">
        <v>55</v>
      </c>
      <c r="B62" s="24" t="s">
        <v>544</v>
      </c>
      <c r="C62" s="24" t="s">
        <v>555</v>
      </c>
      <c r="D62" s="82" t="s">
        <v>597</v>
      </c>
      <c r="E62" s="24">
        <v>40</v>
      </c>
      <c r="F62" s="24" t="s">
        <v>200</v>
      </c>
      <c r="G62" s="24"/>
      <c r="H62" s="24" t="s">
        <v>620</v>
      </c>
      <c r="I62" s="30" t="s">
        <v>548</v>
      </c>
      <c r="J62" s="24"/>
      <c r="K62" s="24" t="s">
        <v>549</v>
      </c>
      <c r="L62" s="24" t="s">
        <v>549</v>
      </c>
      <c r="M62" s="24">
        <v>1954</v>
      </c>
      <c r="N62" s="24" t="s">
        <v>550</v>
      </c>
      <c r="O62" s="24">
        <v>5</v>
      </c>
      <c r="P62" s="24">
        <v>0</v>
      </c>
      <c r="Q62" s="24">
        <v>2</v>
      </c>
      <c r="R62" s="24">
        <v>12</v>
      </c>
      <c r="S62" s="24">
        <v>1810</v>
      </c>
      <c r="T62" s="24">
        <v>1810</v>
      </c>
      <c r="U62" s="24">
        <v>1005.3</v>
      </c>
      <c r="V62" s="24">
        <v>804.7</v>
      </c>
      <c r="W62" s="24" t="s">
        <v>528</v>
      </c>
      <c r="X62" s="24" t="s">
        <v>528</v>
      </c>
      <c r="Y62" s="24" t="s">
        <v>529</v>
      </c>
      <c r="Z62" s="102" t="s">
        <v>528</v>
      </c>
      <c r="AA62" s="24" t="s">
        <v>528</v>
      </c>
      <c r="AB62" s="24" t="s">
        <v>528</v>
      </c>
      <c r="AC62" s="24" t="s">
        <v>528</v>
      </c>
      <c r="AD62" s="24" t="s">
        <v>528</v>
      </c>
      <c r="AE62" s="24" t="s">
        <v>529</v>
      </c>
      <c r="AF62" s="24">
        <v>0</v>
      </c>
      <c r="AG62" s="24">
        <v>0</v>
      </c>
      <c r="AH62" s="24">
        <v>1</v>
      </c>
      <c r="AI62" s="24">
        <v>0</v>
      </c>
      <c r="AJ62" s="24">
        <v>1</v>
      </c>
      <c r="AK62" s="24">
        <v>0</v>
      </c>
      <c r="AL62" s="24"/>
    </row>
    <row r="63" spans="1:38" ht="31.2" x14ac:dyDescent="0.3">
      <c r="A63" s="53">
        <v>56</v>
      </c>
      <c r="B63" s="24" t="s">
        <v>544</v>
      </c>
      <c r="C63" s="24" t="s">
        <v>555</v>
      </c>
      <c r="D63" s="82" t="s">
        <v>597</v>
      </c>
      <c r="E63" s="24">
        <v>41</v>
      </c>
      <c r="F63" s="24" t="s">
        <v>205</v>
      </c>
      <c r="G63" s="24"/>
      <c r="H63" s="24" t="s">
        <v>621</v>
      </c>
      <c r="I63" s="30" t="s">
        <v>548</v>
      </c>
      <c r="J63" s="24"/>
      <c r="K63" s="24" t="s">
        <v>549</v>
      </c>
      <c r="L63" s="24" t="s">
        <v>549</v>
      </c>
      <c r="M63" s="24">
        <v>1898</v>
      </c>
      <c r="N63" s="24" t="s">
        <v>550</v>
      </c>
      <c r="O63" s="24">
        <v>2</v>
      </c>
      <c r="P63" s="24">
        <v>0</v>
      </c>
      <c r="Q63" s="24">
        <v>2</v>
      </c>
      <c r="R63" s="24">
        <v>2</v>
      </c>
      <c r="S63" s="24">
        <v>1332.7</v>
      </c>
      <c r="T63" s="24">
        <v>1332.7</v>
      </c>
      <c r="U63" s="24">
        <v>84.7</v>
      </c>
      <c r="V63" s="24">
        <v>1248</v>
      </c>
      <c r="W63" s="24" t="s">
        <v>528</v>
      </c>
      <c r="X63" s="24" t="s">
        <v>528</v>
      </c>
      <c r="Y63" s="24" t="s">
        <v>529</v>
      </c>
      <c r="Z63" s="102" t="s">
        <v>528</v>
      </c>
      <c r="AA63" s="24" t="s">
        <v>528</v>
      </c>
      <c r="AB63" s="24" t="s">
        <v>528</v>
      </c>
      <c r="AC63" s="24" t="s">
        <v>528</v>
      </c>
      <c r="AD63" s="24" t="s">
        <v>528</v>
      </c>
      <c r="AE63" s="24" t="s">
        <v>529</v>
      </c>
      <c r="AF63" s="24">
        <v>0</v>
      </c>
      <c r="AG63" s="24">
        <v>0</v>
      </c>
      <c r="AH63" s="24">
        <v>1</v>
      </c>
      <c r="AI63" s="24">
        <v>0</v>
      </c>
      <c r="AJ63" s="24">
        <v>0</v>
      </c>
      <c r="AK63" s="24">
        <v>0</v>
      </c>
      <c r="AL63" s="24"/>
    </row>
    <row r="64" spans="1:38" ht="31.2" x14ac:dyDescent="0.3">
      <c r="A64" s="53">
        <v>57</v>
      </c>
      <c r="B64" s="24" t="s">
        <v>544</v>
      </c>
      <c r="C64" s="24" t="s">
        <v>555</v>
      </c>
      <c r="D64" s="82" t="s">
        <v>597</v>
      </c>
      <c r="E64" s="24">
        <v>41</v>
      </c>
      <c r="F64" s="24" t="s">
        <v>206</v>
      </c>
      <c r="G64" s="24"/>
      <c r="H64" s="24" t="s">
        <v>622</v>
      </c>
      <c r="I64" s="30" t="s">
        <v>548</v>
      </c>
      <c r="J64" s="24"/>
      <c r="K64" s="24" t="s">
        <v>549</v>
      </c>
      <c r="L64" s="24" t="s">
        <v>549</v>
      </c>
      <c r="M64" s="24">
        <v>1898</v>
      </c>
      <c r="N64" s="24" t="s">
        <v>550</v>
      </c>
      <c r="O64" s="24">
        <v>5</v>
      </c>
      <c r="P64" s="24">
        <v>0</v>
      </c>
      <c r="Q64" s="24">
        <v>2</v>
      </c>
      <c r="R64" s="24">
        <v>16</v>
      </c>
      <c r="S64" s="24">
        <v>1099.72</v>
      </c>
      <c r="T64" s="24">
        <v>1099.72</v>
      </c>
      <c r="U64" s="24">
        <v>882.27</v>
      </c>
      <c r="V64" s="24">
        <v>217.45</v>
      </c>
      <c r="W64" s="24" t="s">
        <v>528</v>
      </c>
      <c r="X64" s="24" t="s">
        <v>528</v>
      </c>
      <c r="Y64" s="24" t="s">
        <v>529</v>
      </c>
      <c r="Z64" s="102" t="s">
        <v>528</v>
      </c>
      <c r="AA64" s="24" t="s">
        <v>528</v>
      </c>
      <c r="AB64" s="24" t="s">
        <v>528</v>
      </c>
      <c r="AC64" s="24" t="s">
        <v>528</v>
      </c>
      <c r="AD64" s="24" t="s">
        <v>528</v>
      </c>
      <c r="AE64" s="24" t="s">
        <v>529</v>
      </c>
      <c r="AF64" s="24">
        <v>0</v>
      </c>
      <c r="AG64" s="24">
        <v>0</v>
      </c>
      <c r="AH64" s="24">
        <v>1</v>
      </c>
      <c r="AI64" s="24">
        <v>0</v>
      </c>
      <c r="AJ64" s="24">
        <v>1</v>
      </c>
      <c r="AK64" s="24">
        <v>0</v>
      </c>
      <c r="AL64" s="24"/>
    </row>
    <row r="65" spans="1:38" ht="31.2" x14ac:dyDescent="0.3">
      <c r="A65" s="53">
        <v>58</v>
      </c>
      <c r="B65" s="24" t="s">
        <v>544</v>
      </c>
      <c r="C65" s="24" t="s">
        <v>555</v>
      </c>
      <c r="D65" s="82" t="s">
        <v>597</v>
      </c>
      <c r="E65" s="24" t="s">
        <v>623</v>
      </c>
      <c r="F65" s="24" t="s">
        <v>200</v>
      </c>
      <c r="G65" s="24"/>
      <c r="H65" s="24" t="s">
        <v>624</v>
      </c>
      <c r="I65" s="30" t="s">
        <v>548</v>
      </c>
      <c r="J65" s="24"/>
      <c r="K65" s="24" t="s">
        <v>549</v>
      </c>
      <c r="L65" s="24" t="s">
        <v>549</v>
      </c>
      <c r="M65" s="24">
        <v>1903</v>
      </c>
      <c r="N65" s="24" t="s">
        <v>550</v>
      </c>
      <c r="O65" s="24">
        <v>6</v>
      </c>
      <c r="P65" s="24">
        <v>0</v>
      </c>
      <c r="Q65" s="24">
        <v>7</v>
      </c>
      <c r="R65" s="24">
        <v>45</v>
      </c>
      <c r="S65" s="24">
        <v>5556.2000000000007</v>
      </c>
      <c r="T65" s="24">
        <v>5556.2000000000007</v>
      </c>
      <c r="U65" s="24">
        <v>4556.1000000000004</v>
      </c>
      <c r="V65" s="24">
        <v>1000.1</v>
      </c>
      <c r="W65" s="24" t="s">
        <v>528</v>
      </c>
      <c r="X65" s="24" t="s">
        <v>528</v>
      </c>
      <c r="Y65" s="24" t="s">
        <v>529</v>
      </c>
      <c r="Z65" s="102" t="s">
        <v>528</v>
      </c>
      <c r="AA65" s="24" t="s">
        <v>528</v>
      </c>
      <c r="AB65" s="24" t="s">
        <v>528</v>
      </c>
      <c r="AC65" s="24" t="s">
        <v>528</v>
      </c>
      <c r="AD65" s="24" t="s">
        <v>528</v>
      </c>
      <c r="AE65" s="24" t="s">
        <v>529</v>
      </c>
      <c r="AF65" s="24">
        <v>2</v>
      </c>
      <c r="AG65" s="24">
        <v>0</v>
      </c>
      <c r="AH65" s="24">
        <v>1</v>
      </c>
      <c r="AI65" s="24">
        <v>0</v>
      </c>
      <c r="AJ65" s="24">
        <v>1</v>
      </c>
      <c r="AK65" s="24">
        <v>0</v>
      </c>
      <c r="AL65" s="24"/>
    </row>
    <row r="66" spans="1:38" ht="31.2" x14ac:dyDescent="0.3">
      <c r="A66" s="53">
        <v>59</v>
      </c>
      <c r="B66" s="24" t="s">
        <v>544</v>
      </c>
      <c r="C66" s="24" t="s">
        <v>555</v>
      </c>
      <c r="D66" s="82" t="s">
        <v>597</v>
      </c>
      <c r="E66" s="24">
        <v>43</v>
      </c>
      <c r="F66" s="24" t="s">
        <v>200</v>
      </c>
      <c r="G66" s="24"/>
      <c r="H66" s="24" t="s">
        <v>625</v>
      </c>
      <c r="I66" s="30" t="s">
        <v>548</v>
      </c>
      <c r="J66" s="24"/>
      <c r="K66" s="24" t="s">
        <v>549</v>
      </c>
      <c r="L66" s="24" t="s">
        <v>549</v>
      </c>
      <c r="M66" s="24">
        <v>1898</v>
      </c>
      <c r="N66" s="24" t="s">
        <v>550</v>
      </c>
      <c r="O66" s="24">
        <v>4</v>
      </c>
      <c r="P66" s="24">
        <v>0</v>
      </c>
      <c r="Q66" s="24">
        <v>5</v>
      </c>
      <c r="R66" s="24">
        <v>30</v>
      </c>
      <c r="S66" s="24">
        <v>2624.66</v>
      </c>
      <c r="T66" s="24">
        <v>2624.66</v>
      </c>
      <c r="U66" s="24">
        <v>2382.56</v>
      </c>
      <c r="V66" s="24">
        <v>242.1</v>
      </c>
      <c r="W66" s="24" t="s">
        <v>528</v>
      </c>
      <c r="X66" s="24" t="s">
        <v>528</v>
      </c>
      <c r="Y66" s="24" t="s">
        <v>529</v>
      </c>
      <c r="Z66" s="102" t="s">
        <v>528</v>
      </c>
      <c r="AA66" s="24" t="s">
        <v>528</v>
      </c>
      <c r="AB66" s="24" t="s">
        <v>528</v>
      </c>
      <c r="AC66" s="24" t="s">
        <v>528</v>
      </c>
      <c r="AD66" s="24" t="s">
        <v>528</v>
      </c>
      <c r="AE66" s="24" t="s">
        <v>529</v>
      </c>
      <c r="AF66" s="24">
        <v>0</v>
      </c>
      <c r="AG66" s="24">
        <v>0</v>
      </c>
      <c r="AH66" s="24">
        <v>1</v>
      </c>
      <c r="AI66" s="24">
        <v>0</v>
      </c>
      <c r="AJ66" s="24">
        <v>1</v>
      </c>
      <c r="AK66" s="24">
        <v>0</v>
      </c>
      <c r="AL66" s="24"/>
    </row>
    <row r="67" spans="1:38" ht="31.2" x14ac:dyDescent="0.3">
      <c r="A67" s="53">
        <v>60</v>
      </c>
      <c r="B67" s="24" t="s">
        <v>544</v>
      </c>
      <c r="C67" s="24" t="s">
        <v>555</v>
      </c>
      <c r="D67" s="82" t="s">
        <v>597</v>
      </c>
      <c r="E67" s="24">
        <v>45</v>
      </c>
      <c r="F67" s="24" t="s">
        <v>200</v>
      </c>
      <c r="G67" s="24"/>
      <c r="H67" s="24" t="s">
        <v>626</v>
      </c>
      <c r="I67" s="30" t="s">
        <v>548</v>
      </c>
      <c r="J67" s="24"/>
      <c r="K67" s="24" t="s">
        <v>549</v>
      </c>
      <c r="L67" s="24" t="s">
        <v>549</v>
      </c>
      <c r="M67" s="24">
        <v>1904</v>
      </c>
      <c r="N67" s="24" t="s">
        <v>550</v>
      </c>
      <c r="O67" s="24">
        <v>4</v>
      </c>
      <c r="P67" s="24">
        <v>0</v>
      </c>
      <c r="Q67" s="24">
        <v>5</v>
      </c>
      <c r="R67" s="24">
        <v>29</v>
      </c>
      <c r="S67" s="24">
        <v>3526.25</v>
      </c>
      <c r="T67" s="24">
        <v>3526.25</v>
      </c>
      <c r="U67" s="24">
        <v>2774.45</v>
      </c>
      <c r="V67" s="24">
        <v>751.8</v>
      </c>
      <c r="W67" s="24" t="s">
        <v>528</v>
      </c>
      <c r="X67" s="24" t="s">
        <v>528</v>
      </c>
      <c r="Y67" s="24" t="s">
        <v>529</v>
      </c>
      <c r="Z67" s="102" t="s">
        <v>528</v>
      </c>
      <c r="AA67" s="24" t="s">
        <v>528</v>
      </c>
      <c r="AB67" s="24" t="s">
        <v>528</v>
      </c>
      <c r="AC67" s="24" t="s">
        <v>528</v>
      </c>
      <c r="AD67" s="24" t="s">
        <v>528</v>
      </c>
      <c r="AE67" s="24" t="s">
        <v>529</v>
      </c>
      <c r="AF67" s="24">
        <v>0</v>
      </c>
      <c r="AG67" s="24">
        <v>0</v>
      </c>
      <c r="AH67" s="24">
        <v>1</v>
      </c>
      <c r="AI67" s="24">
        <v>0</v>
      </c>
      <c r="AJ67" s="24">
        <v>1</v>
      </c>
      <c r="AK67" s="24">
        <v>0</v>
      </c>
      <c r="AL67" s="24"/>
    </row>
    <row r="68" spans="1:38" ht="31.2" x14ac:dyDescent="0.3">
      <c r="A68" s="53">
        <v>61</v>
      </c>
      <c r="B68" s="24" t="s">
        <v>544</v>
      </c>
      <c r="C68" s="24" t="s">
        <v>555</v>
      </c>
      <c r="D68" s="82" t="s">
        <v>597</v>
      </c>
      <c r="E68" s="24">
        <v>46</v>
      </c>
      <c r="F68" s="24" t="s">
        <v>200</v>
      </c>
      <c r="G68" s="24"/>
      <c r="H68" s="24" t="s">
        <v>627</v>
      </c>
      <c r="I68" s="30" t="s">
        <v>548</v>
      </c>
      <c r="J68" s="24"/>
      <c r="K68" s="24" t="s">
        <v>549</v>
      </c>
      <c r="L68" s="24" t="s">
        <v>549</v>
      </c>
      <c r="M68" s="24">
        <v>1911</v>
      </c>
      <c r="N68" s="24" t="s">
        <v>550</v>
      </c>
      <c r="O68" s="24">
        <v>5</v>
      </c>
      <c r="P68" s="24">
        <v>0</v>
      </c>
      <c r="Q68" s="24">
        <v>3</v>
      </c>
      <c r="R68" s="24">
        <v>14</v>
      </c>
      <c r="S68" s="24">
        <v>1940.46</v>
      </c>
      <c r="T68" s="24">
        <v>1940.46</v>
      </c>
      <c r="U68" s="24">
        <v>1362.26</v>
      </c>
      <c r="V68" s="24">
        <v>578.20000000000005</v>
      </c>
      <c r="W68" s="24" t="s">
        <v>528</v>
      </c>
      <c r="X68" s="24" t="s">
        <v>528</v>
      </c>
      <c r="Y68" s="24" t="s">
        <v>529</v>
      </c>
      <c r="Z68" s="102" t="s">
        <v>528</v>
      </c>
      <c r="AA68" s="24" t="s">
        <v>528</v>
      </c>
      <c r="AB68" s="24" t="s">
        <v>528</v>
      </c>
      <c r="AC68" s="24" t="s">
        <v>528</v>
      </c>
      <c r="AD68" s="24" t="s">
        <v>528</v>
      </c>
      <c r="AE68" s="24" t="s">
        <v>529</v>
      </c>
      <c r="AF68" s="24">
        <v>0</v>
      </c>
      <c r="AG68" s="24">
        <v>0</v>
      </c>
      <c r="AH68" s="24">
        <v>1</v>
      </c>
      <c r="AI68" s="24">
        <v>0</v>
      </c>
      <c r="AJ68" s="24">
        <v>1</v>
      </c>
      <c r="AK68" s="24">
        <v>0</v>
      </c>
      <c r="AL68" s="24"/>
    </row>
    <row r="69" spans="1:38" ht="31.2" x14ac:dyDescent="0.3">
      <c r="A69" s="53">
        <v>62</v>
      </c>
      <c r="B69" s="24" t="s">
        <v>544</v>
      </c>
      <c r="C69" s="24" t="s">
        <v>555</v>
      </c>
      <c r="D69" s="82" t="s">
        <v>597</v>
      </c>
      <c r="E69" s="24">
        <v>47</v>
      </c>
      <c r="F69" s="24" t="s">
        <v>200</v>
      </c>
      <c r="G69" s="24"/>
      <c r="H69" s="24" t="s">
        <v>628</v>
      </c>
      <c r="I69" s="30" t="s">
        <v>548</v>
      </c>
      <c r="J69" s="24" t="s">
        <v>558</v>
      </c>
      <c r="K69" s="24" t="s">
        <v>549</v>
      </c>
      <c r="L69" s="24" t="s">
        <v>549</v>
      </c>
      <c r="M69" s="24">
        <v>1898</v>
      </c>
      <c r="N69" s="24" t="s">
        <v>550</v>
      </c>
      <c r="O69" s="24">
        <v>5</v>
      </c>
      <c r="P69" s="24">
        <v>0</v>
      </c>
      <c r="Q69" s="24">
        <v>6</v>
      </c>
      <c r="R69" s="24">
        <v>32</v>
      </c>
      <c r="S69" s="24">
        <v>4819.18</v>
      </c>
      <c r="T69" s="24">
        <v>4819.18</v>
      </c>
      <c r="U69" s="24">
        <v>3587.18</v>
      </c>
      <c r="V69" s="24">
        <v>1232</v>
      </c>
      <c r="W69" s="24" t="s">
        <v>528</v>
      </c>
      <c r="X69" s="24" t="s">
        <v>528</v>
      </c>
      <c r="Y69" s="24" t="s">
        <v>529</v>
      </c>
      <c r="Z69" s="102" t="s">
        <v>528</v>
      </c>
      <c r="AA69" s="24" t="s">
        <v>528</v>
      </c>
      <c r="AB69" s="24" t="s">
        <v>528</v>
      </c>
      <c r="AC69" s="24" t="s">
        <v>528</v>
      </c>
      <c r="AD69" s="24" t="s">
        <v>528</v>
      </c>
      <c r="AE69" s="24" t="s">
        <v>529</v>
      </c>
      <c r="AF69" s="24">
        <v>0</v>
      </c>
      <c r="AG69" s="24">
        <v>0</v>
      </c>
      <c r="AH69" s="24">
        <v>1</v>
      </c>
      <c r="AI69" s="24">
        <v>0</v>
      </c>
      <c r="AJ69" s="24">
        <v>1</v>
      </c>
      <c r="AK69" s="24">
        <v>0</v>
      </c>
      <c r="AL69" s="24"/>
    </row>
    <row r="70" spans="1:38" ht="31.2" x14ac:dyDescent="0.3">
      <c r="A70" s="53">
        <v>63</v>
      </c>
      <c r="B70" s="24" t="s">
        <v>544</v>
      </c>
      <c r="C70" s="24" t="s">
        <v>555</v>
      </c>
      <c r="D70" s="82" t="s">
        <v>597</v>
      </c>
      <c r="E70" s="24">
        <v>50</v>
      </c>
      <c r="F70" s="24" t="s">
        <v>206</v>
      </c>
      <c r="G70" s="24"/>
      <c r="H70" s="24" t="s">
        <v>629</v>
      </c>
      <c r="I70" s="30" t="s">
        <v>548</v>
      </c>
      <c r="J70" s="24"/>
      <c r="K70" s="24" t="s">
        <v>549</v>
      </c>
      <c r="L70" s="24" t="s">
        <v>549</v>
      </c>
      <c r="M70" s="24">
        <v>1910</v>
      </c>
      <c r="N70" s="24" t="s">
        <v>550</v>
      </c>
      <c r="O70" s="24">
        <v>5</v>
      </c>
      <c r="P70" s="24">
        <v>0</v>
      </c>
      <c r="Q70" s="24">
        <v>2</v>
      </c>
      <c r="R70" s="24">
        <v>20</v>
      </c>
      <c r="S70" s="24">
        <v>1888</v>
      </c>
      <c r="T70" s="24">
        <v>1888</v>
      </c>
      <c r="U70" s="24">
        <v>1567</v>
      </c>
      <c r="V70" s="24">
        <v>321</v>
      </c>
      <c r="W70" s="24" t="s">
        <v>528</v>
      </c>
      <c r="X70" s="24" t="s">
        <v>528</v>
      </c>
      <c r="Y70" s="24" t="s">
        <v>529</v>
      </c>
      <c r="Z70" s="102" t="s">
        <v>528</v>
      </c>
      <c r="AA70" s="24" t="s">
        <v>528</v>
      </c>
      <c r="AB70" s="24" t="s">
        <v>528</v>
      </c>
      <c r="AC70" s="24" t="s">
        <v>528</v>
      </c>
      <c r="AD70" s="24" t="s">
        <v>528</v>
      </c>
      <c r="AE70" s="24" t="s">
        <v>529</v>
      </c>
      <c r="AF70" s="24">
        <v>0</v>
      </c>
      <c r="AG70" s="24">
        <v>0</v>
      </c>
      <c r="AH70" s="24">
        <v>1</v>
      </c>
      <c r="AI70" s="24">
        <v>0</v>
      </c>
      <c r="AJ70" s="24">
        <v>0</v>
      </c>
      <c r="AK70" s="24">
        <v>0</v>
      </c>
      <c r="AL70" s="24"/>
    </row>
    <row r="71" spans="1:38" ht="31.2" x14ac:dyDescent="0.3">
      <c r="A71" s="53">
        <v>64</v>
      </c>
      <c r="B71" s="24" t="s">
        <v>544</v>
      </c>
      <c r="C71" s="24" t="s">
        <v>555</v>
      </c>
      <c r="D71" s="82" t="s">
        <v>597</v>
      </c>
      <c r="E71" s="24">
        <v>52</v>
      </c>
      <c r="F71" s="24" t="s">
        <v>200</v>
      </c>
      <c r="G71" s="24"/>
      <c r="H71" s="24" t="s">
        <v>630</v>
      </c>
      <c r="I71" s="30" t="s">
        <v>548</v>
      </c>
      <c r="J71" s="24"/>
      <c r="K71" s="24" t="s">
        <v>549</v>
      </c>
      <c r="L71" s="24" t="s">
        <v>549</v>
      </c>
      <c r="M71" s="24">
        <v>1900</v>
      </c>
      <c r="N71" s="24" t="s">
        <v>550</v>
      </c>
      <c r="O71" s="24">
        <v>5</v>
      </c>
      <c r="P71" s="24">
        <v>0</v>
      </c>
      <c r="Q71" s="24">
        <v>4</v>
      </c>
      <c r="R71" s="24">
        <v>21</v>
      </c>
      <c r="S71" s="24">
        <v>2400.1999999999998</v>
      </c>
      <c r="T71" s="24">
        <v>2400.1999999999998</v>
      </c>
      <c r="U71" s="24">
        <v>1906.3</v>
      </c>
      <c r="V71" s="24">
        <v>493.9</v>
      </c>
      <c r="W71" s="24" t="s">
        <v>528</v>
      </c>
      <c r="X71" s="24" t="s">
        <v>528</v>
      </c>
      <c r="Y71" s="24" t="s">
        <v>529</v>
      </c>
      <c r="Z71" s="102" t="s">
        <v>528</v>
      </c>
      <c r="AA71" s="24" t="s">
        <v>528</v>
      </c>
      <c r="AB71" s="24" t="s">
        <v>528</v>
      </c>
      <c r="AC71" s="24" t="s">
        <v>528</v>
      </c>
      <c r="AD71" s="24" t="s">
        <v>528</v>
      </c>
      <c r="AE71" s="24" t="s">
        <v>529</v>
      </c>
      <c r="AF71" s="24">
        <v>0</v>
      </c>
      <c r="AG71" s="24">
        <v>0</v>
      </c>
      <c r="AH71" s="24">
        <v>1</v>
      </c>
      <c r="AI71" s="24">
        <v>0</v>
      </c>
      <c r="AJ71" s="24">
        <v>1</v>
      </c>
      <c r="AK71" s="24">
        <v>0</v>
      </c>
      <c r="AL71" s="24"/>
    </row>
    <row r="72" spans="1:38" ht="31.2" x14ac:dyDescent="0.3">
      <c r="A72" s="53">
        <v>65</v>
      </c>
      <c r="B72" s="24" t="s">
        <v>544</v>
      </c>
      <c r="C72" s="24" t="s">
        <v>555</v>
      </c>
      <c r="D72" s="82" t="s">
        <v>597</v>
      </c>
      <c r="E72" s="24">
        <v>54</v>
      </c>
      <c r="F72" s="24" t="s">
        <v>200</v>
      </c>
      <c r="G72" s="24"/>
      <c r="H72" s="24" t="s">
        <v>631</v>
      </c>
      <c r="I72" s="30" t="s">
        <v>548</v>
      </c>
      <c r="J72" s="24"/>
      <c r="K72" s="24" t="s">
        <v>549</v>
      </c>
      <c r="L72" s="24" t="s">
        <v>549</v>
      </c>
      <c r="M72" s="24">
        <v>1958</v>
      </c>
      <c r="N72" s="24" t="s">
        <v>550</v>
      </c>
      <c r="O72" s="24">
        <v>5</v>
      </c>
      <c r="P72" s="24">
        <v>0</v>
      </c>
      <c r="Q72" s="24">
        <v>3</v>
      </c>
      <c r="R72" s="24">
        <v>50</v>
      </c>
      <c r="S72" s="24">
        <v>4156.7</v>
      </c>
      <c r="T72" s="24">
        <v>4156.7</v>
      </c>
      <c r="U72" s="24">
        <v>3429.7</v>
      </c>
      <c r="V72" s="24">
        <v>727</v>
      </c>
      <c r="W72" s="24" t="s">
        <v>528</v>
      </c>
      <c r="X72" s="24" t="s">
        <v>528</v>
      </c>
      <c r="Y72" s="24" t="s">
        <v>529</v>
      </c>
      <c r="Z72" s="102" t="s">
        <v>528</v>
      </c>
      <c r="AA72" s="24" t="s">
        <v>528</v>
      </c>
      <c r="AB72" s="24" t="s">
        <v>528</v>
      </c>
      <c r="AC72" s="24" t="s">
        <v>528</v>
      </c>
      <c r="AD72" s="24" t="s">
        <v>528</v>
      </c>
      <c r="AE72" s="24" t="s">
        <v>529</v>
      </c>
      <c r="AF72" s="24">
        <v>0</v>
      </c>
      <c r="AG72" s="24">
        <v>0</v>
      </c>
      <c r="AH72" s="24">
        <v>1</v>
      </c>
      <c r="AI72" s="24">
        <v>0</v>
      </c>
      <c r="AJ72" s="24">
        <v>1</v>
      </c>
      <c r="AK72" s="24">
        <v>0</v>
      </c>
      <c r="AL72" s="24"/>
    </row>
    <row r="73" spans="1:38" ht="31.2" x14ac:dyDescent="0.3">
      <c r="A73" s="53">
        <v>66</v>
      </c>
      <c r="B73" s="24" t="s">
        <v>544</v>
      </c>
      <c r="C73" s="24" t="s">
        <v>555</v>
      </c>
      <c r="D73" s="82" t="s">
        <v>597</v>
      </c>
      <c r="E73" s="24">
        <v>54</v>
      </c>
      <c r="F73" s="24" t="s">
        <v>205</v>
      </c>
      <c r="G73" s="24"/>
      <c r="H73" s="24" t="s">
        <v>632</v>
      </c>
      <c r="I73" s="30" t="s">
        <v>548</v>
      </c>
      <c r="J73" s="24"/>
      <c r="K73" s="24" t="s">
        <v>549</v>
      </c>
      <c r="L73" s="24" t="s">
        <v>549</v>
      </c>
      <c r="M73" s="24">
        <v>1894</v>
      </c>
      <c r="N73" s="24" t="s">
        <v>550</v>
      </c>
      <c r="O73" s="24">
        <v>4</v>
      </c>
      <c r="P73" s="24">
        <v>0</v>
      </c>
      <c r="Q73" s="24">
        <v>1</v>
      </c>
      <c r="R73" s="24">
        <v>7</v>
      </c>
      <c r="S73" s="24">
        <v>262.5</v>
      </c>
      <c r="T73" s="24">
        <v>262.5</v>
      </c>
      <c r="U73" s="24">
        <v>226.7</v>
      </c>
      <c r="V73" s="24">
        <v>35.799999999999997</v>
      </c>
      <c r="W73" s="24" t="s">
        <v>528</v>
      </c>
      <c r="X73" s="24" t="s">
        <v>528</v>
      </c>
      <c r="Y73" s="24" t="s">
        <v>529</v>
      </c>
      <c r="Z73" s="102" t="s">
        <v>528</v>
      </c>
      <c r="AA73" s="24" t="s">
        <v>528</v>
      </c>
      <c r="AB73" s="24" t="s">
        <v>528</v>
      </c>
      <c r="AC73" s="24" t="s">
        <v>528</v>
      </c>
      <c r="AD73" s="24" t="s">
        <v>528</v>
      </c>
      <c r="AE73" s="24" t="s">
        <v>529</v>
      </c>
      <c r="AF73" s="24">
        <v>0</v>
      </c>
      <c r="AG73" s="24">
        <v>0</v>
      </c>
      <c r="AH73" s="24">
        <v>1</v>
      </c>
      <c r="AI73" s="24">
        <v>0</v>
      </c>
      <c r="AJ73" s="24">
        <v>0</v>
      </c>
      <c r="AK73" s="24">
        <v>0</v>
      </c>
      <c r="AL73" s="24"/>
    </row>
    <row r="74" spans="1:38" ht="31.2" x14ac:dyDescent="0.3">
      <c r="A74" s="53">
        <v>67</v>
      </c>
      <c r="B74" s="24" t="s">
        <v>544</v>
      </c>
      <c r="C74" s="24" t="s">
        <v>555</v>
      </c>
      <c r="D74" s="82" t="s">
        <v>597</v>
      </c>
      <c r="E74" s="24">
        <v>54</v>
      </c>
      <c r="F74" s="24" t="s">
        <v>208</v>
      </c>
      <c r="G74" s="24"/>
      <c r="H74" s="24" t="s">
        <v>633</v>
      </c>
      <c r="I74" s="30" t="s">
        <v>548</v>
      </c>
      <c r="J74" s="24"/>
      <c r="K74" s="24" t="s">
        <v>549</v>
      </c>
      <c r="L74" s="24" t="s">
        <v>549</v>
      </c>
      <c r="M74" s="24">
        <v>1914</v>
      </c>
      <c r="N74" s="24" t="s">
        <v>550</v>
      </c>
      <c r="O74" s="24">
        <v>2</v>
      </c>
      <c r="P74" s="24">
        <v>0</v>
      </c>
      <c r="Q74" s="24">
        <v>1</v>
      </c>
      <c r="R74" s="24">
        <v>4</v>
      </c>
      <c r="S74" s="24">
        <v>223.9</v>
      </c>
      <c r="T74" s="24">
        <v>223.9</v>
      </c>
      <c r="U74" s="24">
        <v>128.5</v>
      </c>
      <c r="V74" s="24">
        <v>95.4</v>
      </c>
      <c r="W74" s="24" t="s">
        <v>528</v>
      </c>
      <c r="X74" s="24" t="s">
        <v>528</v>
      </c>
      <c r="Y74" s="24" t="s">
        <v>529</v>
      </c>
      <c r="Z74" s="102" t="s">
        <v>528</v>
      </c>
      <c r="AA74" s="24" t="s">
        <v>528</v>
      </c>
      <c r="AB74" s="24" t="s">
        <v>528</v>
      </c>
      <c r="AC74" s="24" t="s">
        <v>528</v>
      </c>
      <c r="AD74" s="24" t="s">
        <v>528</v>
      </c>
      <c r="AE74" s="24" t="s">
        <v>529</v>
      </c>
      <c r="AF74" s="24">
        <v>0</v>
      </c>
      <c r="AG74" s="24">
        <v>0</v>
      </c>
      <c r="AH74" s="24">
        <v>1</v>
      </c>
      <c r="AI74" s="24">
        <v>0</v>
      </c>
      <c r="AJ74" s="24">
        <v>0</v>
      </c>
      <c r="AK74" s="24">
        <v>0</v>
      </c>
      <c r="AL74" s="24"/>
    </row>
    <row r="75" spans="1:38" ht="31.2" x14ac:dyDescent="0.3">
      <c r="A75" s="53">
        <v>68</v>
      </c>
      <c r="B75" s="24" t="s">
        <v>544</v>
      </c>
      <c r="C75" s="24" t="s">
        <v>555</v>
      </c>
      <c r="D75" s="82" t="s">
        <v>597</v>
      </c>
      <c r="E75" s="24">
        <v>56</v>
      </c>
      <c r="F75" s="24" t="s">
        <v>200</v>
      </c>
      <c r="G75" s="24"/>
      <c r="H75" s="24" t="s">
        <v>634</v>
      </c>
      <c r="I75" s="30" t="s">
        <v>548</v>
      </c>
      <c r="J75" s="24"/>
      <c r="K75" s="24" t="s">
        <v>549</v>
      </c>
      <c r="L75" s="24" t="s">
        <v>549</v>
      </c>
      <c r="M75" s="24">
        <v>1883</v>
      </c>
      <c r="N75" s="24" t="s">
        <v>550</v>
      </c>
      <c r="O75" s="24">
        <v>4</v>
      </c>
      <c r="P75" s="24">
        <v>0</v>
      </c>
      <c r="Q75" s="24">
        <v>1</v>
      </c>
      <c r="R75" s="24">
        <v>6</v>
      </c>
      <c r="S75" s="24">
        <v>1028.5999999999999</v>
      </c>
      <c r="T75" s="24">
        <v>1028.5999999999999</v>
      </c>
      <c r="U75" s="24">
        <v>533.6</v>
      </c>
      <c r="V75" s="24">
        <v>495</v>
      </c>
      <c r="W75" s="24" t="s">
        <v>528</v>
      </c>
      <c r="X75" s="24" t="s">
        <v>528</v>
      </c>
      <c r="Y75" s="24" t="s">
        <v>529</v>
      </c>
      <c r="Z75" s="102" t="s">
        <v>528</v>
      </c>
      <c r="AA75" s="24" t="s">
        <v>528</v>
      </c>
      <c r="AB75" s="24" t="s">
        <v>528</v>
      </c>
      <c r="AC75" s="24" t="s">
        <v>528</v>
      </c>
      <c r="AD75" s="24" t="s">
        <v>528</v>
      </c>
      <c r="AE75" s="24" t="s">
        <v>529</v>
      </c>
      <c r="AF75" s="24">
        <v>0</v>
      </c>
      <c r="AG75" s="24">
        <v>0</v>
      </c>
      <c r="AH75" s="24">
        <v>1</v>
      </c>
      <c r="AI75" s="24">
        <v>0</v>
      </c>
      <c r="AJ75" s="24">
        <v>0</v>
      </c>
      <c r="AK75" s="24">
        <v>0</v>
      </c>
      <c r="AL75" s="24"/>
    </row>
    <row r="76" spans="1:38" ht="31.2" x14ac:dyDescent="0.3">
      <c r="A76" s="53">
        <v>69</v>
      </c>
      <c r="B76" s="24" t="s">
        <v>544</v>
      </c>
      <c r="C76" s="24" t="s">
        <v>555</v>
      </c>
      <c r="D76" s="82" t="s">
        <v>597</v>
      </c>
      <c r="E76" s="24">
        <v>58</v>
      </c>
      <c r="F76" s="24" t="s">
        <v>200</v>
      </c>
      <c r="G76" s="24"/>
      <c r="H76" s="24" t="s">
        <v>635</v>
      </c>
      <c r="I76" s="30" t="s">
        <v>548</v>
      </c>
      <c r="J76" s="24"/>
      <c r="K76" s="24" t="s">
        <v>549</v>
      </c>
      <c r="L76" s="24" t="s">
        <v>549</v>
      </c>
      <c r="M76" s="24">
        <v>1909</v>
      </c>
      <c r="N76" s="24" t="s">
        <v>550</v>
      </c>
      <c r="O76" s="24">
        <v>6</v>
      </c>
      <c r="P76" s="24">
        <v>0</v>
      </c>
      <c r="Q76" s="24">
        <v>2</v>
      </c>
      <c r="R76" s="24">
        <v>25</v>
      </c>
      <c r="S76" s="24">
        <v>1507.7</v>
      </c>
      <c r="T76" s="24">
        <v>1507.7</v>
      </c>
      <c r="U76" s="24">
        <v>1269.8</v>
      </c>
      <c r="V76" s="24">
        <v>237.9</v>
      </c>
      <c r="W76" s="24" t="s">
        <v>528</v>
      </c>
      <c r="X76" s="24" t="s">
        <v>528</v>
      </c>
      <c r="Y76" s="24" t="s">
        <v>529</v>
      </c>
      <c r="Z76" s="102" t="s">
        <v>528</v>
      </c>
      <c r="AA76" s="24" t="s">
        <v>528</v>
      </c>
      <c r="AB76" s="24" t="s">
        <v>528</v>
      </c>
      <c r="AC76" s="24" t="s">
        <v>528</v>
      </c>
      <c r="AD76" s="24" t="s">
        <v>528</v>
      </c>
      <c r="AE76" s="24" t="s">
        <v>529</v>
      </c>
      <c r="AF76" s="24">
        <v>2</v>
      </c>
      <c r="AG76" s="24">
        <v>0</v>
      </c>
      <c r="AH76" s="24">
        <v>1</v>
      </c>
      <c r="AI76" s="24">
        <v>0</v>
      </c>
      <c r="AJ76" s="24">
        <v>0</v>
      </c>
      <c r="AK76" s="24">
        <v>0</v>
      </c>
      <c r="AL76" s="24"/>
    </row>
    <row r="77" spans="1:38" ht="31.2" x14ac:dyDescent="0.3">
      <c r="A77" s="53">
        <v>70</v>
      </c>
      <c r="B77" s="24" t="s">
        <v>544</v>
      </c>
      <c r="C77" s="24" t="s">
        <v>555</v>
      </c>
      <c r="D77" s="82" t="s">
        <v>597</v>
      </c>
      <c r="E77" s="24">
        <v>60</v>
      </c>
      <c r="F77" s="24" t="s">
        <v>200</v>
      </c>
      <c r="G77" s="24"/>
      <c r="H77" s="24" t="s">
        <v>636</v>
      </c>
      <c r="I77" s="30" t="s">
        <v>548</v>
      </c>
      <c r="J77" s="24"/>
      <c r="K77" s="24" t="s">
        <v>549</v>
      </c>
      <c r="L77" s="24" t="s">
        <v>549</v>
      </c>
      <c r="M77" s="24">
        <v>1904</v>
      </c>
      <c r="N77" s="24" t="s">
        <v>550</v>
      </c>
      <c r="O77" s="24">
        <v>4</v>
      </c>
      <c r="P77" s="24">
        <v>0</v>
      </c>
      <c r="Q77" s="24">
        <v>4</v>
      </c>
      <c r="R77" s="24">
        <v>17</v>
      </c>
      <c r="S77" s="24">
        <v>2413.1999999999998</v>
      </c>
      <c r="T77" s="24">
        <v>2413.1999999999998</v>
      </c>
      <c r="U77" s="24">
        <v>1843.2</v>
      </c>
      <c r="V77" s="24">
        <v>570</v>
      </c>
      <c r="W77" s="24" t="s">
        <v>528</v>
      </c>
      <c r="X77" s="24" t="s">
        <v>528</v>
      </c>
      <c r="Y77" s="24" t="s">
        <v>529</v>
      </c>
      <c r="Z77" s="102" t="s">
        <v>528</v>
      </c>
      <c r="AA77" s="24" t="s">
        <v>528</v>
      </c>
      <c r="AB77" s="24" t="s">
        <v>528</v>
      </c>
      <c r="AC77" s="24" t="s">
        <v>528</v>
      </c>
      <c r="AD77" s="24" t="s">
        <v>528</v>
      </c>
      <c r="AE77" s="24" t="s">
        <v>529</v>
      </c>
      <c r="AF77" s="24">
        <v>0</v>
      </c>
      <c r="AG77" s="24">
        <v>0</v>
      </c>
      <c r="AH77" s="24">
        <v>1</v>
      </c>
      <c r="AI77" s="24">
        <v>0</v>
      </c>
      <c r="AJ77" s="24">
        <v>0</v>
      </c>
      <c r="AK77" s="24">
        <v>0</v>
      </c>
      <c r="AL77" s="24"/>
    </row>
    <row r="78" spans="1:38" ht="31.2" x14ac:dyDescent="0.3">
      <c r="A78" s="53">
        <v>71</v>
      </c>
      <c r="B78" s="24" t="s">
        <v>544</v>
      </c>
      <c r="C78" s="24" t="s">
        <v>555</v>
      </c>
      <c r="D78" s="82" t="s">
        <v>597</v>
      </c>
      <c r="E78" s="24">
        <v>62</v>
      </c>
      <c r="F78" s="24" t="s">
        <v>200</v>
      </c>
      <c r="G78" s="24"/>
      <c r="H78" s="24" t="s">
        <v>637</v>
      </c>
      <c r="I78" s="30" t="s">
        <v>548</v>
      </c>
      <c r="J78" s="24"/>
      <c r="K78" s="24" t="s">
        <v>549</v>
      </c>
      <c r="L78" s="24" t="s">
        <v>549</v>
      </c>
      <c r="M78" s="24">
        <v>1900</v>
      </c>
      <c r="N78" s="24" t="s">
        <v>550</v>
      </c>
      <c r="O78" s="24">
        <v>4</v>
      </c>
      <c r="P78" s="24">
        <v>0</v>
      </c>
      <c r="Q78" s="24">
        <v>2</v>
      </c>
      <c r="R78" s="24">
        <v>7</v>
      </c>
      <c r="S78" s="24">
        <v>939.2</v>
      </c>
      <c r="T78" s="24">
        <v>939.2</v>
      </c>
      <c r="U78" s="24">
        <v>628.20000000000005</v>
      </c>
      <c r="V78" s="24">
        <v>311</v>
      </c>
      <c r="W78" s="24" t="s">
        <v>528</v>
      </c>
      <c r="X78" s="24" t="s">
        <v>528</v>
      </c>
      <c r="Y78" s="24" t="s">
        <v>529</v>
      </c>
      <c r="Z78" s="102" t="s">
        <v>528</v>
      </c>
      <c r="AA78" s="24" t="s">
        <v>528</v>
      </c>
      <c r="AB78" s="24" t="s">
        <v>528</v>
      </c>
      <c r="AC78" s="24" t="s">
        <v>528</v>
      </c>
      <c r="AD78" s="24" t="s">
        <v>528</v>
      </c>
      <c r="AE78" s="24" t="s">
        <v>529</v>
      </c>
      <c r="AF78" s="24">
        <v>0</v>
      </c>
      <c r="AG78" s="24">
        <v>0</v>
      </c>
      <c r="AH78" s="24">
        <v>1</v>
      </c>
      <c r="AI78" s="24">
        <v>0</v>
      </c>
      <c r="AJ78" s="24">
        <v>1</v>
      </c>
      <c r="AK78" s="24">
        <v>0</v>
      </c>
      <c r="AL78" s="24"/>
    </row>
    <row r="79" spans="1:38" ht="31.2" x14ac:dyDescent="0.3">
      <c r="A79" s="53">
        <v>72</v>
      </c>
      <c r="B79" s="24" t="s">
        <v>544</v>
      </c>
      <c r="C79" s="24" t="s">
        <v>545</v>
      </c>
      <c r="D79" s="82" t="s">
        <v>638</v>
      </c>
      <c r="E79" s="24">
        <v>7</v>
      </c>
      <c r="F79" s="24" t="s">
        <v>200</v>
      </c>
      <c r="G79" s="24"/>
      <c r="H79" s="24" t="s">
        <v>639</v>
      </c>
      <c r="I79" s="30" t="s">
        <v>548</v>
      </c>
      <c r="J79" s="24"/>
      <c r="K79" s="24" t="s">
        <v>549</v>
      </c>
      <c r="L79" s="24" t="s">
        <v>549</v>
      </c>
      <c r="M79" s="24">
        <v>1897</v>
      </c>
      <c r="N79" s="24" t="s">
        <v>550</v>
      </c>
      <c r="O79" s="24">
        <v>3</v>
      </c>
      <c r="P79" s="24">
        <v>0</v>
      </c>
      <c r="Q79" s="24">
        <v>1</v>
      </c>
      <c r="R79" s="24">
        <v>6</v>
      </c>
      <c r="S79" s="24">
        <v>805.6</v>
      </c>
      <c r="T79" s="24">
        <v>805.6</v>
      </c>
      <c r="U79" s="24">
        <v>358.6</v>
      </c>
      <c r="V79" s="24">
        <v>447</v>
      </c>
      <c r="W79" s="24" t="s">
        <v>528</v>
      </c>
      <c r="X79" s="24" t="s">
        <v>528</v>
      </c>
      <c r="Y79" s="24" t="s">
        <v>529</v>
      </c>
      <c r="Z79" s="102" t="s">
        <v>528</v>
      </c>
      <c r="AA79" s="24" t="s">
        <v>528</v>
      </c>
      <c r="AB79" s="24" t="s">
        <v>528</v>
      </c>
      <c r="AC79" s="24" t="s">
        <v>528</v>
      </c>
      <c r="AD79" s="24" t="s">
        <v>528</v>
      </c>
      <c r="AE79" s="24" t="s">
        <v>529</v>
      </c>
      <c r="AF79" s="24">
        <v>0</v>
      </c>
      <c r="AG79" s="24">
        <v>0</v>
      </c>
      <c r="AH79" s="24">
        <v>1</v>
      </c>
      <c r="AI79" s="24">
        <v>0</v>
      </c>
      <c r="AJ79" s="24">
        <v>0</v>
      </c>
      <c r="AK79" s="24">
        <v>0</v>
      </c>
      <c r="AL79" s="24"/>
    </row>
    <row r="80" spans="1:38" ht="31.2" x14ac:dyDescent="0.3">
      <c r="A80" s="53">
        <v>73</v>
      </c>
      <c r="B80" s="24" t="s">
        <v>544</v>
      </c>
      <c r="C80" s="24" t="s">
        <v>545</v>
      </c>
      <c r="D80" s="82" t="s">
        <v>638</v>
      </c>
      <c r="E80" s="24">
        <v>9</v>
      </c>
      <c r="F80" s="24" t="s">
        <v>200</v>
      </c>
      <c r="G80" s="24"/>
      <c r="H80" s="24" t="s">
        <v>640</v>
      </c>
      <c r="I80" s="30" t="s">
        <v>548</v>
      </c>
      <c r="J80" s="24"/>
      <c r="K80" s="24" t="s">
        <v>549</v>
      </c>
      <c r="L80" s="24" t="s">
        <v>549</v>
      </c>
      <c r="M80" s="24">
        <v>1911</v>
      </c>
      <c r="N80" s="24" t="s">
        <v>550</v>
      </c>
      <c r="O80" s="24">
        <v>5</v>
      </c>
      <c r="P80" s="24">
        <v>0</v>
      </c>
      <c r="Q80" s="24">
        <v>3</v>
      </c>
      <c r="R80" s="24">
        <v>24</v>
      </c>
      <c r="S80" s="24">
        <v>1609.1000000000001</v>
      </c>
      <c r="T80" s="24">
        <v>1609.1000000000001</v>
      </c>
      <c r="U80" s="24">
        <v>1515.4</v>
      </c>
      <c r="V80" s="24">
        <v>93.7</v>
      </c>
      <c r="W80" s="24" t="s">
        <v>528</v>
      </c>
      <c r="X80" s="24" t="s">
        <v>528</v>
      </c>
      <c r="Y80" s="24" t="s">
        <v>529</v>
      </c>
      <c r="Z80" s="102" t="s">
        <v>528</v>
      </c>
      <c r="AA80" s="24" t="s">
        <v>528</v>
      </c>
      <c r="AB80" s="24" t="s">
        <v>528</v>
      </c>
      <c r="AC80" s="24" t="s">
        <v>528</v>
      </c>
      <c r="AD80" s="24" t="s">
        <v>528</v>
      </c>
      <c r="AE80" s="24" t="s">
        <v>529</v>
      </c>
      <c r="AF80" s="24">
        <v>0</v>
      </c>
      <c r="AG80" s="24">
        <v>0</v>
      </c>
      <c r="AH80" s="24">
        <v>1</v>
      </c>
      <c r="AI80" s="24">
        <v>0</v>
      </c>
      <c r="AJ80" s="24">
        <v>0</v>
      </c>
      <c r="AK80" s="24">
        <v>0</v>
      </c>
      <c r="AL80" s="24"/>
    </row>
    <row r="81" spans="1:38" ht="31.2" x14ac:dyDescent="0.3">
      <c r="A81" s="53">
        <v>74</v>
      </c>
      <c r="B81" s="24" t="s">
        <v>544</v>
      </c>
      <c r="C81" s="24" t="s">
        <v>545</v>
      </c>
      <c r="D81" s="82" t="s">
        <v>638</v>
      </c>
      <c r="E81" s="24">
        <v>10</v>
      </c>
      <c r="F81" s="24" t="s">
        <v>200</v>
      </c>
      <c r="G81" s="24"/>
      <c r="H81" s="24" t="s">
        <v>641</v>
      </c>
      <c r="I81" s="30" t="s">
        <v>548</v>
      </c>
      <c r="J81" s="24"/>
      <c r="K81" s="24" t="s">
        <v>549</v>
      </c>
      <c r="L81" s="24" t="s">
        <v>549</v>
      </c>
      <c r="M81" s="24">
        <v>1902</v>
      </c>
      <c r="N81" s="24" t="s">
        <v>550</v>
      </c>
      <c r="O81" s="24">
        <v>5</v>
      </c>
      <c r="P81" s="24">
        <v>0</v>
      </c>
      <c r="Q81" s="24">
        <v>1</v>
      </c>
      <c r="R81" s="24">
        <v>18</v>
      </c>
      <c r="S81" s="24">
        <v>1165.3</v>
      </c>
      <c r="T81" s="24">
        <v>1165.3</v>
      </c>
      <c r="U81" s="24">
        <v>997</v>
      </c>
      <c r="V81" s="24">
        <v>168.3</v>
      </c>
      <c r="W81" s="24" t="s">
        <v>528</v>
      </c>
      <c r="X81" s="24" t="s">
        <v>528</v>
      </c>
      <c r="Y81" s="24" t="s">
        <v>529</v>
      </c>
      <c r="Z81" s="102" t="s">
        <v>528</v>
      </c>
      <c r="AA81" s="24" t="s">
        <v>528</v>
      </c>
      <c r="AB81" s="24" t="s">
        <v>528</v>
      </c>
      <c r="AC81" s="24" t="s">
        <v>528</v>
      </c>
      <c r="AD81" s="24" t="s">
        <v>528</v>
      </c>
      <c r="AE81" s="24" t="s">
        <v>529</v>
      </c>
      <c r="AF81" s="24">
        <v>0</v>
      </c>
      <c r="AG81" s="24">
        <v>0</v>
      </c>
      <c r="AH81" s="24">
        <v>1</v>
      </c>
      <c r="AI81" s="24">
        <v>0</v>
      </c>
      <c r="AJ81" s="24">
        <v>0</v>
      </c>
      <c r="AK81" s="24">
        <v>0</v>
      </c>
      <c r="AL81" s="24"/>
    </row>
    <row r="82" spans="1:38" ht="31.2" x14ac:dyDescent="0.3">
      <c r="A82" s="53">
        <v>75</v>
      </c>
      <c r="B82" s="24" t="s">
        <v>544</v>
      </c>
      <c r="C82" s="24" t="s">
        <v>545</v>
      </c>
      <c r="D82" s="82" t="s">
        <v>638</v>
      </c>
      <c r="E82" s="24">
        <v>12</v>
      </c>
      <c r="F82" s="24" t="s">
        <v>200</v>
      </c>
      <c r="G82" s="24"/>
      <c r="H82" s="24" t="s">
        <v>642</v>
      </c>
      <c r="I82" s="30" t="s">
        <v>548</v>
      </c>
      <c r="J82" s="24"/>
      <c r="K82" s="24" t="s">
        <v>549</v>
      </c>
      <c r="L82" s="24" t="s">
        <v>549</v>
      </c>
      <c r="M82" s="24">
        <v>1901</v>
      </c>
      <c r="N82" s="24" t="s">
        <v>550</v>
      </c>
      <c r="O82" s="24">
        <v>5</v>
      </c>
      <c r="P82" s="24">
        <v>0</v>
      </c>
      <c r="Q82" s="24">
        <v>1</v>
      </c>
      <c r="R82" s="24">
        <v>8</v>
      </c>
      <c r="S82" s="24">
        <v>676.40000000000009</v>
      </c>
      <c r="T82" s="24">
        <v>676.40000000000009</v>
      </c>
      <c r="U82" s="24">
        <v>546.20000000000005</v>
      </c>
      <c r="V82" s="24">
        <v>130.19999999999999</v>
      </c>
      <c r="W82" s="24" t="s">
        <v>528</v>
      </c>
      <c r="X82" s="24" t="s">
        <v>528</v>
      </c>
      <c r="Y82" s="24" t="s">
        <v>529</v>
      </c>
      <c r="Z82" s="102" t="s">
        <v>528</v>
      </c>
      <c r="AA82" s="24" t="s">
        <v>528</v>
      </c>
      <c r="AB82" s="24" t="s">
        <v>528</v>
      </c>
      <c r="AC82" s="24" t="s">
        <v>528</v>
      </c>
      <c r="AD82" s="24" t="s">
        <v>528</v>
      </c>
      <c r="AE82" s="24" t="s">
        <v>529</v>
      </c>
      <c r="AF82" s="24">
        <v>0</v>
      </c>
      <c r="AG82" s="24">
        <v>0</v>
      </c>
      <c r="AH82" s="24">
        <v>1</v>
      </c>
      <c r="AI82" s="24">
        <v>0</v>
      </c>
      <c r="AJ82" s="24">
        <v>0</v>
      </c>
      <c r="AK82" s="24">
        <v>0</v>
      </c>
      <c r="AL82" s="24"/>
    </row>
    <row r="83" spans="1:38" ht="31.2" x14ac:dyDescent="0.3">
      <c r="A83" s="53">
        <v>76</v>
      </c>
      <c r="B83" s="24" t="s">
        <v>544</v>
      </c>
      <c r="C83" s="24" t="s">
        <v>545</v>
      </c>
      <c r="D83" s="82" t="s">
        <v>638</v>
      </c>
      <c r="E83" s="24">
        <v>15</v>
      </c>
      <c r="F83" s="24" t="s">
        <v>200</v>
      </c>
      <c r="G83" s="24"/>
      <c r="H83" s="24" t="s">
        <v>643</v>
      </c>
      <c r="I83" s="30" t="s">
        <v>548</v>
      </c>
      <c r="J83" s="24"/>
      <c r="K83" s="24" t="s">
        <v>549</v>
      </c>
      <c r="L83" s="24" t="s">
        <v>549</v>
      </c>
      <c r="M83" s="24">
        <v>1902</v>
      </c>
      <c r="N83" s="24" t="s">
        <v>550</v>
      </c>
      <c r="O83" s="24">
        <v>4</v>
      </c>
      <c r="P83" s="24">
        <v>0</v>
      </c>
      <c r="Q83" s="24">
        <v>2</v>
      </c>
      <c r="R83" s="24">
        <v>7</v>
      </c>
      <c r="S83" s="24">
        <v>779</v>
      </c>
      <c r="T83" s="24">
        <v>779</v>
      </c>
      <c r="U83" s="24">
        <v>562.1</v>
      </c>
      <c r="V83" s="24">
        <v>216.9</v>
      </c>
      <c r="W83" s="24" t="s">
        <v>528</v>
      </c>
      <c r="X83" s="24" t="s">
        <v>528</v>
      </c>
      <c r="Y83" s="24" t="s">
        <v>529</v>
      </c>
      <c r="Z83" s="102" t="s">
        <v>528</v>
      </c>
      <c r="AA83" s="24" t="s">
        <v>528</v>
      </c>
      <c r="AB83" s="24" t="s">
        <v>528</v>
      </c>
      <c r="AC83" s="24" t="s">
        <v>528</v>
      </c>
      <c r="AD83" s="24" t="s">
        <v>528</v>
      </c>
      <c r="AE83" s="24" t="s">
        <v>529</v>
      </c>
      <c r="AF83" s="24">
        <v>0</v>
      </c>
      <c r="AG83" s="24">
        <v>0</v>
      </c>
      <c r="AH83" s="24">
        <v>1</v>
      </c>
      <c r="AI83" s="24">
        <v>0</v>
      </c>
      <c r="AJ83" s="24">
        <v>0</v>
      </c>
      <c r="AK83" s="24">
        <v>0</v>
      </c>
      <c r="AL83" s="24"/>
    </row>
    <row r="84" spans="1:38" ht="31.2" x14ac:dyDescent="0.3">
      <c r="A84" s="53">
        <v>77</v>
      </c>
      <c r="B84" s="24" t="s">
        <v>544</v>
      </c>
      <c r="C84" s="24" t="s">
        <v>545</v>
      </c>
      <c r="D84" s="82" t="s">
        <v>638</v>
      </c>
      <c r="E84" s="24">
        <v>17</v>
      </c>
      <c r="F84" s="24" t="s">
        <v>200</v>
      </c>
      <c r="G84" s="24"/>
      <c r="H84" s="24" t="s">
        <v>644</v>
      </c>
      <c r="I84" s="30" t="s">
        <v>548</v>
      </c>
      <c r="J84" s="24"/>
      <c r="K84" s="24" t="s">
        <v>549</v>
      </c>
      <c r="L84" s="24" t="s">
        <v>549</v>
      </c>
      <c r="M84" s="24">
        <v>1873</v>
      </c>
      <c r="N84" s="24" t="s">
        <v>550</v>
      </c>
      <c r="O84" s="24">
        <v>3</v>
      </c>
      <c r="P84" s="24">
        <v>0</v>
      </c>
      <c r="Q84" s="24">
        <v>1</v>
      </c>
      <c r="R84" s="24">
        <v>7</v>
      </c>
      <c r="S84" s="24">
        <v>965.1</v>
      </c>
      <c r="T84" s="24">
        <v>965.1</v>
      </c>
      <c r="U84" s="24">
        <v>726</v>
      </c>
      <c r="V84" s="24">
        <v>239.1</v>
      </c>
      <c r="W84" s="24" t="s">
        <v>528</v>
      </c>
      <c r="X84" s="24" t="s">
        <v>528</v>
      </c>
      <c r="Y84" s="24" t="s">
        <v>529</v>
      </c>
      <c r="Z84" s="102" t="s">
        <v>528</v>
      </c>
      <c r="AA84" s="24" t="s">
        <v>528</v>
      </c>
      <c r="AB84" s="24" t="s">
        <v>528</v>
      </c>
      <c r="AC84" s="24" t="s">
        <v>528</v>
      </c>
      <c r="AD84" s="24" t="s">
        <v>528</v>
      </c>
      <c r="AE84" s="24" t="s">
        <v>529</v>
      </c>
      <c r="AF84" s="24">
        <v>0</v>
      </c>
      <c r="AG84" s="24">
        <v>0</v>
      </c>
      <c r="AH84" s="24">
        <v>1</v>
      </c>
      <c r="AI84" s="24">
        <v>0</v>
      </c>
      <c r="AJ84" s="24">
        <v>0</v>
      </c>
      <c r="AK84" s="24">
        <v>0</v>
      </c>
      <c r="AL84" s="24"/>
    </row>
    <row r="85" spans="1:38" ht="31.2" x14ac:dyDescent="0.3">
      <c r="A85" s="53">
        <v>78</v>
      </c>
      <c r="B85" s="24" t="s">
        <v>544</v>
      </c>
      <c r="C85" s="24" t="s">
        <v>545</v>
      </c>
      <c r="D85" s="82" t="s">
        <v>638</v>
      </c>
      <c r="E85" s="24">
        <v>20</v>
      </c>
      <c r="F85" s="24" t="s">
        <v>200</v>
      </c>
      <c r="G85" s="24"/>
      <c r="H85" s="24" t="s">
        <v>645</v>
      </c>
      <c r="I85" s="30" t="s">
        <v>548</v>
      </c>
      <c r="J85" s="24"/>
      <c r="K85" s="24" t="s">
        <v>549</v>
      </c>
      <c r="L85" s="24" t="s">
        <v>549</v>
      </c>
      <c r="M85" s="24">
        <v>1905</v>
      </c>
      <c r="N85" s="24" t="s">
        <v>550</v>
      </c>
      <c r="O85" s="24">
        <v>5</v>
      </c>
      <c r="P85" s="24">
        <v>0</v>
      </c>
      <c r="Q85" s="24">
        <v>1</v>
      </c>
      <c r="R85" s="24">
        <v>8</v>
      </c>
      <c r="S85" s="24">
        <v>631.79999999999995</v>
      </c>
      <c r="T85" s="24">
        <v>631.79999999999995</v>
      </c>
      <c r="U85" s="24">
        <v>558.79999999999995</v>
      </c>
      <c r="V85" s="24">
        <v>73</v>
      </c>
      <c r="W85" s="24" t="s">
        <v>528</v>
      </c>
      <c r="X85" s="24" t="s">
        <v>528</v>
      </c>
      <c r="Y85" s="24" t="s">
        <v>529</v>
      </c>
      <c r="Z85" s="102" t="s">
        <v>528</v>
      </c>
      <c r="AA85" s="24" t="s">
        <v>528</v>
      </c>
      <c r="AB85" s="24" t="s">
        <v>528</v>
      </c>
      <c r="AC85" s="24" t="s">
        <v>528</v>
      </c>
      <c r="AD85" s="24" t="s">
        <v>528</v>
      </c>
      <c r="AE85" s="24" t="s">
        <v>529</v>
      </c>
      <c r="AF85" s="24">
        <v>0</v>
      </c>
      <c r="AG85" s="24">
        <v>0</v>
      </c>
      <c r="AH85" s="24">
        <v>1</v>
      </c>
      <c r="AI85" s="24">
        <v>0</v>
      </c>
      <c r="AJ85" s="24">
        <v>1</v>
      </c>
      <c r="AK85" s="24">
        <v>0</v>
      </c>
      <c r="AL85" s="24"/>
    </row>
    <row r="86" spans="1:38" ht="31.2" x14ac:dyDescent="0.3">
      <c r="A86" s="53">
        <v>79</v>
      </c>
      <c r="B86" s="24" t="s">
        <v>544</v>
      </c>
      <c r="C86" s="24" t="s">
        <v>545</v>
      </c>
      <c r="D86" s="82" t="s">
        <v>638</v>
      </c>
      <c r="E86" s="24">
        <v>21</v>
      </c>
      <c r="F86" s="24" t="s">
        <v>200</v>
      </c>
      <c r="G86" s="24"/>
      <c r="H86" s="24" t="s">
        <v>646</v>
      </c>
      <c r="I86" s="30" t="s">
        <v>548</v>
      </c>
      <c r="J86" s="24"/>
      <c r="K86" s="24" t="s">
        <v>549</v>
      </c>
      <c r="L86" s="24" t="s">
        <v>549</v>
      </c>
      <c r="M86" s="24">
        <v>1911</v>
      </c>
      <c r="N86" s="24" t="s">
        <v>550</v>
      </c>
      <c r="O86" s="24">
        <v>5</v>
      </c>
      <c r="P86" s="24">
        <v>0</v>
      </c>
      <c r="Q86" s="24">
        <v>1</v>
      </c>
      <c r="R86" s="24">
        <v>9</v>
      </c>
      <c r="S86" s="24">
        <v>638.1</v>
      </c>
      <c r="T86" s="24">
        <v>638.1</v>
      </c>
      <c r="U86" s="24">
        <v>570.5</v>
      </c>
      <c r="V86" s="24">
        <v>67.599999999999994</v>
      </c>
      <c r="W86" s="24" t="s">
        <v>528</v>
      </c>
      <c r="X86" s="24" t="s">
        <v>528</v>
      </c>
      <c r="Y86" s="24" t="s">
        <v>529</v>
      </c>
      <c r="Z86" s="102" t="s">
        <v>528</v>
      </c>
      <c r="AA86" s="24" t="s">
        <v>528</v>
      </c>
      <c r="AB86" s="24" t="s">
        <v>528</v>
      </c>
      <c r="AC86" s="24" t="s">
        <v>528</v>
      </c>
      <c r="AD86" s="24" t="s">
        <v>528</v>
      </c>
      <c r="AE86" s="24" t="s">
        <v>529</v>
      </c>
      <c r="AF86" s="24">
        <v>0</v>
      </c>
      <c r="AG86" s="24">
        <v>0</v>
      </c>
      <c r="AH86" s="24">
        <v>1</v>
      </c>
      <c r="AI86" s="24">
        <v>0</v>
      </c>
      <c r="AJ86" s="24">
        <v>0</v>
      </c>
      <c r="AK86" s="24">
        <v>0</v>
      </c>
      <c r="AL86" s="24"/>
    </row>
    <row r="87" spans="1:38" ht="31.2" x14ac:dyDescent="0.3">
      <c r="A87" s="53">
        <v>80</v>
      </c>
      <c r="B87" s="24" t="s">
        <v>544</v>
      </c>
      <c r="C87" s="24" t="s">
        <v>545</v>
      </c>
      <c r="D87" s="82" t="s">
        <v>638</v>
      </c>
      <c r="E87" s="24">
        <v>24</v>
      </c>
      <c r="F87" s="24" t="s">
        <v>200</v>
      </c>
      <c r="G87" s="24"/>
      <c r="H87" s="24" t="s">
        <v>647</v>
      </c>
      <c r="I87" s="30" t="s">
        <v>548</v>
      </c>
      <c r="J87" s="24"/>
      <c r="K87" s="24" t="s">
        <v>549</v>
      </c>
      <c r="L87" s="24" t="s">
        <v>549</v>
      </c>
      <c r="M87" s="24">
        <v>1912</v>
      </c>
      <c r="N87" s="24" t="s">
        <v>550</v>
      </c>
      <c r="O87" s="24">
        <v>5</v>
      </c>
      <c r="P87" s="24">
        <v>0</v>
      </c>
      <c r="Q87" s="24">
        <v>2</v>
      </c>
      <c r="R87" s="24">
        <v>27</v>
      </c>
      <c r="S87" s="24">
        <v>1754.1000000000001</v>
      </c>
      <c r="T87" s="24">
        <v>1754.1000000000001</v>
      </c>
      <c r="U87" s="24">
        <v>1642.4</v>
      </c>
      <c r="V87" s="24">
        <v>111.7</v>
      </c>
      <c r="W87" s="24" t="s">
        <v>528</v>
      </c>
      <c r="X87" s="24" t="s">
        <v>528</v>
      </c>
      <c r="Y87" s="24" t="s">
        <v>529</v>
      </c>
      <c r="Z87" s="102" t="s">
        <v>528</v>
      </c>
      <c r="AA87" s="24" t="s">
        <v>528</v>
      </c>
      <c r="AB87" s="24" t="s">
        <v>528</v>
      </c>
      <c r="AC87" s="24" t="s">
        <v>528</v>
      </c>
      <c r="AD87" s="24" t="s">
        <v>528</v>
      </c>
      <c r="AE87" s="24" t="s">
        <v>529</v>
      </c>
      <c r="AF87" s="24">
        <v>0</v>
      </c>
      <c r="AG87" s="24">
        <v>0</v>
      </c>
      <c r="AH87" s="24">
        <v>1</v>
      </c>
      <c r="AI87" s="24">
        <v>0</v>
      </c>
      <c r="AJ87" s="24">
        <v>1</v>
      </c>
      <c r="AK87" s="24">
        <v>0</v>
      </c>
      <c r="AL87" s="24"/>
    </row>
    <row r="88" spans="1:38" ht="31.2" x14ac:dyDescent="0.3">
      <c r="A88" s="53">
        <v>81</v>
      </c>
      <c r="B88" s="24" t="s">
        <v>544</v>
      </c>
      <c r="C88" s="24" t="s">
        <v>545</v>
      </c>
      <c r="D88" s="82" t="s">
        <v>638</v>
      </c>
      <c r="E88" s="24">
        <v>26</v>
      </c>
      <c r="F88" s="24" t="s">
        <v>200</v>
      </c>
      <c r="G88" s="24"/>
      <c r="H88" s="24" t="s">
        <v>648</v>
      </c>
      <c r="I88" s="30" t="s">
        <v>548</v>
      </c>
      <c r="J88" s="24"/>
      <c r="K88" s="24" t="s">
        <v>549</v>
      </c>
      <c r="L88" s="24" t="s">
        <v>549</v>
      </c>
      <c r="M88" s="24">
        <v>1913</v>
      </c>
      <c r="N88" s="24" t="s">
        <v>550</v>
      </c>
      <c r="O88" s="24">
        <v>5</v>
      </c>
      <c r="P88" s="24">
        <v>0</v>
      </c>
      <c r="Q88" s="24">
        <v>2</v>
      </c>
      <c r="R88" s="24">
        <v>20</v>
      </c>
      <c r="S88" s="24">
        <v>1665.2</v>
      </c>
      <c r="T88" s="24">
        <v>1665.2</v>
      </c>
      <c r="U88" s="24">
        <v>1608.8</v>
      </c>
      <c r="V88" s="24">
        <v>56.4</v>
      </c>
      <c r="W88" s="24" t="s">
        <v>528</v>
      </c>
      <c r="X88" s="24" t="s">
        <v>528</v>
      </c>
      <c r="Y88" s="24" t="s">
        <v>529</v>
      </c>
      <c r="Z88" s="102" t="s">
        <v>528</v>
      </c>
      <c r="AA88" s="24" t="s">
        <v>528</v>
      </c>
      <c r="AB88" s="24" t="s">
        <v>528</v>
      </c>
      <c r="AC88" s="24" t="s">
        <v>528</v>
      </c>
      <c r="AD88" s="24" t="s">
        <v>528</v>
      </c>
      <c r="AE88" s="24" t="s">
        <v>529</v>
      </c>
      <c r="AF88" s="24">
        <v>0</v>
      </c>
      <c r="AG88" s="24">
        <v>0</v>
      </c>
      <c r="AH88" s="24">
        <v>1</v>
      </c>
      <c r="AI88" s="24">
        <v>0</v>
      </c>
      <c r="AJ88" s="24">
        <v>1</v>
      </c>
      <c r="AK88" s="24">
        <v>0</v>
      </c>
      <c r="AL88" s="24"/>
    </row>
    <row r="89" spans="1:38" ht="31.2" x14ac:dyDescent="0.3">
      <c r="A89" s="53">
        <v>82</v>
      </c>
      <c r="B89" s="24" t="s">
        <v>544</v>
      </c>
      <c r="C89" s="24" t="s">
        <v>545</v>
      </c>
      <c r="D89" s="82" t="s">
        <v>638</v>
      </c>
      <c r="E89" s="24">
        <v>28</v>
      </c>
      <c r="F89" s="24" t="s">
        <v>200</v>
      </c>
      <c r="G89" s="24"/>
      <c r="H89" s="24" t="s">
        <v>649</v>
      </c>
      <c r="I89" s="30" t="s">
        <v>548</v>
      </c>
      <c r="J89" s="24"/>
      <c r="K89" s="24" t="s">
        <v>549</v>
      </c>
      <c r="L89" s="24" t="s">
        <v>549</v>
      </c>
      <c r="M89" s="24">
        <v>1890</v>
      </c>
      <c r="N89" s="24" t="s">
        <v>550</v>
      </c>
      <c r="O89" s="24">
        <v>4</v>
      </c>
      <c r="P89" s="24">
        <v>0</v>
      </c>
      <c r="Q89" s="24">
        <v>1</v>
      </c>
      <c r="R89" s="24">
        <v>15</v>
      </c>
      <c r="S89" s="24">
        <v>1018.87</v>
      </c>
      <c r="T89" s="24">
        <v>1018.87</v>
      </c>
      <c r="U89" s="24">
        <v>948.5</v>
      </c>
      <c r="V89" s="24">
        <v>70.37</v>
      </c>
      <c r="W89" s="24" t="s">
        <v>528</v>
      </c>
      <c r="X89" s="24" t="s">
        <v>528</v>
      </c>
      <c r="Y89" s="24" t="s">
        <v>529</v>
      </c>
      <c r="Z89" s="102" t="s">
        <v>528</v>
      </c>
      <c r="AA89" s="24" t="s">
        <v>528</v>
      </c>
      <c r="AB89" s="24" t="s">
        <v>528</v>
      </c>
      <c r="AC89" s="24" t="s">
        <v>528</v>
      </c>
      <c r="AD89" s="24" t="s">
        <v>528</v>
      </c>
      <c r="AE89" s="24" t="s">
        <v>529</v>
      </c>
      <c r="AF89" s="24">
        <v>0</v>
      </c>
      <c r="AG89" s="24">
        <v>0</v>
      </c>
      <c r="AH89" s="24">
        <v>1</v>
      </c>
      <c r="AI89" s="24">
        <v>0</v>
      </c>
      <c r="AJ89" s="24">
        <v>1</v>
      </c>
      <c r="AK89" s="24">
        <v>0</v>
      </c>
      <c r="AL89" s="24"/>
    </row>
    <row r="90" spans="1:38" ht="31.2" x14ac:dyDescent="0.3">
      <c r="A90" s="53">
        <v>83</v>
      </c>
      <c r="B90" s="24" t="s">
        <v>544</v>
      </c>
      <c r="C90" s="24" t="s">
        <v>545</v>
      </c>
      <c r="D90" s="82" t="s">
        <v>638</v>
      </c>
      <c r="E90" s="24">
        <v>33</v>
      </c>
      <c r="F90" s="24" t="s">
        <v>200</v>
      </c>
      <c r="G90" s="24"/>
      <c r="H90" s="24" t="s">
        <v>650</v>
      </c>
      <c r="I90" s="30" t="s">
        <v>548</v>
      </c>
      <c r="J90" s="24"/>
      <c r="K90" s="24" t="s">
        <v>549</v>
      </c>
      <c r="L90" s="24" t="s">
        <v>549</v>
      </c>
      <c r="M90" s="24">
        <v>1900</v>
      </c>
      <c r="N90" s="24" t="s">
        <v>550</v>
      </c>
      <c r="O90" s="24">
        <v>4</v>
      </c>
      <c r="P90" s="24">
        <v>0</v>
      </c>
      <c r="Q90" s="24">
        <v>2</v>
      </c>
      <c r="R90" s="24">
        <v>23</v>
      </c>
      <c r="S90" s="24">
        <v>1880.2</v>
      </c>
      <c r="T90" s="24">
        <v>1880.2</v>
      </c>
      <c r="U90" s="24">
        <v>1604.7</v>
      </c>
      <c r="V90" s="24">
        <v>275.5</v>
      </c>
      <c r="W90" s="24" t="s">
        <v>528</v>
      </c>
      <c r="X90" s="24" t="s">
        <v>528</v>
      </c>
      <c r="Y90" s="24" t="s">
        <v>529</v>
      </c>
      <c r="Z90" s="102" t="s">
        <v>528</v>
      </c>
      <c r="AA90" s="24" t="s">
        <v>528</v>
      </c>
      <c r="AB90" s="24" t="s">
        <v>528</v>
      </c>
      <c r="AC90" s="24" t="s">
        <v>528</v>
      </c>
      <c r="AD90" s="24" t="s">
        <v>528</v>
      </c>
      <c r="AE90" s="24" t="s">
        <v>529</v>
      </c>
      <c r="AF90" s="24">
        <v>0</v>
      </c>
      <c r="AG90" s="24">
        <v>0</v>
      </c>
      <c r="AH90" s="24">
        <v>1</v>
      </c>
      <c r="AI90" s="24">
        <v>0</v>
      </c>
      <c r="AJ90" s="24">
        <v>0</v>
      </c>
      <c r="AK90" s="24">
        <v>0</v>
      </c>
      <c r="AL90" s="24"/>
    </row>
    <row r="91" spans="1:38" ht="31.2" x14ac:dyDescent="0.3">
      <c r="A91" s="53">
        <v>84</v>
      </c>
      <c r="B91" s="24" t="s">
        <v>544</v>
      </c>
      <c r="C91" s="24" t="s">
        <v>555</v>
      </c>
      <c r="D91" s="82" t="s">
        <v>651</v>
      </c>
      <c r="E91" s="24">
        <v>31</v>
      </c>
      <c r="F91" s="24" t="s">
        <v>200</v>
      </c>
      <c r="G91" s="24"/>
      <c r="H91" s="24" t="s">
        <v>652</v>
      </c>
      <c r="I91" s="30" t="s">
        <v>548</v>
      </c>
      <c r="J91" s="24"/>
      <c r="K91" s="24" t="s">
        <v>549</v>
      </c>
      <c r="L91" s="24" t="s">
        <v>549</v>
      </c>
      <c r="M91" s="24">
        <v>1908</v>
      </c>
      <c r="N91" s="24" t="s">
        <v>550</v>
      </c>
      <c r="O91" s="24">
        <v>6</v>
      </c>
      <c r="P91" s="24">
        <v>0</v>
      </c>
      <c r="Q91" s="24">
        <v>11</v>
      </c>
      <c r="R91" s="24">
        <v>114</v>
      </c>
      <c r="S91" s="24">
        <v>10815</v>
      </c>
      <c r="T91" s="24">
        <v>10815</v>
      </c>
      <c r="U91" s="24">
        <v>9117.2800000000007</v>
      </c>
      <c r="V91" s="24">
        <v>1697.72</v>
      </c>
      <c r="W91" s="24" t="s">
        <v>528</v>
      </c>
      <c r="X91" s="24" t="s">
        <v>528</v>
      </c>
      <c r="Y91" s="24" t="s">
        <v>529</v>
      </c>
      <c r="Z91" s="102" t="s">
        <v>528</v>
      </c>
      <c r="AA91" s="24" t="s">
        <v>528</v>
      </c>
      <c r="AB91" s="24" t="s">
        <v>528</v>
      </c>
      <c r="AC91" s="24" t="s">
        <v>528</v>
      </c>
      <c r="AD91" s="24" t="s">
        <v>528</v>
      </c>
      <c r="AE91" s="24" t="s">
        <v>529</v>
      </c>
      <c r="AF91" s="24">
        <v>5</v>
      </c>
      <c r="AG91" s="24">
        <v>0</v>
      </c>
      <c r="AH91" s="24">
        <v>1</v>
      </c>
      <c r="AI91" s="24">
        <v>0</v>
      </c>
      <c r="AJ91" s="24">
        <v>1</v>
      </c>
      <c r="AK91" s="24">
        <v>0</v>
      </c>
      <c r="AL91" s="24"/>
    </row>
    <row r="92" spans="1:38" ht="31.2" x14ac:dyDescent="0.3">
      <c r="A92" s="53">
        <v>85</v>
      </c>
      <c r="B92" s="24" t="s">
        <v>544</v>
      </c>
      <c r="C92" s="24" t="s">
        <v>653</v>
      </c>
      <c r="D92" s="82" t="s">
        <v>651</v>
      </c>
      <c r="E92" s="24">
        <v>33</v>
      </c>
      <c r="F92" s="24" t="s">
        <v>200</v>
      </c>
      <c r="G92" s="24"/>
      <c r="H92" s="24" t="s">
        <v>654</v>
      </c>
      <c r="I92" s="30" t="s">
        <v>548</v>
      </c>
      <c r="J92" s="24" t="s">
        <v>558</v>
      </c>
      <c r="K92" s="24" t="s">
        <v>549</v>
      </c>
      <c r="L92" s="24" t="s">
        <v>549</v>
      </c>
      <c r="M92" s="24">
        <v>1882</v>
      </c>
      <c r="N92" s="24" t="s">
        <v>550</v>
      </c>
      <c r="O92" s="24">
        <v>5</v>
      </c>
      <c r="P92" s="24">
        <v>0</v>
      </c>
      <c r="Q92" s="24">
        <v>4</v>
      </c>
      <c r="R92" s="24">
        <v>30</v>
      </c>
      <c r="S92" s="24">
        <v>3616</v>
      </c>
      <c r="T92" s="24">
        <v>3616</v>
      </c>
      <c r="U92" s="24">
        <v>2909.9</v>
      </c>
      <c r="V92" s="24">
        <v>706.1</v>
      </c>
      <c r="W92" s="24" t="s">
        <v>528</v>
      </c>
      <c r="X92" s="24" t="s">
        <v>528</v>
      </c>
      <c r="Y92" s="24" t="s">
        <v>529</v>
      </c>
      <c r="Z92" s="102" t="s">
        <v>528</v>
      </c>
      <c r="AA92" s="24" t="s">
        <v>528</v>
      </c>
      <c r="AB92" s="24" t="s">
        <v>528</v>
      </c>
      <c r="AC92" s="24" t="s">
        <v>528</v>
      </c>
      <c r="AD92" s="24" t="s">
        <v>528</v>
      </c>
      <c r="AE92" s="24" t="s">
        <v>529</v>
      </c>
      <c r="AF92" s="24">
        <v>1</v>
      </c>
      <c r="AG92" s="24">
        <v>0</v>
      </c>
      <c r="AH92" s="24">
        <v>1</v>
      </c>
      <c r="AI92" s="24">
        <v>0</v>
      </c>
      <c r="AJ92" s="24">
        <v>1</v>
      </c>
      <c r="AK92" s="24">
        <v>0</v>
      </c>
      <c r="AL92" s="24"/>
    </row>
    <row r="93" spans="1:38" ht="31.2" x14ac:dyDescent="0.3">
      <c r="A93" s="53">
        <v>86</v>
      </c>
      <c r="B93" s="24" t="s">
        <v>544</v>
      </c>
      <c r="C93" s="24"/>
      <c r="D93" s="82" t="s">
        <v>651</v>
      </c>
      <c r="E93" s="24" t="s">
        <v>655</v>
      </c>
      <c r="F93" s="24" t="s">
        <v>200</v>
      </c>
      <c r="G93" s="24"/>
      <c r="H93" s="24" t="s">
        <v>656</v>
      </c>
      <c r="I93" s="30" t="s">
        <v>548</v>
      </c>
      <c r="J93" s="24"/>
      <c r="K93" s="24" t="s">
        <v>549</v>
      </c>
      <c r="L93" s="24" t="s">
        <v>549</v>
      </c>
      <c r="M93" s="24">
        <v>1900</v>
      </c>
      <c r="N93" s="24" t="s">
        <v>550</v>
      </c>
      <c r="O93" s="24">
        <v>5</v>
      </c>
      <c r="P93" s="24">
        <v>0</v>
      </c>
      <c r="Q93" s="24">
        <v>3</v>
      </c>
      <c r="R93" s="24">
        <v>40</v>
      </c>
      <c r="S93" s="24">
        <v>3357.8</v>
      </c>
      <c r="T93" s="24">
        <v>3357.8</v>
      </c>
      <c r="U93" s="24">
        <v>2991.9</v>
      </c>
      <c r="V93" s="24">
        <v>365.9</v>
      </c>
      <c r="W93" s="24" t="s">
        <v>528</v>
      </c>
      <c r="X93" s="24" t="s">
        <v>528</v>
      </c>
      <c r="Y93" s="24" t="s">
        <v>529</v>
      </c>
      <c r="Z93" s="102" t="s">
        <v>528</v>
      </c>
      <c r="AA93" s="24" t="s">
        <v>528</v>
      </c>
      <c r="AB93" s="24" t="s">
        <v>528</v>
      </c>
      <c r="AC93" s="24" t="s">
        <v>528</v>
      </c>
      <c r="AD93" s="24" t="s">
        <v>528</v>
      </c>
      <c r="AE93" s="24" t="s">
        <v>529</v>
      </c>
      <c r="AF93" s="24">
        <v>0</v>
      </c>
      <c r="AG93" s="24">
        <v>0</v>
      </c>
      <c r="AH93" s="24">
        <v>1</v>
      </c>
      <c r="AI93" s="24">
        <v>0</v>
      </c>
      <c r="AJ93" s="24">
        <v>1</v>
      </c>
      <c r="AK93" s="24">
        <v>0</v>
      </c>
      <c r="AL93" s="24"/>
    </row>
    <row r="94" spans="1:38" ht="31.2" x14ac:dyDescent="0.3">
      <c r="A94" s="53">
        <v>87</v>
      </c>
      <c r="B94" s="24" t="s">
        <v>544</v>
      </c>
      <c r="C94" s="24" t="s">
        <v>555</v>
      </c>
      <c r="D94" s="82" t="s">
        <v>651</v>
      </c>
      <c r="E94" s="24" t="s">
        <v>655</v>
      </c>
      <c r="F94" s="24" t="s">
        <v>206</v>
      </c>
      <c r="G94" s="24"/>
      <c r="H94" s="24" t="s">
        <v>657</v>
      </c>
      <c r="I94" s="30" t="s">
        <v>548</v>
      </c>
      <c r="J94" s="24"/>
      <c r="K94" s="24" t="s">
        <v>549</v>
      </c>
      <c r="L94" s="24" t="s">
        <v>549</v>
      </c>
      <c r="M94" s="24">
        <v>1900</v>
      </c>
      <c r="N94" s="24" t="s">
        <v>550</v>
      </c>
      <c r="O94" s="24">
        <v>2</v>
      </c>
      <c r="P94" s="24">
        <v>0</v>
      </c>
      <c r="Q94" s="24">
        <v>1</v>
      </c>
      <c r="R94" s="24">
        <v>1</v>
      </c>
      <c r="S94" s="24">
        <v>90.9</v>
      </c>
      <c r="T94" s="24">
        <v>90.9</v>
      </c>
      <c r="U94" s="24">
        <v>46.3</v>
      </c>
      <c r="V94" s="24">
        <v>44.6</v>
      </c>
      <c r="W94" s="24" t="s">
        <v>528</v>
      </c>
      <c r="X94" s="24" t="s">
        <v>528</v>
      </c>
      <c r="Y94" s="24" t="s">
        <v>529</v>
      </c>
      <c r="Z94" s="102" t="s">
        <v>528</v>
      </c>
      <c r="AA94" s="24" t="s">
        <v>528</v>
      </c>
      <c r="AB94" s="24" t="s">
        <v>528</v>
      </c>
      <c r="AC94" s="24" t="s">
        <v>528</v>
      </c>
      <c r="AD94" s="24" t="s">
        <v>528</v>
      </c>
      <c r="AE94" s="24" t="s">
        <v>529</v>
      </c>
      <c r="AF94" s="24">
        <v>0</v>
      </c>
      <c r="AG94" s="24">
        <v>0</v>
      </c>
      <c r="AH94" s="24">
        <v>1</v>
      </c>
      <c r="AI94" s="24">
        <v>0</v>
      </c>
      <c r="AJ94" s="24">
        <v>0</v>
      </c>
      <c r="AK94" s="24">
        <v>0</v>
      </c>
      <c r="AL94" s="24"/>
    </row>
    <row r="95" spans="1:38" ht="31.2" x14ac:dyDescent="0.3">
      <c r="A95" s="53">
        <v>88</v>
      </c>
      <c r="B95" s="24" t="s">
        <v>544</v>
      </c>
      <c r="C95" s="24" t="s">
        <v>555</v>
      </c>
      <c r="D95" s="82" t="s">
        <v>651</v>
      </c>
      <c r="E95" s="24" t="s">
        <v>658</v>
      </c>
      <c r="F95" s="24" t="s">
        <v>200</v>
      </c>
      <c r="G95" s="24"/>
      <c r="H95" s="24" t="s">
        <v>659</v>
      </c>
      <c r="I95" s="30" t="s">
        <v>548</v>
      </c>
      <c r="J95" s="24"/>
      <c r="K95" s="24" t="s">
        <v>549</v>
      </c>
      <c r="L95" s="24" t="s">
        <v>549</v>
      </c>
      <c r="M95" s="24">
        <v>1898</v>
      </c>
      <c r="N95" s="24" t="s">
        <v>550</v>
      </c>
      <c r="O95" s="24">
        <v>4</v>
      </c>
      <c r="P95" s="24">
        <v>0</v>
      </c>
      <c r="Q95" s="24">
        <v>3</v>
      </c>
      <c r="R95" s="24">
        <v>10</v>
      </c>
      <c r="S95" s="24">
        <v>1075</v>
      </c>
      <c r="T95" s="24">
        <v>1075</v>
      </c>
      <c r="U95" s="24">
        <v>854.99</v>
      </c>
      <c r="V95" s="24">
        <v>220.01</v>
      </c>
      <c r="W95" s="24" t="s">
        <v>528</v>
      </c>
      <c r="X95" s="24" t="s">
        <v>528</v>
      </c>
      <c r="Y95" s="24" t="s">
        <v>529</v>
      </c>
      <c r="Z95" s="102" t="s">
        <v>528</v>
      </c>
      <c r="AA95" s="24" t="s">
        <v>528</v>
      </c>
      <c r="AB95" s="24" t="s">
        <v>528</v>
      </c>
      <c r="AC95" s="24" t="s">
        <v>528</v>
      </c>
      <c r="AD95" s="24" t="s">
        <v>528</v>
      </c>
      <c r="AE95" s="24" t="s">
        <v>529</v>
      </c>
      <c r="AF95" s="24">
        <v>0</v>
      </c>
      <c r="AG95" s="24">
        <v>0</v>
      </c>
      <c r="AH95" s="24">
        <v>1</v>
      </c>
      <c r="AI95" s="24">
        <v>0</v>
      </c>
      <c r="AJ95" s="24">
        <v>0</v>
      </c>
      <c r="AK95" s="24">
        <v>0</v>
      </c>
      <c r="AL95" s="24"/>
    </row>
    <row r="96" spans="1:38" ht="31.2" x14ac:dyDescent="0.3">
      <c r="A96" s="53">
        <v>89</v>
      </c>
      <c r="B96" s="24" t="s">
        <v>544</v>
      </c>
      <c r="C96" s="24"/>
      <c r="D96" s="82" t="s">
        <v>651</v>
      </c>
      <c r="E96" s="24">
        <v>39</v>
      </c>
      <c r="F96" s="24" t="s">
        <v>200</v>
      </c>
      <c r="G96" s="24"/>
      <c r="H96" s="24" t="s">
        <v>660</v>
      </c>
      <c r="I96" s="30" t="s">
        <v>548</v>
      </c>
      <c r="J96" s="24" t="s">
        <v>558</v>
      </c>
      <c r="K96" s="24" t="s">
        <v>549</v>
      </c>
      <c r="L96" s="24" t="s">
        <v>549</v>
      </c>
      <c r="M96" s="24">
        <v>1913</v>
      </c>
      <c r="N96" s="24" t="s">
        <v>550</v>
      </c>
      <c r="O96" s="24">
        <v>6</v>
      </c>
      <c r="P96" s="24">
        <v>0</v>
      </c>
      <c r="Q96" s="24">
        <v>2</v>
      </c>
      <c r="R96" s="24">
        <v>12</v>
      </c>
      <c r="S96" s="24">
        <v>1695</v>
      </c>
      <c r="T96" s="24">
        <v>1695</v>
      </c>
      <c r="U96" s="24">
        <v>1235.53</v>
      </c>
      <c r="V96" s="24">
        <v>459.47</v>
      </c>
      <c r="W96" s="24" t="s">
        <v>528</v>
      </c>
      <c r="X96" s="24" t="s">
        <v>528</v>
      </c>
      <c r="Y96" s="24" t="s">
        <v>529</v>
      </c>
      <c r="Z96" s="102" t="s">
        <v>528</v>
      </c>
      <c r="AA96" s="24" t="s">
        <v>528</v>
      </c>
      <c r="AB96" s="24" t="s">
        <v>528</v>
      </c>
      <c r="AC96" s="24" t="s">
        <v>528</v>
      </c>
      <c r="AD96" s="24" t="s">
        <v>528</v>
      </c>
      <c r="AE96" s="24" t="s">
        <v>529</v>
      </c>
      <c r="AF96" s="24">
        <v>1</v>
      </c>
      <c r="AG96" s="24">
        <v>0</v>
      </c>
      <c r="AH96" s="24">
        <v>1</v>
      </c>
      <c r="AI96" s="24">
        <v>0</v>
      </c>
      <c r="AJ96" s="24">
        <v>0</v>
      </c>
      <c r="AK96" s="24">
        <v>0</v>
      </c>
      <c r="AL96" s="24"/>
    </row>
    <row r="97" spans="1:38" ht="31.2" x14ac:dyDescent="0.3">
      <c r="A97" s="53">
        <v>90</v>
      </c>
      <c r="B97" s="24" t="s">
        <v>544</v>
      </c>
      <c r="C97" s="24" t="s">
        <v>555</v>
      </c>
      <c r="D97" s="82" t="s">
        <v>651</v>
      </c>
      <c r="E97" s="24">
        <v>41</v>
      </c>
      <c r="F97" s="24" t="s">
        <v>200</v>
      </c>
      <c r="G97" s="24"/>
      <c r="H97" s="24" t="s">
        <v>661</v>
      </c>
      <c r="I97" s="30" t="s">
        <v>548</v>
      </c>
      <c r="J97" s="24"/>
      <c r="K97" s="24" t="s">
        <v>549</v>
      </c>
      <c r="L97" s="24" t="s">
        <v>549</v>
      </c>
      <c r="M97" s="24">
        <v>1956</v>
      </c>
      <c r="N97" s="24" t="s">
        <v>550</v>
      </c>
      <c r="O97" s="24">
        <v>5</v>
      </c>
      <c r="P97" s="24">
        <v>0</v>
      </c>
      <c r="Q97" s="24">
        <v>2</v>
      </c>
      <c r="R97" s="24">
        <v>24</v>
      </c>
      <c r="S97" s="24">
        <v>2592</v>
      </c>
      <c r="T97" s="24">
        <v>2592</v>
      </c>
      <c r="U97" s="24">
        <v>1885</v>
      </c>
      <c r="V97" s="24">
        <v>707</v>
      </c>
      <c r="W97" s="24" t="s">
        <v>528</v>
      </c>
      <c r="X97" s="24" t="s">
        <v>528</v>
      </c>
      <c r="Y97" s="24" t="s">
        <v>529</v>
      </c>
      <c r="Z97" s="102" t="s">
        <v>528</v>
      </c>
      <c r="AA97" s="24" t="s">
        <v>528</v>
      </c>
      <c r="AB97" s="24" t="s">
        <v>528</v>
      </c>
      <c r="AC97" s="24" t="s">
        <v>528</v>
      </c>
      <c r="AD97" s="24" t="s">
        <v>528</v>
      </c>
      <c r="AE97" s="24" t="s">
        <v>529</v>
      </c>
      <c r="AF97" s="24">
        <v>1</v>
      </c>
      <c r="AG97" s="24">
        <v>0</v>
      </c>
      <c r="AH97" s="24">
        <v>1</v>
      </c>
      <c r="AI97" s="24">
        <v>0</v>
      </c>
      <c r="AJ97" s="24">
        <v>1</v>
      </c>
      <c r="AK97" s="24">
        <v>0</v>
      </c>
      <c r="AL97" s="24"/>
    </row>
    <row r="98" spans="1:38" ht="31.2" x14ac:dyDescent="0.3">
      <c r="A98" s="53">
        <v>91</v>
      </c>
      <c r="B98" s="24" t="s">
        <v>544</v>
      </c>
      <c r="C98" s="24" t="s">
        <v>555</v>
      </c>
      <c r="D98" s="82" t="s">
        <v>651</v>
      </c>
      <c r="E98" s="24">
        <v>43</v>
      </c>
      <c r="F98" s="24" t="s">
        <v>200</v>
      </c>
      <c r="G98" s="24"/>
      <c r="H98" s="24" t="s">
        <v>662</v>
      </c>
      <c r="I98" s="30" t="s">
        <v>548</v>
      </c>
      <c r="J98" s="24"/>
      <c r="K98" s="24" t="s">
        <v>549</v>
      </c>
      <c r="L98" s="24" t="s">
        <v>549</v>
      </c>
      <c r="M98" s="24">
        <v>1901</v>
      </c>
      <c r="N98" s="24" t="s">
        <v>550</v>
      </c>
      <c r="O98" s="24">
        <v>6</v>
      </c>
      <c r="P98" s="24">
        <v>0</v>
      </c>
      <c r="Q98" s="24">
        <v>3</v>
      </c>
      <c r="R98" s="24">
        <v>17</v>
      </c>
      <c r="S98" s="24">
        <v>3243</v>
      </c>
      <c r="T98" s="24">
        <v>3243</v>
      </c>
      <c r="U98" s="24">
        <v>2399.4</v>
      </c>
      <c r="V98" s="24">
        <v>843.6</v>
      </c>
      <c r="W98" s="24" t="s">
        <v>528</v>
      </c>
      <c r="X98" s="24" t="s">
        <v>528</v>
      </c>
      <c r="Y98" s="24" t="s">
        <v>529</v>
      </c>
      <c r="Z98" s="102" t="s">
        <v>528</v>
      </c>
      <c r="AA98" s="24" t="s">
        <v>528</v>
      </c>
      <c r="AB98" s="24" t="s">
        <v>528</v>
      </c>
      <c r="AC98" s="24" t="s">
        <v>528</v>
      </c>
      <c r="AD98" s="24" t="s">
        <v>528</v>
      </c>
      <c r="AE98" s="24" t="s">
        <v>529</v>
      </c>
      <c r="AF98" s="24">
        <v>0</v>
      </c>
      <c r="AG98" s="24">
        <v>0</v>
      </c>
      <c r="AH98" s="24">
        <v>1</v>
      </c>
      <c r="AI98" s="24">
        <v>0</v>
      </c>
      <c r="AJ98" s="24">
        <v>1</v>
      </c>
      <c r="AK98" s="24">
        <v>0</v>
      </c>
      <c r="AL98" s="24"/>
    </row>
    <row r="99" spans="1:38" ht="31.2" x14ac:dyDescent="0.3">
      <c r="A99" s="53">
        <v>92</v>
      </c>
      <c r="B99" s="24" t="s">
        <v>544</v>
      </c>
      <c r="C99" s="24" t="s">
        <v>555</v>
      </c>
      <c r="D99" s="82" t="s">
        <v>651</v>
      </c>
      <c r="E99" s="24">
        <v>45</v>
      </c>
      <c r="F99" s="24" t="s">
        <v>200</v>
      </c>
      <c r="G99" s="24"/>
      <c r="H99" s="24" t="s">
        <v>663</v>
      </c>
      <c r="I99" s="30" t="s">
        <v>548</v>
      </c>
      <c r="J99" s="24" t="s">
        <v>558</v>
      </c>
      <c r="K99" s="24" t="s">
        <v>549</v>
      </c>
      <c r="L99" s="24" t="s">
        <v>549</v>
      </c>
      <c r="M99" s="24">
        <v>1900</v>
      </c>
      <c r="N99" s="24" t="s">
        <v>550</v>
      </c>
      <c r="O99" s="24">
        <v>5</v>
      </c>
      <c r="P99" s="24">
        <v>0</v>
      </c>
      <c r="Q99" s="24">
        <v>6</v>
      </c>
      <c r="R99" s="24">
        <v>51</v>
      </c>
      <c r="S99" s="24">
        <v>5413</v>
      </c>
      <c r="T99" s="24">
        <v>5413</v>
      </c>
      <c r="U99" s="24">
        <v>4836.8</v>
      </c>
      <c r="V99" s="24">
        <v>576.20000000000005</v>
      </c>
      <c r="W99" s="24" t="s">
        <v>528</v>
      </c>
      <c r="X99" s="24" t="s">
        <v>528</v>
      </c>
      <c r="Y99" s="24" t="s">
        <v>529</v>
      </c>
      <c r="Z99" s="102" t="s">
        <v>528</v>
      </c>
      <c r="AA99" s="24" t="s">
        <v>528</v>
      </c>
      <c r="AB99" s="24" t="s">
        <v>528</v>
      </c>
      <c r="AC99" s="24" t="s">
        <v>528</v>
      </c>
      <c r="AD99" s="24" t="s">
        <v>528</v>
      </c>
      <c r="AE99" s="24" t="s">
        <v>529</v>
      </c>
      <c r="AF99" s="24">
        <v>1</v>
      </c>
      <c r="AG99" s="24">
        <v>0</v>
      </c>
      <c r="AH99" s="24">
        <v>1</v>
      </c>
      <c r="AI99" s="24">
        <v>0</v>
      </c>
      <c r="AJ99" s="24">
        <v>2</v>
      </c>
      <c r="AK99" s="24">
        <v>0</v>
      </c>
      <c r="AL99" s="24"/>
    </row>
    <row r="100" spans="1:38" ht="31.2" x14ac:dyDescent="0.3">
      <c r="A100" s="53">
        <v>93</v>
      </c>
      <c r="B100" s="24" t="s">
        <v>544</v>
      </c>
      <c r="C100" s="24" t="s">
        <v>555</v>
      </c>
      <c r="D100" s="82" t="s">
        <v>651</v>
      </c>
      <c r="E100" s="24">
        <v>47</v>
      </c>
      <c r="F100" s="24" t="s">
        <v>200</v>
      </c>
      <c r="G100" s="24"/>
      <c r="H100" s="24" t="s">
        <v>664</v>
      </c>
      <c r="I100" s="30" t="s">
        <v>548</v>
      </c>
      <c r="J100" s="24"/>
      <c r="K100" s="24" t="s">
        <v>549</v>
      </c>
      <c r="L100" s="24" t="s">
        <v>549</v>
      </c>
      <c r="M100" s="24">
        <v>1902</v>
      </c>
      <c r="N100" s="24" t="s">
        <v>550</v>
      </c>
      <c r="O100" s="24">
        <v>5</v>
      </c>
      <c r="P100" s="24">
        <v>0</v>
      </c>
      <c r="Q100" s="24">
        <v>3</v>
      </c>
      <c r="R100" s="24">
        <v>12</v>
      </c>
      <c r="S100" s="24">
        <v>1702</v>
      </c>
      <c r="T100" s="24">
        <v>1702</v>
      </c>
      <c r="U100" s="24">
        <v>1346.8</v>
      </c>
      <c r="V100" s="24">
        <v>355.2</v>
      </c>
      <c r="W100" s="24" t="s">
        <v>528</v>
      </c>
      <c r="X100" s="24" t="s">
        <v>528</v>
      </c>
      <c r="Y100" s="24" t="s">
        <v>529</v>
      </c>
      <c r="Z100" s="102" t="s">
        <v>528</v>
      </c>
      <c r="AA100" s="24" t="s">
        <v>528</v>
      </c>
      <c r="AB100" s="24" t="s">
        <v>528</v>
      </c>
      <c r="AC100" s="24" t="s">
        <v>528</v>
      </c>
      <c r="AD100" s="24" t="s">
        <v>528</v>
      </c>
      <c r="AE100" s="24" t="s">
        <v>529</v>
      </c>
      <c r="AF100" s="24">
        <v>0</v>
      </c>
      <c r="AG100" s="24">
        <v>0</v>
      </c>
      <c r="AH100" s="24">
        <v>1</v>
      </c>
      <c r="AI100" s="24">
        <v>0</v>
      </c>
      <c r="AJ100" s="24">
        <v>0</v>
      </c>
      <c r="AK100" s="24">
        <v>0</v>
      </c>
      <c r="AL100" s="24"/>
    </row>
    <row r="101" spans="1:38" ht="31.2" x14ac:dyDescent="0.3">
      <c r="A101" s="53">
        <v>94</v>
      </c>
      <c r="B101" s="24" t="s">
        <v>544</v>
      </c>
      <c r="C101" s="24" t="s">
        <v>653</v>
      </c>
      <c r="D101" s="82" t="s">
        <v>651</v>
      </c>
      <c r="E101" s="24" t="s">
        <v>665</v>
      </c>
      <c r="F101" s="24" t="s">
        <v>200</v>
      </c>
      <c r="G101" s="24"/>
      <c r="H101" s="24" t="s">
        <v>666</v>
      </c>
      <c r="I101" s="30" t="s">
        <v>548</v>
      </c>
      <c r="J101" s="24" t="s">
        <v>558</v>
      </c>
      <c r="K101" s="24" t="s">
        <v>549</v>
      </c>
      <c r="L101" s="24" t="s">
        <v>549</v>
      </c>
      <c r="M101" s="24">
        <v>1902</v>
      </c>
      <c r="N101" s="24" t="s">
        <v>550</v>
      </c>
      <c r="O101" s="24">
        <v>6</v>
      </c>
      <c r="P101" s="24">
        <v>0</v>
      </c>
      <c r="Q101" s="24">
        <v>7</v>
      </c>
      <c r="R101" s="24">
        <v>48</v>
      </c>
      <c r="S101" s="24">
        <v>6547.75</v>
      </c>
      <c r="T101" s="24">
        <v>6547.75</v>
      </c>
      <c r="U101" s="24">
        <v>5023.75</v>
      </c>
      <c r="V101" s="24">
        <v>1524</v>
      </c>
      <c r="W101" s="24" t="s">
        <v>528</v>
      </c>
      <c r="X101" s="24" t="s">
        <v>528</v>
      </c>
      <c r="Y101" s="24" t="s">
        <v>529</v>
      </c>
      <c r="Z101" s="102" t="s">
        <v>528</v>
      </c>
      <c r="AA101" s="24" t="s">
        <v>528</v>
      </c>
      <c r="AB101" s="24" t="s">
        <v>528</v>
      </c>
      <c r="AC101" s="24" t="s">
        <v>528</v>
      </c>
      <c r="AD101" s="24" t="s">
        <v>528</v>
      </c>
      <c r="AE101" s="24" t="s">
        <v>529</v>
      </c>
      <c r="AF101" s="24">
        <v>1</v>
      </c>
      <c r="AG101" s="24">
        <v>0</v>
      </c>
      <c r="AH101" s="24">
        <v>1</v>
      </c>
      <c r="AI101" s="24">
        <v>0</v>
      </c>
      <c r="AJ101" s="24">
        <v>1</v>
      </c>
      <c r="AK101" s="24">
        <v>0</v>
      </c>
      <c r="AL101" s="24"/>
    </row>
    <row r="102" spans="1:38" ht="31.2" x14ac:dyDescent="0.3">
      <c r="A102" s="53">
        <v>95</v>
      </c>
      <c r="B102" s="24" t="s">
        <v>544</v>
      </c>
      <c r="C102" s="24" t="s">
        <v>555</v>
      </c>
      <c r="D102" s="82" t="s">
        <v>651</v>
      </c>
      <c r="E102" s="24" t="s">
        <v>667</v>
      </c>
      <c r="F102" s="24" t="s">
        <v>200</v>
      </c>
      <c r="G102" s="24"/>
      <c r="H102" s="24" t="s">
        <v>668</v>
      </c>
      <c r="I102" s="30" t="s">
        <v>548</v>
      </c>
      <c r="J102" s="24"/>
      <c r="K102" s="24" t="s">
        <v>549</v>
      </c>
      <c r="L102" s="24" t="s">
        <v>549</v>
      </c>
      <c r="M102" s="24">
        <v>1898</v>
      </c>
      <c r="N102" s="24" t="s">
        <v>550</v>
      </c>
      <c r="O102" s="24">
        <v>5</v>
      </c>
      <c r="P102" s="24">
        <v>0</v>
      </c>
      <c r="Q102" s="24">
        <v>7</v>
      </c>
      <c r="R102" s="24">
        <v>35</v>
      </c>
      <c r="S102" s="24">
        <v>6526.17</v>
      </c>
      <c r="T102" s="24">
        <v>6526.17</v>
      </c>
      <c r="U102" s="24">
        <v>4697.17</v>
      </c>
      <c r="V102" s="24">
        <v>1829</v>
      </c>
      <c r="W102" s="24" t="s">
        <v>528</v>
      </c>
      <c r="X102" s="24" t="s">
        <v>528</v>
      </c>
      <c r="Y102" s="24" t="s">
        <v>529</v>
      </c>
      <c r="Z102" s="102" t="s">
        <v>528</v>
      </c>
      <c r="AA102" s="24" t="s">
        <v>528</v>
      </c>
      <c r="AB102" s="24" t="s">
        <v>528</v>
      </c>
      <c r="AC102" s="24" t="s">
        <v>528</v>
      </c>
      <c r="AD102" s="24" t="s">
        <v>528</v>
      </c>
      <c r="AE102" s="24" t="s">
        <v>529</v>
      </c>
      <c r="AF102" s="24">
        <v>0</v>
      </c>
      <c r="AG102" s="24">
        <v>0</v>
      </c>
      <c r="AH102" s="24">
        <v>1</v>
      </c>
      <c r="AI102" s="24">
        <v>0</v>
      </c>
      <c r="AJ102" s="24">
        <v>1</v>
      </c>
      <c r="AK102" s="24">
        <v>0</v>
      </c>
      <c r="AL102" s="24"/>
    </row>
    <row r="103" spans="1:38" ht="31.2" x14ac:dyDescent="0.3">
      <c r="A103" s="53">
        <v>96</v>
      </c>
      <c r="B103" s="24" t="s">
        <v>544</v>
      </c>
      <c r="C103" s="24" t="s">
        <v>555</v>
      </c>
      <c r="D103" s="82" t="s">
        <v>651</v>
      </c>
      <c r="E103" s="24">
        <v>53</v>
      </c>
      <c r="F103" s="24" t="s">
        <v>200</v>
      </c>
      <c r="G103" s="24"/>
      <c r="H103" s="24" t="s">
        <v>669</v>
      </c>
      <c r="I103" s="30" t="s">
        <v>548</v>
      </c>
      <c r="J103" s="24"/>
      <c r="K103" s="24" t="s">
        <v>549</v>
      </c>
      <c r="L103" s="24" t="s">
        <v>549</v>
      </c>
      <c r="M103" s="24">
        <v>1934</v>
      </c>
      <c r="N103" s="24" t="s">
        <v>550</v>
      </c>
      <c r="O103" s="24">
        <v>5</v>
      </c>
      <c r="P103" s="24">
        <v>0</v>
      </c>
      <c r="Q103" s="24">
        <v>2</v>
      </c>
      <c r="R103" s="24">
        <v>17</v>
      </c>
      <c r="S103" s="24">
        <v>1390.6</v>
      </c>
      <c r="T103" s="24">
        <v>1390.6</v>
      </c>
      <c r="U103" s="24">
        <v>1069.3</v>
      </c>
      <c r="V103" s="24">
        <v>321.3</v>
      </c>
      <c r="W103" s="24" t="s">
        <v>528</v>
      </c>
      <c r="X103" s="24" t="s">
        <v>528</v>
      </c>
      <c r="Y103" s="24" t="s">
        <v>529</v>
      </c>
      <c r="Z103" s="102" t="s">
        <v>528</v>
      </c>
      <c r="AA103" s="24" t="s">
        <v>528</v>
      </c>
      <c r="AB103" s="24" t="s">
        <v>528</v>
      </c>
      <c r="AC103" s="24" t="s">
        <v>528</v>
      </c>
      <c r="AD103" s="24" t="s">
        <v>528</v>
      </c>
      <c r="AE103" s="24" t="s">
        <v>529</v>
      </c>
      <c r="AF103" s="24">
        <v>0</v>
      </c>
      <c r="AG103" s="24">
        <v>0</v>
      </c>
      <c r="AH103" s="24">
        <v>1</v>
      </c>
      <c r="AI103" s="24">
        <v>0</v>
      </c>
      <c r="AJ103" s="24">
        <v>1</v>
      </c>
      <c r="AK103" s="24">
        <v>0</v>
      </c>
      <c r="AL103" s="24"/>
    </row>
    <row r="104" spans="1:38" ht="31.2" x14ac:dyDescent="0.3">
      <c r="A104" s="53">
        <v>97</v>
      </c>
      <c r="B104" s="24" t="s">
        <v>544</v>
      </c>
      <c r="C104" s="24" t="s">
        <v>555</v>
      </c>
      <c r="D104" s="82" t="s">
        <v>651</v>
      </c>
      <c r="E104" s="24" t="s">
        <v>670</v>
      </c>
      <c r="F104" s="24" t="s">
        <v>200</v>
      </c>
      <c r="G104" s="24"/>
      <c r="H104" s="24" t="s">
        <v>671</v>
      </c>
      <c r="I104" s="30" t="s">
        <v>548</v>
      </c>
      <c r="J104" s="24" t="s">
        <v>558</v>
      </c>
      <c r="K104" s="24" t="s">
        <v>549</v>
      </c>
      <c r="L104" s="24" t="s">
        <v>549</v>
      </c>
      <c r="M104" s="24">
        <v>1912</v>
      </c>
      <c r="N104" s="24" t="s">
        <v>550</v>
      </c>
      <c r="O104" s="24">
        <v>4</v>
      </c>
      <c r="P104" s="24">
        <v>0</v>
      </c>
      <c r="Q104" s="24">
        <v>4</v>
      </c>
      <c r="R104" s="24">
        <v>9</v>
      </c>
      <c r="S104" s="24">
        <v>2308.3000000000002</v>
      </c>
      <c r="T104" s="24">
        <v>2308.3000000000002</v>
      </c>
      <c r="U104" s="24">
        <v>778.3</v>
      </c>
      <c r="V104" s="24">
        <v>1530</v>
      </c>
      <c r="W104" s="24" t="s">
        <v>528</v>
      </c>
      <c r="X104" s="24" t="s">
        <v>528</v>
      </c>
      <c r="Y104" s="24" t="s">
        <v>529</v>
      </c>
      <c r="Z104" s="102" t="s">
        <v>528</v>
      </c>
      <c r="AA104" s="24" t="s">
        <v>528</v>
      </c>
      <c r="AB104" s="24" t="s">
        <v>528</v>
      </c>
      <c r="AC104" s="24" t="s">
        <v>528</v>
      </c>
      <c r="AD104" s="24" t="s">
        <v>528</v>
      </c>
      <c r="AE104" s="24" t="s">
        <v>529</v>
      </c>
      <c r="AF104" s="24">
        <v>0</v>
      </c>
      <c r="AG104" s="24">
        <v>0</v>
      </c>
      <c r="AH104" s="24">
        <v>1</v>
      </c>
      <c r="AI104" s="24">
        <v>0</v>
      </c>
      <c r="AJ104" s="24">
        <v>1</v>
      </c>
      <c r="AK104" s="24">
        <v>0</v>
      </c>
      <c r="AL104" s="24"/>
    </row>
    <row r="105" spans="1:38" ht="31.2" x14ac:dyDescent="0.3">
      <c r="A105" s="53">
        <v>98</v>
      </c>
      <c r="B105" s="24" t="s">
        <v>544</v>
      </c>
      <c r="C105" s="24" t="s">
        <v>555</v>
      </c>
      <c r="D105" s="82" t="s">
        <v>651</v>
      </c>
      <c r="E105" s="24" t="s">
        <v>672</v>
      </c>
      <c r="F105" s="24" t="s">
        <v>200</v>
      </c>
      <c r="G105" s="24"/>
      <c r="H105" s="24" t="s">
        <v>673</v>
      </c>
      <c r="I105" s="30" t="s">
        <v>548</v>
      </c>
      <c r="J105" s="24" t="s">
        <v>558</v>
      </c>
      <c r="K105" s="24" t="s">
        <v>549</v>
      </c>
      <c r="L105" s="24" t="s">
        <v>549</v>
      </c>
      <c r="M105" s="24">
        <v>1912</v>
      </c>
      <c r="N105" s="24" t="s">
        <v>550</v>
      </c>
      <c r="O105" s="24">
        <v>6</v>
      </c>
      <c r="P105" s="24">
        <v>0</v>
      </c>
      <c r="Q105" s="24">
        <v>8</v>
      </c>
      <c r="R105" s="24">
        <v>62</v>
      </c>
      <c r="S105" s="24">
        <v>8368.92</v>
      </c>
      <c r="T105" s="24">
        <v>8368.92</v>
      </c>
      <c r="U105" s="24">
        <v>7280.92</v>
      </c>
      <c r="V105" s="24">
        <v>1088</v>
      </c>
      <c r="W105" s="24" t="s">
        <v>528</v>
      </c>
      <c r="X105" s="24" t="s">
        <v>528</v>
      </c>
      <c r="Y105" s="24" t="s">
        <v>529</v>
      </c>
      <c r="Z105" s="102" t="s">
        <v>528</v>
      </c>
      <c r="AA105" s="24" t="s">
        <v>528</v>
      </c>
      <c r="AB105" s="24" t="s">
        <v>528</v>
      </c>
      <c r="AC105" s="24" t="s">
        <v>528</v>
      </c>
      <c r="AD105" s="24" t="s">
        <v>528</v>
      </c>
      <c r="AE105" s="24" t="s">
        <v>529</v>
      </c>
      <c r="AF105" s="24">
        <v>4</v>
      </c>
      <c r="AG105" s="24">
        <v>0</v>
      </c>
      <c r="AH105" s="24">
        <v>2</v>
      </c>
      <c r="AI105" s="24">
        <v>0</v>
      </c>
      <c r="AJ105" s="24">
        <v>2</v>
      </c>
      <c r="AK105" s="24">
        <v>0</v>
      </c>
      <c r="AL105" s="24"/>
    </row>
    <row r="106" spans="1:38" ht="31.2" x14ac:dyDescent="0.3">
      <c r="A106" s="53">
        <v>99</v>
      </c>
      <c r="B106" s="24" t="s">
        <v>544</v>
      </c>
      <c r="C106" s="24" t="s">
        <v>555</v>
      </c>
      <c r="D106" s="82" t="s">
        <v>651</v>
      </c>
      <c r="E106" s="24" t="s">
        <v>674</v>
      </c>
      <c r="F106" s="24" t="s">
        <v>200</v>
      </c>
      <c r="G106" s="24"/>
      <c r="H106" s="24" t="s">
        <v>675</v>
      </c>
      <c r="I106" s="30" t="s">
        <v>548</v>
      </c>
      <c r="J106" s="24"/>
      <c r="K106" s="24" t="s">
        <v>549</v>
      </c>
      <c r="L106" s="24" t="s">
        <v>549</v>
      </c>
      <c r="M106" s="24">
        <v>1900</v>
      </c>
      <c r="N106" s="24" t="s">
        <v>550</v>
      </c>
      <c r="O106" s="24">
        <v>5</v>
      </c>
      <c r="P106" s="24">
        <v>0</v>
      </c>
      <c r="Q106" s="24">
        <v>6</v>
      </c>
      <c r="R106" s="24">
        <v>47</v>
      </c>
      <c r="S106" s="24">
        <v>5041.3</v>
      </c>
      <c r="T106" s="24">
        <v>5041.3</v>
      </c>
      <c r="U106" s="24">
        <v>3648.3</v>
      </c>
      <c r="V106" s="24">
        <v>1393</v>
      </c>
      <c r="W106" s="24" t="s">
        <v>528</v>
      </c>
      <c r="X106" s="24" t="s">
        <v>528</v>
      </c>
      <c r="Y106" s="24" t="s">
        <v>529</v>
      </c>
      <c r="Z106" s="102" t="s">
        <v>528</v>
      </c>
      <c r="AA106" s="24" t="s">
        <v>528</v>
      </c>
      <c r="AB106" s="24" t="s">
        <v>528</v>
      </c>
      <c r="AC106" s="24" t="s">
        <v>528</v>
      </c>
      <c r="AD106" s="24" t="s">
        <v>528</v>
      </c>
      <c r="AE106" s="24" t="s">
        <v>529</v>
      </c>
      <c r="AF106" s="24">
        <v>1</v>
      </c>
      <c r="AG106" s="24">
        <v>0</v>
      </c>
      <c r="AH106" s="24">
        <v>1</v>
      </c>
      <c r="AI106" s="24">
        <v>0</v>
      </c>
      <c r="AJ106" s="24">
        <v>1</v>
      </c>
      <c r="AK106" s="24">
        <v>0</v>
      </c>
      <c r="AL106" s="24"/>
    </row>
    <row r="107" spans="1:38" ht="31.2" x14ac:dyDescent="0.3">
      <c r="A107" s="53">
        <v>100</v>
      </c>
      <c r="B107" s="24" t="s">
        <v>544</v>
      </c>
      <c r="C107" s="24" t="s">
        <v>555</v>
      </c>
      <c r="D107" s="82" t="s">
        <v>651</v>
      </c>
      <c r="E107" s="24">
        <v>63</v>
      </c>
      <c r="F107" s="24" t="s">
        <v>200</v>
      </c>
      <c r="G107" s="24"/>
      <c r="H107" s="24" t="s">
        <v>676</v>
      </c>
      <c r="I107" s="30" t="s">
        <v>548</v>
      </c>
      <c r="J107" s="24"/>
      <c r="K107" s="24" t="s">
        <v>549</v>
      </c>
      <c r="L107" s="24" t="s">
        <v>549</v>
      </c>
      <c r="M107" s="24">
        <v>1904</v>
      </c>
      <c r="N107" s="24" t="s">
        <v>550</v>
      </c>
      <c r="O107" s="24">
        <v>5</v>
      </c>
      <c r="P107" s="24">
        <v>0</v>
      </c>
      <c r="Q107" s="24">
        <v>2</v>
      </c>
      <c r="R107" s="24">
        <v>15</v>
      </c>
      <c r="S107" s="24">
        <v>1697</v>
      </c>
      <c r="T107" s="24">
        <v>1697</v>
      </c>
      <c r="U107" s="24">
        <v>1286.8</v>
      </c>
      <c r="V107" s="24">
        <v>410.2</v>
      </c>
      <c r="W107" s="24" t="s">
        <v>528</v>
      </c>
      <c r="X107" s="24" t="s">
        <v>528</v>
      </c>
      <c r="Y107" s="24" t="s">
        <v>529</v>
      </c>
      <c r="Z107" s="102" t="s">
        <v>528</v>
      </c>
      <c r="AA107" s="24" t="s">
        <v>528</v>
      </c>
      <c r="AB107" s="24" t="s">
        <v>528</v>
      </c>
      <c r="AC107" s="24" t="s">
        <v>528</v>
      </c>
      <c r="AD107" s="24" t="s">
        <v>528</v>
      </c>
      <c r="AE107" s="24" t="s">
        <v>529</v>
      </c>
      <c r="AF107" s="24">
        <v>0</v>
      </c>
      <c r="AG107" s="24">
        <v>0</v>
      </c>
      <c r="AH107" s="24">
        <v>1</v>
      </c>
      <c r="AI107" s="24">
        <v>0</v>
      </c>
      <c r="AJ107" s="24">
        <v>0</v>
      </c>
      <c r="AK107" s="24">
        <v>0</v>
      </c>
      <c r="AL107" s="24"/>
    </row>
    <row r="108" spans="1:38" ht="31.2" x14ac:dyDescent="0.3">
      <c r="A108" s="53">
        <v>101</v>
      </c>
      <c r="B108" s="24" t="s">
        <v>544</v>
      </c>
      <c r="C108" s="24" t="s">
        <v>555</v>
      </c>
      <c r="D108" s="82" t="s">
        <v>651</v>
      </c>
      <c r="E108" s="24">
        <v>63</v>
      </c>
      <c r="F108" s="24" t="s">
        <v>205</v>
      </c>
      <c r="G108" s="24"/>
      <c r="H108" s="24" t="s">
        <v>677</v>
      </c>
      <c r="I108" s="30" t="s">
        <v>548</v>
      </c>
      <c r="J108" s="24"/>
      <c r="K108" s="24" t="s">
        <v>549</v>
      </c>
      <c r="L108" s="24" t="s">
        <v>549</v>
      </c>
      <c r="M108" s="24">
        <v>1897</v>
      </c>
      <c r="N108" s="24" t="s">
        <v>550</v>
      </c>
      <c r="O108" s="24">
        <v>5</v>
      </c>
      <c r="P108" s="24">
        <v>0</v>
      </c>
      <c r="Q108" s="24">
        <v>2</v>
      </c>
      <c r="R108" s="24">
        <v>19</v>
      </c>
      <c r="S108" s="24">
        <v>1406.74</v>
      </c>
      <c r="T108" s="24">
        <v>1406.74</v>
      </c>
      <c r="U108" s="24">
        <v>1298.8399999999999</v>
      </c>
      <c r="V108" s="24">
        <v>107.9</v>
      </c>
      <c r="W108" s="24" t="s">
        <v>528</v>
      </c>
      <c r="X108" s="24" t="s">
        <v>528</v>
      </c>
      <c r="Y108" s="24" t="s">
        <v>529</v>
      </c>
      <c r="Z108" s="102" t="s">
        <v>528</v>
      </c>
      <c r="AA108" s="24" t="s">
        <v>528</v>
      </c>
      <c r="AB108" s="24" t="s">
        <v>528</v>
      </c>
      <c r="AC108" s="24" t="s">
        <v>528</v>
      </c>
      <c r="AD108" s="24" t="s">
        <v>528</v>
      </c>
      <c r="AE108" s="24" t="s">
        <v>529</v>
      </c>
      <c r="AF108" s="24">
        <v>0</v>
      </c>
      <c r="AG108" s="24">
        <v>0</v>
      </c>
      <c r="AH108" s="24">
        <v>1</v>
      </c>
      <c r="AI108" s="24">
        <v>0</v>
      </c>
      <c r="AJ108" s="24">
        <v>1</v>
      </c>
      <c r="AK108" s="24">
        <v>0</v>
      </c>
      <c r="AL108" s="24"/>
    </row>
    <row r="109" spans="1:38" ht="31.2" x14ac:dyDescent="0.3">
      <c r="A109" s="53">
        <v>102</v>
      </c>
      <c r="B109" s="24" t="s">
        <v>544</v>
      </c>
      <c r="C109" s="24" t="s">
        <v>555</v>
      </c>
      <c r="D109" s="82" t="s">
        <v>651</v>
      </c>
      <c r="E109" s="24">
        <v>65</v>
      </c>
      <c r="F109" s="24" t="s">
        <v>200</v>
      </c>
      <c r="G109" s="24"/>
      <c r="H109" s="24" t="s">
        <v>678</v>
      </c>
      <c r="I109" s="30" t="s">
        <v>548</v>
      </c>
      <c r="J109" s="24" t="s">
        <v>558</v>
      </c>
      <c r="K109" s="24" t="s">
        <v>549</v>
      </c>
      <c r="L109" s="24" t="s">
        <v>549</v>
      </c>
      <c r="M109" s="24">
        <v>1912</v>
      </c>
      <c r="N109" s="24" t="s">
        <v>550</v>
      </c>
      <c r="O109" s="24">
        <v>6</v>
      </c>
      <c r="P109" s="24">
        <v>0</v>
      </c>
      <c r="Q109" s="24">
        <v>5</v>
      </c>
      <c r="R109" s="24">
        <v>32</v>
      </c>
      <c r="S109" s="24">
        <v>4885.3999999999996</v>
      </c>
      <c r="T109" s="24">
        <v>4885.3999999999996</v>
      </c>
      <c r="U109" s="24">
        <v>4055.2</v>
      </c>
      <c r="V109" s="24">
        <v>830.2</v>
      </c>
      <c r="W109" s="24" t="s">
        <v>528</v>
      </c>
      <c r="X109" s="24" t="s">
        <v>528</v>
      </c>
      <c r="Y109" s="24" t="s">
        <v>529</v>
      </c>
      <c r="Z109" s="102" t="s">
        <v>528</v>
      </c>
      <c r="AA109" s="24" t="s">
        <v>528</v>
      </c>
      <c r="AB109" s="24" t="s">
        <v>528</v>
      </c>
      <c r="AC109" s="24" t="s">
        <v>528</v>
      </c>
      <c r="AD109" s="24" t="s">
        <v>528</v>
      </c>
      <c r="AE109" s="24" t="s">
        <v>529</v>
      </c>
      <c r="AF109" s="24">
        <v>2</v>
      </c>
      <c r="AG109" s="24">
        <v>0</v>
      </c>
      <c r="AH109" s="24">
        <v>1</v>
      </c>
      <c r="AI109" s="24">
        <v>0</v>
      </c>
      <c r="AJ109" s="24">
        <v>1</v>
      </c>
      <c r="AK109" s="24">
        <v>0</v>
      </c>
      <c r="AL109" s="24"/>
    </row>
    <row r="110" spans="1:38" ht="31.2" x14ac:dyDescent="0.3">
      <c r="A110" s="53">
        <v>103</v>
      </c>
      <c r="B110" s="24" t="s">
        <v>544</v>
      </c>
      <c r="C110" s="24" t="s">
        <v>555</v>
      </c>
      <c r="D110" s="82" t="s">
        <v>651</v>
      </c>
      <c r="E110" s="24">
        <v>67</v>
      </c>
      <c r="F110" s="24" t="s">
        <v>200</v>
      </c>
      <c r="G110" s="24"/>
      <c r="H110" s="24" t="s">
        <v>679</v>
      </c>
      <c r="I110" s="30" t="s">
        <v>548</v>
      </c>
      <c r="J110" s="24"/>
      <c r="K110" s="24" t="s">
        <v>549</v>
      </c>
      <c r="L110" s="24" t="s">
        <v>549</v>
      </c>
      <c r="M110" s="24">
        <v>1953</v>
      </c>
      <c r="N110" s="24" t="s">
        <v>550</v>
      </c>
      <c r="O110" s="24">
        <v>6</v>
      </c>
      <c r="P110" s="24">
        <v>0</v>
      </c>
      <c r="Q110" s="24">
        <v>1</v>
      </c>
      <c r="R110" s="24">
        <v>23</v>
      </c>
      <c r="S110" s="24">
        <v>2156.6999999999998</v>
      </c>
      <c r="T110" s="24">
        <v>2156.6999999999998</v>
      </c>
      <c r="U110" s="24">
        <v>1723.7</v>
      </c>
      <c r="V110" s="24">
        <v>433</v>
      </c>
      <c r="W110" s="24" t="s">
        <v>528</v>
      </c>
      <c r="X110" s="24" t="s">
        <v>528</v>
      </c>
      <c r="Y110" s="24" t="s">
        <v>529</v>
      </c>
      <c r="Z110" s="102" t="s">
        <v>528</v>
      </c>
      <c r="AA110" s="24" t="s">
        <v>528</v>
      </c>
      <c r="AB110" s="24" t="s">
        <v>528</v>
      </c>
      <c r="AC110" s="24" t="s">
        <v>528</v>
      </c>
      <c r="AD110" s="24" t="s">
        <v>528</v>
      </c>
      <c r="AE110" s="24" t="s">
        <v>529</v>
      </c>
      <c r="AF110" s="24">
        <v>2</v>
      </c>
      <c r="AG110" s="24">
        <v>0</v>
      </c>
      <c r="AH110" s="24">
        <v>1</v>
      </c>
      <c r="AI110" s="24">
        <v>0</v>
      </c>
      <c r="AJ110" s="24">
        <v>1</v>
      </c>
      <c r="AK110" s="24">
        <v>0</v>
      </c>
      <c r="AL110" s="24"/>
    </row>
    <row r="111" spans="1:38" ht="31.2" x14ac:dyDescent="0.3">
      <c r="A111" s="53">
        <v>104</v>
      </c>
      <c r="B111" s="24" t="s">
        <v>544</v>
      </c>
      <c r="C111" s="24" t="s">
        <v>555</v>
      </c>
      <c r="D111" s="82" t="s">
        <v>651</v>
      </c>
      <c r="E111" s="24">
        <v>69</v>
      </c>
      <c r="F111" s="24" t="s">
        <v>200</v>
      </c>
      <c r="G111" s="24"/>
      <c r="H111" s="24" t="s">
        <v>680</v>
      </c>
      <c r="I111" s="30" t="s">
        <v>548</v>
      </c>
      <c r="J111" s="24" t="s">
        <v>558</v>
      </c>
      <c r="K111" s="24" t="s">
        <v>549</v>
      </c>
      <c r="L111" s="24" t="s">
        <v>549</v>
      </c>
      <c r="M111" s="24">
        <v>1910</v>
      </c>
      <c r="N111" s="24" t="s">
        <v>550</v>
      </c>
      <c r="O111" s="24">
        <v>7</v>
      </c>
      <c r="P111" s="24">
        <v>0</v>
      </c>
      <c r="Q111" s="24">
        <v>7</v>
      </c>
      <c r="R111" s="24">
        <v>72</v>
      </c>
      <c r="S111" s="24">
        <v>9003</v>
      </c>
      <c r="T111" s="24">
        <v>9003</v>
      </c>
      <c r="U111" s="24">
        <v>7327.8</v>
      </c>
      <c r="V111" s="24">
        <v>1675.2</v>
      </c>
      <c r="W111" s="24" t="s">
        <v>528</v>
      </c>
      <c r="X111" s="24" t="s">
        <v>528</v>
      </c>
      <c r="Y111" s="24" t="s">
        <v>529</v>
      </c>
      <c r="Z111" s="102" t="s">
        <v>528</v>
      </c>
      <c r="AA111" s="24" t="s">
        <v>528</v>
      </c>
      <c r="AB111" s="24" t="s">
        <v>528</v>
      </c>
      <c r="AC111" s="24" t="s">
        <v>528</v>
      </c>
      <c r="AD111" s="24" t="s">
        <v>528</v>
      </c>
      <c r="AE111" s="24" t="s">
        <v>529</v>
      </c>
      <c r="AF111" s="24">
        <v>4</v>
      </c>
      <c r="AG111" s="24">
        <v>0</v>
      </c>
      <c r="AH111" s="24">
        <v>2</v>
      </c>
      <c r="AI111" s="24">
        <v>0</v>
      </c>
      <c r="AJ111" s="24">
        <v>1</v>
      </c>
      <c r="AK111" s="24">
        <v>0</v>
      </c>
      <c r="AL111" s="24"/>
    </row>
    <row r="112" spans="1:38" ht="31.2" x14ac:dyDescent="0.3">
      <c r="A112" s="53">
        <v>105</v>
      </c>
      <c r="B112" s="24" t="s">
        <v>544</v>
      </c>
      <c r="C112" s="24" t="s">
        <v>555</v>
      </c>
      <c r="D112" s="82" t="s">
        <v>651</v>
      </c>
      <c r="E112" s="24">
        <v>71</v>
      </c>
      <c r="F112" s="24"/>
      <c r="G112" s="24"/>
      <c r="H112" s="24" t="s">
        <v>681</v>
      </c>
      <c r="I112" s="30" t="s">
        <v>548</v>
      </c>
      <c r="J112" s="24"/>
      <c r="K112" s="24" t="s">
        <v>549</v>
      </c>
      <c r="L112" s="24" t="s">
        <v>549</v>
      </c>
      <c r="M112" s="24">
        <v>1917</v>
      </c>
      <c r="N112" s="24" t="s">
        <v>550</v>
      </c>
      <c r="O112" s="24">
        <v>4</v>
      </c>
      <c r="P112" s="24">
        <v>0</v>
      </c>
      <c r="Q112" s="24">
        <v>2</v>
      </c>
      <c r="R112" s="24">
        <v>23</v>
      </c>
      <c r="S112" s="24">
        <v>2086</v>
      </c>
      <c r="T112" s="24">
        <v>2086</v>
      </c>
      <c r="U112" s="24">
        <v>1384.9</v>
      </c>
      <c r="V112" s="24">
        <v>701.1</v>
      </c>
      <c r="W112" s="24" t="s">
        <v>528</v>
      </c>
      <c r="X112" s="24" t="s">
        <v>528</v>
      </c>
      <c r="Y112" s="24" t="s">
        <v>529</v>
      </c>
      <c r="Z112" s="102" t="s">
        <v>528</v>
      </c>
      <c r="AA112" s="24" t="s">
        <v>528</v>
      </c>
      <c r="AB112" s="24" t="s">
        <v>528</v>
      </c>
      <c r="AC112" s="24" t="s">
        <v>528</v>
      </c>
      <c r="AD112" s="24" t="s">
        <v>528</v>
      </c>
      <c r="AE112" s="24" t="s">
        <v>529</v>
      </c>
      <c r="AF112" s="24">
        <v>0</v>
      </c>
      <c r="AG112" s="24">
        <v>0</v>
      </c>
      <c r="AH112" s="24">
        <v>1</v>
      </c>
      <c r="AI112" s="24">
        <v>0</v>
      </c>
      <c r="AJ112" s="24">
        <v>0</v>
      </c>
      <c r="AK112" s="24">
        <v>0</v>
      </c>
      <c r="AL112" s="24"/>
    </row>
    <row r="113" spans="1:38" ht="31.2" x14ac:dyDescent="0.3">
      <c r="A113" s="53">
        <v>106</v>
      </c>
      <c r="B113" s="24" t="s">
        <v>544</v>
      </c>
      <c r="C113" s="24" t="s">
        <v>555</v>
      </c>
      <c r="D113" s="82" t="s">
        <v>651</v>
      </c>
      <c r="E113" s="24" t="s">
        <v>682</v>
      </c>
      <c r="F113" s="24" t="s">
        <v>200</v>
      </c>
      <c r="G113" s="24"/>
      <c r="H113" s="24" t="s">
        <v>683</v>
      </c>
      <c r="I113" s="30" t="s">
        <v>548</v>
      </c>
      <c r="J113" s="24"/>
      <c r="K113" s="24" t="s">
        <v>549</v>
      </c>
      <c r="L113" s="24" t="s">
        <v>549</v>
      </c>
      <c r="M113" s="24">
        <v>1903</v>
      </c>
      <c r="N113" s="24" t="s">
        <v>550</v>
      </c>
      <c r="O113" s="24">
        <v>6</v>
      </c>
      <c r="P113" s="24">
        <v>0</v>
      </c>
      <c r="Q113" s="24">
        <v>10</v>
      </c>
      <c r="R113" s="24">
        <v>71</v>
      </c>
      <c r="S113" s="24">
        <v>10066.6</v>
      </c>
      <c r="T113" s="24">
        <v>10066.6</v>
      </c>
      <c r="U113" s="24">
        <v>8060.6</v>
      </c>
      <c r="V113" s="24">
        <v>2006</v>
      </c>
      <c r="W113" s="24" t="s">
        <v>528</v>
      </c>
      <c r="X113" s="24" t="s">
        <v>528</v>
      </c>
      <c r="Y113" s="24" t="s">
        <v>529</v>
      </c>
      <c r="Z113" s="102" t="s">
        <v>528</v>
      </c>
      <c r="AA113" s="24" t="s">
        <v>528</v>
      </c>
      <c r="AB113" s="24" t="s">
        <v>528</v>
      </c>
      <c r="AC113" s="24" t="s">
        <v>528</v>
      </c>
      <c r="AD113" s="24" t="s">
        <v>528</v>
      </c>
      <c r="AE113" s="24" t="s">
        <v>529</v>
      </c>
      <c r="AF113" s="24">
        <v>6</v>
      </c>
      <c r="AG113" s="24">
        <v>0</v>
      </c>
      <c r="AH113" s="24">
        <v>2</v>
      </c>
      <c r="AI113" s="24">
        <v>0</v>
      </c>
      <c r="AJ113" s="24">
        <v>1</v>
      </c>
      <c r="AK113" s="24">
        <v>0</v>
      </c>
      <c r="AL113" s="24"/>
    </row>
    <row r="114" spans="1:38" ht="31.2" x14ac:dyDescent="0.3">
      <c r="A114" s="53">
        <v>107</v>
      </c>
      <c r="B114" s="24" t="s">
        <v>544</v>
      </c>
      <c r="C114" s="24" t="s">
        <v>555</v>
      </c>
      <c r="D114" s="82" t="s">
        <v>651</v>
      </c>
      <c r="E114" s="24">
        <v>77</v>
      </c>
      <c r="F114" s="24" t="s">
        <v>200</v>
      </c>
      <c r="G114" s="24"/>
      <c r="H114" s="24" t="s">
        <v>684</v>
      </c>
      <c r="I114" s="30" t="s">
        <v>548</v>
      </c>
      <c r="J114" s="24" t="s">
        <v>558</v>
      </c>
      <c r="K114" s="24" t="s">
        <v>549</v>
      </c>
      <c r="L114" s="24" t="s">
        <v>549</v>
      </c>
      <c r="M114" s="24">
        <v>1913</v>
      </c>
      <c r="N114" s="24" t="s">
        <v>550</v>
      </c>
      <c r="O114" s="24">
        <v>6</v>
      </c>
      <c r="P114" s="24">
        <v>0</v>
      </c>
      <c r="Q114" s="24">
        <v>2</v>
      </c>
      <c r="R114" s="24">
        <v>6</v>
      </c>
      <c r="S114" s="24">
        <v>2089.6</v>
      </c>
      <c r="T114" s="24">
        <v>2089.6</v>
      </c>
      <c r="U114" s="24">
        <v>1094.5999999999999</v>
      </c>
      <c r="V114" s="24">
        <v>995</v>
      </c>
      <c r="W114" s="24" t="s">
        <v>528</v>
      </c>
      <c r="X114" s="24" t="s">
        <v>528</v>
      </c>
      <c r="Y114" s="24" t="s">
        <v>528</v>
      </c>
      <c r="Z114" s="102" t="s">
        <v>528</v>
      </c>
      <c r="AA114" s="24" t="s">
        <v>528</v>
      </c>
      <c r="AB114" s="24" t="s">
        <v>528</v>
      </c>
      <c r="AC114" s="24" t="s">
        <v>529</v>
      </c>
      <c r="AD114" s="24" t="s">
        <v>528</v>
      </c>
      <c r="AE114" s="24" t="s">
        <v>529</v>
      </c>
      <c r="AF114" s="24">
        <v>1</v>
      </c>
      <c r="AG114" s="24">
        <v>0</v>
      </c>
      <c r="AH114" s="24">
        <v>1</v>
      </c>
      <c r="AI114" s="24">
        <v>1</v>
      </c>
      <c r="AJ114" s="24">
        <v>1</v>
      </c>
      <c r="AK114" s="24">
        <v>0</v>
      </c>
      <c r="AL114" s="24"/>
    </row>
    <row r="115" spans="1:38" ht="31.2" x14ac:dyDescent="0.3">
      <c r="A115" s="53">
        <v>108</v>
      </c>
      <c r="B115" s="24" t="s">
        <v>544</v>
      </c>
      <c r="C115" s="24" t="s">
        <v>555</v>
      </c>
      <c r="D115" s="82" t="s">
        <v>651</v>
      </c>
      <c r="E115" s="24">
        <v>80</v>
      </c>
      <c r="F115" s="24" t="s">
        <v>200</v>
      </c>
      <c r="G115" s="24"/>
      <c r="H115" s="24" t="s">
        <v>685</v>
      </c>
      <c r="I115" s="30" t="s">
        <v>548</v>
      </c>
      <c r="J115" s="24"/>
      <c r="K115" s="24" t="s">
        <v>549</v>
      </c>
      <c r="L115" s="24" t="s">
        <v>549</v>
      </c>
      <c r="M115" s="24">
        <v>1904</v>
      </c>
      <c r="N115" s="24" t="s">
        <v>550</v>
      </c>
      <c r="O115" s="24">
        <v>6</v>
      </c>
      <c r="P115" s="24">
        <v>0</v>
      </c>
      <c r="Q115" s="24">
        <v>5</v>
      </c>
      <c r="R115" s="24">
        <v>33</v>
      </c>
      <c r="S115" s="24">
        <v>4727.8999999999996</v>
      </c>
      <c r="T115" s="24">
        <v>4727.8999999999996</v>
      </c>
      <c r="U115" s="24">
        <v>3493.9</v>
      </c>
      <c r="V115" s="24">
        <v>1234</v>
      </c>
      <c r="W115" s="24" t="s">
        <v>528</v>
      </c>
      <c r="X115" s="24" t="s">
        <v>528</v>
      </c>
      <c r="Y115" s="24" t="s">
        <v>529</v>
      </c>
      <c r="Z115" s="102" t="s">
        <v>528</v>
      </c>
      <c r="AA115" s="24" t="s">
        <v>528</v>
      </c>
      <c r="AB115" s="24" t="s">
        <v>528</v>
      </c>
      <c r="AC115" s="24" t="s">
        <v>528</v>
      </c>
      <c r="AD115" s="24" t="s">
        <v>528</v>
      </c>
      <c r="AE115" s="24" t="s">
        <v>529</v>
      </c>
      <c r="AF115" s="24">
        <v>1</v>
      </c>
      <c r="AG115" s="24">
        <v>0</v>
      </c>
      <c r="AH115" s="24">
        <v>1</v>
      </c>
      <c r="AI115" s="24">
        <v>0</v>
      </c>
      <c r="AJ115" s="24">
        <v>1</v>
      </c>
      <c r="AK115" s="24">
        <v>0</v>
      </c>
      <c r="AL115" s="24"/>
    </row>
    <row r="116" spans="1:38" ht="31.2" x14ac:dyDescent="0.3">
      <c r="A116" s="53">
        <v>109</v>
      </c>
      <c r="B116" s="24" t="s">
        <v>544</v>
      </c>
      <c r="C116" s="24" t="s">
        <v>555</v>
      </c>
      <c r="D116" s="82" t="s">
        <v>651</v>
      </c>
      <c r="E116" s="24">
        <v>82</v>
      </c>
      <c r="F116" s="24" t="s">
        <v>200</v>
      </c>
      <c r="G116" s="24"/>
      <c r="H116" s="24" t="s">
        <v>686</v>
      </c>
      <c r="I116" s="30" t="s">
        <v>548</v>
      </c>
      <c r="J116" s="24"/>
      <c r="K116" s="24" t="s">
        <v>549</v>
      </c>
      <c r="L116" s="24" t="s">
        <v>549</v>
      </c>
      <c r="M116" s="24">
        <v>1908</v>
      </c>
      <c r="N116" s="24" t="s">
        <v>550</v>
      </c>
      <c r="O116" s="24">
        <v>5</v>
      </c>
      <c r="P116" s="24">
        <v>0</v>
      </c>
      <c r="Q116" s="24">
        <v>5</v>
      </c>
      <c r="R116" s="24">
        <v>14</v>
      </c>
      <c r="S116" s="24">
        <v>3991.7</v>
      </c>
      <c r="T116" s="24">
        <v>3991.7</v>
      </c>
      <c r="U116" s="24">
        <v>2380.9</v>
      </c>
      <c r="V116" s="24">
        <v>1610.8</v>
      </c>
      <c r="W116" s="24" t="s">
        <v>528</v>
      </c>
      <c r="X116" s="24" t="s">
        <v>528</v>
      </c>
      <c r="Y116" s="24" t="s">
        <v>529</v>
      </c>
      <c r="Z116" s="102" t="s">
        <v>528</v>
      </c>
      <c r="AA116" s="24" t="s">
        <v>528</v>
      </c>
      <c r="AB116" s="24" t="s">
        <v>528</v>
      </c>
      <c r="AC116" s="24" t="s">
        <v>528</v>
      </c>
      <c r="AD116" s="24" t="s">
        <v>528</v>
      </c>
      <c r="AE116" s="24" t="s">
        <v>529</v>
      </c>
      <c r="AF116" s="24">
        <v>1</v>
      </c>
      <c r="AG116" s="24">
        <v>0</v>
      </c>
      <c r="AH116" s="24">
        <v>1</v>
      </c>
      <c r="AI116" s="24">
        <v>0</v>
      </c>
      <c r="AJ116" s="24">
        <v>1</v>
      </c>
      <c r="AK116" s="24">
        <v>0</v>
      </c>
      <c r="AL116" s="24"/>
    </row>
    <row r="117" spans="1:38" ht="31.2" x14ac:dyDescent="0.3">
      <c r="A117" s="53">
        <v>110</v>
      </c>
      <c r="B117" s="24" t="s">
        <v>544</v>
      </c>
      <c r="C117" s="24" t="s">
        <v>555</v>
      </c>
      <c r="D117" s="82" t="s">
        <v>651</v>
      </c>
      <c r="E117" s="24">
        <v>86</v>
      </c>
      <c r="F117" s="24" t="s">
        <v>200</v>
      </c>
      <c r="G117" s="24"/>
      <c r="H117" s="24" t="s">
        <v>687</v>
      </c>
      <c r="I117" s="30" t="s">
        <v>548</v>
      </c>
      <c r="J117" s="24"/>
      <c r="K117" s="24" t="s">
        <v>549</v>
      </c>
      <c r="L117" s="24" t="s">
        <v>549</v>
      </c>
      <c r="M117" s="24">
        <v>1889</v>
      </c>
      <c r="N117" s="24" t="s">
        <v>550</v>
      </c>
      <c r="O117" s="24">
        <v>5</v>
      </c>
      <c r="P117" s="24">
        <v>0</v>
      </c>
      <c r="Q117" s="24">
        <v>5</v>
      </c>
      <c r="R117" s="24">
        <v>31</v>
      </c>
      <c r="S117" s="24">
        <v>3141.1000000000004</v>
      </c>
      <c r="T117" s="24">
        <v>3141.1000000000004</v>
      </c>
      <c r="U117" s="24">
        <v>2293.9</v>
      </c>
      <c r="V117" s="24">
        <v>847.2</v>
      </c>
      <c r="W117" s="24" t="s">
        <v>528</v>
      </c>
      <c r="X117" s="24" t="s">
        <v>528</v>
      </c>
      <c r="Y117" s="24" t="s">
        <v>529</v>
      </c>
      <c r="Z117" s="102" t="s">
        <v>528</v>
      </c>
      <c r="AA117" s="24" t="s">
        <v>528</v>
      </c>
      <c r="AB117" s="24" t="s">
        <v>528</v>
      </c>
      <c r="AC117" s="24" t="s">
        <v>528</v>
      </c>
      <c r="AD117" s="24" t="s">
        <v>528</v>
      </c>
      <c r="AE117" s="24" t="s">
        <v>529</v>
      </c>
      <c r="AF117" s="24">
        <v>2</v>
      </c>
      <c r="AG117" s="24">
        <v>0</v>
      </c>
      <c r="AH117" s="24">
        <v>1</v>
      </c>
      <c r="AI117" s="24">
        <v>0</v>
      </c>
      <c r="AJ117" s="24">
        <v>1</v>
      </c>
      <c r="AK117" s="24">
        <v>0</v>
      </c>
      <c r="AL117" s="24"/>
    </row>
    <row r="118" spans="1:38" ht="31.2" x14ac:dyDescent="0.3">
      <c r="A118" s="53">
        <v>111</v>
      </c>
      <c r="B118" s="24" t="s">
        <v>544</v>
      </c>
      <c r="C118" s="24" t="s">
        <v>555</v>
      </c>
      <c r="D118" s="82" t="s">
        <v>651</v>
      </c>
      <c r="E118" s="24">
        <v>88</v>
      </c>
      <c r="F118" s="24" t="s">
        <v>200</v>
      </c>
      <c r="G118" s="24"/>
      <c r="H118" s="24" t="s">
        <v>688</v>
      </c>
      <c r="I118" s="30" t="s">
        <v>548</v>
      </c>
      <c r="J118" s="24"/>
      <c r="K118" s="24" t="s">
        <v>549</v>
      </c>
      <c r="L118" s="24" t="s">
        <v>549</v>
      </c>
      <c r="M118" s="24">
        <v>1893</v>
      </c>
      <c r="N118" s="24" t="s">
        <v>550</v>
      </c>
      <c r="O118" s="24">
        <v>6</v>
      </c>
      <c r="P118" s="24">
        <v>0</v>
      </c>
      <c r="Q118" s="24">
        <v>3</v>
      </c>
      <c r="R118" s="24">
        <v>26</v>
      </c>
      <c r="S118" s="24">
        <v>2996.2</v>
      </c>
      <c r="T118" s="24">
        <v>2996.2</v>
      </c>
      <c r="U118" s="24">
        <v>2173.1999999999998</v>
      </c>
      <c r="V118" s="24">
        <v>823</v>
      </c>
      <c r="W118" s="24" t="s">
        <v>528</v>
      </c>
      <c r="X118" s="24" t="s">
        <v>528</v>
      </c>
      <c r="Y118" s="24" t="s">
        <v>529</v>
      </c>
      <c r="Z118" s="102" t="s">
        <v>528</v>
      </c>
      <c r="AA118" s="24" t="s">
        <v>528</v>
      </c>
      <c r="AB118" s="24" t="s">
        <v>528</v>
      </c>
      <c r="AC118" s="24" t="s">
        <v>528</v>
      </c>
      <c r="AD118" s="24" t="s">
        <v>528</v>
      </c>
      <c r="AE118" s="24" t="s">
        <v>529</v>
      </c>
      <c r="AF118" s="24">
        <v>2</v>
      </c>
      <c r="AG118" s="24">
        <v>0</v>
      </c>
      <c r="AH118" s="24">
        <v>1</v>
      </c>
      <c r="AI118" s="24">
        <v>0</v>
      </c>
      <c r="AJ118" s="24">
        <v>1</v>
      </c>
      <c r="AK118" s="24">
        <v>0</v>
      </c>
      <c r="AL118" s="24"/>
    </row>
    <row r="119" spans="1:38" ht="31.2" x14ac:dyDescent="0.3">
      <c r="A119" s="53">
        <v>112</v>
      </c>
      <c r="B119" s="24" t="s">
        <v>544</v>
      </c>
      <c r="C119" s="24" t="s">
        <v>555</v>
      </c>
      <c r="D119" s="82" t="s">
        <v>651</v>
      </c>
      <c r="E119" s="24">
        <v>90</v>
      </c>
      <c r="F119" s="24" t="s">
        <v>200</v>
      </c>
      <c r="G119" s="24"/>
      <c r="H119" s="24" t="s">
        <v>689</v>
      </c>
      <c r="I119" s="30" t="s">
        <v>548</v>
      </c>
      <c r="J119" s="24"/>
      <c r="K119" s="24" t="s">
        <v>549</v>
      </c>
      <c r="L119" s="24" t="s">
        <v>549</v>
      </c>
      <c r="M119" s="24">
        <v>1899</v>
      </c>
      <c r="N119" s="24" t="s">
        <v>550</v>
      </c>
      <c r="O119" s="24">
        <v>5</v>
      </c>
      <c r="P119" s="24">
        <v>0</v>
      </c>
      <c r="Q119" s="24">
        <v>3</v>
      </c>
      <c r="R119" s="24">
        <v>17</v>
      </c>
      <c r="S119" s="24">
        <v>2781.2</v>
      </c>
      <c r="T119" s="24">
        <v>2781.2</v>
      </c>
      <c r="U119" s="24">
        <v>2271.1999999999998</v>
      </c>
      <c r="V119" s="24">
        <v>510</v>
      </c>
      <c r="W119" s="24" t="s">
        <v>528</v>
      </c>
      <c r="X119" s="24" t="s">
        <v>528</v>
      </c>
      <c r="Y119" s="24" t="s">
        <v>529</v>
      </c>
      <c r="Z119" s="102" t="s">
        <v>528</v>
      </c>
      <c r="AA119" s="24" t="s">
        <v>528</v>
      </c>
      <c r="AB119" s="24" t="s">
        <v>528</v>
      </c>
      <c r="AC119" s="24" t="s">
        <v>528</v>
      </c>
      <c r="AD119" s="24" t="s">
        <v>528</v>
      </c>
      <c r="AE119" s="24" t="s">
        <v>529</v>
      </c>
      <c r="AF119" s="24">
        <v>0</v>
      </c>
      <c r="AG119" s="24">
        <v>0</v>
      </c>
      <c r="AH119" s="24">
        <v>1</v>
      </c>
      <c r="AI119" s="24">
        <v>0</v>
      </c>
      <c r="AJ119" s="24">
        <v>1</v>
      </c>
      <c r="AK119" s="24">
        <v>0</v>
      </c>
      <c r="AL119" s="24"/>
    </row>
    <row r="120" spans="1:38" ht="31.2" x14ac:dyDescent="0.3">
      <c r="A120" s="53">
        <v>113</v>
      </c>
      <c r="B120" s="24" t="s">
        <v>544</v>
      </c>
      <c r="C120" s="24" t="s">
        <v>555</v>
      </c>
      <c r="D120" s="82" t="s">
        <v>651</v>
      </c>
      <c r="E120" s="24">
        <v>92</v>
      </c>
      <c r="F120" s="24" t="s">
        <v>200</v>
      </c>
      <c r="G120" s="24"/>
      <c r="H120" s="24" t="s">
        <v>690</v>
      </c>
      <c r="I120" s="30" t="s">
        <v>548</v>
      </c>
      <c r="J120" s="24"/>
      <c r="K120" s="24" t="s">
        <v>549</v>
      </c>
      <c r="L120" s="24" t="s">
        <v>549</v>
      </c>
      <c r="M120" s="24">
        <v>1904</v>
      </c>
      <c r="N120" s="24" t="s">
        <v>550</v>
      </c>
      <c r="O120" s="24">
        <v>5</v>
      </c>
      <c r="P120" s="24">
        <v>0</v>
      </c>
      <c r="Q120" s="24">
        <v>2</v>
      </c>
      <c r="R120" s="24">
        <v>8</v>
      </c>
      <c r="S120" s="24">
        <v>1669.1000000000001</v>
      </c>
      <c r="T120" s="24">
        <v>1669.1000000000001</v>
      </c>
      <c r="U120" s="24">
        <v>1287.9000000000001</v>
      </c>
      <c r="V120" s="24">
        <v>381.2</v>
      </c>
      <c r="W120" s="24" t="s">
        <v>528</v>
      </c>
      <c r="X120" s="24" t="s">
        <v>528</v>
      </c>
      <c r="Y120" s="24" t="s">
        <v>529</v>
      </c>
      <c r="Z120" s="102" t="s">
        <v>528</v>
      </c>
      <c r="AA120" s="24" t="s">
        <v>528</v>
      </c>
      <c r="AB120" s="24" t="s">
        <v>528</v>
      </c>
      <c r="AC120" s="24" t="s">
        <v>528</v>
      </c>
      <c r="AD120" s="24" t="s">
        <v>528</v>
      </c>
      <c r="AE120" s="24" t="s">
        <v>529</v>
      </c>
      <c r="AF120" s="24">
        <v>1</v>
      </c>
      <c r="AG120" s="24">
        <v>0</v>
      </c>
      <c r="AH120" s="24">
        <v>1</v>
      </c>
      <c r="AI120" s="24">
        <v>0</v>
      </c>
      <c r="AJ120" s="24">
        <v>1</v>
      </c>
      <c r="AK120" s="24">
        <v>0</v>
      </c>
      <c r="AL120" s="24"/>
    </row>
    <row r="121" spans="1:38" ht="31.2" x14ac:dyDescent="0.3">
      <c r="A121" s="53">
        <v>114</v>
      </c>
      <c r="B121" s="24" t="s">
        <v>544</v>
      </c>
      <c r="C121" s="24" t="s">
        <v>555</v>
      </c>
      <c r="D121" s="82" t="s">
        <v>651</v>
      </c>
      <c r="E121" s="24">
        <v>92</v>
      </c>
      <c r="F121" s="24" t="s">
        <v>205</v>
      </c>
      <c r="G121" s="24"/>
      <c r="H121" s="24" t="s">
        <v>691</v>
      </c>
      <c r="I121" s="30" t="s">
        <v>548</v>
      </c>
      <c r="J121" s="24"/>
      <c r="K121" s="24" t="s">
        <v>549</v>
      </c>
      <c r="L121" s="24" t="s">
        <v>549</v>
      </c>
      <c r="M121" s="24">
        <v>1907</v>
      </c>
      <c r="N121" s="24" t="s">
        <v>550</v>
      </c>
      <c r="O121" s="24">
        <v>5</v>
      </c>
      <c r="P121" s="24">
        <v>0</v>
      </c>
      <c r="Q121" s="24">
        <v>2</v>
      </c>
      <c r="R121" s="24">
        <v>14</v>
      </c>
      <c r="S121" s="24">
        <v>1620.9</v>
      </c>
      <c r="T121" s="24">
        <v>1620.9</v>
      </c>
      <c r="U121" s="24">
        <v>1348.9</v>
      </c>
      <c r="V121" s="24">
        <v>272</v>
      </c>
      <c r="W121" s="24" t="s">
        <v>528</v>
      </c>
      <c r="X121" s="24" t="s">
        <v>528</v>
      </c>
      <c r="Y121" s="24" t="s">
        <v>529</v>
      </c>
      <c r="Z121" s="102" t="s">
        <v>528</v>
      </c>
      <c r="AA121" s="24" t="s">
        <v>528</v>
      </c>
      <c r="AB121" s="24" t="s">
        <v>528</v>
      </c>
      <c r="AC121" s="24" t="s">
        <v>528</v>
      </c>
      <c r="AD121" s="24" t="s">
        <v>528</v>
      </c>
      <c r="AE121" s="24" t="s">
        <v>529</v>
      </c>
      <c r="AF121" s="24">
        <v>0</v>
      </c>
      <c r="AG121" s="24">
        <v>0</v>
      </c>
      <c r="AH121" s="24">
        <v>1</v>
      </c>
      <c r="AI121" s="24">
        <v>0</v>
      </c>
      <c r="AJ121" s="24">
        <v>1</v>
      </c>
      <c r="AK121" s="24">
        <v>0</v>
      </c>
      <c r="AL121" s="24"/>
    </row>
    <row r="122" spans="1:38" ht="31.2" x14ac:dyDescent="0.3">
      <c r="A122" s="53">
        <v>115</v>
      </c>
      <c r="B122" s="24" t="s">
        <v>544</v>
      </c>
      <c r="C122" s="24" t="s">
        <v>555</v>
      </c>
      <c r="D122" s="82" t="s">
        <v>651</v>
      </c>
      <c r="E122" s="24">
        <v>94</v>
      </c>
      <c r="F122" s="24" t="s">
        <v>200</v>
      </c>
      <c r="G122" s="24"/>
      <c r="H122" s="24" t="s">
        <v>692</v>
      </c>
      <c r="I122" s="30" t="s">
        <v>548</v>
      </c>
      <c r="J122" s="24"/>
      <c r="K122" s="24" t="s">
        <v>549</v>
      </c>
      <c r="L122" s="24" t="s">
        <v>549</v>
      </c>
      <c r="M122" s="24">
        <v>1952</v>
      </c>
      <c r="N122" s="24" t="s">
        <v>550</v>
      </c>
      <c r="O122" s="24">
        <v>6</v>
      </c>
      <c r="P122" s="24">
        <v>0</v>
      </c>
      <c r="Q122" s="24">
        <v>2</v>
      </c>
      <c r="R122" s="24">
        <v>25</v>
      </c>
      <c r="S122" s="24">
        <v>1805</v>
      </c>
      <c r="T122" s="24">
        <v>1805</v>
      </c>
      <c r="U122" s="24">
        <v>1571</v>
      </c>
      <c r="V122" s="24">
        <v>234</v>
      </c>
      <c r="W122" s="24" t="s">
        <v>528</v>
      </c>
      <c r="X122" s="24" t="s">
        <v>528</v>
      </c>
      <c r="Y122" s="24" t="s">
        <v>528</v>
      </c>
      <c r="Z122" s="102" t="s">
        <v>528</v>
      </c>
      <c r="AA122" s="24" t="s">
        <v>528</v>
      </c>
      <c r="AB122" s="24" t="s">
        <v>528</v>
      </c>
      <c r="AC122" s="24" t="s">
        <v>529</v>
      </c>
      <c r="AD122" s="24" t="s">
        <v>528</v>
      </c>
      <c r="AE122" s="24" t="s">
        <v>529</v>
      </c>
      <c r="AF122" s="24">
        <v>2</v>
      </c>
      <c r="AG122" s="24">
        <v>0</v>
      </c>
      <c r="AH122" s="24">
        <v>1</v>
      </c>
      <c r="AI122" s="24">
        <v>1</v>
      </c>
      <c r="AJ122" s="24">
        <v>1</v>
      </c>
      <c r="AK122" s="24">
        <v>0</v>
      </c>
      <c r="AL122" s="24"/>
    </row>
    <row r="123" spans="1:38" ht="31.2" x14ac:dyDescent="0.3">
      <c r="A123" s="53">
        <v>116</v>
      </c>
      <c r="B123" s="24" t="s">
        <v>544</v>
      </c>
      <c r="C123" s="24" t="s">
        <v>545</v>
      </c>
      <c r="D123" s="82" t="s">
        <v>651</v>
      </c>
      <c r="E123" s="24">
        <v>98</v>
      </c>
      <c r="F123" s="24" t="s">
        <v>200</v>
      </c>
      <c r="G123" s="24"/>
      <c r="H123" s="24" t="s">
        <v>693</v>
      </c>
      <c r="I123" s="30" t="s">
        <v>548</v>
      </c>
      <c r="J123" s="24"/>
      <c r="K123" s="24" t="s">
        <v>549</v>
      </c>
      <c r="L123" s="24" t="s">
        <v>549</v>
      </c>
      <c r="M123" s="24">
        <v>1910</v>
      </c>
      <c r="N123" s="24" t="s">
        <v>550</v>
      </c>
      <c r="O123" s="24">
        <v>6</v>
      </c>
      <c r="P123" s="24">
        <v>0</v>
      </c>
      <c r="Q123" s="24">
        <v>6</v>
      </c>
      <c r="R123" s="24">
        <v>58</v>
      </c>
      <c r="S123" s="24">
        <v>9293.7000000000007</v>
      </c>
      <c r="T123" s="24">
        <v>9293.7000000000007</v>
      </c>
      <c r="U123" s="24">
        <v>7110.5</v>
      </c>
      <c r="V123" s="24">
        <v>2183.1999999999998</v>
      </c>
      <c r="W123" s="24" t="s">
        <v>528</v>
      </c>
      <c r="X123" s="24" t="s">
        <v>528</v>
      </c>
      <c r="Y123" s="24" t="s">
        <v>528</v>
      </c>
      <c r="Z123" s="102" t="s">
        <v>528</v>
      </c>
      <c r="AA123" s="24" t="s">
        <v>528</v>
      </c>
      <c r="AB123" s="24" t="s">
        <v>528</v>
      </c>
      <c r="AC123" s="24" t="s">
        <v>529</v>
      </c>
      <c r="AD123" s="24" t="s">
        <v>528</v>
      </c>
      <c r="AE123" s="24" t="s">
        <v>529</v>
      </c>
      <c r="AF123" s="24">
        <v>5</v>
      </c>
      <c r="AG123" s="24">
        <v>0</v>
      </c>
      <c r="AH123" s="24">
        <v>1</v>
      </c>
      <c r="AI123" s="24">
        <v>1</v>
      </c>
      <c r="AJ123" s="24">
        <v>1</v>
      </c>
      <c r="AK123" s="24">
        <v>0</v>
      </c>
      <c r="AL123" s="24"/>
    </row>
    <row r="124" spans="1:38" ht="31.2" x14ac:dyDescent="0.3">
      <c r="A124" s="53">
        <v>117</v>
      </c>
      <c r="B124" s="24" t="s">
        <v>544</v>
      </c>
      <c r="C124" s="24" t="s">
        <v>545</v>
      </c>
      <c r="D124" s="82" t="s">
        <v>651</v>
      </c>
      <c r="E124" s="24">
        <v>102</v>
      </c>
      <c r="F124" s="24" t="s">
        <v>200</v>
      </c>
      <c r="G124" s="24"/>
      <c r="H124" s="24" t="s">
        <v>694</v>
      </c>
      <c r="I124" s="30" t="s">
        <v>548</v>
      </c>
      <c r="J124" s="24" t="s">
        <v>558</v>
      </c>
      <c r="K124" s="24" t="s">
        <v>549</v>
      </c>
      <c r="L124" s="24" t="s">
        <v>549</v>
      </c>
      <c r="M124" s="24">
        <v>1915</v>
      </c>
      <c r="N124" s="24" t="s">
        <v>550</v>
      </c>
      <c r="O124" s="24">
        <v>6</v>
      </c>
      <c r="P124" s="24">
        <v>0</v>
      </c>
      <c r="Q124" s="24">
        <v>6</v>
      </c>
      <c r="R124" s="24">
        <v>47</v>
      </c>
      <c r="S124" s="24">
        <v>4741</v>
      </c>
      <c r="T124" s="24">
        <v>4741</v>
      </c>
      <c r="U124" s="24">
        <v>4388</v>
      </c>
      <c r="V124" s="24">
        <v>353</v>
      </c>
      <c r="W124" s="24" t="s">
        <v>528</v>
      </c>
      <c r="X124" s="24" t="s">
        <v>528</v>
      </c>
      <c r="Y124" s="24" t="s">
        <v>528</v>
      </c>
      <c r="Z124" s="102" t="s">
        <v>528</v>
      </c>
      <c r="AA124" s="24" t="s">
        <v>528</v>
      </c>
      <c r="AB124" s="24" t="s">
        <v>528</v>
      </c>
      <c r="AC124" s="24" t="s">
        <v>529</v>
      </c>
      <c r="AD124" s="24" t="s">
        <v>528</v>
      </c>
      <c r="AE124" s="24" t="s">
        <v>529</v>
      </c>
      <c r="AF124" s="24">
        <v>3</v>
      </c>
      <c r="AG124" s="24">
        <v>0</v>
      </c>
      <c r="AH124" s="24">
        <v>1</v>
      </c>
      <c r="AI124" s="24">
        <v>1</v>
      </c>
      <c r="AJ124" s="24">
        <v>1</v>
      </c>
      <c r="AK124" s="24">
        <v>0</v>
      </c>
      <c r="AL124" s="24"/>
    </row>
    <row r="125" spans="1:38" ht="31.2" x14ac:dyDescent="0.3">
      <c r="A125" s="53">
        <v>118</v>
      </c>
      <c r="B125" s="24" t="s">
        <v>544</v>
      </c>
      <c r="C125" s="24" t="s">
        <v>545</v>
      </c>
      <c r="D125" s="82" t="s">
        <v>651</v>
      </c>
      <c r="E125" s="24">
        <v>104</v>
      </c>
      <c r="F125" s="24" t="s">
        <v>200</v>
      </c>
      <c r="G125" s="24"/>
      <c r="H125" s="24" t="s">
        <v>695</v>
      </c>
      <c r="I125" s="30" t="s">
        <v>548</v>
      </c>
      <c r="J125" s="24" t="s">
        <v>558</v>
      </c>
      <c r="K125" s="24" t="s">
        <v>549</v>
      </c>
      <c r="L125" s="24" t="s">
        <v>549</v>
      </c>
      <c r="M125" s="24">
        <v>1912</v>
      </c>
      <c r="N125" s="24" t="s">
        <v>550</v>
      </c>
      <c r="O125" s="24">
        <v>7</v>
      </c>
      <c r="P125" s="24">
        <v>0</v>
      </c>
      <c r="Q125" s="24">
        <v>6</v>
      </c>
      <c r="R125" s="24">
        <v>47</v>
      </c>
      <c r="S125" s="24">
        <v>5210</v>
      </c>
      <c r="T125" s="24">
        <v>5210</v>
      </c>
      <c r="U125" s="24">
        <v>4334</v>
      </c>
      <c r="V125" s="24">
        <v>876</v>
      </c>
      <c r="W125" s="24" t="s">
        <v>528</v>
      </c>
      <c r="X125" s="24" t="s">
        <v>528</v>
      </c>
      <c r="Y125" s="24" t="s">
        <v>528</v>
      </c>
      <c r="Z125" s="102" t="s">
        <v>528</v>
      </c>
      <c r="AA125" s="24" t="s">
        <v>528</v>
      </c>
      <c r="AB125" s="24" t="s">
        <v>528</v>
      </c>
      <c r="AC125" s="24" t="s">
        <v>529</v>
      </c>
      <c r="AD125" s="24" t="s">
        <v>528</v>
      </c>
      <c r="AE125" s="24" t="s">
        <v>529</v>
      </c>
      <c r="AF125" s="24">
        <v>3</v>
      </c>
      <c r="AG125" s="24">
        <v>0</v>
      </c>
      <c r="AH125" s="24">
        <v>1</v>
      </c>
      <c r="AI125" s="24">
        <v>1</v>
      </c>
      <c r="AJ125" s="24">
        <v>1</v>
      </c>
      <c r="AK125" s="24">
        <v>0</v>
      </c>
      <c r="AL125" s="24"/>
    </row>
    <row r="126" spans="1:38" ht="31.2" x14ac:dyDescent="0.3">
      <c r="A126" s="53">
        <v>119</v>
      </c>
      <c r="B126" s="24" t="s">
        <v>544</v>
      </c>
      <c r="C126" s="24" t="s">
        <v>545</v>
      </c>
      <c r="D126" s="82" t="s">
        <v>651</v>
      </c>
      <c r="E126" s="24">
        <v>106</v>
      </c>
      <c r="F126" s="24" t="s">
        <v>200</v>
      </c>
      <c r="G126" s="24"/>
      <c r="H126" s="24" t="s">
        <v>696</v>
      </c>
      <c r="I126" s="30" t="s">
        <v>548</v>
      </c>
      <c r="J126" s="24" t="s">
        <v>558</v>
      </c>
      <c r="K126" s="24" t="s">
        <v>549</v>
      </c>
      <c r="L126" s="24" t="s">
        <v>549</v>
      </c>
      <c r="M126" s="24">
        <v>1910</v>
      </c>
      <c r="N126" s="24" t="s">
        <v>550</v>
      </c>
      <c r="O126" s="24">
        <v>7</v>
      </c>
      <c r="P126" s="24">
        <v>0</v>
      </c>
      <c r="Q126" s="24">
        <v>4</v>
      </c>
      <c r="R126" s="24">
        <v>40</v>
      </c>
      <c r="S126" s="24">
        <v>5743.7</v>
      </c>
      <c r="T126" s="24">
        <v>5743.7</v>
      </c>
      <c r="U126" s="24">
        <v>5252</v>
      </c>
      <c r="V126" s="24">
        <v>491.7</v>
      </c>
      <c r="W126" s="24" t="s">
        <v>528</v>
      </c>
      <c r="X126" s="24" t="s">
        <v>528</v>
      </c>
      <c r="Y126" s="24" t="s">
        <v>529</v>
      </c>
      <c r="Z126" s="102" t="s">
        <v>528</v>
      </c>
      <c r="AA126" s="24" t="s">
        <v>528</v>
      </c>
      <c r="AB126" s="24" t="s">
        <v>528</v>
      </c>
      <c r="AC126" s="24" t="s">
        <v>528</v>
      </c>
      <c r="AD126" s="24" t="s">
        <v>528</v>
      </c>
      <c r="AE126" s="24" t="s">
        <v>529</v>
      </c>
      <c r="AF126" s="24">
        <v>3</v>
      </c>
      <c r="AG126" s="24">
        <v>0</v>
      </c>
      <c r="AH126" s="24">
        <v>1</v>
      </c>
      <c r="AI126" s="24">
        <v>0</v>
      </c>
      <c r="AJ126" s="24">
        <v>1</v>
      </c>
      <c r="AK126" s="24">
        <v>0</v>
      </c>
      <c r="AL126" s="24"/>
    </row>
    <row r="127" spans="1:38" ht="31.2" x14ac:dyDescent="0.3">
      <c r="A127" s="53">
        <v>120</v>
      </c>
      <c r="B127" s="24" t="s">
        <v>544</v>
      </c>
      <c r="C127" s="24" t="s">
        <v>555</v>
      </c>
      <c r="D127" s="82" t="s">
        <v>697</v>
      </c>
      <c r="E127" s="24">
        <v>2</v>
      </c>
      <c r="F127" s="24" t="s">
        <v>200</v>
      </c>
      <c r="G127" s="24"/>
      <c r="H127" s="24" t="s">
        <v>698</v>
      </c>
      <c r="I127" s="30" t="s">
        <v>548</v>
      </c>
      <c r="J127" s="24"/>
      <c r="K127" s="24" t="s">
        <v>549</v>
      </c>
      <c r="L127" s="24" t="s">
        <v>549</v>
      </c>
      <c r="M127" s="24">
        <v>1956</v>
      </c>
      <c r="N127" s="24" t="s">
        <v>550</v>
      </c>
      <c r="O127" s="24">
        <v>5</v>
      </c>
      <c r="P127" s="24">
        <v>0</v>
      </c>
      <c r="Q127" s="24">
        <v>10</v>
      </c>
      <c r="R127" s="24">
        <v>133</v>
      </c>
      <c r="S127" s="24">
        <v>10811</v>
      </c>
      <c r="T127" s="24">
        <v>10811</v>
      </c>
      <c r="U127" s="24">
        <v>9129</v>
      </c>
      <c r="V127" s="24">
        <v>1682</v>
      </c>
      <c r="W127" s="24" t="s">
        <v>528</v>
      </c>
      <c r="X127" s="24" t="s">
        <v>528</v>
      </c>
      <c r="Y127" s="24" t="s">
        <v>529</v>
      </c>
      <c r="Z127" s="102" t="s">
        <v>528</v>
      </c>
      <c r="AA127" s="24" t="s">
        <v>528</v>
      </c>
      <c r="AB127" s="24" t="s">
        <v>528</v>
      </c>
      <c r="AC127" s="24" t="s">
        <v>528</v>
      </c>
      <c r="AD127" s="24" t="s">
        <v>528</v>
      </c>
      <c r="AE127" s="24" t="s">
        <v>529</v>
      </c>
      <c r="AF127" s="24">
        <v>5</v>
      </c>
      <c r="AG127" s="24">
        <v>0</v>
      </c>
      <c r="AH127" s="24">
        <v>2</v>
      </c>
      <c r="AI127" s="24">
        <v>0</v>
      </c>
      <c r="AJ127" s="24">
        <v>1</v>
      </c>
      <c r="AK127" s="24">
        <v>0</v>
      </c>
      <c r="AL127" s="24"/>
    </row>
    <row r="128" spans="1:38" ht="31.2" x14ac:dyDescent="0.3">
      <c r="A128" s="53">
        <v>121</v>
      </c>
      <c r="B128" s="24" t="s">
        <v>544</v>
      </c>
      <c r="C128" s="24" t="s">
        <v>555</v>
      </c>
      <c r="D128" s="82" t="s">
        <v>697</v>
      </c>
      <c r="E128" s="24">
        <v>4</v>
      </c>
      <c r="F128" s="24" t="s">
        <v>200</v>
      </c>
      <c r="G128" s="24"/>
      <c r="H128" s="24" t="s">
        <v>699</v>
      </c>
      <c r="I128" s="30" t="s">
        <v>548</v>
      </c>
      <c r="J128" s="24"/>
      <c r="K128" s="24" t="s">
        <v>549</v>
      </c>
      <c r="L128" s="24" t="s">
        <v>549</v>
      </c>
      <c r="M128" s="24">
        <v>1912</v>
      </c>
      <c r="N128" s="24" t="s">
        <v>550</v>
      </c>
      <c r="O128" s="24">
        <v>6</v>
      </c>
      <c r="P128" s="24">
        <v>0</v>
      </c>
      <c r="Q128" s="24">
        <v>3</v>
      </c>
      <c r="R128" s="24">
        <v>33</v>
      </c>
      <c r="S128" s="24">
        <v>2565</v>
      </c>
      <c r="T128" s="24">
        <v>2565</v>
      </c>
      <c r="U128" s="24">
        <v>2210.5</v>
      </c>
      <c r="V128" s="24">
        <v>354.5</v>
      </c>
      <c r="W128" s="24" t="s">
        <v>528</v>
      </c>
      <c r="X128" s="24" t="s">
        <v>528</v>
      </c>
      <c r="Y128" s="24" t="s">
        <v>529</v>
      </c>
      <c r="Z128" s="102" t="s">
        <v>528</v>
      </c>
      <c r="AA128" s="24" t="s">
        <v>528</v>
      </c>
      <c r="AB128" s="24" t="s">
        <v>528</v>
      </c>
      <c r="AC128" s="24" t="s">
        <v>528</v>
      </c>
      <c r="AD128" s="24" t="s">
        <v>528</v>
      </c>
      <c r="AE128" s="24" t="s">
        <v>529</v>
      </c>
      <c r="AF128" s="24">
        <v>2</v>
      </c>
      <c r="AG128" s="24">
        <v>0</v>
      </c>
      <c r="AH128" s="24">
        <v>1</v>
      </c>
      <c r="AI128" s="24">
        <v>0</v>
      </c>
      <c r="AJ128" s="24">
        <v>1</v>
      </c>
      <c r="AK128" s="24">
        <v>0</v>
      </c>
      <c r="AL128" s="24"/>
    </row>
    <row r="129" spans="1:38" ht="31.2" x14ac:dyDescent="0.3">
      <c r="A129" s="53">
        <v>122</v>
      </c>
      <c r="B129" s="24" t="s">
        <v>544</v>
      </c>
      <c r="C129" s="24" t="s">
        <v>555</v>
      </c>
      <c r="D129" s="82" t="s">
        <v>697</v>
      </c>
      <c r="E129" s="24">
        <v>4</v>
      </c>
      <c r="F129" s="24" t="s">
        <v>205</v>
      </c>
      <c r="G129" s="24"/>
      <c r="H129" s="24" t="s">
        <v>700</v>
      </c>
      <c r="I129" s="30" t="s">
        <v>548</v>
      </c>
      <c r="J129" s="24"/>
      <c r="K129" s="24" t="s">
        <v>549</v>
      </c>
      <c r="L129" s="24" t="s">
        <v>549</v>
      </c>
      <c r="M129" s="24">
        <v>1912</v>
      </c>
      <c r="N129" s="24" t="s">
        <v>550</v>
      </c>
      <c r="O129" s="24">
        <v>5</v>
      </c>
      <c r="P129" s="24">
        <v>0</v>
      </c>
      <c r="Q129" s="24">
        <v>1</v>
      </c>
      <c r="R129" s="24">
        <v>10</v>
      </c>
      <c r="S129" s="24">
        <v>579</v>
      </c>
      <c r="T129" s="24">
        <v>579</v>
      </c>
      <c r="U129" s="24">
        <v>480.9</v>
      </c>
      <c r="V129" s="24">
        <v>98.1</v>
      </c>
      <c r="W129" s="24" t="s">
        <v>528</v>
      </c>
      <c r="X129" s="24" t="s">
        <v>528</v>
      </c>
      <c r="Y129" s="24" t="s">
        <v>529</v>
      </c>
      <c r="Z129" s="102" t="s">
        <v>528</v>
      </c>
      <c r="AA129" s="24" t="s">
        <v>528</v>
      </c>
      <c r="AB129" s="24" t="s">
        <v>528</v>
      </c>
      <c r="AC129" s="24" t="s">
        <v>528</v>
      </c>
      <c r="AD129" s="24" t="s">
        <v>528</v>
      </c>
      <c r="AE129" s="24" t="s">
        <v>529</v>
      </c>
      <c r="AF129" s="24">
        <v>1</v>
      </c>
      <c r="AG129" s="24">
        <v>0</v>
      </c>
      <c r="AH129" s="24">
        <v>1</v>
      </c>
      <c r="AI129" s="24">
        <v>0</v>
      </c>
      <c r="AJ129" s="24">
        <v>0</v>
      </c>
      <c r="AK129" s="24">
        <v>0</v>
      </c>
      <c r="AL129" s="24"/>
    </row>
    <row r="130" spans="1:38" ht="31.2" x14ac:dyDescent="0.3">
      <c r="A130" s="53">
        <v>123</v>
      </c>
      <c r="B130" s="24" t="s">
        <v>544</v>
      </c>
      <c r="C130" s="24" t="s">
        <v>555</v>
      </c>
      <c r="D130" s="82" t="s">
        <v>697</v>
      </c>
      <c r="E130" s="24">
        <v>6</v>
      </c>
      <c r="F130" s="24" t="s">
        <v>200</v>
      </c>
      <c r="G130" s="24"/>
      <c r="H130" s="24" t="s">
        <v>701</v>
      </c>
      <c r="I130" s="30" t="s">
        <v>548</v>
      </c>
      <c r="J130" s="24"/>
      <c r="K130" s="24" t="s">
        <v>549</v>
      </c>
      <c r="L130" s="24" t="s">
        <v>549</v>
      </c>
      <c r="M130" s="24">
        <v>1912</v>
      </c>
      <c r="N130" s="24" t="s">
        <v>550</v>
      </c>
      <c r="O130" s="24">
        <v>4</v>
      </c>
      <c r="P130" s="24">
        <v>0</v>
      </c>
      <c r="Q130" s="24">
        <v>4</v>
      </c>
      <c r="R130" s="24">
        <v>26</v>
      </c>
      <c r="S130" s="24">
        <v>2409</v>
      </c>
      <c r="T130" s="24">
        <v>2409</v>
      </c>
      <c r="U130" s="24">
        <v>1871</v>
      </c>
      <c r="V130" s="24">
        <v>538</v>
      </c>
      <c r="W130" s="24" t="s">
        <v>528</v>
      </c>
      <c r="X130" s="24" t="s">
        <v>528</v>
      </c>
      <c r="Y130" s="24" t="s">
        <v>529</v>
      </c>
      <c r="Z130" s="102" t="s">
        <v>528</v>
      </c>
      <c r="AA130" s="24" t="s">
        <v>528</v>
      </c>
      <c r="AB130" s="24" t="s">
        <v>528</v>
      </c>
      <c r="AC130" s="24" t="s">
        <v>528</v>
      </c>
      <c r="AD130" s="24" t="s">
        <v>528</v>
      </c>
      <c r="AE130" s="24" t="s">
        <v>529</v>
      </c>
      <c r="AF130" s="24">
        <v>0</v>
      </c>
      <c r="AG130" s="24">
        <v>0</v>
      </c>
      <c r="AH130" s="24">
        <v>1</v>
      </c>
      <c r="AI130" s="24">
        <v>0</v>
      </c>
      <c r="AJ130" s="24">
        <v>1</v>
      </c>
      <c r="AK130" s="24">
        <v>0</v>
      </c>
      <c r="AL130" s="24"/>
    </row>
    <row r="131" spans="1:38" ht="31.2" x14ac:dyDescent="0.3">
      <c r="A131" s="53">
        <v>124</v>
      </c>
      <c r="B131" s="24" t="s">
        <v>544</v>
      </c>
      <c r="C131" s="24" t="s">
        <v>555</v>
      </c>
      <c r="D131" s="82" t="s">
        <v>697</v>
      </c>
      <c r="E131" s="24" t="s">
        <v>702</v>
      </c>
      <c r="F131" s="24" t="s">
        <v>200</v>
      </c>
      <c r="G131" s="24"/>
      <c r="H131" s="24" t="s">
        <v>703</v>
      </c>
      <c r="I131" s="30" t="s">
        <v>548</v>
      </c>
      <c r="J131" s="24"/>
      <c r="K131" s="24" t="s">
        <v>549</v>
      </c>
      <c r="L131" s="24" t="s">
        <v>549</v>
      </c>
      <c r="M131" s="24">
        <v>1910</v>
      </c>
      <c r="N131" s="24" t="s">
        <v>550</v>
      </c>
      <c r="O131" s="24">
        <v>5</v>
      </c>
      <c r="P131" s="24">
        <v>0</v>
      </c>
      <c r="Q131" s="24">
        <v>6</v>
      </c>
      <c r="R131" s="24">
        <v>53</v>
      </c>
      <c r="S131" s="24">
        <v>5293.2</v>
      </c>
      <c r="T131" s="24">
        <v>5293.2</v>
      </c>
      <c r="U131" s="24">
        <v>4820</v>
      </c>
      <c r="V131" s="24">
        <v>473.2</v>
      </c>
      <c r="W131" s="24" t="s">
        <v>528</v>
      </c>
      <c r="X131" s="24" t="s">
        <v>528</v>
      </c>
      <c r="Y131" s="24" t="s">
        <v>529</v>
      </c>
      <c r="Z131" s="102" t="s">
        <v>528</v>
      </c>
      <c r="AA131" s="24" t="s">
        <v>528</v>
      </c>
      <c r="AB131" s="24" t="s">
        <v>528</v>
      </c>
      <c r="AC131" s="24" t="s">
        <v>528</v>
      </c>
      <c r="AD131" s="24" t="s">
        <v>528</v>
      </c>
      <c r="AE131" s="24" t="s">
        <v>529</v>
      </c>
      <c r="AF131" s="24">
        <v>2</v>
      </c>
      <c r="AG131" s="24">
        <v>0</v>
      </c>
      <c r="AH131" s="24">
        <v>1</v>
      </c>
      <c r="AI131" s="24">
        <v>0</v>
      </c>
      <c r="AJ131" s="24">
        <v>1</v>
      </c>
      <c r="AK131" s="24">
        <v>0</v>
      </c>
      <c r="AL131" s="24"/>
    </row>
    <row r="132" spans="1:38" ht="31.2" x14ac:dyDescent="0.3">
      <c r="A132" s="53">
        <v>125</v>
      </c>
      <c r="B132" s="24" t="s">
        <v>544</v>
      </c>
      <c r="C132" s="24" t="s">
        <v>555</v>
      </c>
      <c r="D132" s="82" t="s">
        <v>697</v>
      </c>
      <c r="E132" s="24">
        <v>9</v>
      </c>
      <c r="F132" s="24" t="s">
        <v>200</v>
      </c>
      <c r="G132" s="24"/>
      <c r="H132" s="24" t="s">
        <v>704</v>
      </c>
      <c r="I132" s="30" t="s">
        <v>548</v>
      </c>
      <c r="J132" s="24"/>
      <c r="K132" s="24" t="s">
        <v>549</v>
      </c>
      <c r="L132" s="24" t="s">
        <v>549</v>
      </c>
      <c r="M132" s="24">
        <v>1880</v>
      </c>
      <c r="N132" s="24" t="s">
        <v>550</v>
      </c>
      <c r="O132" s="24">
        <v>4</v>
      </c>
      <c r="P132" s="24">
        <v>0</v>
      </c>
      <c r="Q132" s="24">
        <v>3</v>
      </c>
      <c r="R132" s="24">
        <v>15</v>
      </c>
      <c r="S132" s="24">
        <v>1125</v>
      </c>
      <c r="T132" s="24">
        <v>1125</v>
      </c>
      <c r="U132" s="24">
        <v>851</v>
      </c>
      <c r="V132" s="24">
        <v>274</v>
      </c>
      <c r="W132" s="24" t="s">
        <v>528</v>
      </c>
      <c r="X132" s="24" t="s">
        <v>528</v>
      </c>
      <c r="Y132" s="24" t="s">
        <v>529</v>
      </c>
      <c r="Z132" s="102" t="s">
        <v>528</v>
      </c>
      <c r="AA132" s="24" t="s">
        <v>528</v>
      </c>
      <c r="AB132" s="24" t="s">
        <v>528</v>
      </c>
      <c r="AC132" s="24" t="s">
        <v>528</v>
      </c>
      <c r="AD132" s="24" t="s">
        <v>528</v>
      </c>
      <c r="AE132" s="24" t="s">
        <v>529</v>
      </c>
      <c r="AF132" s="24">
        <v>0</v>
      </c>
      <c r="AG132" s="24">
        <v>0</v>
      </c>
      <c r="AH132" s="24">
        <v>1</v>
      </c>
      <c r="AI132" s="24">
        <v>0</v>
      </c>
      <c r="AJ132" s="24">
        <v>0</v>
      </c>
      <c r="AK132" s="24">
        <v>0</v>
      </c>
      <c r="AL132" s="24"/>
    </row>
    <row r="133" spans="1:38" ht="31.2" x14ac:dyDescent="0.3">
      <c r="A133" s="53">
        <v>126</v>
      </c>
      <c r="B133" s="24" t="s">
        <v>544</v>
      </c>
      <c r="C133" s="24" t="s">
        <v>555</v>
      </c>
      <c r="D133" s="82" t="s">
        <v>697</v>
      </c>
      <c r="E133" s="24">
        <v>11</v>
      </c>
      <c r="F133" s="24" t="s">
        <v>200</v>
      </c>
      <c r="G133" s="24"/>
      <c r="H133" s="24" t="s">
        <v>705</v>
      </c>
      <c r="I133" s="30" t="s">
        <v>548</v>
      </c>
      <c r="J133" s="24"/>
      <c r="K133" s="24" t="s">
        <v>549</v>
      </c>
      <c r="L133" s="24" t="s">
        <v>549</v>
      </c>
      <c r="M133" s="24">
        <v>1895</v>
      </c>
      <c r="N133" s="24" t="s">
        <v>550</v>
      </c>
      <c r="O133" s="24">
        <v>4</v>
      </c>
      <c r="P133" s="24">
        <v>0</v>
      </c>
      <c r="Q133" s="24">
        <v>2</v>
      </c>
      <c r="R133" s="24">
        <v>16</v>
      </c>
      <c r="S133" s="24">
        <v>1363</v>
      </c>
      <c r="T133" s="24">
        <v>1363</v>
      </c>
      <c r="U133" s="24">
        <v>1064</v>
      </c>
      <c r="V133" s="24">
        <v>299</v>
      </c>
      <c r="W133" s="24" t="s">
        <v>528</v>
      </c>
      <c r="X133" s="24" t="s">
        <v>528</v>
      </c>
      <c r="Y133" s="24" t="s">
        <v>529</v>
      </c>
      <c r="Z133" s="102" t="s">
        <v>528</v>
      </c>
      <c r="AA133" s="24" t="s">
        <v>528</v>
      </c>
      <c r="AB133" s="24" t="s">
        <v>528</v>
      </c>
      <c r="AC133" s="24" t="s">
        <v>528</v>
      </c>
      <c r="AD133" s="24" t="s">
        <v>528</v>
      </c>
      <c r="AE133" s="24" t="s">
        <v>529</v>
      </c>
      <c r="AF133" s="24">
        <v>0</v>
      </c>
      <c r="AG133" s="24">
        <v>0</v>
      </c>
      <c r="AH133" s="24">
        <v>1</v>
      </c>
      <c r="AI133" s="24">
        <v>0</v>
      </c>
      <c r="AJ133" s="24">
        <v>0</v>
      </c>
      <c r="AK133" s="24">
        <v>0</v>
      </c>
      <c r="AL133" s="24"/>
    </row>
    <row r="134" spans="1:38" ht="31.2" x14ac:dyDescent="0.3">
      <c r="A134" s="53">
        <v>127</v>
      </c>
      <c r="B134" s="24" t="s">
        <v>544</v>
      </c>
      <c r="C134" s="24" t="s">
        <v>555</v>
      </c>
      <c r="D134" s="82" t="s">
        <v>697</v>
      </c>
      <c r="E134" s="24">
        <v>12</v>
      </c>
      <c r="F134" s="24" t="s">
        <v>200</v>
      </c>
      <c r="G134" s="24"/>
      <c r="H134" s="24" t="s">
        <v>706</v>
      </c>
      <c r="I134" s="30" t="s">
        <v>548</v>
      </c>
      <c r="J134" s="24"/>
      <c r="K134" s="24" t="s">
        <v>549</v>
      </c>
      <c r="L134" s="24" t="s">
        <v>549</v>
      </c>
      <c r="M134" s="24">
        <v>1909</v>
      </c>
      <c r="N134" s="24" t="s">
        <v>550</v>
      </c>
      <c r="O134" s="24">
        <v>5</v>
      </c>
      <c r="P134" s="24">
        <v>0</v>
      </c>
      <c r="Q134" s="24">
        <v>4</v>
      </c>
      <c r="R134" s="24">
        <v>23</v>
      </c>
      <c r="S134" s="24">
        <v>3164</v>
      </c>
      <c r="T134" s="24">
        <v>3164</v>
      </c>
      <c r="U134" s="24">
        <v>2565</v>
      </c>
      <c r="V134" s="24">
        <v>599</v>
      </c>
      <c r="W134" s="24" t="s">
        <v>528</v>
      </c>
      <c r="X134" s="24" t="s">
        <v>528</v>
      </c>
      <c r="Y134" s="24" t="s">
        <v>529</v>
      </c>
      <c r="Z134" s="102" t="s">
        <v>528</v>
      </c>
      <c r="AA134" s="24" t="s">
        <v>528</v>
      </c>
      <c r="AB134" s="24" t="s">
        <v>528</v>
      </c>
      <c r="AC134" s="24" t="s">
        <v>528</v>
      </c>
      <c r="AD134" s="24" t="s">
        <v>528</v>
      </c>
      <c r="AE134" s="24" t="s">
        <v>529</v>
      </c>
      <c r="AF134" s="24">
        <v>1</v>
      </c>
      <c r="AG134" s="24">
        <v>0</v>
      </c>
      <c r="AH134" s="24">
        <v>1</v>
      </c>
      <c r="AI134" s="24">
        <v>0</v>
      </c>
      <c r="AJ134" s="24">
        <v>1</v>
      </c>
      <c r="AK134" s="24">
        <v>0</v>
      </c>
      <c r="AL134" s="24"/>
    </row>
    <row r="135" spans="1:38" ht="31.2" x14ac:dyDescent="0.3">
      <c r="A135" s="53">
        <v>128</v>
      </c>
      <c r="B135" s="24" t="s">
        <v>544</v>
      </c>
      <c r="C135" s="24" t="s">
        <v>555</v>
      </c>
      <c r="D135" s="82" t="s">
        <v>697</v>
      </c>
      <c r="E135" s="24" t="s">
        <v>707</v>
      </c>
      <c r="F135" s="24" t="s">
        <v>200</v>
      </c>
      <c r="G135" s="24"/>
      <c r="H135" s="24" t="s">
        <v>708</v>
      </c>
      <c r="I135" s="30" t="s">
        <v>548</v>
      </c>
      <c r="J135" s="24"/>
      <c r="K135" s="24" t="s">
        <v>549</v>
      </c>
      <c r="L135" s="24" t="s">
        <v>549</v>
      </c>
      <c r="M135" s="24">
        <v>1914</v>
      </c>
      <c r="N135" s="24" t="s">
        <v>550</v>
      </c>
      <c r="O135" s="24">
        <v>6</v>
      </c>
      <c r="P135" s="24">
        <v>0</v>
      </c>
      <c r="Q135" s="24">
        <v>7</v>
      </c>
      <c r="R135" s="24">
        <v>79</v>
      </c>
      <c r="S135" s="24">
        <v>8707</v>
      </c>
      <c r="T135" s="24">
        <v>8707</v>
      </c>
      <c r="U135" s="24">
        <v>7402</v>
      </c>
      <c r="V135" s="24">
        <v>1305</v>
      </c>
      <c r="W135" s="24" t="s">
        <v>528</v>
      </c>
      <c r="X135" s="24" t="s">
        <v>528</v>
      </c>
      <c r="Y135" s="24" t="s">
        <v>529</v>
      </c>
      <c r="Z135" s="102" t="s">
        <v>528</v>
      </c>
      <c r="AA135" s="24" t="s">
        <v>528</v>
      </c>
      <c r="AB135" s="24" t="s">
        <v>528</v>
      </c>
      <c r="AC135" s="24" t="s">
        <v>528</v>
      </c>
      <c r="AD135" s="24" t="s">
        <v>528</v>
      </c>
      <c r="AE135" s="24" t="s">
        <v>529</v>
      </c>
      <c r="AF135" s="24">
        <v>1</v>
      </c>
      <c r="AG135" s="24">
        <v>0</v>
      </c>
      <c r="AH135" s="24">
        <v>1</v>
      </c>
      <c r="AI135" s="24">
        <v>0</v>
      </c>
      <c r="AJ135" s="24">
        <v>2</v>
      </c>
      <c r="AK135" s="24">
        <v>0</v>
      </c>
      <c r="AL135" s="24"/>
    </row>
    <row r="136" spans="1:38" ht="31.2" x14ac:dyDescent="0.3">
      <c r="A136" s="53">
        <v>129</v>
      </c>
      <c r="B136" s="24" t="s">
        <v>544</v>
      </c>
      <c r="C136" s="24" t="s">
        <v>555</v>
      </c>
      <c r="D136" s="82" t="s">
        <v>697</v>
      </c>
      <c r="E136" s="24">
        <v>16</v>
      </c>
      <c r="F136" s="24" t="s">
        <v>200</v>
      </c>
      <c r="G136" s="24"/>
      <c r="H136" s="24" t="s">
        <v>709</v>
      </c>
      <c r="I136" s="30" t="s">
        <v>548</v>
      </c>
      <c r="J136" s="24"/>
      <c r="K136" s="24" t="s">
        <v>549</v>
      </c>
      <c r="L136" s="24" t="s">
        <v>549</v>
      </c>
      <c r="M136" s="24">
        <v>1912</v>
      </c>
      <c r="N136" s="24" t="s">
        <v>550</v>
      </c>
      <c r="O136" s="24">
        <v>5</v>
      </c>
      <c r="P136" s="24">
        <v>0</v>
      </c>
      <c r="Q136" s="24">
        <v>4</v>
      </c>
      <c r="R136" s="24">
        <v>50</v>
      </c>
      <c r="S136" s="24">
        <v>4203</v>
      </c>
      <c r="T136" s="24">
        <v>4203</v>
      </c>
      <c r="U136" s="24">
        <v>3461</v>
      </c>
      <c r="V136" s="24">
        <v>742</v>
      </c>
      <c r="W136" s="24" t="s">
        <v>528</v>
      </c>
      <c r="X136" s="24" t="s">
        <v>528</v>
      </c>
      <c r="Y136" s="24" t="s">
        <v>529</v>
      </c>
      <c r="Z136" s="102" t="s">
        <v>528</v>
      </c>
      <c r="AA136" s="24" t="s">
        <v>528</v>
      </c>
      <c r="AB136" s="24" t="s">
        <v>528</v>
      </c>
      <c r="AC136" s="24" t="s">
        <v>528</v>
      </c>
      <c r="AD136" s="24" t="s">
        <v>528</v>
      </c>
      <c r="AE136" s="24" t="s">
        <v>529</v>
      </c>
      <c r="AF136" s="24">
        <v>0</v>
      </c>
      <c r="AG136" s="24">
        <v>0</v>
      </c>
      <c r="AH136" s="24">
        <v>1</v>
      </c>
      <c r="AI136" s="24">
        <v>0</v>
      </c>
      <c r="AJ136" s="24">
        <v>1</v>
      </c>
      <c r="AK136" s="24">
        <v>0</v>
      </c>
      <c r="AL136" s="24"/>
    </row>
    <row r="137" spans="1:38" ht="31.2" x14ac:dyDescent="0.3">
      <c r="A137" s="53">
        <v>130</v>
      </c>
      <c r="B137" s="24" t="s">
        <v>544</v>
      </c>
      <c r="C137" s="24" t="s">
        <v>555</v>
      </c>
      <c r="D137" s="82" t="s">
        <v>697</v>
      </c>
      <c r="E137" s="24" t="s">
        <v>710</v>
      </c>
      <c r="F137" s="24" t="s">
        <v>200</v>
      </c>
      <c r="G137" s="24"/>
      <c r="H137" s="24" t="s">
        <v>711</v>
      </c>
      <c r="I137" s="30" t="s">
        <v>548</v>
      </c>
      <c r="J137" s="24"/>
      <c r="K137" s="24" t="s">
        <v>549</v>
      </c>
      <c r="L137" s="24" t="s">
        <v>549</v>
      </c>
      <c r="M137" s="24">
        <v>1901</v>
      </c>
      <c r="N137" s="24" t="s">
        <v>550</v>
      </c>
      <c r="O137" s="24">
        <v>5</v>
      </c>
      <c r="P137" s="24">
        <v>0</v>
      </c>
      <c r="Q137" s="24">
        <v>8</v>
      </c>
      <c r="R137" s="24">
        <v>88</v>
      </c>
      <c r="S137" s="24">
        <v>7173</v>
      </c>
      <c r="T137" s="24">
        <v>7173</v>
      </c>
      <c r="U137" s="24">
        <v>6273</v>
      </c>
      <c r="V137" s="24">
        <v>900</v>
      </c>
      <c r="W137" s="24" t="s">
        <v>528</v>
      </c>
      <c r="X137" s="24" t="s">
        <v>528</v>
      </c>
      <c r="Y137" s="24" t="s">
        <v>529</v>
      </c>
      <c r="Z137" s="102" t="s">
        <v>528</v>
      </c>
      <c r="AA137" s="24" t="s">
        <v>528</v>
      </c>
      <c r="AB137" s="24" t="s">
        <v>528</v>
      </c>
      <c r="AC137" s="24" t="s">
        <v>528</v>
      </c>
      <c r="AD137" s="24" t="s">
        <v>528</v>
      </c>
      <c r="AE137" s="24" t="s">
        <v>529</v>
      </c>
      <c r="AF137" s="24">
        <v>0</v>
      </c>
      <c r="AG137" s="24">
        <v>0</v>
      </c>
      <c r="AH137" s="24">
        <v>1</v>
      </c>
      <c r="AI137" s="24">
        <v>0</v>
      </c>
      <c r="AJ137" s="24">
        <v>2</v>
      </c>
      <c r="AK137" s="24">
        <v>0</v>
      </c>
      <c r="AL137" s="24"/>
    </row>
    <row r="138" spans="1:38" ht="31.2" x14ac:dyDescent="0.3">
      <c r="A138" s="53">
        <v>131</v>
      </c>
      <c r="B138" s="24" t="s">
        <v>544</v>
      </c>
      <c r="C138" s="24" t="s">
        <v>555</v>
      </c>
      <c r="D138" s="82" t="s">
        <v>697</v>
      </c>
      <c r="E138" s="24" t="s">
        <v>712</v>
      </c>
      <c r="F138" s="24" t="s">
        <v>205</v>
      </c>
      <c r="G138" s="24"/>
      <c r="H138" s="24" t="s">
        <v>713</v>
      </c>
      <c r="I138" s="30" t="s">
        <v>548</v>
      </c>
      <c r="J138" s="24"/>
      <c r="K138" s="24" t="s">
        <v>549</v>
      </c>
      <c r="L138" s="24" t="s">
        <v>549</v>
      </c>
      <c r="M138" s="24">
        <v>1901</v>
      </c>
      <c r="N138" s="24" t="s">
        <v>550</v>
      </c>
      <c r="O138" s="24">
        <v>2</v>
      </c>
      <c r="P138" s="24">
        <v>0</v>
      </c>
      <c r="Q138" s="24">
        <v>1</v>
      </c>
      <c r="R138" s="24">
        <v>2</v>
      </c>
      <c r="S138" s="24">
        <v>127</v>
      </c>
      <c r="T138" s="24">
        <v>127</v>
      </c>
      <c r="U138" s="24">
        <v>127</v>
      </c>
      <c r="V138" s="24">
        <v>0</v>
      </c>
      <c r="W138" s="24" t="s">
        <v>528</v>
      </c>
      <c r="X138" s="24" t="s">
        <v>528</v>
      </c>
      <c r="Y138" s="24" t="s">
        <v>529</v>
      </c>
      <c r="Z138" s="102" t="s">
        <v>528</v>
      </c>
      <c r="AA138" s="24" t="s">
        <v>528</v>
      </c>
      <c r="AB138" s="24" t="s">
        <v>528</v>
      </c>
      <c r="AC138" s="24" t="s">
        <v>528</v>
      </c>
      <c r="AD138" s="24" t="s">
        <v>528</v>
      </c>
      <c r="AE138" s="24" t="s">
        <v>529</v>
      </c>
      <c r="AF138" s="24">
        <v>0</v>
      </c>
      <c r="AG138" s="24">
        <v>0</v>
      </c>
      <c r="AH138" s="24">
        <v>1</v>
      </c>
      <c r="AI138" s="24">
        <v>0</v>
      </c>
      <c r="AJ138" s="24">
        <v>1</v>
      </c>
      <c r="AK138" s="24">
        <v>0</v>
      </c>
      <c r="AL138" s="24"/>
    </row>
    <row r="139" spans="1:38" ht="31.2" x14ac:dyDescent="0.3">
      <c r="A139" s="53">
        <v>132</v>
      </c>
      <c r="B139" s="24" t="s">
        <v>544</v>
      </c>
      <c r="C139" s="24" t="s">
        <v>555</v>
      </c>
      <c r="D139" s="82" t="s">
        <v>697</v>
      </c>
      <c r="E139" s="24">
        <v>22</v>
      </c>
      <c r="F139" s="24" t="s">
        <v>200</v>
      </c>
      <c r="G139" s="24"/>
      <c r="H139" s="24" t="s">
        <v>714</v>
      </c>
      <c r="I139" s="30" t="s">
        <v>548</v>
      </c>
      <c r="J139" s="24"/>
      <c r="K139" s="24" t="s">
        <v>549</v>
      </c>
      <c r="L139" s="24" t="s">
        <v>549</v>
      </c>
      <c r="M139" s="24">
        <v>1904</v>
      </c>
      <c r="N139" s="24" t="s">
        <v>550</v>
      </c>
      <c r="O139" s="24">
        <v>5</v>
      </c>
      <c r="P139" s="24">
        <v>0</v>
      </c>
      <c r="Q139" s="24">
        <v>1</v>
      </c>
      <c r="R139" s="24">
        <v>10</v>
      </c>
      <c r="S139" s="24">
        <v>625</v>
      </c>
      <c r="T139" s="24">
        <v>625</v>
      </c>
      <c r="U139" s="24">
        <v>625</v>
      </c>
      <c r="V139" s="24">
        <v>0</v>
      </c>
      <c r="W139" s="24" t="s">
        <v>528</v>
      </c>
      <c r="X139" s="24" t="s">
        <v>528</v>
      </c>
      <c r="Y139" s="24" t="s">
        <v>529</v>
      </c>
      <c r="Z139" s="102" t="s">
        <v>528</v>
      </c>
      <c r="AA139" s="24" t="s">
        <v>528</v>
      </c>
      <c r="AB139" s="24" t="s">
        <v>528</v>
      </c>
      <c r="AC139" s="24" t="s">
        <v>528</v>
      </c>
      <c r="AD139" s="24" t="s">
        <v>528</v>
      </c>
      <c r="AE139" s="24" t="s">
        <v>529</v>
      </c>
      <c r="AF139" s="24">
        <v>0</v>
      </c>
      <c r="AG139" s="24">
        <v>0</v>
      </c>
      <c r="AH139" s="24">
        <v>1</v>
      </c>
      <c r="AI139" s="24">
        <v>0</v>
      </c>
      <c r="AJ139" s="24">
        <v>1</v>
      </c>
      <c r="AK139" s="24">
        <v>0</v>
      </c>
      <c r="AL139" s="24"/>
    </row>
    <row r="140" spans="1:38" ht="31.2" x14ac:dyDescent="0.3">
      <c r="A140" s="53">
        <v>133</v>
      </c>
      <c r="B140" s="24" t="s">
        <v>544</v>
      </c>
      <c r="C140" s="24" t="s">
        <v>555</v>
      </c>
      <c r="D140" s="82" t="s">
        <v>697</v>
      </c>
      <c r="E140" s="24">
        <v>22</v>
      </c>
      <c r="F140" s="24" t="s">
        <v>205</v>
      </c>
      <c r="G140" s="24"/>
      <c r="H140" s="24" t="s">
        <v>715</v>
      </c>
      <c r="I140" s="30" t="s">
        <v>548</v>
      </c>
      <c r="J140" s="24"/>
      <c r="K140" s="24" t="s">
        <v>549</v>
      </c>
      <c r="L140" s="24" t="s">
        <v>549</v>
      </c>
      <c r="M140" s="24">
        <v>1904</v>
      </c>
      <c r="N140" s="24" t="s">
        <v>550</v>
      </c>
      <c r="O140" s="24">
        <v>5</v>
      </c>
      <c r="P140" s="24">
        <v>0</v>
      </c>
      <c r="Q140" s="24">
        <v>1</v>
      </c>
      <c r="R140" s="24">
        <v>10</v>
      </c>
      <c r="S140" s="24">
        <v>659.1</v>
      </c>
      <c r="T140" s="24">
        <v>659.1</v>
      </c>
      <c r="U140" s="24">
        <v>621</v>
      </c>
      <c r="V140" s="24">
        <v>38.1</v>
      </c>
      <c r="W140" s="24" t="s">
        <v>528</v>
      </c>
      <c r="X140" s="24" t="s">
        <v>528</v>
      </c>
      <c r="Y140" s="24" t="s">
        <v>529</v>
      </c>
      <c r="Z140" s="102" t="s">
        <v>528</v>
      </c>
      <c r="AA140" s="24" t="s">
        <v>528</v>
      </c>
      <c r="AB140" s="24" t="s">
        <v>528</v>
      </c>
      <c r="AC140" s="24" t="s">
        <v>528</v>
      </c>
      <c r="AD140" s="24" t="s">
        <v>528</v>
      </c>
      <c r="AE140" s="24" t="s">
        <v>529</v>
      </c>
      <c r="AF140" s="24">
        <v>0</v>
      </c>
      <c r="AG140" s="24">
        <v>0</v>
      </c>
      <c r="AH140" s="24">
        <v>1</v>
      </c>
      <c r="AI140" s="24">
        <v>0</v>
      </c>
      <c r="AJ140" s="24">
        <v>0</v>
      </c>
      <c r="AK140" s="24">
        <v>0</v>
      </c>
      <c r="AL140" s="24"/>
    </row>
    <row r="141" spans="1:38" ht="31.2" x14ac:dyDescent="0.3">
      <c r="A141" s="53">
        <v>134</v>
      </c>
      <c r="B141" s="24" t="s">
        <v>544</v>
      </c>
      <c r="C141" s="24" t="s">
        <v>555</v>
      </c>
      <c r="D141" s="82" t="s">
        <v>697</v>
      </c>
      <c r="E141" s="24">
        <v>26</v>
      </c>
      <c r="F141" s="24" t="s">
        <v>200</v>
      </c>
      <c r="G141" s="24"/>
      <c r="H141" s="24" t="s">
        <v>716</v>
      </c>
      <c r="I141" s="30" t="s">
        <v>548</v>
      </c>
      <c r="J141" s="24"/>
      <c r="K141" s="24" t="s">
        <v>549</v>
      </c>
      <c r="L141" s="24" t="s">
        <v>549</v>
      </c>
      <c r="M141" s="24">
        <v>1903</v>
      </c>
      <c r="N141" s="24" t="s">
        <v>550</v>
      </c>
      <c r="O141" s="24">
        <v>5</v>
      </c>
      <c r="P141" s="24">
        <v>0</v>
      </c>
      <c r="Q141" s="24">
        <v>2</v>
      </c>
      <c r="R141" s="24">
        <v>33</v>
      </c>
      <c r="S141" s="24">
        <v>1699.1</v>
      </c>
      <c r="T141" s="24">
        <v>1699.1</v>
      </c>
      <c r="U141" s="24">
        <v>1660</v>
      </c>
      <c r="V141" s="24">
        <v>39.1</v>
      </c>
      <c r="W141" s="24" t="s">
        <v>528</v>
      </c>
      <c r="X141" s="24" t="s">
        <v>528</v>
      </c>
      <c r="Y141" s="24" t="s">
        <v>529</v>
      </c>
      <c r="Z141" s="102" t="s">
        <v>528</v>
      </c>
      <c r="AA141" s="24" t="s">
        <v>528</v>
      </c>
      <c r="AB141" s="24" t="s">
        <v>528</v>
      </c>
      <c r="AC141" s="24" t="s">
        <v>528</v>
      </c>
      <c r="AD141" s="24" t="s">
        <v>528</v>
      </c>
      <c r="AE141" s="24" t="s">
        <v>529</v>
      </c>
      <c r="AF141" s="24">
        <v>0</v>
      </c>
      <c r="AG141" s="24">
        <v>0</v>
      </c>
      <c r="AH141" s="24">
        <v>1</v>
      </c>
      <c r="AI141" s="24">
        <v>0</v>
      </c>
      <c r="AJ141" s="24">
        <v>0</v>
      </c>
      <c r="AK141" s="24">
        <v>0</v>
      </c>
      <c r="AL141" s="24"/>
    </row>
    <row r="142" spans="1:38" ht="31.2" x14ac:dyDescent="0.3">
      <c r="A142" s="53">
        <v>135</v>
      </c>
      <c r="B142" s="24" t="s">
        <v>544</v>
      </c>
      <c r="C142" s="24" t="s">
        <v>555</v>
      </c>
      <c r="D142" s="82" t="s">
        <v>697</v>
      </c>
      <c r="E142" s="24" t="s">
        <v>717</v>
      </c>
      <c r="F142" s="24" t="s">
        <v>200</v>
      </c>
      <c r="G142" s="24"/>
      <c r="H142" s="24" t="s">
        <v>718</v>
      </c>
      <c r="I142" s="30" t="s">
        <v>548</v>
      </c>
      <c r="J142" s="24"/>
      <c r="K142" s="24" t="s">
        <v>549</v>
      </c>
      <c r="L142" s="24" t="s">
        <v>549</v>
      </c>
      <c r="M142" s="24">
        <v>1876</v>
      </c>
      <c r="N142" s="24" t="s">
        <v>550</v>
      </c>
      <c r="O142" s="24">
        <v>4</v>
      </c>
      <c r="P142" s="24">
        <v>0</v>
      </c>
      <c r="Q142" s="24">
        <v>6</v>
      </c>
      <c r="R142" s="24">
        <v>43</v>
      </c>
      <c r="S142" s="24">
        <v>4068.9</v>
      </c>
      <c r="T142" s="24">
        <v>4068.9</v>
      </c>
      <c r="U142" s="24">
        <v>3329.8</v>
      </c>
      <c r="V142" s="24">
        <v>739.1</v>
      </c>
      <c r="W142" s="24" t="s">
        <v>528</v>
      </c>
      <c r="X142" s="24" t="s">
        <v>528</v>
      </c>
      <c r="Y142" s="24" t="s">
        <v>529</v>
      </c>
      <c r="Z142" s="102" t="s">
        <v>528</v>
      </c>
      <c r="AA142" s="24" t="s">
        <v>528</v>
      </c>
      <c r="AB142" s="24" t="s">
        <v>528</v>
      </c>
      <c r="AC142" s="24" t="s">
        <v>528</v>
      </c>
      <c r="AD142" s="24" t="s">
        <v>528</v>
      </c>
      <c r="AE142" s="24" t="s">
        <v>529</v>
      </c>
      <c r="AF142" s="24">
        <v>0</v>
      </c>
      <c r="AG142" s="24">
        <v>0</v>
      </c>
      <c r="AH142" s="24">
        <v>1</v>
      </c>
      <c r="AI142" s="24">
        <v>0</v>
      </c>
      <c r="AJ142" s="24">
        <v>1</v>
      </c>
      <c r="AK142" s="24">
        <v>0</v>
      </c>
      <c r="AL142" s="24"/>
    </row>
    <row r="143" spans="1:38" ht="31.2" x14ac:dyDescent="0.3">
      <c r="A143" s="53">
        <v>136</v>
      </c>
      <c r="B143" s="24" t="s">
        <v>544</v>
      </c>
      <c r="C143" s="24" t="s">
        <v>555</v>
      </c>
      <c r="D143" s="82" t="s">
        <v>697</v>
      </c>
      <c r="E143" s="24" t="s">
        <v>719</v>
      </c>
      <c r="F143" s="24" t="s">
        <v>200</v>
      </c>
      <c r="G143" s="24"/>
      <c r="H143" s="24" t="s">
        <v>720</v>
      </c>
      <c r="I143" s="30" t="s">
        <v>548</v>
      </c>
      <c r="J143" s="24" t="s">
        <v>558</v>
      </c>
      <c r="K143" s="24" t="s">
        <v>549</v>
      </c>
      <c r="L143" s="24" t="s">
        <v>549</v>
      </c>
      <c r="M143" s="24">
        <v>1908</v>
      </c>
      <c r="N143" s="24" t="s">
        <v>550</v>
      </c>
      <c r="O143" s="24">
        <v>5</v>
      </c>
      <c r="P143" s="24">
        <v>0</v>
      </c>
      <c r="Q143" s="24">
        <v>3</v>
      </c>
      <c r="R143" s="24">
        <v>32</v>
      </c>
      <c r="S143" s="24">
        <v>3550.13</v>
      </c>
      <c r="T143" s="24">
        <v>3550.13</v>
      </c>
      <c r="U143" s="24">
        <v>2808.06</v>
      </c>
      <c r="V143" s="24">
        <v>742.07</v>
      </c>
      <c r="W143" s="24" t="s">
        <v>528</v>
      </c>
      <c r="X143" s="24" t="s">
        <v>528</v>
      </c>
      <c r="Y143" s="24" t="s">
        <v>529</v>
      </c>
      <c r="Z143" s="102" t="s">
        <v>528</v>
      </c>
      <c r="AA143" s="24" t="s">
        <v>528</v>
      </c>
      <c r="AB143" s="24" t="s">
        <v>528</v>
      </c>
      <c r="AC143" s="24" t="s">
        <v>528</v>
      </c>
      <c r="AD143" s="24" t="s">
        <v>528</v>
      </c>
      <c r="AE143" s="24" t="s">
        <v>529</v>
      </c>
      <c r="AF143" s="24">
        <v>0</v>
      </c>
      <c r="AG143" s="24">
        <v>0</v>
      </c>
      <c r="AH143" s="24">
        <v>1</v>
      </c>
      <c r="AI143" s="24">
        <v>0</v>
      </c>
      <c r="AJ143" s="24">
        <v>1</v>
      </c>
      <c r="AK143" s="24">
        <v>0</v>
      </c>
      <c r="AL143" s="24"/>
    </row>
    <row r="144" spans="1:38" ht="31.2" x14ac:dyDescent="0.3">
      <c r="A144" s="53">
        <v>137</v>
      </c>
      <c r="B144" s="24" t="s">
        <v>544</v>
      </c>
      <c r="C144" s="24" t="s">
        <v>552</v>
      </c>
      <c r="D144" s="82" t="s">
        <v>721</v>
      </c>
      <c r="E144" s="24">
        <v>10</v>
      </c>
      <c r="F144" s="24" t="s">
        <v>200</v>
      </c>
      <c r="G144" s="24"/>
      <c r="H144" s="24" t="s">
        <v>722</v>
      </c>
      <c r="I144" s="30" t="s">
        <v>548</v>
      </c>
      <c r="J144" s="24" t="s">
        <v>558</v>
      </c>
      <c r="K144" s="24" t="s">
        <v>549</v>
      </c>
      <c r="L144" s="24" t="s">
        <v>549</v>
      </c>
      <c r="M144" s="24">
        <v>1911</v>
      </c>
      <c r="N144" s="24" t="s">
        <v>550</v>
      </c>
      <c r="O144" s="24">
        <v>6</v>
      </c>
      <c r="P144" s="24">
        <v>0</v>
      </c>
      <c r="Q144" s="24">
        <v>8</v>
      </c>
      <c r="R144" s="24">
        <v>78</v>
      </c>
      <c r="S144" s="24">
        <v>7448.38</v>
      </c>
      <c r="T144" s="24">
        <v>7448.38</v>
      </c>
      <c r="U144" s="24">
        <v>6901.38</v>
      </c>
      <c r="V144" s="24">
        <v>547</v>
      </c>
      <c r="W144" s="24" t="s">
        <v>528</v>
      </c>
      <c r="X144" s="24" t="s">
        <v>528</v>
      </c>
      <c r="Y144" s="24" t="s">
        <v>529</v>
      </c>
      <c r="Z144" s="102" t="s">
        <v>528</v>
      </c>
      <c r="AA144" s="24" t="s">
        <v>528</v>
      </c>
      <c r="AB144" s="24" t="s">
        <v>528</v>
      </c>
      <c r="AC144" s="24" t="s">
        <v>528</v>
      </c>
      <c r="AD144" s="24" t="s">
        <v>528</v>
      </c>
      <c r="AE144" s="24" t="s">
        <v>529</v>
      </c>
      <c r="AF144" s="24">
        <v>4</v>
      </c>
      <c r="AG144" s="24">
        <v>0</v>
      </c>
      <c r="AH144" s="24">
        <v>2</v>
      </c>
      <c r="AI144" s="24">
        <v>0</v>
      </c>
      <c r="AJ144" s="24">
        <v>1</v>
      </c>
      <c r="AK144" s="24">
        <v>0</v>
      </c>
      <c r="AL144" s="24"/>
    </row>
    <row r="145" spans="1:38" ht="31.2" x14ac:dyDescent="0.3">
      <c r="A145" s="53">
        <v>138</v>
      </c>
      <c r="B145" s="24" t="s">
        <v>544</v>
      </c>
      <c r="C145" s="24" t="s">
        <v>555</v>
      </c>
      <c r="D145" s="82" t="s">
        <v>721</v>
      </c>
      <c r="E145" s="24">
        <v>1</v>
      </c>
      <c r="F145" s="24" t="s">
        <v>200</v>
      </c>
      <c r="G145" s="24"/>
      <c r="H145" s="24" t="s">
        <v>723</v>
      </c>
      <c r="I145" s="30" t="s">
        <v>548</v>
      </c>
      <c r="J145" s="24"/>
      <c r="K145" s="24" t="s">
        <v>549</v>
      </c>
      <c r="L145" s="24" t="s">
        <v>549</v>
      </c>
      <c r="M145" s="24">
        <v>1903</v>
      </c>
      <c r="N145" s="24" t="s">
        <v>550</v>
      </c>
      <c r="O145" s="24">
        <v>4</v>
      </c>
      <c r="P145" s="24">
        <v>0</v>
      </c>
      <c r="Q145" s="24">
        <v>2</v>
      </c>
      <c r="R145" s="24">
        <v>21</v>
      </c>
      <c r="S145" s="24">
        <v>1607.1000000000001</v>
      </c>
      <c r="T145" s="24">
        <v>1607.1000000000001</v>
      </c>
      <c r="U145" s="24">
        <v>1423.9</v>
      </c>
      <c r="V145" s="24">
        <v>183.2</v>
      </c>
      <c r="W145" s="24" t="s">
        <v>528</v>
      </c>
      <c r="X145" s="24" t="s">
        <v>528</v>
      </c>
      <c r="Y145" s="24" t="s">
        <v>529</v>
      </c>
      <c r="Z145" s="102" t="s">
        <v>528</v>
      </c>
      <c r="AA145" s="24" t="s">
        <v>528</v>
      </c>
      <c r="AB145" s="24" t="s">
        <v>528</v>
      </c>
      <c r="AC145" s="24" t="s">
        <v>528</v>
      </c>
      <c r="AD145" s="24" t="s">
        <v>528</v>
      </c>
      <c r="AE145" s="24" t="s">
        <v>529</v>
      </c>
      <c r="AF145" s="24">
        <v>0</v>
      </c>
      <c r="AG145" s="24">
        <v>0</v>
      </c>
      <c r="AH145" s="24">
        <v>1</v>
      </c>
      <c r="AI145" s="24">
        <v>0</v>
      </c>
      <c r="AJ145" s="24">
        <v>0</v>
      </c>
      <c r="AK145" s="24">
        <v>0</v>
      </c>
      <c r="AL145" s="24"/>
    </row>
    <row r="146" spans="1:38" ht="31.2" x14ac:dyDescent="0.3">
      <c r="A146" s="53">
        <v>139</v>
      </c>
      <c r="B146" s="24" t="s">
        <v>544</v>
      </c>
      <c r="C146" s="24" t="s">
        <v>555</v>
      </c>
      <c r="D146" s="82" t="s">
        <v>721</v>
      </c>
      <c r="E146" s="24" t="s">
        <v>724</v>
      </c>
      <c r="F146" s="24" t="s">
        <v>200</v>
      </c>
      <c r="G146" s="24"/>
      <c r="H146" s="24" t="s">
        <v>725</v>
      </c>
      <c r="I146" s="30" t="s">
        <v>548</v>
      </c>
      <c r="J146" s="24"/>
      <c r="K146" s="24" t="s">
        <v>549</v>
      </c>
      <c r="L146" s="24" t="s">
        <v>549</v>
      </c>
      <c r="M146" s="24">
        <v>1903</v>
      </c>
      <c r="N146" s="24" t="s">
        <v>550</v>
      </c>
      <c r="O146" s="24">
        <v>4</v>
      </c>
      <c r="P146" s="24">
        <v>0</v>
      </c>
      <c r="Q146" s="24">
        <v>1</v>
      </c>
      <c r="R146" s="24">
        <v>9</v>
      </c>
      <c r="S146" s="24">
        <v>857.4</v>
      </c>
      <c r="T146" s="24">
        <v>857.4</v>
      </c>
      <c r="U146" s="24">
        <v>705.4</v>
      </c>
      <c r="V146" s="24">
        <v>152</v>
      </c>
      <c r="W146" s="24" t="s">
        <v>528</v>
      </c>
      <c r="X146" s="24" t="s">
        <v>528</v>
      </c>
      <c r="Y146" s="24" t="s">
        <v>528</v>
      </c>
      <c r="Z146" s="102" t="s">
        <v>528</v>
      </c>
      <c r="AA146" s="24" t="s">
        <v>528</v>
      </c>
      <c r="AB146" s="24" t="s">
        <v>528</v>
      </c>
      <c r="AC146" s="24" t="s">
        <v>529</v>
      </c>
      <c r="AD146" s="24" t="s">
        <v>528</v>
      </c>
      <c r="AE146" s="24" t="s">
        <v>529</v>
      </c>
      <c r="AF146" s="24">
        <v>0</v>
      </c>
      <c r="AG146" s="24">
        <v>0</v>
      </c>
      <c r="AH146" s="24">
        <v>1</v>
      </c>
      <c r="AI146" s="24">
        <v>1</v>
      </c>
      <c r="AJ146" s="24">
        <v>1</v>
      </c>
      <c r="AK146" s="24">
        <v>0</v>
      </c>
      <c r="AL146" s="24"/>
    </row>
    <row r="147" spans="1:38" ht="31.2" x14ac:dyDescent="0.3">
      <c r="A147" s="53">
        <v>140</v>
      </c>
      <c r="B147" s="24" t="s">
        <v>544</v>
      </c>
      <c r="C147" s="24" t="s">
        <v>555</v>
      </c>
      <c r="D147" s="82" t="s">
        <v>721</v>
      </c>
      <c r="E147" s="24">
        <v>3</v>
      </c>
      <c r="F147" s="24" t="s">
        <v>200</v>
      </c>
      <c r="G147" s="24"/>
      <c r="H147" s="24" t="s">
        <v>726</v>
      </c>
      <c r="I147" s="30" t="s">
        <v>548</v>
      </c>
      <c r="J147" s="24"/>
      <c r="K147" s="24" t="s">
        <v>549</v>
      </c>
      <c r="L147" s="24" t="s">
        <v>549</v>
      </c>
      <c r="M147" s="24">
        <v>1900</v>
      </c>
      <c r="N147" s="24" t="s">
        <v>550</v>
      </c>
      <c r="O147" s="24">
        <v>4</v>
      </c>
      <c r="P147" s="24">
        <v>0</v>
      </c>
      <c r="Q147" s="24">
        <v>3</v>
      </c>
      <c r="R147" s="24">
        <v>20</v>
      </c>
      <c r="S147" s="24">
        <v>1064.8999999999999</v>
      </c>
      <c r="T147" s="24">
        <v>1064.8999999999999</v>
      </c>
      <c r="U147" s="24">
        <v>1045.0999999999999</v>
      </c>
      <c r="V147" s="24">
        <v>19.8</v>
      </c>
      <c r="W147" s="24" t="s">
        <v>528</v>
      </c>
      <c r="X147" s="24" t="s">
        <v>528</v>
      </c>
      <c r="Y147" s="24" t="s">
        <v>529</v>
      </c>
      <c r="Z147" s="102" t="s">
        <v>528</v>
      </c>
      <c r="AA147" s="24" t="s">
        <v>528</v>
      </c>
      <c r="AB147" s="24" t="s">
        <v>528</v>
      </c>
      <c r="AC147" s="24" t="s">
        <v>528</v>
      </c>
      <c r="AD147" s="24" t="s">
        <v>528</v>
      </c>
      <c r="AE147" s="24" t="s">
        <v>529</v>
      </c>
      <c r="AF147" s="24">
        <v>0</v>
      </c>
      <c r="AG147" s="24">
        <v>0</v>
      </c>
      <c r="AH147" s="24">
        <v>1</v>
      </c>
      <c r="AI147" s="24">
        <v>0</v>
      </c>
      <c r="AJ147" s="24">
        <v>1</v>
      </c>
      <c r="AK147" s="24">
        <v>0</v>
      </c>
      <c r="AL147" s="24"/>
    </row>
    <row r="148" spans="1:38" ht="31.2" x14ac:dyDescent="0.3">
      <c r="A148" s="53">
        <v>141</v>
      </c>
      <c r="B148" s="24" t="s">
        <v>544</v>
      </c>
      <c r="C148" s="24" t="s">
        <v>555</v>
      </c>
      <c r="D148" s="82" t="s">
        <v>721</v>
      </c>
      <c r="E148" s="24">
        <v>5</v>
      </c>
      <c r="F148" s="24" t="s">
        <v>200</v>
      </c>
      <c r="G148" s="24"/>
      <c r="H148" s="24" t="s">
        <v>727</v>
      </c>
      <c r="I148" s="30" t="s">
        <v>548</v>
      </c>
      <c r="J148" s="24"/>
      <c r="K148" s="24" t="s">
        <v>549</v>
      </c>
      <c r="L148" s="24" t="s">
        <v>549</v>
      </c>
      <c r="M148" s="24">
        <v>1912</v>
      </c>
      <c r="N148" s="24" t="s">
        <v>550</v>
      </c>
      <c r="O148" s="24">
        <v>6</v>
      </c>
      <c r="P148" s="24">
        <v>0</v>
      </c>
      <c r="Q148" s="24">
        <v>4</v>
      </c>
      <c r="R148" s="24">
        <v>42</v>
      </c>
      <c r="S148" s="24">
        <v>2490.1000000000004</v>
      </c>
      <c r="T148" s="24">
        <v>2490.1000000000004</v>
      </c>
      <c r="U148" s="24">
        <v>2321.8000000000002</v>
      </c>
      <c r="V148" s="24">
        <v>168.3</v>
      </c>
      <c r="W148" s="24" t="s">
        <v>528</v>
      </c>
      <c r="X148" s="24" t="s">
        <v>528</v>
      </c>
      <c r="Y148" s="24" t="s">
        <v>529</v>
      </c>
      <c r="Z148" s="102" t="s">
        <v>528</v>
      </c>
      <c r="AA148" s="24" t="s">
        <v>528</v>
      </c>
      <c r="AB148" s="24" t="s">
        <v>528</v>
      </c>
      <c r="AC148" s="24" t="s">
        <v>528</v>
      </c>
      <c r="AD148" s="24" t="s">
        <v>528</v>
      </c>
      <c r="AE148" s="24" t="s">
        <v>529</v>
      </c>
      <c r="AF148" s="24">
        <v>3</v>
      </c>
      <c r="AG148" s="24">
        <v>0</v>
      </c>
      <c r="AH148" s="24">
        <v>1</v>
      </c>
      <c r="AI148" s="24">
        <v>0</v>
      </c>
      <c r="AJ148" s="24">
        <v>1</v>
      </c>
      <c r="AK148" s="24">
        <v>0</v>
      </c>
      <c r="AL148" s="24"/>
    </row>
    <row r="149" spans="1:38" ht="31.2" x14ac:dyDescent="0.3">
      <c r="A149" s="53">
        <v>142</v>
      </c>
      <c r="B149" s="24" t="s">
        <v>544</v>
      </c>
      <c r="C149" s="24" t="s">
        <v>555</v>
      </c>
      <c r="D149" s="82" t="s">
        <v>721</v>
      </c>
      <c r="E149" s="24">
        <v>7</v>
      </c>
      <c r="F149" s="24" t="s">
        <v>200</v>
      </c>
      <c r="G149" s="24"/>
      <c r="H149" s="24" t="s">
        <v>728</v>
      </c>
      <c r="I149" s="30" t="s">
        <v>548</v>
      </c>
      <c r="J149" s="24"/>
      <c r="K149" s="24" t="s">
        <v>549</v>
      </c>
      <c r="L149" s="24" t="s">
        <v>549</v>
      </c>
      <c r="M149" s="24">
        <v>1892</v>
      </c>
      <c r="N149" s="24" t="s">
        <v>550</v>
      </c>
      <c r="O149" s="24">
        <v>2</v>
      </c>
      <c r="P149" s="24">
        <v>0</v>
      </c>
      <c r="Q149" s="24">
        <v>2</v>
      </c>
      <c r="R149" s="24">
        <v>7</v>
      </c>
      <c r="S149" s="24">
        <v>488.8</v>
      </c>
      <c r="T149" s="24">
        <v>488.8</v>
      </c>
      <c r="U149" s="24">
        <v>436.6</v>
      </c>
      <c r="V149" s="24">
        <v>52.2</v>
      </c>
      <c r="W149" s="24" t="s">
        <v>528</v>
      </c>
      <c r="X149" s="24" t="s">
        <v>528</v>
      </c>
      <c r="Y149" s="24" t="s">
        <v>529</v>
      </c>
      <c r="Z149" s="102" t="s">
        <v>528</v>
      </c>
      <c r="AA149" s="24" t="s">
        <v>528</v>
      </c>
      <c r="AB149" s="24" t="s">
        <v>528</v>
      </c>
      <c r="AC149" s="24" t="s">
        <v>528</v>
      </c>
      <c r="AD149" s="24" t="s">
        <v>528</v>
      </c>
      <c r="AE149" s="24" t="s">
        <v>529</v>
      </c>
      <c r="AF149" s="24">
        <v>0</v>
      </c>
      <c r="AG149" s="24">
        <v>0</v>
      </c>
      <c r="AH149" s="24">
        <v>1</v>
      </c>
      <c r="AI149" s="24">
        <v>0</v>
      </c>
      <c r="AJ149" s="24">
        <v>0</v>
      </c>
      <c r="AK149" s="24">
        <v>0</v>
      </c>
      <c r="AL149" s="24"/>
    </row>
    <row r="150" spans="1:38" ht="31.2" x14ac:dyDescent="0.3">
      <c r="A150" s="53">
        <v>143</v>
      </c>
      <c r="B150" s="24" t="s">
        <v>544</v>
      </c>
      <c r="C150" s="24" t="s">
        <v>555</v>
      </c>
      <c r="D150" s="82" t="s">
        <v>721</v>
      </c>
      <c r="E150" s="24">
        <v>8</v>
      </c>
      <c r="F150" s="24" t="s">
        <v>205</v>
      </c>
      <c r="G150" s="24"/>
      <c r="H150" s="24" t="s">
        <v>729</v>
      </c>
      <c r="I150" s="30" t="s">
        <v>548</v>
      </c>
      <c r="J150" s="24"/>
      <c r="K150" s="24" t="s">
        <v>549</v>
      </c>
      <c r="L150" s="24" t="s">
        <v>549</v>
      </c>
      <c r="M150" s="24">
        <v>1912</v>
      </c>
      <c r="N150" s="24" t="s">
        <v>550</v>
      </c>
      <c r="O150" s="24">
        <v>5</v>
      </c>
      <c r="P150" s="24">
        <v>0</v>
      </c>
      <c r="Q150" s="24">
        <v>4</v>
      </c>
      <c r="R150" s="24">
        <v>30</v>
      </c>
      <c r="S150" s="24">
        <v>2634.63</v>
      </c>
      <c r="T150" s="24">
        <v>2634.63</v>
      </c>
      <c r="U150" s="24">
        <v>2242.83</v>
      </c>
      <c r="V150" s="24">
        <v>391.8</v>
      </c>
      <c r="W150" s="24" t="s">
        <v>528</v>
      </c>
      <c r="X150" s="24" t="s">
        <v>528</v>
      </c>
      <c r="Y150" s="24" t="s">
        <v>529</v>
      </c>
      <c r="Z150" s="102" t="s">
        <v>528</v>
      </c>
      <c r="AA150" s="24" t="s">
        <v>528</v>
      </c>
      <c r="AB150" s="24" t="s">
        <v>528</v>
      </c>
      <c r="AC150" s="24" t="s">
        <v>528</v>
      </c>
      <c r="AD150" s="24" t="s">
        <v>528</v>
      </c>
      <c r="AE150" s="24" t="s">
        <v>529</v>
      </c>
      <c r="AF150" s="24">
        <v>1</v>
      </c>
      <c r="AG150" s="24">
        <v>0</v>
      </c>
      <c r="AH150" s="24">
        <v>1</v>
      </c>
      <c r="AI150" s="24">
        <v>0</v>
      </c>
      <c r="AJ150" s="24">
        <v>1</v>
      </c>
      <c r="AK150" s="24">
        <v>0</v>
      </c>
      <c r="AL150" s="24"/>
    </row>
    <row r="151" spans="1:38" ht="31.2" x14ac:dyDescent="0.3">
      <c r="A151" s="53">
        <v>144</v>
      </c>
      <c r="B151" s="24" t="s">
        <v>544</v>
      </c>
      <c r="C151" s="24" t="s">
        <v>545</v>
      </c>
      <c r="D151" s="82" t="s">
        <v>730</v>
      </c>
      <c r="E151" s="24">
        <v>4</v>
      </c>
      <c r="F151" s="24" t="s">
        <v>200</v>
      </c>
      <c r="G151" s="24"/>
      <c r="H151" s="24" t="s">
        <v>731</v>
      </c>
      <c r="I151" s="30" t="s">
        <v>548</v>
      </c>
      <c r="J151" s="24" t="s">
        <v>558</v>
      </c>
      <c r="K151" s="24" t="s">
        <v>549</v>
      </c>
      <c r="L151" s="24" t="s">
        <v>549</v>
      </c>
      <c r="M151" s="24">
        <v>1915</v>
      </c>
      <c r="N151" s="24" t="s">
        <v>550</v>
      </c>
      <c r="O151" s="24">
        <v>6</v>
      </c>
      <c r="P151" s="24">
        <v>0</v>
      </c>
      <c r="Q151" s="24">
        <v>3</v>
      </c>
      <c r="R151" s="24">
        <v>34</v>
      </c>
      <c r="S151" s="24">
        <v>2683.22</v>
      </c>
      <c r="T151" s="24">
        <v>2683.22</v>
      </c>
      <c r="U151" s="24">
        <v>2536.2199999999998</v>
      </c>
      <c r="V151" s="24">
        <v>147</v>
      </c>
      <c r="W151" s="24" t="s">
        <v>528</v>
      </c>
      <c r="X151" s="24" t="s">
        <v>528</v>
      </c>
      <c r="Y151" s="24" t="s">
        <v>529</v>
      </c>
      <c r="Z151" s="102" t="s">
        <v>528</v>
      </c>
      <c r="AA151" s="24" t="s">
        <v>528</v>
      </c>
      <c r="AB151" s="24" t="s">
        <v>528</v>
      </c>
      <c r="AC151" s="24" t="s">
        <v>528</v>
      </c>
      <c r="AD151" s="24" t="s">
        <v>528</v>
      </c>
      <c r="AE151" s="24" t="s">
        <v>529</v>
      </c>
      <c r="AF151" s="24">
        <v>2</v>
      </c>
      <c r="AG151" s="24">
        <v>0</v>
      </c>
      <c r="AH151" s="24">
        <v>1</v>
      </c>
      <c r="AI151" s="24">
        <v>0</v>
      </c>
      <c r="AJ151" s="24">
        <v>1</v>
      </c>
      <c r="AK151" s="24">
        <v>0</v>
      </c>
      <c r="AL151" s="24"/>
    </row>
    <row r="152" spans="1:38" ht="31.2" x14ac:dyDescent="0.3">
      <c r="A152" s="53">
        <v>145</v>
      </c>
      <c r="B152" s="24" t="s">
        <v>544</v>
      </c>
      <c r="C152" s="24" t="s">
        <v>545</v>
      </c>
      <c r="D152" s="82" t="s">
        <v>730</v>
      </c>
      <c r="E152" s="24">
        <v>6</v>
      </c>
      <c r="F152" s="24" t="s">
        <v>205</v>
      </c>
      <c r="G152" s="24"/>
      <c r="H152" s="24" t="s">
        <v>732</v>
      </c>
      <c r="I152" s="30" t="s">
        <v>548</v>
      </c>
      <c r="J152" s="24" t="s">
        <v>558</v>
      </c>
      <c r="K152" s="24" t="s">
        <v>549</v>
      </c>
      <c r="L152" s="24" t="s">
        <v>549</v>
      </c>
      <c r="M152" s="24">
        <v>1915</v>
      </c>
      <c r="N152" s="24" t="s">
        <v>550</v>
      </c>
      <c r="O152" s="24">
        <v>7</v>
      </c>
      <c r="P152" s="24">
        <v>0</v>
      </c>
      <c r="Q152" s="24">
        <v>3</v>
      </c>
      <c r="R152" s="24">
        <v>37</v>
      </c>
      <c r="S152" s="24">
        <v>2630</v>
      </c>
      <c r="T152" s="24">
        <v>2630</v>
      </c>
      <c r="U152" s="24">
        <v>2630</v>
      </c>
      <c r="V152" s="24">
        <v>0</v>
      </c>
      <c r="W152" s="24" t="s">
        <v>528</v>
      </c>
      <c r="X152" s="24" t="s">
        <v>528</v>
      </c>
      <c r="Y152" s="24" t="s">
        <v>529</v>
      </c>
      <c r="Z152" s="102" t="s">
        <v>528</v>
      </c>
      <c r="AA152" s="24" t="s">
        <v>528</v>
      </c>
      <c r="AB152" s="24" t="s">
        <v>528</v>
      </c>
      <c r="AC152" s="24" t="s">
        <v>528</v>
      </c>
      <c r="AD152" s="24" t="s">
        <v>528</v>
      </c>
      <c r="AE152" s="24" t="s">
        <v>529</v>
      </c>
      <c r="AF152" s="24">
        <v>1</v>
      </c>
      <c r="AG152" s="24">
        <v>0</v>
      </c>
      <c r="AH152" s="24">
        <v>1</v>
      </c>
      <c r="AI152" s="24">
        <v>0</v>
      </c>
      <c r="AJ152" s="24">
        <v>1</v>
      </c>
      <c r="AK152" s="24">
        <v>0</v>
      </c>
      <c r="AL152" s="24"/>
    </row>
    <row r="153" spans="1:38" ht="31.2" x14ac:dyDescent="0.3">
      <c r="A153" s="53">
        <v>146</v>
      </c>
      <c r="B153" s="24" t="s">
        <v>544</v>
      </c>
      <c r="C153" s="24" t="s">
        <v>584</v>
      </c>
      <c r="D153" s="82" t="s">
        <v>733</v>
      </c>
      <c r="E153" s="24" t="s">
        <v>734</v>
      </c>
      <c r="F153" s="24" t="s">
        <v>200</v>
      </c>
      <c r="G153" s="24"/>
      <c r="H153" s="24" t="s">
        <v>735</v>
      </c>
      <c r="I153" s="30" t="s">
        <v>548</v>
      </c>
      <c r="J153" s="24" t="s">
        <v>558</v>
      </c>
      <c r="K153" s="24" t="s">
        <v>549</v>
      </c>
      <c r="L153" s="24" t="s">
        <v>549</v>
      </c>
      <c r="M153" s="24">
        <v>1930</v>
      </c>
      <c r="N153" s="24" t="s">
        <v>550</v>
      </c>
      <c r="O153" s="24">
        <v>4</v>
      </c>
      <c r="P153" s="24">
        <v>0</v>
      </c>
      <c r="Q153" s="24">
        <v>8</v>
      </c>
      <c r="R153" s="24">
        <v>68</v>
      </c>
      <c r="S153" s="24">
        <v>5080.5</v>
      </c>
      <c r="T153" s="24">
        <v>5080.5</v>
      </c>
      <c r="U153" s="24">
        <v>5080.5</v>
      </c>
      <c r="V153" s="24">
        <v>0</v>
      </c>
      <c r="W153" s="24" t="s">
        <v>528</v>
      </c>
      <c r="X153" s="24" t="s">
        <v>528</v>
      </c>
      <c r="Y153" s="24" t="s">
        <v>529</v>
      </c>
      <c r="Z153" s="102" t="s">
        <v>528</v>
      </c>
      <c r="AA153" s="24" t="s">
        <v>528</v>
      </c>
      <c r="AB153" s="24" t="s">
        <v>528</v>
      </c>
      <c r="AC153" s="24" t="s">
        <v>528</v>
      </c>
      <c r="AD153" s="24" t="s">
        <v>528</v>
      </c>
      <c r="AE153" s="24" t="s">
        <v>529</v>
      </c>
      <c r="AF153" s="24">
        <v>0</v>
      </c>
      <c r="AG153" s="24">
        <v>0</v>
      </c>
      <c r="AH153" s="24">
        <v>1</v>
      </c>
      <c r="AI153" s="24">
        <v>0</v>
      </c>
      <c r="AJ153" s="24">
        <v>1</v>
      </c>
      <c r="AK153" s="24">
        <v>0</v>
      </c>
      <c r="AL153" s="24"/>
    </row>
    <row r="154" spans="1:38" ht="31.2" x14ac:dyDescent="0.3">
      <c r="A154" s="53">
        <v>147</v>
      </c>
      <c r="B154" s="24" t="s">
        <v>544</v>
      </c>
      <c r="C154" s="24" t="s">
        <v>584</v>
      </c>
      <c r="D154" s="82" t="s">
        <v>733</v>
      </c>
      <c r="E154" s="24">
        <v>14</v>
      </c>
      <c r="F154" s="24" t="s">
        <v>200</v>
      </c>
      <c r="G154" s="24"/>
      <c r="H154" s="24" t="s">
        <v>736</v>
      </c>
      <c r="I154" s="30" t="s">
        <v>548</v>
      </c>
      <c r="J154" s="24" t="s">
        <v>558</v>
      </c>
      <c r="K154" s="24" t="s">
        <v>549</v>
      </c>
      <c r="L154" s="24" t="s">
        <v>549</v>
      </c>
      <c r="M154" s="24">
        <v>1912</v>
      </c>
      <c r="N154" s="24" t="s">
        <v>550</v>
      </c>
      <c r="O154" s="24">
        <v>5</v>
      </c>
      <c r="P154" s="24">
        <v>0</v>
      </c>
      <c r="Q154" s="24">
        <v>6</v>
      </c>
      <c r="R154" s="24">
        <v>27</v>
      </c>
      <c r="S154" s="24">
        <v>3690</v>
      </c>
      <c r="T154" s="24">
        <v>3690</v>
      </c>
      <c r="U154" s="24">
        <v>3244</v>
      </c>
      <c r="V154" s="24">
        <v>446</v>
      </c>
      <c r="W154" s="24" t="s">
        <v>528</v>
      </c>
      <c r="X154" s="24" t="s">
        <v>528</v>
      </c>
      <c r="Y154" s="24" t="s">
        <v>529</v>
      </c>
      <c r="Z154" s="102" t="s">
        <v>528</v>
      </c>
      <c r="AA154" s="24" t="s">
        <v>528</v>
      </c>
      <c r="AB154" s="24" t="s">
        <v>528</v>
      </c>
      <c r="AC154" s="24" t="s">
        <v>528</v>
      </c>
      <c r="AD154" s="24" t="s">
        <v>528</v>
      </c>
      <c r="AE154" s="24" t="s">
        <v>529</v>
      </c>
      <c r="AF154" s="24">
        <v>0</v>
      </c>
      <c r="AG154" s="24">
        <v>0</v>
      </c>
      <c r="AH154" s="24">
        <v>1</v>
      </c>
      <c r="AI154" s="24">
        <v>0</v>
      </c>
      <c r="AJ154" s="24">
        <v>1</v>
      </c>
      <c r="AK154" s="24">
        <v>0</v>
      </c>
      <c r="AL154" s="24"/>
    </row>
    <row r="155" spans="1:38" ht="31.2" x14ac:dyDescent="0.3">
      <c r="A155" s="53">
        <v>148</v>
      </c>
      <c r="B155" s="24" t="s">
        <v>544</v>
      </c>
      <c r="C155" s="24" t="s">
        <v>584</v>
      </c>
      <c r="D155" s="82" t="s">
        <v>733</v>
      </c>
      <c r="E155" s="24" t="s">
        <v>737</v>
      </c>
      <c r="F155" s="24" t="s">
        <v>200</v>
      </c>
      <c r="G155" s="24"/>
      <c r="H155" s="24" t="s">
        <v>738</v>
      </c>
      <c r="I155" s="30" t="s">
        <v>548</v>
      </c>
      <c r="J155" s="24"/>
      <c r="K155" s="24" t="s">
        <v>549</v>
      </c>
      <c r="L155" s="24" t="s">
        <v>549</v>
      </c>
      <c r="M155" s="24">
        <v>1912</v>
      </c>
      <c r="N155" s="24" t="s">
        <v>550</v>
      </c>
      <c r="O155" s="24">
        <v>5</v>
      </c>
      <c r="P155" s="24">
        <v>0</v>
      </c>
      <c r="Q155" s="24">
        <v>2</v>
      </c>
      <c r="R155" s="24">
        <v>26</v>
      </c>
      <c r="S155" s="24">
        <v>1925</v>
      </c>
      <c r="T155" s="24">
        <v>1925</v>
      </c>
      <c r="U155" s="24">
        <v>1882</v>
      </c>
      <c r="V155" s="24">
        <v>43</v>
      </c>
      <c r="W155" s="24" t="s">
        <v>528</v>
      </c>
      <c r="X155" s="24" t="s">
        <v>528</v>
      </c>
      <c r="Y155" s="24" t="s">
        <v>529</v>
      </c>
      <c r="Z155" s="102" t="s">
        <v>528</v>
      </c>
      <c r="AA155" s="24" t="s">
        <v>528</v>
      </c>
      <c r="AB155" s="24" t="s">
        <v>528</v>
      </c>
      <c r="AC155" s="24" t="s">
        <v>528</v>
      </c>
      <c r="AD155" s="24" t="s">
        <v>528</v>
      </c>
      <c r="AE155" s="24" t="s">
        <v>529</v>
      </c>
      <c r="AF155" s="24">
        <v>0</v>
      </c>
      <c r="AG155" s="24">
        <v>0</v>
      </c>
      <c r="AH155" s="24">
        <v>1</v>
      </c>
      <c r="AI155" s="24">
        <v>0</v>
      </c>
      <c r="AJ155" s="24">
        <v>1</v>
      </c>
      <c r="AK155" s="24">
        <v>0</v>
      </c>
      <c r="AL155" s="24"/>
    </row>
    <row r="156" spans="1:38" ht="31.2" x14ac:dyDescent="0.3">
      <c r="A156" s="53">
        <v>149</v>
      </c>
      <c r="B156" s="24" t="s">
        <v>544</v>
      </c>
      <c r="C156" s="24" t="s">
        <v>555</v>
      </c>
      <c r="D156" s="82" t="s">
        <v>739</v>
      </c>
      <c r="E156" s="24">
        <v>6</v>
      </c>
      <c r="F156" s="24" t="s">
        <v>200</v>
      </c>
      <c r="G156" s="24"/>
      <c r="H156" s="24" t="s">
        <v>740</v>
      </c>
      <c r="I156" s="30" t="s">
        <v>548</v>
      </c>
      <c r="J156" s="24"/>
      <c r="K156" s="24" t="s">
        <v>549</v>
      </c>
      <c r="L156" s="24" t="s">
        <v>549</v>
      </c>
      <c r="M156" s="24">
        <v>1904</v>
      </c>
      <c r="N156" s="24" t="s">
        <v>550</v>
      </c>
      <c r="O156" s="24">
        <v>5</v>
      </c>
      <c r="P156" s="24">
        <v>0</v>
      </c>
      <c r="Q156" s="24">
        <v>1</v>
      </c>
      <c r="R156" s="24">
        <v>10</v>
      </c>
      <c r="S156" s="24">
        <v>1235.3999999999999</v>
      </c>
      <c r="T156" s="24">
        <v>1235.3999999999999</v>
      </c>
      <c r="U156" s="24">
        <v>1070.8</v>
      </c>
      <c r="V156" s="24">
        <v>164.6</v>
      </c>
      <c r="W156" s="24" t="s">
        <v>528</v>
      </c>
      <c r="X156" s="24" t="s">
        <v>528</v>
      </c>
      <c r="Y156" s="24" t="s">
        <v>529</v>
      </c>
      <c r="Z156" s="102" t="s">
        <v>528</v>
      </c>
      <c r="AA156" s="24" t="s">
        <v>528</v>
      </c>
      <c r="AB156" s="24" t="s">
        <v>528</v>
      </c>
      <c r="AC156" s="24" t="s">
        <v>528</v>
      </c>
      <c r="AD156" s="24" t="s">
        <v>528</v>
      </c>
      <c r="AE156" s="24" t="s">
        <v>529</v>
      </c>
      <c r="AF156" s="24">
        <v>1</v>
      </c>
      <c r="AG156" s="24">
        <v>0</v>
      </c>
      <c r="AH156" s="24">
        <v>1</v>
      </c>
      <c r="AI156" s="24">
        <v>0</v>
      </c>
      <c r="AJ156" s="24">
        <v>1</v>
      </c>
      <c r="AK156" s="24">
        <v>0</v>
      </c>
      <c r="AL156" s="24"/>
    </row>
    <row r="157" spans="1:38" ht="31.2" x14ac:dyDescent="0.3">
      <c r="A157" s="53">
        <v>150</v>
      </c>
      <c r="B157" s="24" t="s">
        <v>544</v>
      </c>
      <c r="C157" s="24" t="s">
        <v>555</v>
      </c>
      <c r="D157" s="82" t="s">
        <v>739</v>
      </c>
      <c r="E157" s="24">
        <v>6</v>
      </c>
      <c r="F157" s="24" t="s">
        <v>205</v>
      </c>
      <c r="G157" s="24"/>
      <c r="H157" s="24" t="s">
        <v>741</v>
      </c>
      <c r="I157" s="30" t="s">
        <v>548</v>
      </c>
      <c r="J157" s="24"/>
      <c r="K157" s="24" t="s">
        <v>549</v>
      </c>
      <c r="L157" s="24" t="s">
        <v>549</v>
      </c>
      <c r="M157" s="24">
        <v>1904</v>
      </c>
      <c r="N157" s="24" t="s">
        <v>550</v>
      </c>
      <c r="O157" s="24">
        <v>5</v>
      </c>
      <c r="P157" s="24">
        <v>0</v>
      </c>
      <c r="Q157" s="24">
        <v>1</v>
      </c>
      <c r="R157" s="24">
        <v>20</v>
      </c>
      <c r="S157" s="24">
        <v>1221.8999999999999</v>
      </c>
      <c r="T157" s="24">
        <v>1221.8999999999999</v>
      </c>
      <c r="U157" s="24">
        <v>1102.0999999999999</v>
      </c>
      <c r="V157" s="24">
        <v>119.8</v>
      </c>
      <c r="W157" s="24" t="s">
        <v>528</v>
      </c>
      <c r="X157" s="24" t="s">
        <v>528</v>
      </c>
      <c r="Y157" s="24" t="s">
        <v>529</v>
      </c>
      <c r="Z157" s="102" t="s">
        <v>528</v>
      </c>
      <c r="AA157" s="24" t="s">
        <v>528</v>
      </c>
      <c r="AB157" s="24" t="s">
        <v>528</v>
      </c>
      <c r="AC157" s="24" t="s">
        <v>528</v>
      </c>
      <c r="AD157" s="24" t="s">
        <v>528</v>
      </c>
      <c r="AE157" s="24" t="s">
        <v>529</v>
      </c>
      <c r="AF157" s="24">
        <v>0</v>
      </c>
      <c r="AG157" s="24">
        <v>0</v>
      </c>
      <c r="AH157" s="24">
        <v>1</v>
      </c>
      <c r="AI157" s="24">
        <v>0</v>
      </c>
      <c r="AJ157" s="24">
        <v>1</v>
      </c>
      <c r="AK157" s="24">
        <v>0</v>
      </c>
      <c r="AL157" s="24"/>
    </row>
    <row r="158" spans="1:38" ht="31.2" x14ac:dyDescent="0.3">
      <c r="A158" s="53">
        <v>151</v>
      </c>
      <c r="B158" s="24" t="s">
        <v>544</v>
      </c>
      <c r="C158" s="24" t="s">
        <v>555</v>
      </c>
      <c r="D158" s="82" t="s">
        <v>739</v>
      </c>
      <c r="E158" s="24">
        <v>6</v>
      </c>
      <c r="F158" s="24" t="s">
        <v>206</v>
      </c>
      <c r="G158" s="24"/>
      <c r="H158" s="24" t="s">
        <v>742</v>
      </c>
      <c r="I158" s="30" t="s">
        <v>548</v>
      </c>
      <c r="J158" s="24"/>
      <c r="K158" s="24" t="s">
        <v>549</v>
      </c>
      <c r="L158" s="24" t="s">
        <v>549</v>
      </c>
      <c r="M158" s="24">
        <v>1904</v>
      </c>
      <c r="N158" s="24" t="s">
        <v>550</v>
      </c>
      <c r="O158" s="24">
        <v>4</v>
      </c>
      <c r="P158" s="24">
        <v>0</v>
      </c>
      <c r="Q158" s="24">
        <v>1</v>
      </c>
      <c r="R158" s="24">
        <v>16</v>
      </c>
      <c r="S158" s="24">
        <v>687.6</v>
      </c>
      <c r="T158" s="24">
        <v>687.6</v>
      </c>
      <c r="U158" s="24">
        <v>643.6</v>
      </c>
      <c r="V158" s="24">
        <v>44</v>
      </c>
      <c r="W158" s="24" t="s">
        <v>528</v>
      </c>
      <c r="X158" s="24" t="s">
        <v>528</v>
      </c>
      <c r="Y158" s="24" t="s">
        <v>529</v>
      </c>
      <c r="Z158" s="102" t="s">
        <v>528</v>
      </c>
      <c r="AA158" s="24" t="s">
        <v>528</v>
      </c>
      <c r="AB158" s="24" t="s">
        <v>528</v>
      </c>
      <c r="AC158" s="24" t="s">
        <v>528</v>
      </c>
      <c r="AD158" s="24" t="s">
        <v>528</v>
      </c>
      <c r="AE158" s="24" t="s">
        <v>529</v>
      </c>
      <c r="AF158" s="24">
        <v>0</v>
      </c>
      <c r="AG158" s="24">
        <v>0</v>
      </c>
      <c r="AH158" s="24">
        <v>1</v>
      </c>
      <c r="AI158" s="24">
        <v>0</v>
      </c>
      <c r="AJ158" s="24">
        <v>1</v>
      </c>
      <c r="AK158" s="24">
        <v>0</v>
      </c>
      <c r="AL158" s="24"/>
    </row>
    <row r="159" spans="1:38" ht="31.2" x14ac:dyDescent="0.3">
      <c r="A159" s="53">
        <v>152</v>
      </c>
      <c r="B159" s="24" t="s">
        <v>544</v>
      </c>
      <c r="C159" s="24" t="s">
        <v>555</v>
      </c>
      <c r="D159" s="82" t="s">
        <v>739</v>
      </c>
      <c r="E159" s="24">
        <v>6</v>
      </c>
      <c r="F159" s="24" t="s">
        <v>207</v>
      </c>
      <c r="G159" s="24"/>
      <c r="H159" s="24" t="s">
        <v>743</v>
      </c>
      <c r="I159" s="30" t="s">
        <v>548</v>
      </c>
      <c r="J159" s="24"/>
      <c r="K159" s="24" t="s">
        <v>549</v>
      </c>
      <c r="L159" s="24" t="s">
        <v>549</v>
      </c>
      <c r="M159" s="24">
        <v>1904</v>
      </c>
      <c r="N159" s="24" t="s">
        <v>550</v>
      </c>
      <c r="O159" s="24">
        <v>5</v>
      </c>
      <c r="P159" s="24">
        <v>0</v>
      </c>
      <c r="Q159" s="24">
        <v>1</v>
      </c>
      <c r="R159" s="24">
        <v>20</v>
      </c>
      <c r="S159" s="24">
        <v>1195.8</v>
      </c>
      <c r="T159" s="24">
        <v>1195.8</v>
      </c>
      <c r="U159" s="24">
        <v>1195.8</v>
      </c>
      <c r="V159" s="24">
        <v>0</v>
      </c>
      <c r="W159" s="24" t="s">
        <v>528</v>
      </c>
      <c r="X159" s="24" t="s">
        <v>528</v>
      </c>
      <c r="Y159" s="24" t="s">
        <v>529</v>
      </c>
      <c r="Z159" s="102" t="s">
        <v>528</v>
      </c>
      <c r="AA159" s="24" t="s">
        <v>528</v>
      </c>
      <c r="AB159" s="24" t="s">
        <v>528</v>
      </c>
      <c r="AC159" s="24" t="s">
        <v>528</v>
      </c>
      <c r="AD159" s="24" t="s">
        <v>528</v>
      </c>
      <c r="AE159" s="24" t="s">
        <v>529</v>
      </c>
      <c r="AF159" s="24">
        <v>0</v>
      </c>
      <c r="AG159" s="24">
        <v>0</v>
      </c>
      <c r="AH159" s="24">
        <v>1</v>
      </c>
      <c r="AI159" s="24">
        <v>0</v>
      </c>
      <c r="AJ159" s="24">
        <v>1</v>
      </c>
      <c r="AK159" s="24">
        <v>0</v>
      </c>
      <c r="AL159" s="24"/>
    </row>
    <row r="160" spans="1:38" ht="31.2" x14ac:dyDescent="0.3">
      <c r="A160" s="53">
        <v>153</v>
      </c>
      <c r="B160" s="24" t="s">
        <v>544</v>
      </c>
      <c r="C160" s="24" t="s">
        <v>555</v>
      </c>
      <c r="D160" s="82" t="s">
        <v>739</v>
      </c>
      <c r="E160" s="24">
        <v>6</v>
      </c>
      <c r="F160" s="24" t="s">
        <v>208</v>
      </c>
      <c r="G160" s="24"/>
      <c r="H160" s="24" t="s">
        <v>744</v>
      </c>
      <c r="I160" s="30" t="s">
        <v>548</v>
      </c>
      <c r="J160" s="24"/>
      <c r="K160" s="24" t="s">
        <v>549</v>
      </c>
      <c r="L160" s="24" t="s">
        <v>549</v>
      </c>
      <c r="M160" s="24">
        <v>1904</v>
      </c>
      <c r="N160" s="24" t="s">
        <v>550</v>
      </c>
      <c r="O160" s="24">
        <v>5</v>
      </c>
      <c r="P160" s="24">
        <v>0</v>
      </c>
      <c r="Q160" s="24">
        <v>1</v>
      </c>
      <c r="R160" s="24">
        <v>27</v>
      </c>
      <c r="S160" s="24">
        <v>1644</v>
      </c>
      <c r="T160" s="24">
        <v>1644</v>
      </c>
      <c r="U160" s="24">
        <v>1502</v>
      </c>
      <c r="V160" s="24">
        <v>142</v>
      </c>
      <c r="W160" s="24" t="s">
        <v>528</v>
      </c>
      <c r="X160" s="24" t="s">
        <v>528</v>
      </c>
      <c r="Y160" s="24" t="s">
        <v>529</v>
      </c>
      <c r="Z160" s="102" t="s">
        <v>528</v>
      </c>
      <c r="AA160" s="24" t="s">
        <v>528</v>
      </c>
      <c r="AB160" s="24" t="s">
        <v>528</v>
      </c>
      <c r="AC160" s="24" t="s">
        <v>528</v>
      </c>
      <c r="AD160" s="24" t="s">
        <v>528</v>
      </c>
      <c r="AE160" s="24" t="s">
        <v>529</v>
      </c>
      <c r="AF160" s="24">
        <v>0</v>
      </c>
      <c r="AG160" s="24">
        <v>0</v>
      </c>
      <c r="AH160" s="24">
        <v>1</v>
      </c>
      <c r="AI160" s="24">
        <v>0</v>
      </c>
      <c r="AJ160" s="24">
        <v>1</v>
      </c>
      <c r="AK160" s="24">
        <v>0</v>
      </c>
      <c r="AL160" s="24"/>
    </row>
    <row r="161" spans="1:38" ht="31.2" x14ac:dyDescent="0.3">
      <c r="A161" s="53">
        <v>154</v>
      </c>
      <c r="B161" s="24" t="s">
        <v>544</v>
      </c>
      <c r="C161" s="24" t="s">
        <v>555</v>
      </c>
      <c r="D161" s="82" t="s">
        <v>739</v>
      </c>
      <c r="E161" s="24">
        <v>6</v>
      </c>
      <c r="F161" s="24" t="s">
        <v>209</v>
      </c>
      <c r="G161" s="24"/>
      <c r="H161" s="24" t="s">
        <v>745</v>
      </c>
      <c r="I161" s="30" t="s">
        <v>548</v>
      </c>
      <c r="J161" s="24"/>
      <c r="K161" s="24" t="s">
        <v>549</v>
      </c>
      <c r="L161" s="24" t="s">
        <v>549</v>
      </c>
      <c r="M161" s="24">
        <v>1916</v>
      </c>
      <c r="N161" s="24" t="s">
        <v>550</v>
      </c>
      <c r="O161" s="24">
        <v>2</v>
      </c>
      <c r="P161" s="24">
        <v>0</v>
      </c>
      <c r="Q161" s="24">
        <v>1</v>
      </c>
      <c r="R161" s="24">
        <v>1</v>
      </c>
      <c r="S161" s="24">
        <v>93</v>
      </c>
      <c r="T161" s="24">
        <v>93</v>
      </c>
      <c r="U161" s="24">
        <v>45</v>
      </c>
      <c r="V161" s="24">
        <v>48</v>
      </c>
      <c r="W161" s="24" t="s">
        <v>528</v>
      </c>
      <c r="X161" s="24" t="s">
        <v>528</v>
      </c>
      <c r="Y161" s="24" t="s">
        <v>529</v>
      </c>
      <c r="Z161" s="102" t="s">
        <v>528</v>
      </c>
      <c r="AA161" s="24" t="s">
        <v>528</v>
      </c>
      <c r="AB161" s="24" t="s">
        <v>528</v>
      </c>
      <c r="AC161" s="24" t="s">
        <v>528</v>
      </c>
      <c r="AD161" s="24" t="s">
        <v>528</v>
      </c>
      <c r="AE161" s="24" t="s">
        <v>529</v>
      </c>
      <c r="AF161" s="24">
        <v>0</v>
      </c>
      <c r="AG161" s="24">
        <v>0</v>
      </c>
      <c r="AH161" s="24">
        <v>1</v>
      </c>
      <c r="AI161" s="24">
        <v>0</v>
      </c>
      <c r="AJ161" s="24">
        <v>0</v>
      </c>
      <c r="AK161" s="24">
        <v>0</v>
      </c>
      <c r="AL161" s="24"/>
    </row>
    <row r="162" spans="1:38" ht="31.2" x14ac:dyDescent="0.3">
      <c r="A162" s="53">
        <v>155</v>
      </c>
      <c r="B162" s="24" t="s">
        <v>544</v>
      </c>
      <c r="C162" s="24" t="s">
        <v>584</v>
      </c>
      <c r="D162" s="82" t="s">
        <v>739</v>
      </c>
      <c r="E162" s="24" t="s">
        <v>746</v>
      </c>
      <c r="F162" s="24" t="s">
        <v>200</v>
      </c>
      <c r="G162" s="24"/>
      <c r="H162" s="24" t="s">
        <v>747</v>
      </c>
      <c r="I162" s="30" t="s">
        <v>548</v>
      </c>
      <c r="J162" s="24" t="s">
        <v>558</v>
      </c>
      <c r="K162" s="24" t="s">
        <v>549</v>
      </c>
      <c r="L162" s="24" t="s">
        <v>549</v>
      </c>
      <c r="M162" s="24">
        <v>1911</v>
      </c>
      <c r="N162" s="24" t="s">
        <v>550</v>
      </c>
      <c r="O162" s="24">
        <v>6</v>
      </c>
      <c r="P162" s="24">
        <v>0</v>
      </c>
      <c r="Q162" s="24">
        <v>9</v>
      </c>
      <c r="R162" s="24">
        <v>68</v>
      </c>
      <c r="S162" s="24">
        <v>11165.130000000001</v>
      </c>
      <c r="T162" s="24">
        <v>11165.130000000001</v>
      </c>
      <c r="U162" s="24">
        <v>9403</v>
      </c>
      <c r="V162" s="24">
        <v>1762.13</v>
      </c>
      <c r="W162" s="24" t="s">
        <v>528</v>
      </c>
      <c r="X162" s="24" t="s">
        <v>528</v>
      </c>
      <c r="Y162" s="24" t="s">
        <v>529</v>
      </c>
      <c r="Z162" s="102" t="s">
        <v>528</v>
      </c>
      <c r="AA162" s="24" t="s">
        <v>528</v>
      </c>
      <c r="AB162" s="24" t="s">
        <v>528</v>
      </c>
      <c r="AC162" s="24" t="s">
        <v>528</v>
      </c>
      <c r="AD162" s="24" t="s">
        <v>528</v>
      </c>
      <c r="AE162" s="24" t="s">
        <v>529</v>
      </c>
      <c r="AF162" s="24">
        <v>5</v>
      </c>
      <c r="AG162" s="24">
        <v>0</v>
      </c>
      <c r="AH162" s="24">
        <v>1</v>
      </c>
      <c r="AI162" s="24">
        <v>0</v>
      </c>
      <c r="AJ162" s="24">
        <v>1</v>
      </c>
      <c r="AK162" s="24">
        <v>0</v>
      </c>
      <c r="AL162" s="24"/>
    </row>
    <row r="163" spans="1:38" ht="31.2" x14ac:dyDescent="0.3">
      <c r="A163" s="53">
        <v>156</v>
      </c>
      <c r="B163" s="24" t="s">
        <v>544</v>
      </c>
      <c r="C163" s="24" t="s">
        <v>555</v>
      </c>
      <c r="D163" s="82" t="s">
        <v>739</v>
      </c>
      <c r="E163" s="24">
        <v>12</v>
      </c>
      <c r="F163" s="24" t="s">
        <v>200</v>
      </c>
      <c r="G163" s="24"/>
      <c r="H163" s="24" t="s">
        <v>748</v>
      </c>
      <c r="I163" s="30" t="s">
        <v>548</v>
      </c>
      <c r="J163" s="24" t="s">
        <v>558</v>
      </c>
      <c r="K163" s="24" t="s">
        <v>549</v>
      </c>
      <c r="L163" s="24" t="s">
        <v>549</v>
      </c>
      <c r="M163" s="24">
        <v>1916</v>
      </c>
      <c r="N163" s="24" t="s">
        <v>550</v>
      </c>
      <c r="O163" s="24">
        <v>4</v>
      </c>
      <c r="P163" s="24">
        <v>0</v>
      </c>
      <c r="Q163" s="24">
        <v>6</v>
      </c>
      <c r="R163" s="24">
        <v>21</v>
      </c>
      <c r="S163" s="24">
        <v>5415</v>
      </c>
      <c r="T163" s="24">
        <v>5415</v>
      </c>
      <c r="U163" s="24">
        <v>3048</v>
      </c>
      <c r="V163" s="24">
        <v>2367</v>
      </c>
      <c r="W163" s="24" t="s">
        <v>528</v>
      </c>
      <c r="X163" s="24" t="s">
        <v>528</v>
      </c>
      <c r="Y163" s="24" t="s">
        <v>529</v>
      </c>
      <c r="Z163" s="102" t="s">
        <v>528</v>
      </c>
      <c r="AA163" s="24" t="s">
        <v>528</v>
      </c>
      <c r="AB163" s="24" t="s">
        <v>528</v>
      </c>
      <c r="AC163" s="24" t="s">
        <v>528</v>
      </c>
      <c r="AD163" s="24" t="s">
        <v>528</v>
      </c>
      <c r="AE163" s="24" t="s">
        <v>529</v>
      </c>
      <c r="AF163" s="24">
        <v>0</v>
      </c>
      <c r="AG163" s="24">
        <v>0</v>
      </c>
      <c r="AH163" s="24">
        <v>1</v>
      </c>
      <c r="AI163" s="24">
        <v>0</v>
      </c>
      <c r="AJ163" s="24">
        <v>2</v>
      </c>
      <c r="AK163" s="24">
        <v>0</v>
      </c>
      <c r="AL163" s="24"/>
    </row>
    <row r="164" spans="1:38" ht="31.2" x14ac:dyDescent="0.3">
      <c r="A164" s="53">
        <v>157</v>
      </c>
      <c r="B164" s="24" t="s">
        <v>544</v>
      </c>
      <c r="C164" s="24" t="s">
        <v>584</v>
      </c>
      <c r="D164" s="82" t="s">
        <v>739</v>
      </c>
      <c r="E164" s="24" t="s">
        <v>749</v>
      </c>
      <c r="F164" s="24" t="s">
        <v>200</v>
      </c>
      <c r="G164" s="24"/>
      <c r="H164" s="24" t="s">
        <v>750</v>
      </c>
      <c r="I164" s="30" t="s">
        <v>548</v>
      </c>
      <c r="J164" s="24" t="s">
        <v>558</v>
      </c>
      <c r="K164" s="24" t="s">
        <v>549</v>
      </c>
      <c r="L164" s="24" t="s">
        <v>549</v>
      </c>
      <c r="M164" s="24">
        <v>1903</v>
      </c>
      <c r="N164" s="24" t="s">
        <v>550</v>
      </c>
      <c r="O164" s="24">
        <v>6</v>
      </c>
      <c r="P164" s="24">
        <v>0</v>
      </c>
      <c r="Q164" s="24">
        <v>7</v>
      </c>
      <c r="R164" s="24">
        <v>33</v>
      </c>
      <c r="S164" s="24">
        <v>4705.8999999999996</v>
      </c>
      <c r="T164" s="24">
        <v>4705.8999999999996</v>
      </c>
      <c r="U164" s="24">
        <v>3320</v>
      </c>
      <c r="V164" s="24">
        <v>1385.9</v>
      </c>
      <c r="W164" s="24" t="s">
        <v>528</v>
      </c>
      <c r="X164" s="24" t="s">
        <v>528</v>
      </c>
      <c r="Y164" s="24" t="s">
        <v>529</v>
      </c>
      <c r="Z164" s="102" t="s">
        <v>528</v>
      </c>
      <c r="AA164" s="24" t="s">
        <v>528</v>
      </c>
      <c r="AB164" s="24" t="s">
        <v>528</v>
      </c>
      <c r="AC164" s="24" t="s">
        <v>528</v>
      </c>
      <c r="AD164" s="24" t="s">
        <v>528</v>
      </c>
      <c r="AE164" s="24" t="s">
        <v>529</v>
      </c>
      <c r="AF164" s="24">
        <v>4</v>
      </c>
      <c r="AG164" s="24">
        <v>0</v>
      </c>
      <c r="AH164" s="24">
        <v>1</v>
      </c>
      <c r="AI164" s="24">
        <v>0</v>
      </c>
      <c r="AJ164" s="24">
        <v>1</v>
      </c>
      <c r="AK164" s="24">
        <v>0</v>
      </c>
      <c r="AL164" s="24"/>
    </row>
    <row r="165" spans="1:38" ht="31.2" x14ac:dyDescent="0.3">
      <c r="A165" s="53">
        <v>158</v>
      </c>
      <c r="B165" s="24" t="s">
        <v>544</v>
      </c>
      <c r="C165" s="24" t="s">
        <v>555</v>
      </c>
      <c r="D165" s="82" t="s">
        <v>739</v>
      </c>
      <c r="E165" s="24">
        <v>14</v>
      </c>
      <c r="F165" s="24" t="s">
        <v>200</v>
      </c>
      <c r="G165" s="24"/>
      <c r="H165" s="24" t="s">
        <v>751</v>
      </c>
      <c r="I165" s="30" t="s">
        <v>548</v>
      </c>
      <c r="J165" s="24"/>
      <c r="K165" s="24" t="s">
        <v>549</v>
      </c>
      <c r="L165" s="24" t="s">
        <v>549</v>
      </c>
      <c r="M165" s="24">
        <v>1935</v>
      </c>
      <c r="N165" s="24" t="s">
        <v>550</v>
      </c>
      <c r="O165" s="24">
        <v>6</v>
      </c>
      <c r="P165" s="24">
        <v>0</v>
      </c>
      <c r="Q165" s="24">
        <v>2</v>
      </c>
      <c r="R165" s="24">
        <v>22</v>
      </c>
      <c r="S165" s="24">
        <v>1664.4</v>
      </c>
      <c r="T165" s="24">
        <v>1664.4</v>
      </c>
      <c r="U165" s="24">
        <v>1354</v>
      </c>
      <c r="V165" s="24">
        <v>310.39999999999998</v>
      </c>
      <c r="W165" s="24" t="s">
        <v>528</v>
      </c>
      <c r="X165" s="24" t="s">
        <v>528</v>
      </c>
      <c r="Y165" s="24" t="s">
        <v>529</v>
      </c>
      <c r="Z165" s="102" t="s">
        <v>528</v>
      </c>
      <c r="AA165" s="24" t="s">
        <v>528</v>
      </c>
      <c r="AB165" s="24" t="s">
        <v>528</v>
      </c>
      <c r="AC165" s="24" t="s">
        <v>528</v>
      </c>
      <c r="AD165" s="24" t="s">
        <v>528</v>
      </c>
      <c r="AE165" s="24" t="s">
        <v>529</v>
      </c>
      <c r="AF165" s="24">
        <v>2</v>
      </c>
      <c r="AG165" s="24">
        <v>0</v>
      </c>
      <c r="AH165" s="24">
        <v>1</v>
      </c>
      <c r="AI165" s="24">
        <v>0</v>
      </c>
      <c r="AJ165" s="24">
        <v>1</v>
      </c>
      <c r="AK165" s="24">
        <v>0</v>
      </c>
      <c r="AL165" s="24"/>
    </row>
    <row r="166" spans="1:38" ht="31.2" x14ac:dyDescent="0.3">
      <c r="A166" s="53">
        <v>159</v>
      </c>
      <c r="B166" s="24" t="s">
        <v>544</v>
      </c>
      <c r="C166" s="24" t="s">
        <v>555</v>
      </c>
      <c r="D166" s="82" t="s">
        <v>739</v>
      </c>
      <c r="E166" s="24">
        <v>16</v>
      </c>
      <c r="F166" s="24" t="s">
        <v>200</v>
      </c>
      <c r="G166" s="24"/>
      <c r="H166" s="24" t="s">
        <v>752</v>
      </c>
      <c r="I166" s="30" t="s">
        <v>548</v>
      </c>
      <c r="J166" s="24" t="s">
        <v>558</v>
      </c>
      <c r="K166" s="24" t="s">
        <v>549</v>
      </c>
      <c r="L166" s="24" t="s">
        <v>549</v>
      </c>
      <c r="M166" s="24">
        <v>1903</v>
      </c>
      <c r="N166" s="24" t="s">
        <v>550</v>
      </c>
      <c r="O166" s="24">
        <v>7</v>
      </c>
      <c r="P166" s="24">
        <v>0</v>
      </c>
      <c r="Q166" s="24">
        <v>3</v>
      </c>
      <c r="R166" s="24">
        <v>29</v>
      </c>
      <c r="S166" s="24">
        <v>4121.3900000000003</v>
      </c>
      <c r="T166" s="24">
        <v>4121.3900000000003</v>
      </c>
      <c r="U166" s="24">
        <v>4026.09</v>
      </c>
      <c r="V166" s="24">
        <v>95.3</v>
      </c>
      <c r="W166" s="24" t="s">
        <v>528</v>
      </c>
      <c r="X166" s="24" t="s">
        <v>528</v>
      </c>
      <c r="Y166" s="24" t="s">
        <v>529</v>
      </c>
      <c r="Z166" s="102" t="s">
        <v>528</v>
      </c>
      <c r="AA166" s="24" t="s">
        <v>528</v>
      </c>
      <c r="AB166" s="24" t="s">
        <v>528</v>
      </c>
      <c r="AC166" s="24" t="s">
        <v>528</v>
      </c>
      <c r="AD166" s="24" t="s">
        <v>528</v>
      </c>
      <c r="AE166" s="24" t="s">
        <v>529</v>
      </c>
      <c r="AF166" s="24">
        <v>2</v>
      </c>
      <c r="AG166" s="24">
        <v>0</v>
      </c>
      <c r="AH166" s="24">
        <v>1</v>
      </c>
      <c r="AI166" s="24">
        <v>0</v>
      </c>
      <c r="AJ166" s="24">
        <v>1</v>
      </c>
      <c r="AK166" s="24">
        <v>0</v>
      </c>
      <c r="AL166" s="24"/>
    </row>
    <row r="167" spans="1:38" ht="31.2" x14ac:dyDescent="0.3">
      <c r="A167" s="53">
        <v>160</v>
      </c>
      <c r="B167" s="24" t="s">
        <v>544</v>
      </c>
      <c r="C167" s="24" t="s">
        <v>555</v>
      </c>
      <c r="D167" s="82" t="s">
        <v>739</v>
      </c>
      <c r="E167" s="24">
        <v>16</v>
      </c>
      <c r="F167" s="24" t="s">
        <v>205</v>
      </c>
      <c r="G167" s="24"/>
      <c r="H167" s="24" t="s">
        <v>753</v>
      </c>
      <c r="I167" s="30" t="s">
        <v>548</v>
      </c>
      <c r="J167" s="24" t="s">
        <v>558</v>
      </c>
      <c r="K167" s="24" t="s">
        <v>549</v>
      </c>
      <c r="L167" s="24" t="s">
        <v>549</v>
      </c>
      <c r="M167" s="24">
        <v>1903</v>
      </c>
      <c r="N167" s="24" t="s">
        <v>550</v>
      </c>
      <c r="O167" s="24">
        <v>3</v>
      </c>
      <c r="P167" s="24">
        <v>0</v>
      </c>
      <c r="Q167" s="24">
        <v>1</v>
      </c>
      <c r="R167" s="24">
        <v>7</v>
      </c>
      <c r="S167" s="24">
        <v>286</v>
      </c>
      <c r="T167" s="24">
        <v>286</v>
      </c>
      <c r="U167" s="24">
        <v>240</v>
      </c>
      <c r="V167" s="24">
        <v>46</v>
      </c>
      <c r="W167" s="24" t="s">
        <v>528</v>
      </c>
      <c r="X167" s="24" t="s">
        <v>528</v>
      </c>
      <c r="Y167" s="24" t="s">
        <v>529</v>
      </c>
      <c r="Z167" s="102" t="s">
        <v>528</v>
      </c>
      <c r="AA167" s="24" t="s">
        <v>528</v>
      </c>
      <c r="AB167" s="24" t="s">
        <v>528</v>
      </c>
      <c r="AC167" s="24" t="s">
        <v>528</v>
      </c>
      <c r="AD167" s="24" t="s">
        <v>528</v>
      </c>
      <c r="AE167" s="24" t="s">
        <v>529</v>
      </c>
      <c r="AF167" s="24">
        <v>0</v>
      </c>
      <c r="AG167" s="24">
        <v>0</v>
      </c>
      <c r="AH167" s="24">
        <v>1</v>
      </c>
      <c r="AI167" s="24">
        <v>0</v>
      </c>
      <c r="AJ167" s="24">
        <v>0</v>
      </c>
      <c r="AK167" s="24">
        <v>0</v>
      </c>
      <c r="AL167" s="24"/>
    </row>
    <row r="168" spans="1:38" ht="31.2" x14ac:dyDescent="0.3">
      <c r="A168" s="53">
        <v>161</v>
      </c>
      <c r="B168" s="24" t="s">
        <v>544</v>
      </c>
      <c r="C168" s="24" t="s">
        <v>584</v>
      </c>
      <c r="D168" s="82" t="s">
        <v>739</v>
      </c>
      <c r="E168" s="24">
        <v>17</v>
      </c>
      <c r="F168" s="24" t="s">
        <v>200</v>
      </c>
      <c r="G168" s="24"/>
      <c r="H168" s="24" t="s">
        <v>754</v>
      </c>
      <c r="I168" s="30" t="s">
        <v>548</v>
      </c>
      <c r="J168" s="24"/>
      <c r="K168" s="24" t="s">
        <v>549</v>
      </c>
      <c r="L168" s="24" t="s">
        <v>549</v>
      </c>
      <c r="M168" s="24">
        <v>1956</v>
      </c>
      <c r="N168" s="24" t="s">
        <v>550</v>
      </c>
      <c r="O168" s="24">
        <v>6</v>
      </c>
      <c r="P168" s="24">
        <v>0</v>
      </c>
      <c r="Q168" s="24">
        <v>2</v>
      </c>
      <c r="R168" s="24">
        <v>47</v>
      </c>
      <c r="S168" s="24">
        <v>3835</v>
      </c>
      <c r="T168" s="24">
        <v>3835</v>
      </c>
      <c r="U168" s="24">
        <v>3112</v>
      </c>
      <c r="V168" s="24">
        <v>723</v>
      </c>
      <c r="W168" s="24" t="s">
        <v>528</v>
      </c>
      <c r="X168" s="24" t="s">
        <v>528</v>
      </c>
      <c r="Y168" s="24" t="s">
        <v>529</v>
      </c>
      <c r="Z168" s="102" t="s">
        <v>528</v>
      </c>
      <c r="AA168" s="24" t="s">
        <v>528</v>
      </c>
      <c r="AB168" s="24" t="s">
        <v>528</v>
      </c>
      <c r="AC168" s="24" t="s">
        <v>528</v>
      </c>
      <c r="AD168" s="24" t="s">
        <v>528</v>
      </c>
      <c r="AE168" s="24" t="s">
        <v>529</v>
      </c>
      <c r="AF168" s="24">
        <v>2</v>
      </c>
      <c r="AG168" s="24">
        <v>0</v>
      </c>
      <c r="AH168" s="24">
        <v>1</v>
      </c>
      <c r="AI168" s="24">
        <v>0</v>
      </c>
      <c r="AJ168" s="24">
        <v>1</v>
      </c>
      <c r="AK168" s="24">
        <v>0</v>
      </c>
      <c r="AL168" s="24"/>
    </row>
    <row r="169" spans="1:38" ht="31.2" x14ac:dyDescent="0.3">
      <c r="A169" s="53">
        <v>162</v>
      </c>
      <c r="B169" s="24" t="s">
        <v>544</v>
      </c>
      <c r="C169" s="24" t="s">
        <v>555</v>
      </c>
      <c r="D169" s="82" t="s">
        <v>739</v>
      </c>
      <c r="E169" s="24" t="s">
        <v>755</v>
      </c>
      <c r="F169" s="24" t="s">
        <v>200</v>
      </c>
      <c r="G169" s="24"/>
      <c r="H169" s="24" t="s">
        <v>756</v>
      </c>
      <c r="I169" s="30" t="s">
        <v>548</v>
      </c>
      <c r="J169" s="24"/>
      <c r="K169" s="24" t="s">
        <v>549</v>
      </c>
      <c r="L169" s="24" t="s">
        <v>549</v>
      </c>
      <c r="M169" s="24">
        <v>1900</v>
      </c>
      <c r="N169" s="24" t="s">
        <v>550</v>
      </c>
      <c r="O169" s="24">
        <v>6</v>
      </c>
      <c r="P169" s="24">
        <v>0</v>
      </c>
      <c r="Q169" s="24">
        <v>4</v>
      </c>
      <c r="R169" s="24">
        <v>30</v>
      </c>
      <c r="S169" s="24">
        <v>4672.1000000000004</v>
      </c>
      <c r="T169" s="24">
        <v>4672.1000000000004</v>
      </c>
      <c r="U169" s="24">
        <v>3101</v>
      </c>
      <c r="V169" s="24">
        <v>1571.1</v>
      </c>
      <c r="W169" s="24" t="s">
        <v>528</v>
      </c>
      <c r="X169" s="24" t="s">
        <v>528</v>
      </c>
      <c r="Y169" s="24" t="s">
        <v>529</v>
      </c>
      <c r="Z169" s="102" t="s">
        <v>528</v>
      </c>
      <c r="AA169" s="24" t="s">
        <v>528</v>
      </c>
      <c r="AB169" s="24" t="s">
        <v>528</v>
      </c>
      <c r="AC169" s="24" t="s">
        <v>528</v>
      </c>
      <c r="AD169" s="24" t="s">
        <v>528</v>
      </c>
      <c r="AE169" s="24" t="s">
        <v>529</v>
      </c>
      <c r="AF169" s="24">
        <v>0</v>
      </c>
      <c r="AG169" s="24">
        <v>0</v>
      </c>
      <c r="AH169" s="24">
        <v>1</v>
      </c>
      <c r="AI169" s="24">
        <v>0</v>
      </c>
      <c r="AJ169" s="24">
        <v>1</v>
      </c>
      <c r="AK169" s="24">
        <v>0</v>
      </c>
      <c r="AL169" s="24"/>
    </row>
    <row r="170" spans="1:38" ht="31.2" x14ac:dyDescent="0.3">
      <c r="A170" s="53">
        <v>163</v>
      </c>
      <c r="B170" s="24" t="s">
        <v>544</v>
      </c>
      <c r="C170" s="24" t="s">
        <v>584</v>
      </c>
      <c r="D170" s="82" t="s">
        <v>739</v>
      </c>
      <c r="E170" s="24" t="s">
        <v>757</v>
      </c>
      <c r="F170" s="24" t="s">
        <v>200</v>
      </c>
      <c r="G170" s="24"/>
      <c r="H170" s="24" t="s">
        <v>758</v>
      </c>
      <c r="I170" s="30" t="s">
        <v>548</v>
      </c>
      <c r="J170" s="24"/>
      <c r="K170" s="24" t="s">
        <v>549</v>
      </c>
      <c r="L170" s="24" t="s">
        <v>549</v>
      </c>
      <c r="M170" s="24">
        <v>1911</v>
      </c>
      <c r="N170" s="24" t="s">
        <v>550</v>
      </c>
      <c r="O170" s="24">
        <v>5</v>
      </c>
      <c r="P170" s="24">
        <v>0</v>
      </c>
      <c r="Q170" s="24">
        <v>6</v>
      </c>
      <c r="R170" s="24">
        <v>42</v>
      </c>
      <c r="S170" s="24">
        <v>6602.6</v>
      </c>
      <c r="T170" s="24">
        <v>6602.6</v>
      </c>
      <c r="U170" s="24">
        <v>5147</v>
      </c>
      <c r="V170" s="24">
        <v>1455.6</v>
      </c>
      <c r="W170" s="24" t="s">
        <v>528</v>
      </c>
      <c r="X170" s="24" t="s">
        <v>528</v>
      </c>
      <c r="Y170" s="24" t="s">
        <v>529</v>
      </c>
      <c r="Z170" s="102" t="s">
        <v>528</v>
      </c>
      <c r="AA170" s="24" t="s">
        <v>528</v>
      </c>
      <c r="AB170" s="24" t="s">
        <v>528</v>
      </c>
      <c r="AC170" s="24" t="s">
        <v>528</v>
      </c>
      <c r="AD170" s="24" t="s">
        <v>528</v>
      </c>
      <c r="AE170" s="24" t="s">
        <v>529</v>
      </c>
      <c r="AF170" s="24">
        <v>4</v>
      </c>
      <c r="AG170" s="24">
        <v>0</v>
      </c>
      <c r="AH170" s="24">
        <v>1</v>
      </c>
      <c r="AI170" s="24">
        <v>0</v>
      </c>
      <c r="AJ170" s="24">
        <v>1</v>
      </c>
      <c r="AK170" s="24">
        <v>0</v>
      </c>
      <c r="AL170" s="24"/>
    </row>
    <row r="171" spans="1:38" ht="31.2" x14ac:dyDescent="0.3">
      <c r="A171" s="53">
        <v>164</v>
      </c>
      <c r="B171" s="24" t="s">
        <v>544</v>
      </c>
      <c r="C171" s="24" t="s">
        <v>555</v>
      </c>
      <c r="D171" s="82" t="s">
        <v>739</v>
      </c>
      <c r="E171" s="24">
        <v>20</v>
      </c>
      <c r="F171" s="24" t="s">
        <v>200</v>
      </c>
      <c r="G171" s="24"/>
      <c r="H171" s="24" t="s">
        <v>759</v>
      </c>
      <c r="I171" s="30" t="s">
        <v>548</v>
      </c>
      <c r="J171" s="24"/>
      <c r="K171" s="24" t="s">
        <v>549</v>
      </c>
      <c r="L171" s="24" t="s">
        <v>549</v>
      </c>
      <c r="M171" s="24">
        <v>1909</v>
      </c>
      <c r="N171" s="24" t="s">
        <v>550</v>
      </c>
      <c r="O171" s="24">
        <v>5</v>
      </c>
      <c r="P171" s="24">
        <v>0</v>
      </c>
      <c r="Q171" s="24">
        <v>4</v>
      </c>
      <c r="R171" s="24">
        <v>24</v>
      </c>
      <c r="S171" s="24">
        <v>4413</v>
      </c>
      <c r="T171" s="24">
        <v>4413</v>
      </c>
      <c r="U171" s="24">
        <v>3373</v>
      </c>
      <c r="V171" s="24">
        <v>1040</v>
      </c>
      <c r="W171" s="24" t="s">
        <v>528</v>
      </c>
      <c r="X171" s="24" t="s">
        <v>528</v>
      </c>
      <c r="Y171" s="24" t="s">
        <v>529</v>
      </c>
      <c r="Z171" s="102" t="s">
        <v>528</v>
      </c>
      <c r="AA171" s="24" t="s">
        <v>528</v>
      </c>
      <c r="AB171" s="24" t="s">
        <v>528</v>
      </c>
      <c r="AC171" s="24" t="s">
        <v>528</v>
      </c>
      <c r="AD171" s="24" t="s">
        <v>528</v>
      </c>
      <c r="AE171" s="24" t="s">
        <v>529</v>
      </c>
      <c r="AF171" s="24">
        <v>2</v>
      </c>
      <c r="AG171" s="24">
        <v>0</v>
      </c>
      <c r="AH171" s="24">
        <v>1</v>
      </c>
      <c r="AI171" s="24">
        <v>0</v>
      </c>
      <c r="AJ171" s="24">
        <v>1</v>
      </c>
      <c r="AK171" s="24">
        <v>0</v>
      </c>
      <c r="AL171" s="24"/>
    </row>
    <row r="172" spans="1:38" ht="31.2" x14ac:dyDescent="0.3">
      <c r="A172" s="53">
        <v>165</v>
      </c>
      <c r="B172" s="24" t="s">
        <v>544</v>
      </c>
      <c r="C172" s="24" t="s">
        <v>555</v>
      </c>
      <c r="D172" s="82" t="s">
        <v>739</v>
      </c>
      <c r="E172" s="24">
        <v>22</v>
      </c>
      <c r="F172" s="24" t="s">
        <v>200</v>
      </c>
      <c r="G172" s="24"/>
      <c r="H172" s="24" t="s">
        <v>760</v>
      </c>
      <c r="I172" s="30" t="s">
        <v>548</v>
      </c>
      <c r="J172" s="24"/>
      <c r="K172" s="24" t="s">
        <v>549</v>
      </c>
      <c r="L172" s="24" t="s">
        <v>549</v>
      </c>
      <c r="M172" s="24">
        <v>1932</v>
      </c>
      <c r="N172" s="24" t="s">
        <v>550</v>
      </c>
      <c r="O172" s="24">
        <v>5</v>
      </c>
      <c r="P172" s="24">
        <v>0</v>
      </c>
      <c r="Q172" s="24">
        <v>2</v>
      </c>
      <c r="R172" s="24">
        <v>19</v>
      </c>
      <c r="S172" s="24">
        <v>1518.5</v>
      </c>
      <c r="T172" s="24">
        <v>1518.5</v>
      </c>
      <c r="U172" s="24">
        <v>1131</v>
      </c>
      <c r="V172" s="24">
        <v>387.5</v>
      </c>
      <c r="W172" s="24" t="s">
        <v>528</v>
      </c>
      <c r="X172" s="24" t="s">
        <v>528</v>
      </c>
      <c r="Y172" s="24" t="s">
        <v>529</v>
      </c>
      <c r="Z172" s="102" t="s">
        <v>528</v>
      </c>
      <c r="AA172" s="24" t="s">
        <v>528</v>
      </c>
      <c r="AB172" s="24" t="s">
        <v>528</v>
      </c>
      <c r="AC172" s="24" t="s">
        <v>528</v>
      </c>
      <c r="AD172" s="24" t="s">
        <v>528</v>
      </c>
      <c r="AE172" s="24" t="s">
        <v>529</v>
      </c>
      <c r="AF172" s="24">
        <v>0</v>
      </c>
      <c r="AG172" s="24">
        <v>0</v>
      </c>
      <c r="AH172" s="24">
        <v>1</v>
      </c>
      <c r="AI172" s="24">
        <v>0</v>
      </c>
      <c r="AJ172" s="24">
        <v>1</v>
      </c>
      <c r="AK172" s="24">
        <v>0</v>
      </c>
      <c r="AL172" s="24"/>
    </row>
    <row r="173" spans="1:38" ht="31.2" x14ac:dyDescent="0.3">
      <c r="A173" s="53">
        <v>166</v>
      </c>
      <c r="B173" s="24" t="s">
        <v>544</v>
      </c>
      <c r="C173" s="24" t="s">
        <v>555</v>
      </c>
      <c r="D173" s="82" t="s">
        <v>739</v>
      </c>
      <c r="E173" s="24">
        <v>24</v>
      </c>
      <c r="F173" s="24" t="s">
        <v>200</v>
      </c>
      <c r="G173" s="24"/>
      <c r="H173" s="24" t="s">
        <v>761</v>
      </c>
      <c r="I173" s="30" t="s">
        <v>548</v>
      </c>
      <c r="J173" s="24"/>
      <c r="K173" s="24" t="s">
        <v>549</v>
      </c>
      <c r="L173" s="24" t="s">
        <v>549</v>
      </c>
      <c r="M173" s="24">
        <v>1896</v>
      </c>
      <c r="N173" s="24" t="s">
        <v>550</v>
      </c>
      <c r="O173" s="24">
        <v>4</v>
      </c>
      <c r="P173" s="24">
        <v>0</v>
      </c>
      <c r="Q173" s="24">
        <v>3</v>
      </c>
      <c r="R173" s="24">
        <v>19</v>
      </c>
      <c r="S173" s="24">
        <v>2095.5</v>
      </c>
      <c r="T173" s="24">
        <v>2095.5</v>
      </c>
      <c r="U173" s="24">
        <v>1609.5</v>
      </c>
      <c r="V173" s="24">
        <v>486</v>
      </c>
      <c r="W173" s="24" t="s">
        <v>528</v>
      </c>
      <c r="X173" s="24" t="s">
        <v>528</v>
      </c>
      <c r="Y173" s="24" t="s">
        <v>529</v>
      </c>
      <c r="Z173" s="102" t="s">
        <v>528</v>
      </c>
      <c r="AA173" s="24" t="s">
        <v>528</v>
      </c>
      <c r="AB173" s="24" t="s">
        <v>528</v>
      </c>
      <c r="AC173" s="24" t="s">
        <v>528</v>
      </c>
      <c r="AD173" s="24" t="s">
        <v>528</v>
      </c>
      <c r="AE173" s="24" t="s">
        <v>529</v>
      </c>
      <c r="AF173" s="24">
        <v>1</v>
      </c>
      <c r="AG173" s="24">
        <v>0</v>
      </c>
      <c r="AH173" s="24">
        <v>1</v>
      </c>
      <c r="AI173" s="24">
        <v>0</v>
      </c>
      <c r="AJ173" s="24">
        <v>1</v>
      </c>
      <c r="AK173" s="24">
        <v>0</v>
      </c>
      <c r="AL173" s="24"/>
    </row>
    <row r="174" spans="1:38" ht="31.2" x14ac:dyDescent="0.3">
      <c r="A174" s="53">
        <v>167</v>
      </c>
      <c r="B174" s="24" t="s">
        <v>544</v>
      </c>
      <c r="C174" s="24" t="s">
        <v>555</v>
      </c>
      <c r="D174" s="82" t="s">
        <v>739</v>
      </c>
      <c r="E174" s="24">
        <v>24</v>
      </c>
      <c r="F174" s="24" t="s">
        <v>205</v>
      </c>
      <c r="G174" s="24"/>
      <c r="H174" s="24" t="s">
        <v>762</v>
      </c>
      <c r="I174" s="30" t="s">
        <v>548</v>
      </c>
      <c r="J174" s="24" t="s">
        <v>763</v>
      </c>
      <c r="K174" s="24" t="s">
        <v>549</v>
      </c>
      <c r="L174" s="24" t="s">
        <v>549</v>
      </c>
      <c r="M174" s="24">
        <v>1911</v>
      </c>
      <c r="N174" s="24" t="s">
        <v>550</v>
      </c>
      <c r="O174" s="24">
        <v>5</v>
      </c>
      <c r="P174" s="24">
        <v>0</v>
      </c>
      <c r="Q174" s="24">
        <v>4</v>
      </c>
      <c r="R174" s="24">
        <v>16</v>
      </c>
      <c r="S174" s="24"/>
      <c r="T174" s="24"/>
      <c r="U174" s="24"/>
      <c r="V174" s="24"/>
      <c r="W174" s="24" t="s">
        <v>529</v>
      </c>
      <c r="X174" s="24" t="s">
        <v>529</v>
      </c>
      <c r="Y174" s="24" t="s">
        <v>529</v>
      </c>
      <c r="Z174" s="102" t="s">
        <v>529</v>
      </c>
      <c r="AA174" s="24" t="s">
        <v>529</v>
      </c>
      <c r="AB174" s="24" t="s">
        <v>528</v>
      </c>
      <c r="AC174" s="24" t="s">
        <v>528</v>
      </c>
      <c r="AD174" s="24" t="s">
        <v>528</v>
      </c>
      <c r="AE174" s="24" t="s">
        <v>529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24">
        <v>0</v>
      </c>
      <c r="AL174" s="24"/>
    </row>
    <row r="175" spans="1:38" ht="31.2" x14ac:dyDescent="0.3">
      <c r="A175" s="53">
        <v>168</v>
      </c>
      <c r="B175" s="24" t="s">
        <v>544</v>
      </c>
      <c r="C175" s="24" t="s">
        <v>555</v>
      </c>
      <c r="D175" s="82" t="s">
        <v>739</v>
      </c>
      <c r="E175" s="24">
        <v>24</v>
      </c>
      <c r="F175" s="24" t="s">
        <v>206</v>
      </c>
      <c r="G175" s="24"/>
      <c r="H175" s="24" t="s">
        <v>764</v>
      </c>
      <c r="I175" s="30" t="s">
        <v>548</v>
      </c>
      <c r="J175" s="24"/>
      <c r="K175" s="24" t="s">
        <v>549</v>
      </c>
      <c r="L175" s="24" t="s">
        <v>549</v>
      </c>
      <c r="M175" s="24">
        <v>1911</v>
      </c>
      <c r="N175" s="24" t="s">
        <v>550</v>
      </c>
      <c r="O175" s="24">
        <v>5</v>
      </c>
      <c r="P175" s="24">
        <v>0</v>
      </c>
      <c r="Q175" s="24">
        <v>3</v>
      </c>
      <c r="R175" s="24">
        <v>12</v>
      </c>
      <c r="S175" s="24">
        <v>2214.1999999999998</v>
      </c>
      <c r="T175" s="24">
        <v>2214.1999999999998</v>
      </c>
      <c r="U175" s="24">
        <v>1763.2</v>
      </c>
      <c r="V175" s="24">
        <v>451</v>
      </c>
      <c r="W175" s="24" t="s">
        <v>528</v>
      </c>
      <c r="X175" s="24" t="s">
        <v>528</v>
      </c>
      <c r="Y175" s="24" t="s">
        <v>529</v>
      </c>
      <c r="Z175" s="102" t="s">
        <v>528</v>
      </c>
      <c r="AA175" s="24" t="s">
        <v>528</v>
      </c>
      <c r="AB175" s="24" t="s">
        <v>528</v>
      </c>
      <c r="AC175" s="24" t="s">
        <v>528</v>
      </c>
      <c r="AD175" s="24" t="s">
        <v>528</v>
      </c>
      <c r="AE175" s="24" t="s">
        <v>529</v>
      </c>
      <c r="AF175" s="24">
        <v>1</v>
      </c>
      <c r="AG175" s="24">
        <v>0</v>
      </c>
      <c r="AH175" s="24">
        <v>1</v>
      </c>
      <c r="AI175" s="24">
        <v>0</v>
      </c>
      <c r="AJ175" s="24">
        <v>0</v>
      </c>
      <c r="AK175" s="24">
        <v>0</v>
      </c>
      <c r="AL175" s="24"/>
    </row>
    <row r="176" spans="1:38" ht="31.2" x14ac:dyDescent="0.3">
      <c r="A176" s="53">
        <v>169</v>
      </c>
      <c r="B176" s="24" t="s">
        <v>544</v>
      </c>
      <c r="C176" s="24" t="s">
        <v>545</v>
      </c>
      <c r="D176" s="82" t="s">
        <v>739</v>
      </c>
      <c r="E176" s="24" t="s">
        <v>765</v>
      </c>
      <c r="F176" s="24" t="s">
        <v>200</v>
      </c>
      <c r="G176" s="24"/>
      <c r="H176" s="24" t="s">
        <v>766</v>
      </c>
      <c r="I176" s="30" t="s">
        <v>548</v>
      </c>
      <c r="J176" s="24"/>
      <c r="K176" s="24" t="s">
        <v>549</v>
      </c>
      <c r="L176" s="24" t="s">
        <v>549</v>
      </c>
      <c r="M176" s="24">
        <v>1953</v>
      </c>
      <c r="N176" s="24" t="s">
        <v>550</v>
      </c>
      <c r="O176" s="24">
        <v>5</v>
      </c>
      <c r="P176" s="24">
        <v>0</v>
      </c>
      <c r="Q176" s="24">
        <v>8</v>
      </c>
      <c r="R176" s="24">
        <v>94</v>
      </c>
      <c r="S176" s="24">
        <v>12468</v>
      </c>
      <c r="T176" s="24">
        <v>12468</v>
      </c>
      <c r="U176" s="24">
        <v>11007</v>
      </c>
      <c r="V176" s="24">
        <v>1461</v>
      </c>
      <c r="W176" s="24" t="s">
        <v>528</v>
      </c>
      <c r="X176" s="24" t="s">
        <v>528</v>
      </c>
      <c r="Y176" s="24" t="s">
        <v>528</v>
      </c>
      <c r="Z176" s="102" t="s">
        <v>528</v>
      </c>
      <c r="AA176" s="24" t="s">
        <v>528</v>
      </c>
      <c r="AB176" s="24" t="s">
        <v>528</v>
      </c>
      <c r="AC176" s="24" t="s">
        <v>529</v>
      </c>
      <c r="AD176" s="24" t="s">
        <v>528</v>
      </c>
      <c r="AE176" s="24" t="s">
        <v>529</v>
      </c>
      <c r="AF176" s="24">
        <v>7</v>
      </c>
      <c r="AG176" s="24">
        <v>0</v>
      </c>
      <c r="AH176" s="24">
        <v>1</v>
      </c>
      <c r="AI176" s="24">
        <v>1</v>
      </c>
      <c r="AJ176" s="24">
        <v>1</v>
      </c>
      <c r="AK176" s="24">
        <v>0</v>
      </c>
      <c r="AL176" s="24"/>
    </row>
    <row r="177" spans="1:38" ht="31.2" x14ac:dyDescent="0.3">
      <c r="A177" s="53">
        <v>170</v>
      </c>
      <c r="B177" s="24" t="s">
        <v>544</v>
      </c>
      <c r="C177" s="24" t="s">
        <v>545</v>
      </c>
      <c r="D177" s="82" t="s">
        <v>739</v>
      </c>
      <c r="E177" s="24">
        <v>27</v>
      </c>
      <c r="F177" s="24"/>
      <c r="G177" s="24"/>
      <c r="H177" s="24" t="s">
        <v>767</v>
      </c>
      <c r="I177" s="30" t="s">
        <v>548</v>
      </c>
      <c r="J177" s="24" t="s">
        <v>558</v>
      </c>
      <c r="K177" s="24" t="s">
        <v>549</v>
      </c>
      <c r="L177" s="24" t="s">
        <v>549</v>
      </c>
      <c r="M177" s="24">
        <v>1911</v>
      </c>
      <c r="N177" s="24" t="s">
        <v>550</v>
      </c>
      <c r="O177" s="24">
        <v>6</v>
      </c>
      <c r="P177" s="24">
        <v>0</v>
      </c>
      <c r="Q177" s="24">
        <v>7</v>
      </c>
      <c r="R177" s="24">
        <v>53</v>
      </c>
      <c r="S177" s="24">
        <v>7030.1</v>
      </c>
      <c r="T177" s="24">
        <v>7030.1</v>
      </c>
      <c r="U177" s="24">
        <v>6313</v>
      </c>
      <c r="V177" s="24">
        <v>717.1</v>
      </c>
      <c r="W177" s="24" t="s">
        <v>528</v>
      </c>
      <c r="X177" s="24" t="s">
        <v>528</v>
      </c>
      <c r="Y177" s="24" t="s">
        <v>528</v>
      </c>
      <c r="Z177" s="102" t="s">
        <v>528</v>
      </c>
      <c r="AA177" s="24" t="s">
        <v>528</v>
      </c>
      <c r="AB177" s="24" t="s">
        <v>528</v>
      </c>
      <c r="AC177" s="24" t="s">
        <v>529</v>
      </c>
      <c r="AD177" s="24" t="s">
        <v>528</v>
      </c>
      <c r="AE177" s="24" t="s">
        <v>529</v>
      </c>
      <c r="AF177" s="24">
        <v>3</v>
      </c>
      <c r="AG177" s="24">
        <v>0</v>
      </c>
      <c r="AH177" s="24">
        <v>1</v>
      </c>
      <c r="AI177" s="24">
        <v>1</v>
      </c>
      <c r="AJ177" s="24">
        <v>1</v>
      </c>
      <c r="AK177" s="24">
        <v>0</v>
      </c>
      <c r="AL177" s="24"/>
    </row>
    <row r="178" spans="1:38" ht="31.2" x14ac:dyDescent="0.3">
      <c r="A178" s="53">
        <v>171</v>
      </c>
      <c r="B178" s="24" t="s">
        <v>544</v>
      </c>
      <c r="C178" s="24" t="s">
        <v>545</v>
      </c>
      <c r="D178" s="82" t="s">
        <v>739</v>
      </c>
      <c r="E178" s="24">
        <v>29</v>
      </c>
      <c r="F178" s="24" t="s">
        <v>200</v>
      </c>
      <c r="G178" s="24"/>
      <c r="H178" s="24" t="s">
        <v>768</v>
      </c>
      <c r="I178" s="30" t="s">
        <v>548</v>
      </c>
      <c r="J178" s="24" t="s">
        <v>558</v>
      </c>
      <c r="K178" s="24" t="s">
        <v>549</v>
      </c>
      <c r="L178" s="24" t="s">
        <v>549</v>
      </c>
      <c r="M178" s="24">
        <v>1902</v>
      </c>
      <c r="N178" s="24" t="s">
        <v>550</v>
      </c>
      <c r="O178" s="24">
        <v>6</v>
      </c>
      <c r="P178" s="24">
        <v>0</v>
      </c>
      <c r="Q178" s="24">
        <v>8</v>
      </c>
      <c r="R178" s="24">
        <v>65</v>
      </c>
      <c r="S178" s="24">
        <v>7861.2999999999993</v>
      </c>
      <c r="T178" s="24">
        <v>7861.2999999999993</v>
      </c>
      <c r="U178" s="24">
        <v>7005.9</v>
      </c>
      <c r="V178" s="24">
        <v>855.4</v>
      </c>
      <c r="W178" s="24" t="s">
        <v>528</v>
      </c>
      <c r="X178" s="24" t="s">
        <v>528</v>
      </c>
      <c r="Y178" s="24" t="s">
        <v>528</v>
      </c>
      <c r="Z178" s="102" t="s">
        <v>528</v>
      </c>
      <c r="AA178" s="24" t="s">
        <v>528</v>
      </c>
      <c r="AB178" s="24" t="s">
        <v>528</v>
      </c>
      <c r="AC178" s="24" t="s">
        <v>529</v>
      </c>
      <c r="AD178" s="24" t="s">
        <v>528</v>
      </c>
      <c r="AE178" s="24" t="s">
        <v>529</v>
      </c>
      <c r="AF178" s="24">
        <v>4</v>
      </c>
      <c r="AG178" s="24">
        <v>0</v>
      </c>
      <c r="AH178" s="24">
        <v>1</v>
      </c>
      <c r="AI178" s="24">
        <v>1</v>
      </c>
      <c r="AJ178" s="24">
        <v>1</v>
      </c>
      <c r="AK178" s="24">
        <v>0</v>
      </c>
      <c r="AL178" s="24"/>
    </row>
    <row r="179" spans="1:38" ht="31.2" x14ac:dyDescent="0.3">
      <c r="A179" s="53">
        <v>172</v>
      </c>
      <c r="B179" s="24" t="s">
        <v>544</v>
      </c>
      <c r="C179" s="24" t="s">
        <v>545</v>
      </c>
      <c r="D179" s="82" t="s">
        <v>739</v>
      </c>
      <c r="E179" s="24" t="s">
        <v>769</v>
      </c>
      <c r="F179" s="24"/>
      <c r="G179" s="24"/>
      <c r="H179" s="24" t="s">
        <v>770</v>
      </c>
      <c r="I179" s="30" t="s">
        <v>548</v>
      </c>
      <c r="J179" s="24"/>
      <c r="K179" s="24" t="s">
        <v>549</v>
      </c>
      <c r="L179" s="24" t="s">
        <v>549</v>
      </c>
      <c r="M179" s="24">
        <v>1916</v>
      </c>
      <c r="N179" s="24" t="s">
        <v>550</v>
      </c>
      <c r="O179" s="24">
        <v>6</v>
      </c>
      <c r="P179" s="24">
        <v>0</v>
      </c>
      <c r="Q179" s="24">
        <v>6</v>
      </c>
      <c r="R179" s="24">
        <v>42</v>
      </c>
      <c r="S179" s="24">
        <v>8490.5</v>
      </c>
      <c r="T179" s="24">
        <v>8490.5</v>
      </c>
      <c r="U179" s="24">
        <v>5123</v>
      </c>
      <c r="V179" s="24">
        <v>3367.5</v>
      </c>
      <c r="W179" s="24" t="s">
        <v>528</v>
      </c>
      <c r="X179" s="24" t="s">
        <v>528</v>
      </c>
      <c r="Y179" s="24" t="s">
        <v>528</v>
      </c>
      <c r="Z179" s="102" t="s">
        <v>528</v>
      </c>
      <c r="AA179" s="24" t="s">
        <v>528</v>
      </c>
      <c r="AB179" s="24" t="s">
        <v>528</v>
      </c>
      <c r="AC179" s="24" t="s">
        <v>529</v>
      </c>
      <c r="AD179" s="24" t="s">
        <v>528</v>
      </c>
      <c r="AE179" s="24" t="s">
        <v>529</v>
      </c>
      <c r="AF179" s="24">
        <v>3</v>
      </c>
      <c r="AG179" s="24">
        <v>0</v>
      </c>
      <c r="AH179" s="24">
        <v>1</v>
      </c>
      <c r="AI179" s="24">
        <v>1</v>
      </c>
      <c r="AJ179" s="24">
        <v>1</v>
      </c>
      <c r="AK179" s="24">
        <v>0</v>
      </c>
      <c r="AL179" s="24"/>
    </row>
    <row r="180" spans="1:38" ht="31.2" x14ac:dyDescent="0.3">
      <c r="A180" s="53">
        <v>173</v>
      </c>
      <c r="B180" s="24" t="s">
        <v>544</v>
      </c>
      <c r="C180" s="24" t="s">
        <v>545</v>
      </c>
      <c r="D180" s="82" t="s">
        <v>739</v>
      </c>
      <c r="E180" s="24" t="s">
        <v>771</v>
      </c>
      <c r="F180" s="24" t="s">
        <v>200</v>
      </c>
      <c r="G180" s="24"/>
      <c r="H180" s="24" t="s">
        <v>772</v>
      </c>
      <c r="I180" s="30" t="s">
        <v>548</v>
      </c>
      <c r="J180" s="24" t="s">
        <v>558</v>
      </c>
      <c r="K180" s="24" t="s">
        <v>549</v>
      </c>
      <c r="L180" s="24" t="s">
        <v>549</v>
      </c>
      <c r="M180" s="24">
        <v>1910</v>
      </c>
      <c r="N180" s="24" t="s">
        <v>550</v>
      </c>
      <c r="O180" s="24">
        <v>7</v>
      </c>
      <c r="P180" s="24">
        <v>0</v>
      </c>
      <c r="Q180" s="24">
        <v>6</v>
      </c>
      <c r="R180" s="24">
        <v>40</v>
      </c>
      <c r="S180" s="24">
        <v>8778</v>
      </c>
      <c r="T180" s="24">
        <v>8778</v>
      </c>
      <c r="U180" s="24">
        <v>6728</v>
      </c>
      <c r="V180" s="24">
        <v>2050</v>
      </c>
      <c r="W180" s="24" t="s">
        <v>528</v>
      </c>
      <c r="X180" s="24" t="s">
        <v>528</v>
      </c>
      <c r="Y180" s="24" t="s">
        <v>529</v>
      </c>
      <c r="Z180" s="102" t="s">
        <v>528</v>
      </c>
      <c r="AA180" s="24" t="s">
        <v>528</v>
      </c>
      <c r="AB180" s="24" t="s">
        <v>528</v>
      </c>
      <c r="AC180" s="24" t="s">
        <v>528</v>
      </c>
      <c r="AD180" s="24" t="s">
        <v>528</v>
      </c>
      <c r="AE180" s="24" t="s">
        <v>529</v>
      </c>
      <c r="AF180" s="24">
        <v>3</v>
      </c>
      <c r="AG180" s="24">
        <v>0</v>
      </c>
      <c r="AH180" s="24">
        <v>1</v>
      </c>
      <c r="AI180" s="24">
        <v>0</v>
      </c>
      <c r="AJ180" s="24">
        <v>1</v>
      </c>
      <c r="AK180" s="24">
        <v>0</v>
      </c>
      <c r="AL180" s="24"/>
    </row>
    <row r="181" spans="1:38" ht="31.2" x14ac:dyDescent="0.3">
      <c r="A181" s="53">
        <v>174</v>
      </c>
      <c r="B181" s="24" t="s">
        <v>544</v>
      </c>
      <c r="C181" s="24" t="s">
        <v>545</v>
      </c>
      <c r="D181" s="82" t="s">
        <v>739</v>
      </c>
      <c r="E181" s="24">
        <v>39</v>
      </c>
      <c r="F181" s="24" t="s">
        <v>200</v>
      </c>
      <c r="G181" s="24"/>
      <c r="H181" s="24" t="s">
        <v>773</v>
      </c>
      <c r="I181" s="30" t="s">
        <v>548</v>
      </c>
      <c r="J181" s="24" t="s">
        <v>558</v>
      </c>
      <c r="K181" s="24" t="s">
        <v>549</v>
      </c>
      <c r="L181" s="24" t="s">
        <v>549</v>
      </c>
      <c r="M181" s="24">
        <v>1914</v>
      </c>
      <c r="N181" s="24" t="s">
        <v>550</v>
      </c>
      <c r="O181" s="24">
        <v>6</v>
      </c>
      <c r="P181" s="24">
        <v>0</v>
      </c>
      <c r="Q181" s="24">
        <v>6</v>
      </c>
      <c r="R181" s="24">
        <v>58</v>
      </c>
      <c r="S181" s="24">
        <v>8122.5</v>
      </c>
      <c r="T181" s="24">
        <v>8122.5</v>
      </c>
      <c r="U181" s="24">
        <v>6153.5</v>
      </c>
      <c r="V181" s="24">
        <v>1969</v>
      </c>
      <c r="W181" s="24" t="s">
        <v>528</v>
      </c>
      <c r="X181" s="24" t="s">
        <v>528</v>
      </c>
      <c r="Y181" s="24" t="s">
        <v>528</v>
      </c>
      <c r="Z181" s="102" t="s">
        <v>528</v>
      </c>
      <c r="AA181" s="24" t="s">
        <v>528</v>
      </c>
      <c r="AB181" s="24" t="s">
        <v>528</v>
      </c>
      <c r="AC181" s="24" t="s">
        <v>529</v>
      </c>
      <c r="AD181" s="24" t="s">
        <v>528</v>
      </c>
      <c r="AE181" s="24" t="s">
        <v>529</v>
      </c>
      <c r="AF181" s="24">
        <v>3</v>
      </c>
      <c r="AG181" s="24">
        <v>0</v>
      </c>
      <c r="AH181" s="24">
        <v>1</v>
      </c>
      <c r="AI181" s="24">
        <v>1</v>
      </c>
      <c r="AJ181" s="24">
        <v>1</v>
      </c>
      <c r="AK181" s="24">
        <v>0</v>
      </c>
      <c r="AL181" s="24"/>
    </row>
    <row r="182" spans="1:38" ht="31.2" x14ac:dyDescent="0.3">
      <c r="A182" s="53">
        <v>175</v>
      </c>
      <c r="B182" s="24" t="s">
        <v>544</v>
      </c>
      <c r="C182" s="24" t="s">
        <v>545</v>
      </c>
      <c r="D182" s="82" t="s">
        <v>739</v>
      </c>
      <c r="E182" s="24">
        <v>41</v>
      </c>
      <c r="F182" s="24" t="s">
        <v>200</v>
      </c>
      <c r="G182" s="24"/>
      <c r="H182" s="24" t="s">
        <v>774</v>
      </c>
      <c r="I182" s="30" t="s">
        <v>548</v>
      </c>
      <c r="J182" s="24"/>
      <c r="K182" s="24" t="s">
        <v>549</v>
      </c>
      <c r="L182" s="24" t="s">
        <v>549</v>
      </c>
      <c r="M182" s="24">
        <v>1970</v>
      </c>
      <c r="N182" s="24" t="s">
        <v>550</v>
      </c>
      <c r="O182" s="24">
        <v>6</v>
      </c>
      <c r="P182" s="24">
        <v>0</v>
      </c>
      <c r="Q182" s="24">
        <v>3</v>
      </c>
      <c r="R182" s="24">
        <v>55</v>
      </c>
      <c r="S182" s="24">
        <v>3465</v>
      </c>
      <c r="T182" s="24">
        <v>3465</v>
      </c>
      <c r="U182" s="24">
        <v>2680</v>
      </c>
      <c r="V182" s="24">
        <v>785</v>
      </c>
      <c r="W182" s="24" t="s">
        <v>528</v>
      </c>
      <c r="X182" s="24" t="s">
        <v>528</v>
      </c>
      <c r="Y182" s="24" t="s">
        <v>528</v>
      </c>
      <c r="Z182" s="102" t="s">
        <v>528</v>
      </c>
      <c r="AA182" s="24" t="s">
        <v>528</v>
      </c>
      <c r="AB182" s="24" t="s">
        <v>528</v>
      </c>
      <c r="AC182" s="24" t="s">
        <v>529</v>
      </c>
      <c r="AD182" s="24" t="s">
        <v>528</v>
      </c>
      <c r="AE182" s="24" t="s">
        <v>529</v>
      </c>
      <c r="AF182" s="24">
        <v>3</v>
      </c>
      <c r="AG182" s="24">
        <v>0</v>
      </c>
      <c r="AH182" s="24">
        <v>1</v>
      </c>
      <c r="AI182" s="24">
        <v>1</v>
      </c>
      <c r="AJ182" s="24">
        <v>1</v>
      </c>
      <c r="AK182" s="24">
        <v>0</v>
      </c>
      <c r="AL182" s="24"/>
    </row>
    <row r="183" spans="1:38" ht="31.2" x14ac:dyDescent="0.3">
      <c r="A183" s="53">
        <v>176</v>
      </c>
      <c r="B183" s="24" t="s">
        <v>544</v>
      </c>
      <c r="C183" s="24" t="s">
        <v>545</v>
      </c>
      <c r="D183" s="82" t="s">
        <v>739</v>
      </c>
      <c r="E183" s="24" t="s">
        <v>775</v>
      </c>
      <c r="F183" s="24" t="s">
        <v>200</v>
      </c>
      <c r="G183" s="24"/>
      <c r="H183" s="24" t="s">
        <v>776</v>
      </c>
      <c r="I183" s="30" t="s">
        <v>548</v>
      </c>
      <c r="J183" s="24" t="s">
        <v>558</v>
      </c>
      <c r="K183" s="24" t="s">
        <v>549</v>
      </c>
      <c r="L183" s="24" t="s">
        <v>549</v>
      </c>
      <c r="M183" s="24">
        <v>1955</v>
      </c>
      <c r="N183" s="24" t="s">
        <v>550</v>
      </c>
      <c r="O183" s="24">
        <v>5</v>
      </c>
      <c r="P183" s="24">
        <v>0</v>
      </c>
      <c r="Q183" s="24">
        <v>7</v>
      </c>
      <c r="R183" s="24">
        <v>76</v>
      </c>
      <c r="S183" s="24">
        <v>6926.2999999999993</v>
      </c>
      <c r="T183" s="24">
        <v>6926.2999999999993</v>
      </c>
      <c r="U183" s="24">
        <v>5384.9</v>
      </c>
      <c r="V183" s="24">
        <v>1541.4</v>
      </c>
      <c r="W183" s="24" t="s">
        <v>528</v>
      </c>
      <c r="X183" s="24" t="s">
        <v>528</v>
      </c>
      <c r="Y183" s="24" t="s">
        <v>529</v>
      </c>
      <c r="Z183" s="102" t="s">
        <v>528</v>
      </c>
      <c r="AA183" s="24" t="s">
        <v>528</v>
      </c>
      <c r="AB183" s="24" t="s">
        <v>528</v>
      </c>
      <c r="AC183" s="24" t="s">
        <v>528</v>
      </c>
      <c r="AD183" s="24" t="s">
        <v>528</v>
      </c>
      <c r="AE183" s="24" t="s">
        <v>529</v>
      </c>
      <c r="AF183" s="24">
        <v>0</v>
      </c>
      <c r="AG183" s="24">
        <v>0</v>
      </c>
      <c r="AH183" s="24">
        <v>2</v>
      </c>
      <c r="AI183" s="24">
        <v>0</v>
      </c>
      <c r="AJ183" s="24">
        <v>1</v>
      </c>
      <c r="AK183" s="24">
        <v>0</v>
      </c>
      <c r="AL183" s="24"/>
    </row>
    <row r="184" spans="1:38" ht="31.2" x14ac:dyDescent="0.3">
      <c r="A184" s="53">
        <v>177</v>
      </c>
      <c r="B184" s="24" t="s">
        <v>544</v>
      </c>
      <c r="C184" s="24" t="s">
        <v>545</v>
      </c>
      <c r="D184" s="82" t="s">
        <v>739</v>
      </c>
      <c r="E184" s="24">
        <v>43</v>
      </c>
      <c r="F184" s="24" t="s">
        <v>200</v>
      </c>
      <c r="G184" s="24"/>
      <c r="H184" s="24" t="s">
        <v>777</v>
      </c>
      <c r="I184" s="30" t="s">
        <v>548</v>
      </c>
      <c r="J184" s="24"/>
      <c r="K184" s="24" t="s">
        <v>549</v>
      </c>
      <c r="L184" s="24" t="s">
        <v>549</v>
      </c>
      <c r="M184" s="24">
        <v>1898</v>
      </c>
      <c r="N184" s="24" t="s">
        <v>550</v>
      </c>
      <c r="O184" s="24">
        <v>5</v>
      </c>
      <c r="P184" s="24">
        <v>0</v>
      </c>
      <c r="Q184" s="24">
        <v>2</v>
      </c>
      <c r="R184" s="24">
        <v>12</v>
      </c>
      <c r="S184" s="24">
        <v>1967.5</v>
      </c>
      <c r="T184" s="24">
        <v>1967.5</v>
      </c>
      <c r="U184" s="24">
        <v>1606.5</v>
      </c>
      <c r="V184" s="24">
        <v>361</v>
      </c>
      <c r="W184" s="24" t="s">
        <v>528</v>
      </c>
      <c r="X184" s="24" t="s">
        <v>528</v>
      </c>
      <c r="Y184" s="24" t="s">
        <v>529</v>
      </c>
      <c r="Z184" s="102" t="s">
        <v>528</v>
      </c>
      <c r="AA184" s="24" t="s">
        <v>528</v>
      </c>
      <c r="AB184" s="24" t="s">
        <v>528</v>
      </c>
      <c r="AC184" s="24" t="s">
        <v>528</v>
      </c>
      <c r="AD184" s="24" t="s">
        <v>528</v>
      </c>
      <c r="AE184" s="24" t="s">
        <v>529</v>
      </c>
      <c r="AF184" s="24">
        <v>0</v>
      </c>
      <c r="AG184" s="24">
        <v>0</v>
      </c>
      <c r="AH184" s="24">
        <v>1</v>
      </c>
      <c r="AI184" s="24">
        <v>0</v>
      </c>
      <c r="AJ184" s="24">
        <v>0</v>
      </c>
      <c r="AK184" s="24">
        <v>0</v>
      </c>
      <c r="AL184" s="24"/>
    </row>
    <row r="185" spans="1:38" ht="31.2" x14ac:dyDescent="0.3">
      <c r="A185" s="53">
        <v>178</v>
      </c>
      <c r="B185" s="24" t="s">
        <v>544</v>
      </c>
      <c r="C185" s="24" t="s">
        <v>545</v>
      </c>
      <c r="D185" s="82" t="s">
        <v>739</v>
      </c>
      <c r="E185" s="24" t="s">
        <v>778</v>
      </c>
      <c r="F185" s="24" t="s">
        <v>200</v>
      </c>
      <c r="G185" s="24"/>
      <c r="H185" s="24" t="s">
        <v>779</v>
      </c>
      <c r="I185" s="30" t="s">
        <v>548</v>
      </c>
      <c r="J185" s="24" t="s">
        <v>558</v>
      </c>
      <c r="K185" s="24" t="s">
        <v>549</v>
      </c>
      <c r="L185" s="24" t="s">
        <v>549</v>
      </c>
      <c r="M185" s="24">
        <v>1913</v>
      </c>
      <c r="N185" s="24" t="s">
        <v>550</v>
      </c>
      <c r="O185" s="24">
        <v>6</v>
      </c>
      <c r="P185" s="24">
        <v>0</v>
      </c>
      <c r="Q185" s="24">
        <v>7</v>
      </c>
      <c r="R185" s="24">
        <v>42</v>
      </c>
      <c r="S185" s="24">
        <v>8284.4</v>
      </c>
      <c r="T185" s="24">
        <v>8284.4</v>
      </c>
      <c r="U185" s="24">
        <v>8012</v>
      </c>
      <c r="V185" s="24">
        <v>272.39999999999998</v>
      </c>
      <c r="W185" s="24" t="s">
        <v>528</v>
      </c>
      <c r="X185" s="24" t="s">
        <v>528</v>
      </c>
      <c r="Y185" s="24" t="s">
        <v>529</v>
      </c>
      <c r="Z185" s="102" t="s">
        <v>528</v>
      </c>
      <c r="AA185" s="24" t="s">
        <v>528</v>
      </c>
      <c r="AB185" s="24" t="s">
        <v>528</v>
      </c>
      <c r="AC185" s="24" t="s">
        <v>528</v>
      </c>
      <c r="AD185" s="24" t="s">
        <v>528</v>
      </c>
      <c r="AE185" s="24" t="s">
        <v>529</v>
      </c>
      <c r="AF185" s="24">
        <v>3</v>
      </c>
      <c r="AG185" s="24">
        <v>0</v>
      </c>
      <c r="AH185" s="24">
        <v>1</v>
      </c>
      <c r="AI185" s="24">
        <v>0</v>
      </c>
      <c r="AJ185" s="24">
        <v>1</v>
      </c>
      <c r="AK185" s="24">
        <v>0</v>
      </c>
      <c r="AL185" s="24"/>
    </row>
    <row r="186" spans="1:38" ht="31.2" x14ac:dyDescent="0.3">
      <c r="A186" s="53">
        <v>179</v>
      </c>
      <c r="B186" s="24" t="s">
        <v>544</v>
      </c>
      <c r="C186" s="24" t="s">
        <v>545</v>
      </c>
      <c r="D186" s="82" t="s">
        <v>739</v>
      </c>
      <c r="E186" s="24" t="s">
        <v>780</v>
      </c>
      <c r="F186" s="24" t="s">
        <v>205</v>
      </c>
      <c r="G186" s="24"/>
      <c r="H186" s="24" t="s">
        <v>781</v>
      </c>
      <c r="I186" s="30" t="s">
        <v>548</v>
      </c>
      <c r="J186" s="24"/>
      <c r="K186" s="24" t="s">
        <v>549</v>
      </c>
      <c r="L186" s="24" t="s">
        <v>549</v>
      </c>
      <c r="M186" s="24">
        <v>1893</v>
      </c>
      <c r="N186" s="24" t="s">
        <v>550</v>
      </c>
      <c r="O186" s="24">
        <v>5</v>
      </c>
      <c r="P186" s="24">
        <v>0</v>
      </c>
      <c r="Q186" s="24">
        <v>4</v>
      </c>
      <c r="R186" s="24">
        <v>28</v>
      </c>
      <c r="S186" s="24">
        <v>4081.1</v>
      </c>
      <c r="T186" s="24">
        <v>4081.1</v>
      </c>
      <c r="U186" s="24">
        <v>2847</v>
      </c>
      <c r="V186" s="24">
        <v>1234.0999999999999</v>
      </c>
      <c r="W186" s="24" t="s">
        <v>528</v>
      </c>
      <c r="X186" s="24" t="s">
        <v>528</v>
      </c>
      <c r="Y186" s="24" t="s">
        <v>529</v>
      </c>
      <c r="Z186" s="102" t="s">
        <v>528</v>
      </c>
      <c r="AA186" s="24" t="s">
        <v>528</v>
      </c>
      <c r="AB186" s="24" t="s">
        <v>528</v>
      </c>
      <c r="AC186" s="24" t="s">
        <v>528</v>
      </c>
      <c r="AD186" s="24" t="s">
        <v>528</v>
      </c>
      <c r="AE186" s="24" t="s">
        <v>529</v>
      </c>
      <c r="AF186" s="24">
        <v>4</v>
      </c>
      <c r="AG186" s="24">
        <v>0</v>
      </c>
      <c r="AH186" s="24">
        <v>1</v>
      </c>
      <c r="AI186" s="24">
        <v>0</v>
      </c>
      <c r="AJ186" s="24">
        <v>1</v>
      </c>
      <c r="AK186" s="24">
        <v>0</v>
      </c>
      <c r="AL186" s="24"/>
    </row>
    <row r="187" spans="1:38" ht="31.2" x14ac:dyDescent="0.3">
      <c r="A187" s="53">
        <v>180</v>
      </c>
      <c r="B187" s="24" t="s">
        <v>544</v>
      </c>
      <c r="C187" s="24" t="s">
        <v>545</v>
      </c>
      <c r="D187" s="82" t="s">
        <v>739</v>
      </c>
      <c r="E187" s="24" t="s">
        <v>782</v>
      </c>
      <c r="F187" s="24" t="s">
        <v>200</v>
      </c>
      <c r="G187" s="24"/>
      <c r="H187" s="24" t="s">
        <v>783</v>
      </c>
      <c r="I187" s="30" t="s">
        <v>548</v>
      </c>
      <c r="J187" s="24"/>
      <c r="K187" s="24" t="s">
        <v>549</v>
      </c>
      <c r="L187" s="24" t="s">
        <v>549</v>
      </c>
      <c r="M187" s="24">
        <v>1897</v>
      </c>
      <c r="N187" s="24" t="s">
        <v>550</v>
      </c>
      <c r="O187" s="24">
        <v>5</v>
      </c>
      <c r="P187" s="24">
        <v>0</v>
      </c>
      <c r="Q187" s="24">
        <v>3</v>
      </c>
      <c r="R187" s="24">
        <v>10</v>
      </c>
      <c r="S187" s="24">
        <v>2455.3000000000002</v>
      </c>
      <c r="T187" s="24">
        <v>2455.3000000000002</v>
      </c>
      <c r="U187" s="24">
        <v>1877.3</v>
      </c>
      <c r="V187" s="24">
        <v>578</v>
      </c>
      <c r="W187" s="24" t="s">
        <v>528</v>
      </c>
      <c r="X187" s="24" t="s">
        <v>528</v>
      </c>
      <c r="Y187" s="24" t="s">
        <v>529</v>
      </c>
      <c r="Z187" s="102" t="s">
        <v>528</v>
      </c>
      <c r="AA187" s="24" t="s">
        <v>528</v>
      </c>
      <c r="AB187" s="24" t="s">
        <v>528</v>
      </c>
      <c r="AC187" s="24" t="s">
        <v>528</v>
      </c>
      <c r="AD187" s="24" t="s">
        <v>528</v>
      </c>
      <c r="AE187" s="24" t="s">
        <v>529</v>
      </c>
      <c r="AF187" s="24">
        <v>0</v>
      </c>
      <c r="AG187" s="24">
        <v>0</v>
      </c>
      <c r="AH187" s="24">
        <v>1</v>
      </c>
      <c r="AI187" s="24">
        <v>0</v>
      </c>
      <c r="AJ187" s="24">
        <v>1</v>
      </c>
      <c r="AK187" s="24">
        <v>0</v>
      </c>
      <c r="AL187" s="24"/>
    </row>
    <row r="188" spans="1:38" ht="31.2" x14ac:dyDescent="0.3">
      <c r="A188" s="53">
        <v>181</v>
      </c>
      <c r="B188" s="24" t="s">
        <v>544</v>
      </c>
      <c r="C188" s="24" t="s">
        <v>545</v>
      </c>
      <c r="D188" s="82" t="s">
        <v>739</v>
      </c>
      <c r="E188" s="24">
        <v>45</v>
      </c>
      <c r="F188" s="24" t="s">
        <v>200</v>
      </c>
      <c r="G188" s="24"/>
      <c r="H188" s="24" t="s">
        <v>784</v>
      </c>
      <c r="I188" s="30" t="s">
        <v>548</v>
      </c>
      <c r="J188" s="24" t="s">
        <v>558</v>
      </c>
      <c r="K188" s="24" t="s">
        <v>549</v>
      </c>
      <c r="L188" s="24" t="s">
        <v>549</v>
      </c>
      <c r="M188" s="24">
        <v>1906</v>
      </c>
      <c r="N188" s="24" t="s">
        <v>550</v>
      </c>
      <c r="O188" s="24">
        <v>6</v>
      </c>
      <c r="P188" s="24">
        <v>0</v>
      </c>
      <c r="Q188" s="24">
        <v>5</v>
      </c>
      <c r="R188" s="24">
        <v>16</v>
      </c>
      <c r="S188" s="24">
        <v>3009.6</v>
      </c>
      <c r="T188" s="24">
        <v>3009.6</v>
      </c>
      <c r="U188" s="24">
        <v>2455</v>
      </c>
      <c r="V188" s="24">
        <v>554.6</v>
      </c>
      <c r="W188" s="24" t="s">
        <v>528</v>
      </c>
      <c r="X188" s="24" t="s">
        <v>528</v>
      </c>
      <c r="Y188" s="24" t="s">
        <v>529</v>
      </c>
      <c r="Z188" s="102" t="s">
        <v>528</v>
      </c>
      <c r="AA188" s="24" t="s">
        <v>528</v>
      </c>
      <c r="AB188" s="24" t="s">
        <v>528</v>
      </c>
      <c r="AC188" s="24" t="s">
        <v>528</v>
      </c>
      <c r="AD188" s="24" t="s">
        <v>528</v>
      </c>
      <c r="AE188" s="24" t="s">
        <v>529</v>
      </c>
      <c r="AF188" s="24">
        <v>0</v>
      </c>
      <c r="AG188" s="24">
        <v>0</v>
      </c>
      <c r="AH188" s="24">
        <v>1</v>
      </c>
      <c r="AI188" s="24">
        <v>0</v>
      </c>
      <c r="AJ188" s="24">
        <v>1</v>
      </c>
      <c r="AK188" s="24">
        <v>0</v>
      </c>
      <c r="AL188" s="24"/>
    </row>
    <row r="189" spans="1:38" ht="31.2" x14ac:dyDescent="0.3">
      <c r="A189" s="53">
        <v>182</v>
      </c>
      <c r="B189" s="24" t="s">
        <v>544</v>
      </c>
      <c r="C189" s="24" t="s">
        <v>545</v>
      </c>
      <c r="D189" s="82" t="s">
        <v>739</v>
      </c>
      <c r="E189" s="24">
        <v>45</v>
      </c>
      <c r="F189" s="24" t="s">
        <v>207</v>
      </c>
      <c r="G189" s="24"/>
      <c r="H189" s="24" t="s">
        <v>785</v>
      </c>
      <c r="I189" s="30" t="s">
        <v>548</v>
      </c>
      <c r="J189" s="24"/>
      <c r="K189" s="24" t="s">
        <v>549</v>
      </c>
      <c r="L189" s="24" t="s">
        <v>549</v>
      </c>
      <c r="M189" s="24">
        <v>1903</v>
      </c>
      <c r="N189" s="24" t="s">
        <v>550</v>
      </c>
      <c r="O189" s="24">
        <v>2</v>
      </c>
      <c r="P189" s="24">
        <v>0</v>
      </c>
      <c r="Q189" s="24">
        <v>1</v>
      </c>
      <c r="R189" s="24">
        <v>4</v>
      </c>
      <c r="S189" s="24">
        <v>418</v>
      </c>
      <c r="T189" s="24">
        <v>418</v>
      </c>
      <c r="U189" s="24">
        <v>277</v>
      </c>
      <c r="V189" s="24">
        <v>141</v>
      </c>
      <c r="W189" s="24" t="s">
        <v>528</v>
      </c>
      <c r="X189" s="24" t="s">
        <v>528</v>
      </c>
      <c r="Y189" s="24" t="s">
        <v>529</v>
      </c>
      <c r="Z189" s="102" t="s">
        <v>528</v>
      </c>
      <c r="AA189" s="24" t="s">
        <v>528</v>
      </c>
      <c r="AB189" s="24" t="s">
        <v>528</v>
      </c>
      <c r="AC189" s="24" t="s">
        <v>528</v>
      </c>
      <c r="AD189" s="24" t="s">
        <v>528</v>
      </c>
      <c r="AE189" s="24" t="s">
        <v>529</v>
      </c>
      <c r="AF189" s="24">
        <v>0</v>
      </c>
      <c r="AG189" s="24">
        <v>0</v>
      </c>
      <c r="AH189" s="24">
        <v>1</v>
      </c>
      <c r="AI189" s="24">
        <v>0</v>
      </c>
      <c r="AJ189" s="24">
        <v>1</v>
      </c>
      <c r="AK189" s="24">
        <v>0</v>
      </c>
      <c r="AL189" s="24"/>
    </row>
    <row r="190" spans="1:38" ht="31.2" x14ac:dyDescent="0.3">
      <c r="A190" s="53">
        <v>183</v>
      </c>
      <c r="B190" s="24" t="s">
        <v>544</v>
      </c>
      <c r="C190" s="24" t="s">
        <v>545</v>
      </c>
      <c r="D190" s="82" t="s">
        <v>739</v>
      </c>
      <c r="E190" s="24">
        <v>47</v>
      </c>
      <c r="F190" s="24" t="s">
        <v>200</v>
      </c>
      <c r="G190" s="24"/>
      <c r="H190" s="24" t="s">
        <v>786</v>
      </c>
      <c r="I190" s="30" t="s">
        <v>548</v>
      </c>
      <c r="J190" s="24"/>
      <c r="K190" s="24" t="s">
        <v>549</v>
      </c>
      <c r="L190" s="24" t="s">
        <v>549</v>
      </c>
      <c r="M190" s="24">
        <v>1952</v>
      </c>
      <c r="N190" s="24" t="s">
        <v>550</v>
      </c>
      <c r="O190" s="24">
        <v>5</v>
      </c>
      <c r="P190" s="24">
        <v>0</v>
      </c>
      <c r="Q190" s="24">
        <v>2</v>
      </c>
      <c r="R190" s="24">
        <v>25</v>
      </c>
      <c r="S190" s="24">
        <v>2725.5</v>
      </c>
      <c r="T190" s="24">
        <v>2725.5</v>
      </c>
      <c r="U190" s="24">
        <v>2144.5</v>
      </c>
      <c r="V190" s="24">
        <v>581</v>
      </c>
      <c r="W190" s="24" t="s">
        <v>528</v>
      </c>
      <c r="X190" s="24" t="s">
        <v>528</v>
      </c>
      <c r="Y190" s="24" t="s">
        <v>528</v>
      </c>
      <c r="Z190" s="102" t="s">
        <v>528</v>
      </c>
      <c r="AA190" s="24" t="s">
        <v>528</v>
      </c>
      <c r="AB190" s="24" t="s">
        <v>528</v>
      </c>
      <c r="AC190" s="24" t="s">
        <v>529</v>
      </c>
      <c r="AD190" s="24" t="s">
        <v>528</v>
      </c>
      <c r="AE190" s="24" t="s">
        <v>529</v>
      </c>
      <c r="AF190" s="24">
        <v>2</v>
      </c>
      <c r="AG190" s="24">
        <v>0</v>
      </c>
      <c r="AH190" s="24">
        <v>1</v>
      </c>
      <c r="AI190" s="24">
        <v>1</v>
      </c>
      <c r="AJ190" s="24">
        <v>1</v>
      </c>
      <c r="AK190" s="24">
        <v>0</v>
      </c>
      <c r="AL190" s="24"/>
    </row>
    <row r="191" spans="1:38" ht="31.2" x14ac:dyDescent="0.3">
      <c r="A191" s="53">
        <v>184</v>
      </c>
      <c r="B191" s="24" t="s">
        <v>544</v>
      </c>
      <c r="C191" s="24" t="s">
        <v>545</v>
      </c>
      <c r="D191" s="82" t="s">
        <v>739</v>
      </c>
      <c r="E191" s="24" t="s">
        <v>787</v>
      </c>
      <c r="F191" s="24" t="s">
        <v>200</v>
      </c>
      <c r="G191" s="24"/>
      <c r="H191" s="24" t="s">
        <v>788</v>
      </c>
      <c r="I191" s="30" t="s">
        <v>548</v>
      </c>
      <c r="J191" s="24" t="s">
        <v>558</v>
      </c>
      <c r="K191" s="24" t="s">
        <v>549</v>
      </c>
      <c r="L191" s="24" t="s">
        <v>549</v>
      </c>
      <c r="M191" s="24">
        <v>1910</v>
      </c>
      <c r="N191" s="24" t="s">
        <v>550</v>
      </c>
      <c r="O191" s="24">
        <v>6</v>
      </c>
      <c r="P191" s="24">
        <v>0</v>
      </c>
      <c r="Q191" s="24">
        <v>7</v>
      </c>
      <c r="R191" s="24">
        <v>76</v>
      </c>
      <c r="S191" s="24">
        <v>6329</v>
      </c>
      <c r="T191" s="24">
        <v>6329</v>
      </c>
      <c r="U191" s="24">
        <v>5214</v>
      </c>
      <c r="V191" s="24">
        <v>1115</v>
      </c>
      <c r="W191" s="24" t="s">
        <v>528</v>
      </c>
      <c r="X191" s="24" t="s">
        <v>528</v>
      </c>
      <c r="Y191" s="24" t="s">
        <v>528</v>
      </c>
      <c r="Z191" s="102" t="s">
        <v>528</v>
      </c>
      <c r="AA191" s="24" t="s">
        <v>528</v>
      </c>
      <c r="AB191" s="24" t="s">
        <v>528</v>
      </c>
      <c r="AC191" s="24" t="s">
        <v>529</v>
      </c>
      <c r="AD191" s="24" t="s">
        <v>528</v>
      </c>
      <c r="AE191" s="24" t="s">
        <v>529</v>
      </c>
      <c r="AF191" s="24">
        <v>2</v>
      </c>
      <c r="AG191" s="24">
        <v>0</v>
      </c>
      <c r="AH191" s="24">
        <v>1</v>
      </c>
      <c r="AI191" s="24">
        <v>1</v>
      </c>
      <c r="AJ191" s="24">
        <v>1</v>
      </c>
      <c r="AK191" s="24">
        <v>0</v>
      </c>
      <c r="AL191" s="24"/>
    </row>
    <row r="192" spans="1:38" ht="31.2" x14ac:dyDescent="0.3">
      <c r="A192" s="53">
        <v>185</v>
      </c>
      <c r="B192" s="24" t="s">
        <v>544</v>
      </c>
      <c r="C192" s="24" t="s">
        <v>545</v>
      </c>
      <c r="D192" s="82" t="s">
        <v>739</v>
      </c>
      <c r="E192" s="24">
        <v>55</v>
      </c>
      <c r="F192" s="24" t="s">
        <v>200</v>
      </c>
      <c r="G192" s="24"/>
      <c r="H192" s="24" t="s">
        <v>789</v>
      </c>
      <c r="I192" s="30" t="s">
        <v>548</v>
      </c>
      <c r="J192" s="24" t="s">
        <v>558</v>
      </c>
      <c r="K192" s="24" t="s">
        <v>549</v>
      </c>
      <c r="L192" s="24" t="s">
        <v>549</v>
      </c>
      <c r="M192" s="24">
        <v>1933</v>
      </c>
      <c r="N192" s="24" t="s">
        <v>550</v>
      </c>
      <c r="O192" s="24">
        <v>6</v>
      </c>
      <c r="P192" s="24">
        <v>0</v>
      </c>
      <c r="Q192" s="24">
        <v>6</v>
      </c>
      <c r="R192" s="24">
        <v>65</v>
      </c>
      <c r="S192" s="24">
        <v>7406.5</v>
      </c>
      <c r="T192" s="24">
        <v>7406.5</v>
      </c>
      <c r="U192" s="24">
        <v>6845.5</v>
      </c>
      <c r="V192" s="24">
        <v>561</v>
      </c>
      <c r="W192" s="24" t="s">
        <v>528</v>
      </c>
      <c r="X192" s="24" t="s">
        <v>528</v>
      </c>
      <c r="Y192" s="24" t="s">
        <v>529</v>
      </c>
      <c r="Z192" s="102" t="s">
        <v>528</v>
      </c>
      <c r="AA192" s="24" t="s">
        <v>528</v>
      </c>
      <c r="AB192" s="24" t="s">
        <v>528</v>
      </c>
      <c r="AC192" s="24" t="s">
        <v>528</v>
      </c>
      <c r="AD192" s="24" t="s">
        <v>528</v>
      </c>
      <c r="AE192" s="24" t="s">
        <v>529</v>
      </c>
      <c r="AF192" s="24">
        <v>6</v>
      </c>
      <c r="AG192" s="24">
        <v>0</v>
      </c>
      <c r="AH192" s="24">
        <v>1</v>
      </c>
      <c r="AI192" s="24">
        <v>0</v>
      </c>
      <c r="AJ192" s="24">
        <v>2</v>
      </c>
      <c r="AK192" s="24">
        <v>0</v>
      </c>
      <c r="AL192" s="24"/>
    </row>
    <row r="193" spans="1:38" ht="31.2" x14ac:dyDescent="0.3">
      <c r="A193" s="53">
        <v>186</v>
      </c>
      <c r="B193" s="24" t="s">
        <v>544</v>
      </c>
      <c r="C193" s="24" t="s">
        <v>545</v>
      </c>
      <c r="D193" s="82" t="s">
        <v>739</v>
      </c>
      <c r="E193" s="24">
        <v>55</v>
      </c>
      <c r="F193" s="24" t="s">
        <v>207</v>
      </c>
      <c r="G193" s="24"/>
      <c r="H193" s="24" t="s">
        <v>790</v>
      </c>
      <c r="I193" s="30" t="s">
        <v>548</v>
      </c>
      <c r="J193" s="24" t="s">
        <v>558</v>
      </c>
      <c r="K193" s="24" t="s">
        <v>549</v>
      </c>
      <c r="L193" s="24" t="s">
        <v>549</v>
      </c>
      <c r="M193" s="24">
        <v>1933</v>
      </c>
      <c r="N193" s="24" t="s">
        <v>550</v>
      </c>
      <c r="O193" s="24">
        <v>6</v>
      </c>
      <c r="P193" s="24">
        <v>0</v>
      </c>
      <c r="Q193" s="24">
        <v>4</v>
      </c>
      <c r="R193" s="24">
        <v>21</v>
      </c>
      <c r="S193" s="24">
        <v>2346</v>
      </c>
      <c r="T193" s="24">
        <v>2346</v>
      </c>
      <c r="U193" s="24">
        <v>1719</v>
      </c>
      <c r="V193" s="24">
        <v>627</v>
      </c>
      <c r="W193" s="24" t="s">
        <v>528</v>
      </c>
      <c r="X193" s="24" t="s">
        <v>528</v>
      </c>
      <c r="Y193" s="24" t="s">
        <v>529</v>
      </c>
      <c r="Z193" s="102" t="s">
        <v>528</v>
      </c>
      <c r="AA193" s="24" t="s">
        <v>528</v>
      </c>
      <c r="AB193" s="24" t="s">
        <v>528</v>
      </c>
      <c r="AC193" s="24" t="s">
        <v>528</v>
      </c>
      <c r="AD193" s="24" t="s">
        <v>528</v>
      </c>
      <c r="AE193" s="24" t="s">
        <v>529</v>
      </c>
      <c r="AF193" s="24">
        <v>0</v>
      </c>
      <c r="AG193" s="24">
        <v>0</v>
      </c>
      <c r="AH193" s="24">
        <v>1</v>
      </c>
      <c r="AI193" s="24">
        <v>0</v>
      </c>
      <c r="AJ193" s="24">
        <v>1</v>
      </c>
      <c r="AK193" s="24">
        <v>0</v>
      </c>
      <c r="AL193" s="24"/>
    </row>
    <row r="194" spans="1:38" ht="31.2" x14ac:dyDescent="0.3">
      <c r="A194" s="53">
        <v>187</v>
      </c>
      <c r="B194" s="24" t="s">
        <v>544</v>
      </c>
      <c r="C194" s="24" t="s">
        <v>545</v>
      </c>
      <c r="D194" s="82" t="s">
        <v>739</v>
      </c>
      <c r="E194" s="24">
        <v>57</v>
      </c>
      <c r="F194" s="24" t="s">
        <v>200</v>
      </c>
      <c r="G194" s="24"/>
      <c r="H194" s="24" t="s">
        <v>791</v>
      </c>
      <c r="I194" s="30" t="s">
        <v>548</v>
      </c>
      <c r="J194" s="24" t="s">
        <v>558</v>
      </c>
      <c r="K194" s="24" t="s">
        <v>549</v>
      </c>
      <c r="L194" s="24" t="s">
        <v>549</v>
      </c>
      <c r="M194" s="24">
        <v>1910</v>
      </c>
      <c r="N194" s="24" t="s">
        <v>550</v>
      </c>
      <c r="O194" s="24">
        <v>6</v>
      </c>
      <c r="P194" s="24">
        <v>0</v>
      </c>
      <c r="Q194" s="24">
        <v>6</v>
      </c>
      <c r="R194" s="24">
        <v>38</v>
      </c>
      <c r="S194" s="24">
        <v>6748.3</v>
      </c>
      <c r="T194" s="24">
        <v>6748.3</v>
      </c>
      <c r="U194" s="24">
        <v>5935</v>
      </c>
      <c r="V194" s="24">
        <v>813.3</v>
      </c>
      <c r="W194" s="24" t="s">
        <v>528</v>
      </c>
      <c r="X194" s="24" t="s">
        <v>528</v>
      </c>
      <c r="Y194" s="24" t="s">
        <v>529</v>
      </c>
      <c r="Z194" s="102" t="s">
        <v>528</v>
      </c>
      <c r="AA194" s="24" t="s">
        <v>528</v>
      </c>
      <c r="AB194" s="24" t="s">
        <v>528</v>
      </c>
      <c r="AC194" s="24" t="s">
        <v>528</v>
      </c>
      <c r="AD194" s="24" t="s">
        <v>528</v>
      </c>
      <c r="AE194" s="24" t="s">
        <v>529</v>
      </c>
      <c r="AF194" s="24">
        <v>3</v>
      </c>
      <c r="AG194" s="24">
        <v>0</v>
      </c>
      <c r="AH194" s="24">
        <v>1</v>
      </c>
      <c r="AI194" s="24">
        <v>0</v>
      </c>
      <c r="AJ194" s="24">
        <v>1</v>
      </c>
      <c r="AK194" s="24">
        <v>0</v>
      </c>
      <c r="AL194" s="24"/>
    </row>
    <row r="195" spans="1:38" ht="31.2" x14ac:dyDescent="0.3">
      <c r="A195" s="53">
        <v>188</v>
      </c>
      <c r="B195" s="24" t="s">
        <v>544</v>
      </c>
      <c r="C195" s="24" t="s">
        <v>545</v>
      </c>
      <c r="D195" s="82" t="s">
        <v>739</v>
      </c>
      <c r="E195" s="24">
        <v>59</v>
      </c>
      <c r="F195" s="24" t="s">
        <v>200</v>
      </c>
      <c r="G195" s="24"/>
      <c r="H195" s="24" t="s">
        <v>792</v>
      </c>
      <c r="I195" s="30" t="s">
        <v>548</v>
      </c>
      <c r="J195" s="24" t="s">
        <v>558</v>
      </c>
      <c r="K195" s="24" t="s">
        <v>549</v>
      </c>
      <c r="L195" s="24" t="s">
        <v>549</v>
      </c>
      <c r="M195" s="24">
        <v>1908</v>
      </c>
      <c r="N195" s="24" t="s">
        <v>550</v>
      </c>
      <c r="O195" s="24">
        <v>6</v>
      </c>
      <c r="P195" s="24">
        <v>0</v>
      </c>
      <c r="Q195" s="24">
        <v>7</v>
      </c>
      <c r="R195" s="24">
        <v>42</v>
      </c>
      <c r="S195" s="24">
        <v>7872</v>
      </c>
      <c r="T195" s="24">
        <v>7872</v>
      </c>
      <c r="U195" s="24">
        <v>6773</v>
      </c>
      <c r="V195" s="24">
        <v>1099</v>
      </c>
      <c r="W195" s="24" t="s">
        <v>528</v>
      </c>
      <c r="X195" s="24" t="s">
        <v>528</v>
      </c>
      <c r="Y195" s="24" t="s">
        <v>529</v>
      </c>
      <c r="Z195" s="102" t="s">
        <v>528</v>
      </c>
      <c r="AA195" s="24" t="s">
        <v>528</v>
      </c>
      <c r="AB195" s="24" t="s">
        <v>528</v>
      </c>
      <c r="AC195" s="24" t="s">
        <v>528</v>
      </c>
      <c r="AD195" s="24" t="s">
        <v>528</v>
      </c>
      <c r="AE195" s="24" t="s">
        <v>529</v>
      </c>
      <c r="AF195" s="24">
        <v>3</v>
      </c>
      <c r="AG195" s="24">
        <v>0</v>
      </c>
      <c r="AH195" s="24">
        <v>1</v>
      </c>
      <c r="AI195" s="24">
        <v>0</v>
      </c>
      <c r="AJ195" s="24">
        <v>2</v>
      </c>
      <c r="AK195" s="24">
        <v>0</v>
      </c>
      <c r="AL195" s="24"/>
    </row>
    <row r="196" spans="1:38" ht="31.2" x14ac:dyDescent="0.3">
      <c r="A196" s="53">
        <v>189</v>
      </c>
      <c r="B196" s="24" t="s">
        <v>544</v>
      </c>
      <c r="C196" s="24" t="s">
        <v>545</v>
      </c>
      <c r="D196" s="82" t="s">
        <v>739</v>
      </c>
      <c r="E196" s="24">
        <v>61</v>
      </c>
      <c r="F196" s="24" t="s">
        <v>200</v>
      </c>
      <c r="G196" s="24"/>
      <c r="H196" s="24" t="s">
        <v>793</v>
      </c>
      <c r="I196" s="30" t="s">
        <v>548</v>
      </c>
      <c r="J196" s="24" t="s">
        <v>558</v>
      </c>
      <c r="K196" s="24" t="s">
        <v>549</v>
      </c>
      <c r="L196" s="24" t="s">
        <v>549</v>
      </c>
      <c r="M196" s="24">
        <v>1913</v>
      </c>
      <c r="N196" s="24" t="s">
        <v>550</v>
      </c>
      <c r="O196" s="24">
        <v>6</v>
      </c>
      <c r="P196" s="24">
        <v>0</v>
      </c>
      <c r="Q196" s="24">
        <v>6</v>
      </c>
      <c r="R196" s="24">
        <v>40</v>
      </c>
      <c r="S196" s="24">
        <v>7153.92</v>
      </c>
      <c r="T196" s="24">
        <v>7153.92</v>
      </c>
      <c r="U196" s="24">
        <v>5870.79</v>
      </c>
      <c r="V196" s="24">
        <v>1283.1300000000001</v>
      </c>
      <c r="W196" s="24" t="s">
        <v>528</v>
      </c>
      <c r="X196" s="24" t="s">
        <v>528</v>
      </c>
      <c r="Y196" s="24" t="s">
        <v>529</v>
      </c>
      <c r="Z196" s="102" t="s">
        <v>528</v>
      </c>
      <c r="AA196" s="24" t="s">
        <v>528</v>
      </c>
      <c r="AB196" s="24" t="s">
        <v>528</v>
      </c>
      <c r="AC196" s="24" t="s">
        <v>528</v>
      </c>
      <c r="AD196" s="24" t="s">
        <v>528</v>
      </c>
      <c r="AE196" s="24" t="s">
        <v>529</v>
      </c>
      <c r="AF196" s="24">
        <v>4</v>
      </c>
      <c r="AG196" s="24">
        <v>0</v>
      </c>
      <c r="AH196" s="24">
        <v>2</v>
      </c>
      <c r="AI196" s="24">
        <v>0</v>
      </c>
      <c r="AJ196" s="24">
        <v>1</v>
      </c>
      <c r="AK196" s="24">
        <v>0</v>
      </c>
      <c r="AL196" s="24"/>
    </row>
    <row r="197" spans="1:38" ht="31.2" x14ac:dyDescent="0.3">
      <c r="A197" s="53">
        <v>190</v>
      </c>
      <c r="B197" s="24" t="s">
        <v>544</v>
      </c>
      <c r="C197" s="24" t="s">
        <v>545</v>
      </c>
      <c r="D197" s="82" t="s">
        <v>739</v>
      </c>
      <c r="E197" s="24">
        <v>65</v>
      </c>
      <c r="F197" s="24" t="s">
        <v>200</v>
      </c>
      <c r="G197" s="24"/>
      <c r="H197" s="24" t="s">
        <v>794</v>
      </c>
      <c r="I197" s="30" t="s">
        <v>548</v>
      </c>
      <c r="J197" s="24" t="s">
        <v>558</v>
      </c>
      <c r="K197" s="24" t="s">
        <v>549</v>
      </c>
      <c r="L197" s="24" t="s">
        <v>549</v>
      </c>
      <c r="M197" s="24">
        <v>1910</v>
      </c>
      <c r="N197" s="24" t="s">
        <v>550</v>
      </c>
      <c r="O197" s="24">
        <v>8</v>
      </c>
      <c r="P197" s="24">
        <v>0</v>
      </c>
      <c r="Q197" s="24">
        <v>7</v>
      </c>
      <c r="R197" s="24">
        <v>55</v>
      </c>
      <c r="S197" s="24">
        <v>8054.0499999999993</v>
      </c>
      <c r="T197" s="24">
        <v>8054.0499999999993</v>
      </c>
      <c r="U197" s="24">
        <v>6956.65</v>
      </c>
      <c r="V197" s="24">
        <v>1097.4000000000001</v>
      </c>
      <c r="W197" s="24" t="s">
        <v>528</v>
      </c>
      <c r="X197" s="24" t="s">
        <v>528</v>
      </c>
      <c r="Y197" s="24" t="s">
        <v>529</v>
      </c>
      <c r="Z197" s="102" t="s">
        <v>528</v>
      </c>
      <c r="AA197" s="24" t="s">
        <v>528</v>
      </c>
      <c r="AB197" s="24" t="s">
        <v>528</v>
      </c>
      <c r="AC197" s="24" t="s">
        <v>528</v>
      </c>
      <c r="AD197" s="24" t="s">
        <v>528</v>
      </c>
      <c r="AE197" s="24" t="s">
        <v>529</v>
      </c>
      <c r="AF197" s="24">
        <v>4</v>
      </c>
      <c r="AG197" s="24">
        <v>0</v>
      </c>
      <c r="AH197" s="24">
        <v>1</v>
      </c>
      <c r="AI197" s="24">
        <v>0</v>
      </c>
      <c r="AJ197" s="24">
        <v>1</v>
      </c>
      <c r="AK197" s="24">
        <v>0</v>
      </c>
      <c r="AL197" s="24"/>
    </row>
    <row r="198" spans="1:38" ht="31.2" x14ac:dyDescent="0.3">
      <c r="A198" s="53">
        <v>191</v>
      </c>
      <c r="B198" s="24" t="s">
        <v>544</v>
      </c>
      <c r="C198" s="24" t="s">
        <v>545</v>
      </c>
      <c r="D198" s="82" t="s">
        <v>739</v>
      </c>
      <c r="E198" s="24" t="s">
        <v>795</v>
      </c>
      <c r="F198" s="24" t="s">
        <v>200</v>
      </c>
      <c r="G198" s="24"/>
      <c r="H198" s="24" t="s">
        <v>796</v>
      </c>
      <c r="I198" s="30" t="s">
        <v>548</v>
      </c>
      <c r="J198" s="24" t="s">
        <v>558</v>
      </c>
      <c r="K198" s="24" t="s">
        <v>549</v>
      </c>
      <c r="L198" s="24" t="s">
        <v>549</v>
      </c>
      <c r="M198" s="24">
        <v>1913</v>
      </c>
      <c r="N198" s="24" t="s">
        <v>550</v>
      </c>
      <c r="O198" s="24">
        <v>6</v>
      </c>
      <c r="P198" s="24">
        <v>0</v>
      </c>
      <c r="Q198" s="24">
        <v>12</v>
      </c>
      <c r="R198" s="24">
        <v>86</v>
      </c>
      <c r="S198" s="24">
        <v>19994.099999999999</v>
      </c>
      <c r="T198" s="24">
        <v>19994.099999999999</v>
      </c>
      <c r="U198" s="24">
        <v>16839.41</v>
      </c>
      <c r="V198" s="24">
        <v>3154.69</v>
      </c>
      <c r="W198" s="24" t="s">
        <v>528</v>
      </c>
      <c r="X198" s="24" t="s">
        <v>528</v>
      </c>
      <c r="Y198" s="24" t="s">
        <v>528</v>
      </c>
      <c r="Z198" s="102" t="s">
        <v>528</v>
      </c>
      <c r="AA198" s="24" t="s">
        <v>528</v>
      </c>
      <c r="AB198" s="24" t="s">
        <v>528</v>
      </c>
      <c r="AC198" s="24" t="s">
        <v>529</v>
      </c>
      <c r="AD198" s="24" t="s">
        <v>528</v>
      </c>
      <c r="AE198" s="24" t="s">
        <v>529</v>
      </c>
      <c r="AF198" s="24">
        <v>9</v>
      </c>
      <c r="AG198" s="24">
        <v>0</v>
      </c>
      <c r="AH198" s="24">
        <v>2</v>
      </c>
      <c r="AI198" s="24">
        <v>1</v>
      </c>
      <c r="AJ198" s="24">
        <v>2</v>
      </c>
      <c r="AK198" s="24">
        <v>0</v>
      </c>
      <c r="AL198" s="24"/>
    </row>
    <row r="199" spans="1:38" ht="31.2" x14ac:dyDescent="0.3">
      <c r="A199" s="53">
        <v>192</v>
      </c>
      <c r="B199" s="24" t="s">
        <v>544</v>
      </c>
      <c r="C199" s="24" t="s">
        <v>545</v>
      </c>
      <c r="D199" s="82" t="s">
        <v>797</v>
      </c>
      <c r="E199" s="24">
        <v>13</v>
      </c>
      <c r="F199" s="24" t="s">
        <v>200</v>
      </c>
      <c r="G199" s="24"/>
      <c r="H199" s="24" t="s">
        <v>798</v>
      </c>
      <c r="I199" s="30" t="s">
        <v>548</v>
      </c>
      <c r="J199" s="24"/>
      <c r="K199" s="24" t="s">
        <v>549</v>
      </c>
      <c r="L199" s="24" t="s">
        <v>549</v>
      </c>
      <c r="M199" s="24">
        <v>1935</v>
      </c>
      <c r="N199" s="24" t="s">
        <v>550</v>
      </c>
      <c r="O199" s="24">
        <v>6</v>
      </c>
      <c r="P199" s="24">
        <v>0</v>
      </c>
      <c r="Q199" s="24">
        <v>9</v>
      </c>
      <c r="R199" s="24">
        <v>76</v>
      </c>
      <c r="S199" s="24">
        <v>8045.35</v>
      </c>
      <c r="T199" s="24">
        <v>8045.35</v>
      </c>
      <c r="U199" s="24">
        <v>6748.55</v>
      </c>
      <c r="V199" s="24">
        <v>1296.8</v>
      </c>
      <c r="W199" s="24" t="s">
        <v>528</v>
      </c>
      <c r="X199" s="24" t="s">
        <v>528</v>
      </c>
      <c r="Y199" s="24" t="s">
        <v>528</v>
      </c>
      <c r="Z199" s="102" t="s">
        <v>528</v>
      </c>
      <c r="AA199" s="24" t="s">
        <v>528</v>
      </c>
      <c r="AB199" s="24" t="s">
        <v>528</v>
      </c>
      <c r="AC199" s="24" t="s">
        <v>529</v>
      </c>
      <c r="AD199" s="24" t="s">
        <v>528</v>
      </c>
      <c r="AE199" s="24" t="s">
        <v>529</v>
      </c>
      <c r="AF199" s="24">
        <v>9</v>
      </c>
      <c r="AG199" s="24">
        <v>0</v>
      </c>
      <c r="AH199" s="24">
        <v>1</v>
      </c>
      <c r="AI199" s="24">
        <v>1</v>
      </c>
      <c r="AJ199" s="24">
        <v>1</v>
      </c>
      <c r="AK199" s="24">
        <v>0</v>
      </c>
      <c r="AL199" s="24"/>
    </row>
    <row r="200" spans="1:38" ht="31.2" x14ac:dyDescent="0.3">
      <c r="A200" s="53">
        <v>193</v>
      </c>
      <c r="B200" s="24" t="s">
        <v>544</v>
      </c>
      <c r="C200" s="24" t="s">
        <v>545</v>
      </c>
      <c r="D200" s="82" t="s">
        <v>797</v>
      </c>
      <c r="E200" s="24">
        <v>16</v>
      </c>
      <c r="F200" s="24" t="s">
        <v>200</v>
      </c>
      <c r="G200" s="24"/>
      <c r="H200" s="24" t="s">
        <v>799</v>
      </c>
      <c r="I200" s="30" t="s">
        <v>548</v>
      </c>
      <c r="J200" s="24"/>
      <c r="K200" s="24" t="s">
        <v>549</v>
      </c>
      <c r="L200" s="24" t="s">
        <v>549</v>
      </c>
      <c r="M200" s="24">
        <v>1952</v>
      </c>
      <c r="N200" s="24" t="s">
        <v>550</v>
      </c>
      <c r="O200" s="24">
        <v>5</v>
      </c>
      <c r="P200" s="24">
        <v>0</v>
      </c>
      <c r="Q200" s="24">
        <v>1</v>
      </c>
      <c r="R200" s="24">
        <v>13</v>
      </c>
      <c r="S200" s="24">
        <v>1569.6</v>
      </c>
      <c r="T200" s="24">
        <v>1569.6</v>
      </c>
      <c r="U200" s="24">
        <v>1201.5999999999999</v>
      </c>
      <c r="V200" s="24">
        <v>368</v>
      </c>
      <c r="W200" s="24" t="s">
        <v>528</v>
      </c>
      <c r="X200" s="24" t="s">
        <v>528</v>
      </c>
      <c r="Y200" s="24" t="s">
        <v>529</v>
      </c>
      <c r="Z200" s="102" t="s">
        <v>528</v>
      </c>
      <c r="AA200" s="24" t="s">
        <v>528</v>
      </c>
      <c r="AB200" s="24" t="s">
        <v>528</v>
      </c>
      <c r="AC200" s="24" t="s">
        <v>528</v>
      </c>
      <c r="AD200" s="24" t="s">
        <v>528</v>
      </c>
      <c r="AE200" s="24" t="s">
        <v>529</v>
      </c>
      <c r="AF200" s="24">
        <v>0</v>
      </c>
      <c r="AG200" s="24">
        <v>0</v>
      </c>
      <c r="AH200" s="24">
        <v>1</v>
      </c>
      <c r="AI200" s="24">
        <v>0</v>
      </c>
      <c r="AJ200" s="24">
        <v>1</v>
      </c>
      <c r="AK200" s="24">
        <v>0</v>
      </c>
      <c r="AL200" s="24"/>
    </row>
    <row r="201" spans="1:38" ht="31.2" x14ac:dyDescent="0.3">
      <c r="A201" s="53">
        <v>194</v>
      </c>
      <c r="B201" s="24" t="s">
        <v>544</v>
      </c>
      <c r="C201" s="24" t="s">
        <v>545</v>
      </c>
      <c r="D201" s="82" t="s">
        <v>797</v>
      </c>
      <c r="E201" s="24">
        <v>18</v>
      </c>
      <c r="F201" s="24" t="s">
        <v>207</v>
      </c>
      <c r="G201" s="24"/>
      <c r="H201" s="24" t="s">
        <v>800</v>
      </c>
      <c r="I201" s="30" t="s">
        <v>548</v>
      </c>
      <c r="J201" s="24"/>
      <c r="K201" s="24" t="s">
        <v>549</v>
      </c>
      <c r="L201" s="24" t="s">
        <v>549</v>
      </c>
      <c r="M201" s="24">
        <v>1898</v>
      </c>
      <c r="N201" s="24" t="s">
        <v>550</v>
      </c>
      <c r="O201" s="24">
        <v>4</v>
      </c>
      <c r="P201" s="24">
        <v>0</v>
      </c>
      <c r="Q201" s="24">
        <v>3</v>
      </c>
      <c r="R201" s="24">
        <v>15</v>
      </c>
      <c r="S201" s="24">
        <v>2103.5</v>
      </c>
      <c r="T201" s="24">
        <v>2103.5</v>
      </c>
      <c r="U201" s="24">
        <v>1576.5</v>
      </c>
      <c r="V201" s="24">
        <v>527</v>
      </c>
      <c r="W201" s="24" t="s">
        <v>528</v>
      </c>
      <c r="X201" s="24" t="s">
        <v>528</v>
      </c>
      <c r="Y201" s="24" t="s">
        <v>529</v>
      </c>
      <c r="Z201" s="102" t="s">
        <v>528</v>
      </c>
      <c r="AA201" s="24" t="s">
        <v>528</v>
      </c>
      <c r="AB201" s="24" t="s">
        <v>528</v>
      </c>
      <c r="AC201" s="24" t="s">
        <v>528</v>
      </c>
      <c r="AD201" s="24" t="s">
        <v>528</v>
      </c>
      <c r="AE201" s="24" t="s">
        <v>529</v>
      </c>
      <c r="AF201" s="24">
        <v>0</v>
      </c>
      <c r="AG201" s="24">
        <v>0</v>
      </c>
      <c r="AH201" s="24">
        <v>1</v>
      </c>
      <c r="AI201" s="24">
        <v>0</v>
      </c>
      <c r="AJ201" s="24">
        <v>1</v>
      </c>
      <c r="AK201" s="24">
        <v>0</v>
      </c>
      <c r="AL201" s="24"/>
    </row>
    <row r="202" spans="1:38" ht="31.2" x14ac:dyDescent="0.3">
      <c r="A202" s="53">
        <v>195</v>
      </c>
      <c r="B202" s="24" t="s">
        <v>544</v>
      </c>
      <c r="C202" s="24" t="s">
        <v>545</v>
      </c>
      <c r="D202" s="82" t="s">
        <v>797</v>
      </c>
      <c r="E202" s="24">
        <v>19</v>
      </c>
      <c r="F202" s="24" t="s">
        <v>200</v>
      </c>
      <c r="G202" s="24"/>
      <c r="H202" s="24" t="s">
        <v>801</v>
      </c>
      <c r="I202" s="30" t="s">
        <v>548</v>
      </c>
      <c r="J202" s="24" t="s">
        <v>558</v>
      </c>
      <c r="K202" s="24" t="s">
        <v>549</v>
      </c>
      <c r="L202" s="24" t="s">
        <v>549</v>
      </c>
      <c r="M202" s="24">
        <v>1912</v>
      </c>
      <c r="N202" s="24" t="s">
        <v>550</v>
      </c>
      <c r="O202" s="24">
        <v>6</v>
      </c>
      <c r="P202" s="24">
        <v>0</v>
      </c>
      <c r="Q202" s="24">
        <v>11</v>
      </c>
      <c r="R202" s="24">
        <v>65</v>
      </c>
      <c r="S202" s="24">
        <v>13060.7</v>
      </c>
      <c r="T202" s="24">
        <v>13060.7</v>
      </c>
      <c r="U202" s="24">
        <v>10678.61</v>
      </c>
      <c r="V202" s="24">
        <v>2382.09</v>
      </c>
      <c r="W202" s="24" t="s">
        <v>528</v>
      </c>
      <c r="X202" s="24" t="s">
        <v>528</v>
      </c>
      <c r="Y202" s="24" t="s">
        <v>529</v>
      </c>
      <c r="Z202" s="102" t="s">
        <v>528</v>
      </c>
      <c r="AA202" s="24" t="s">
        <v>528</v>
      </c>
      <c r="AB202" s="24" t="s">
        <v>528</v>
      </c>
      <c r="AC202" s="24" t="s">
        <v>528</v>
      </c>
      <c r="AD202" s="24" t="s">
        <v>528</v>
      </c>
      <c r="AE202" s="24" t="s">
        <v>529</v>
      </c>
      <c r="AF202" s="24">
        <v>5</v>
      </c>
      <c r="AG202" s="24">
        <v>0</v>
      </c>
      <c r="AH202" s="24">
        <v>2</v>
      </c>
      <c r="AI202" s="24">
        <v>0</v>
      </c>
      <c r="AJ202" s="24">
        <v>2</v>
      </c>
      <c r="AK202" s="24">
        <v>0</v>
      </c>
      <c r="AL202" s="24"/>
    </row>
    <row r="203" spans="1:38" ht="31.2" x14ac:dyDescent="0.3">
      <c r="A203" s="53">
        <v>196</v>
      </c>
      <c r="B203" s="24" t="s">
        <v>544</v>
      </c>
      <c r="C203" s="24" t="s">
        <v>545</v>
      </c>
      <c r="D203" s="82" t="s">
        <v>797</v>
      </c>
      <c r="E203" s="24">
        <v>20</v>
      </c>
      <c r="F203" s="24" t="s">
        <v>206</v>
      </c>
      <c r="G203" s="24"/>
      <c r="H203" s="24" t="s">
        <v>802</v>
      </c>
      <c r="I203" s="30" t="s">
        <v>548</v>
      </c>
      <c r="J203" s="24"/>
      <c r="K203" s="24" t="s">
        <v>549</v>
      </c>
      <c r="L203" s="24" t="s">
        <v>549</v>
      </c>
      <c r="M203" s="24">
        <v>1900</v>
      </c>
      <c r="N203" s="24" t="s">
        <v>550</v>
      </c>
      <c r="O203" s="24">
        <v>5</v>
      </c>
      <c r="P203" s="24">
        <v>0</v>
      </c>
      <c r="Q203" s="24">
        <v>3</v>
      </c>
      <c r="R203" s="24">
        <v>22</v>
      </c>
      <c r="S203" s="24">
        <v>2162.4</v>
      </c>
      <c r="T203" s="24">
        <v>2162.4</v>
      </c>
      <c r="U203" s="24">
        <v>1844.5</v>
      </c>
      <c r="V203" s="24">
        <v>317.89999999999998</v>
      </c>
      <c r="W203" s="24" t="s">
        <v>528</v>
      </c>
      <c r="X203" s="24" t="s">
        <v>528</v>
      </c>
      <c r="Y203" s="24" t="s">
        <v>529</v>
      </c>
      <c r="Z203" s="102" t="s">
        <v>528</v>
      </c>
      <c r="AA203" s="24" t="s">
        <v>528</v>
      </c>
      <c r="AB203" s="24" t="s">
        <v>528</v>
      </c>
      <c r="AC203" s="24" t="s">
        <v>528</v>
      </c>
      <c r="AD203" s="24" t="s">
        <v>528</v>
      </c>
      <c r="AE203" s="24" t="s">
        <v>529</v>
      </c>
      <c r="AF203" s="24">
        <v>0</v>
      </c>
      <c r="AG203" s="24">
        <v>0</v>
      </c>
      <c r="AH203" s="24">
        <v>1</v>
      </c>
      <c r="AI203" s="24">
        <v>0</v>
      </c>
      <c r="AJ203" s="24">
        <v>1</v>
      </c>
      <c r="AK203" s="24">
        <v>0</v>
      </c>
      <c r="AL203" s="24"/>
    </row>
    <row r="204" spans="1:38" ht="31.2" x14ac:dyDescent="0.3">
      <c r="A204" s="53">
        <v>197</v>
      </c>
      <c r="B204" s="24" t="s">
        <v>544</v>
      </c>
      <c r="C204" s="24" t="s">
        <v>545</v>
      </c>
      <c r="D204" s="82" t="s">
        <v>797</v>
      </c>
      <c r="E204" s="24">
        <v>20</v>
      </c>
      <c r="F204" s="24" t="s">
        <v>208</v>
      </c>
      <c r="G204" s="24"/>
      <c r="H204" s="24" t="s">
        <v>803</v>
      </c>
      <c r="I204" s="30" t="s">
        <v>548</v>
      </c>
      <c r="J204" s="24"/>
      <c r="K204" s="24" t="s">
        <v>549</v>
      </c>
      <c r="L204" s="24" t="s">
        <v>549</v>
      </c>
      <c r="M204" s="24">
        <v>1900</v>
      </c>
      <c r="N204" s="24" t="s">
        <v>550</v>
      </c>
      <c r="O204" s="24">
        <v>4</v>
      </c>
      <c r="P204" s="24">
        <v>0</v>
      </c>
      <c r="Q204" s="24">
        <v>3</v>
      </c>
      <c r="R204" s="24">
        <v>9</v>
      </c>
      <c r="S204" s="24">
        <v>1802</v>
      </c>
      <c r="T204" s="24">
        <v>1802</v>
      </c>
      <c r="U204" s="24">
        <v>1132.0999999999999</v>
      </c>
      <c r="V204" s="24">
        <v>669.9</v>
      </c>
      <c r="W204" s="24" t="s">
        <v>528</v>
      </c>
      <c r="X204" s="24" t="s">
        <v>528</v>
      </c>
      <c r="Y204" s="24" t="s">
        <v>529</v>
      </c>
      <c r="Z204" s="102" t="s">
        <v>528</v>
      </c>
      <c r="AA204" s="24" t="s">
        <v>528</v>
      </c>
      <c r="AB204" s="24" t="s">
        <v>528</v>
      </c>
      <c r="AC204" s="24" t="s">
        <v>528</v>
      </c>
      <c r="AD204" s="24" t="s">
        <v>528</v>
      </c>
      <c r="AE204" s="24" t="s">
        <v>529</v>
      </c>
      <c r="AF204" s="24">
        <v>0</v>
      </c>
      <c r="AG204" s="24">
        <v>0</v>
      </c>
      <c r="AH204" s="24">
        <v>1</v>
      </c>
      <c r="AI204" s="24">
        <v>0</v>
      </c>
      <c r="AJ204" s="24">
        <v>1</v>
      </c>
      <c r="AK204" s="24">
        <v>0</v>
      </c>
      <c r="AL204" s="24"/>
    </row>
    <row r="205" spans="1:38" ht="31.2" x14ac:dyDescent="0.3">
      <c r="A205" s="53">
        <v>198</v>
      </c>
      <c r="B205" s="24" t="s">
        <v>544</v>
      </c>
      <c r="C205" s="24" t="s">
        <v>545</v>
      </c>
      <c r="D205" s="82" t="s">
        <v>797</v>
      </c>
      <c r="E205" s="24">
        <v>21</v>
      </c>
      <c r="F205" s="24" t="s">
        <v>200</v>
      </c>
      <c r="G205" s="24"/>
      <c r="H205" s="24" t="s">
        <v>804</v>
      </c>
      <c r="I205" s="30" t="s">
        <v>548</v>
      </c>
      <c r="J205" s="24"/>
      <c r="K205" s="24" t="s">
        <v>549</v>
      </c>
      <c r="L205" s="24" t="s">
        <v>549</v>
      </c>
      <c r="M205" s="24">
        <v>1897</v>
      </c>
      <c r="N205" s="24" t="s">
        <v>550</v>
      </c>
      <c r="O205" s="24">
        <v>4</v>
      </c>
      <c r="P205" s="24">
        <v>0</v>
      </c>
      <c r="Q205" s="24">
        <v>4</v>
      </c>
      <c r="R205" s="24">
        <v>19</v>
      </c>
      <c r="S205" s="24">
        <v>2189.23</v>
      </c>
      <c r="T205" s="24">
        <v>2189.23</v>
      </c>
      <c r="U205" s="24">
        <v>1880.03</v>
      </c>
      <c r="V205" s="24">
        <v>309.2</v>
      </c>
      <c r="W205" s="24" t="s">
        <v>528</v>
      </c>
      <c r="X205" s="24" t="s">
        <v>528</v>
      </c>
      <c r="Y205" s="24" t="s">
        <v>529</v>
      </c>
      <c r="Z205" s="102" t="s">
        <v>528</v>
      </c>
      <c r="AA205" s="24" t="s">
        <v>528</v>
      </c>
      <c r="AB205" s="24" t="s">
        <v>528</v>
      </c>
      <c r="AC205" s="24" t="s">
        <v>528</v>
      </c>
      <c r="AD205" s="24" t="s">
        <v>528</v>
      </c>
      <c r="AE205" s="24" t="s">
        <v>529</v>
      </c>
      <c r="AF205" s="24">
        <v>0</v>
      </c>
      <c r="AG205" s="24">
        <v>0</v>
      </c>
      <c r="AH205" s="24">
        <v>1</v>
      </c>
      <c r="AI205" s="24">
        <v>0</v>
      </c>
      <c r="AJ205" s="24">
        <v>1</v>
      </c>
      <c r="AK205" s="24">
        <v>0</v>
      </c>
      <c r="AL205" s="24"/>
    </row>
    <row r="206" spans="1:38" ht="31.2" x14ac:dyDescent="0.3">
      <c r="A206" s="53">
        <v>199</v>
      </c>
      <c r="B206" s="24" t="s">
        <v>544</v>
      </c>
      <c r="C206" s="24" t="s">
        <v>545</v>
      </c>
      <c r="D206" s="82" t="s">
        <v>797</v>
      </c>
      <c r="E206" s="24">
        <v>25</v>
      </c>
      <c r="F206" s="24" t="s">
        <v>200</v>
      </c>
      <c r="G206" s="24"/>
      <c r="H206" s="24" t="s">
        <v>805</v>
      </c>
      <c r="I206" s="30" t="s">
        <v>548</v>
      </c>
      <c r="J206" s="24" t="s">
        <v>558</v>
      </c>
      <c r="K206" s="24" t="s">
        <v>549</v>
      </c>
      <c r="L206" s="24" t="s">
        <v>549</v>
      </c>
      <c r="M206" s="24">
        <v>1906</v>
      </c>
      <c r="N206" s="24" t="s">
        <v>550</v>
      </c>
      <c r="O206" s="24">
        <v>6</v>
      </c>
      <c r="P206" s="24">
        <v>0</v>
      </c>
      <c r="Q206" s="24">
        <v>4</v>
      </c>
      <c r="R206" s="24">
        <v>31</v>
      </c>
      <c r="S206" s="24">
        <v>2635.8</v>
      </c>
      <c r="T206" s="24">
        <v>2635.8</v>
      </c>
      <c r="U206" s="24">
        <v>2436.8000000000002</v>
      </c>
      <c r="V206" s="24">
        <v>199</v>
      </c>
      <c r="W206" s="24" t="s">
        <v>528</v>
      </c>
      <c r="X206" s="24" t="s">
        <v>528</v>
      </c>
      <c r="Y206" s="24" t="s">
        <v>529</v>
      </c>
      <c r="Z206" s="102" t="s">
        <v>528</v>
      </c>
      <c r="AA206" s="24" t="s">
        <v>528</v>
      </c>
      <c r="AB206" s="24" t="s">
        <v>528</v>
      </c>
      <c r="AC206" s="24" t="s">
        <v>528</v>
      </c>
      <c r="AD206" s="24" t="s">
        <v>528</v>
      </c>
      <c r="AE206" s="24" t="s">
        <v>529</v>
      </c>
      <c r="AF206" s="24">
        <v>0</v>
      </c>
      <c r="AG206" s="24">
        <v>0</v>
      </c>
      <c r="AH206" s="24">
        <v>1</v>
      </c>
      <c r="AI206" s="24">
        <v>0</v>
      </c>
      <c r="AJ206" s="24">
        <v>1</v>
      </c>
      <c r="AK206" s="24">
        <v>0</v>
      </c>
      <c r="AL206" s="24"/>
    </row>
    <row r="207" spans="1:38" ht="31.2" x14ac:dyDescent="0.3">
      <c r="A207" s="53">
        <v>200</v>
      </c>
      <c r="B207" s="24" t="s">
        <v>544</v>
      </c>
      <c r="C207" s="24" t="s">
        <v>584</v>
      </c>
      <c r="D207" s="82" t="s">
        <v>806</v>
      </c>
      <c r="E207" s="24" t="s">
        <v>582</v>
      </c>
      <c r="F207" s="24" t="s">
        <v>200</v>
      </c>
      <c r="G207" s="24"/>
      <c r="H207" s="24" t="s">
        <v>807</v>
      </c>
      <c r="I207" s="30" t="s">
        <v>548</v>
      </c>
      <c r="J207" s="24"/>
      <c r="K207" s="24" t="s">
        <v>549</v>
      </c>
      <c r="L207" s="24" t="s">
        <v>549</v>
      </c>
      <c r="M207" s="24">
        <v>1898</v>
      </c>
      <c r="N207" s="24" t="s">
        <v>550</v>
      </c>
      <c r="O207" s="24">
        <v>4</v>
      </c>
      <c r="P207" s="24">
        <v>0</v>
      </c>
      <c r="Q207" s="24">
        <v>1</v>
      </c>
      <c r="R207" s="24">
        <v>8</v>
      </c>
      <c r="S207" s="24">
        <v>509.41999999999996</v>
      </c>
      <c r="T207" s="24">
        <v>509.41999999999996</v>
      </c>
      <c r="U207" s="24">
        <v>431.02</v>
      </c>
      <c r="V207" s="24">
        <v>78.400000000000006</v>
      </c>
      <c r="W207" s="24" t="s">
        <v>528</v>
      </c>
      <c r="X207" s="24" t="s">
        <v>528</v>
      </c>
      <c r="Y207" s="24" t="s">
        <v>529</v>
      </c>
      <c r="Z207" s="102" t="s">
        <v>528</v>
      </c>
      <c r="AA207" s="24" t="s">
        <v>528</v>
      </c>
      <c r="AB207" s="24" t="s">
        <v>528</v>
      </c>
      <c r="AC207" s="24" t="s">
        <v>528</v>
      </c>
      <c r="AD207" s="24" t="s">
        <v>528</v>
      </c>
      <c r="AE207" s="24" t="s">
        <v>529</v>
      </c>
      <c r="AF207" s="24">
        <v>0</v>
      </c>
      <c r="AG207" s="24">
        <v>0</v>
      </c>
      <c r="AH207" s="24">
        <v>1</v>
      </c>
      <c r="AI207" s="24">
        <v>0</v>
      </c>
      <c r="AJ207" s="24">
        <v>0</v>
      </c>
      <c r="AK207" s="24">
        <v>0</v>
      </c>
      <c r="AL207" s="24"/>
    </row>
    <row r="208" spans="1:38" ht="31.2" x14ac:dyDescent="0.3">
      <c r="A208" s="53">
        <v>201</v>
      </c>
      <c r="B208" s="24" t="s">
        <v>544</v>
      </c>
      <c r="C208" s="24" t="s">
        <v>584</v>
      </c>
      <c r="D208" s="82" t="s">
        <v>806</v>
      </c>
      <c r="E208" s="24" t="s">
        <v>582</v>
      </c>
      <c r="F208" s="24" t="s">
        <v>205</v>
      </c>
      <c r="G208" s="24"/>
      <c r="H208" s="24" t="s">
        <v>808</v>
      </c>
      <c r="I208" s="30" t="s">
        <v>548</v>
      </c>
      <c r="J208" s="24"/>
      <c r="K208" s="24" t="s">
        <v>549</v>
      </c>
      <c r="L208" s="24" t="s">
        <v>549</v>
      </c>
      <c r="M208" s="24">
        <v>1909</v>
      </c>
      <c r="N208" s="24" t="s">
        <v>550</v>
      </c>
      <c r="O208" s="24">
        <v>4</v>
      </c>
      <c r="P208" s="24">
        <v>0</v>
      </c>
      <c r="Q208" s="24">
        <v>1</v>
      </c>
      <c r="R208" s="24">
        <v>17</v>
      </c>
      <c r="S208" s="24">
        <v>680.67</v>
      </c>
      <c r="T208" s="24">
        <v>680.67</v>
      </c>
      <c r="U208" s="24">
        <v>680.67</v>
      </c>
      <c r="V208" s="24">
        <v>0</v>
      </c>
      <c r="W208" s="24" t="s">
        <v>528</v>
      </c>
      <c r="X208" s="24" t="s">
        <v>528</v>
      </c>
      <c r="Y208" s="24" t="s">
        <v>529</v>
      </c>
      <c r="Z208" s="102" t="s">
        <v>528</v>
      </c>
      <c r="AA208" s="24" t="s">
        <v>528</v>
      </c>
      <c r="AB208" s="24" t="s">
        <v>528</v>
      </c>
      <c r="AC208" s="24" t="s">
        <v>528</v>
      </c>
      <c r="AD208" s="24" t="s">
        <v>528</v>
      </c>
      <c r="AE208" s="24" t="s">
        <v>529</v>
      </c>
      <c r="AF208" s="24">
        <v>0</v>
      </c>
      <c r="AG208" s="24">
        <v>0</v>
      </c>
      <c r="AH208" s="24">
        <v>1</v>
      </c>
      <c r="AI208" s="24">
        <v>0</v>
      </c>
      <c r="AJ208" s="24">
        <v>0</v>
      </c>
      <c r="AK208" s="24">
        <v>0</v>
      </c>
      <c r="AL208" s="24"/>
    </row>
    <row r="209" spans="1:38" ht="31.2" x14ac:dyDescent="0.3">
      <c r="A209" s="53">
        <v>202</v>
      </c>
      <c r="B209" s="24" t="s">
        <v>544</v>
      </c>
      <c r="C209" s="24" t="s">
        <v>584</v>
      </c>
      <c r="D209" s="82" t="s">
        <v>806</v>
      </c>
      <c r="E209" s="24" t="s">
        <v>809</v>
      </c>
      <c r="F209" s="24" t="s">
        <v>200</v>
      </c>
      <c r="G209" s="24"/>
      <c r="H209" s="24" t="s">
        <v>810</v>
      </c>
      <c r="I209" s="30" t="s">
        <v>548</v>
      </c>
      <c r="J209" s="24"/>
      <c r="K209" s="24" t="s">
        <v>549</v>
      </c>
      <c r="L209" s="24" t="s">
        <v>549</v>
      </c>
      <c r="M209" s="24">
        <v>1909</v>
      </c>
      <c r="N209" s="24" t="s">
        <v>550</v>
      </c>
      <c r="O209" s="24">
        <v>5</v>
      </c>
      <c r="P209" s="24">
        <v>0</v>
      </c>
      <c r="Q209" s="24">
        <v>3</v>
      </c>
      <c r="R209" s="24">
        <v>11</v>
      </c>
      <c r="S209" s="24">
        <v>878.42000000000007</v>
      </c>
      <c r="T209" s="24">
        <v>878.42000000000007</v>
      </c>
      <c r="U209" s="24">
        <v>810.22</v>
      </c>
      <c r="V209" s="24">
        <v>68.2</v>
      </c>
      <c r="W209" s="24" t="s">
        <v>528</v>
      </c>
      <c r="X209" s="24" t="s">
        <v>528</v>
      </c>
      <c r="Y209" s="24" t="s">
        <v>529</v>
      </c>
      <c r="Z209" s="102" t="s">
        <v>528</v>
      </c>
      <c r="AA209" s="24" t="s">
        <v>528</v>
      </c>
      <c r="AB209" s="24" t="s">
        <v>528</v>
      </c>
      <c r="AC209" s="24" t="s">
        <v>528</v>
      </c>
      <c r="AD209" s="24" t="s">
        <v>528</v>
      </c>
      <c r="AE209" s="24" t="s">
        <v>529</v>
      </c>
      <c r="AF209" s="24">
        <v>0</v>
      </c>
      <c r="AG209" s="24">
        <v>0</v>
      </c>
      <c r="AH209" s="24">
        <v>1</v>
      </c>
      <c r="AI209" s="24">
        <v>0</v>
      </c>
      <c r="AJ209" s="24">
        <v>1</v>
      </c>
      <c r="AK209" s="24">
        <v>0</v>
      </c>
      <c r="AL209" s="24"/>
    </row>
    <row r="210" spans="1:38" ht="31.2" x14ac:dyDescent="0.3">
      <c r="A210" s="53">
        <v>203</v>
      </c>
      <c r="B210" s="24" t="s">
        <v>544</v>
      </c>
      <c r="C210" s="24" t="s">
        <v>584</v>
      </c>
      <c r="D210" s="82" t="s">
        <v>806</v>
      </c>
      <c r="E210" s="24" t="s">
        <v>811</v>
      </c>
      <c r="F210" s="24" t="s">
        <v>200</v>
      </c>
      <c r="G210" s="24"/>
      <c r="H210" s="24" t="s">
        <v>812</v>
      </c>
      <c r="I210" s="30" t="s">
        <v>548</v>
      </c>
      <c r="J210" s="24"/>
      <c r="K210" s="24" t="s">
        <v>549</v>
      </c>
      <c r="L210" s="24" t="s">
        <v>549</v>
      </c>
      <c r="M210" s="24">
        <v>1912</v>
      </c>
      <c r="N210" s="24" t="s">
        <v>550</v>
      </c>
      <c r="O210" s="24">
        <v>6</v>
      </c>
      <c r="P210" s="24">
        <v>0</v>
      </c>
      <c r="Q210" s="24">
        <v>2</v>
      </c>
      <c r="R210" s="24">
        <v>21</v>
      </c>
      <c r="S210" s="24">
        <v>1292.8499999999999</v>
      </c>
      <c r="T210" s="24">
        <v>1292.8499999999999</v>
      </c>
      <c r="U210" s="24">
        <v>1147.8499999999999</v>
      </c>
      <c r="V210" s="24">
        <v>145</v>
      </c>
      <c r="W210" s="24" t="s">
        <v>528</v>
      </c>
      <c r="X210" s="24" t="s">
        <v>528</v>
      </c>
      <c r="Y210" s="24" t="s">
        <v>529</v>
      </c>
      <c r="Z210" s="102" t="s">
        <v>528</v>
      </c>
      <c r="AA210" s="24" t="s">
        <v>528</v>
      </c>
      <c r="AB210" s="24" t="s">
        <v>528</v>
      </c>
      <c r="AC210" s="24" t="s">
        <v>528</v>
      </c>
      <c r="AD210" s="24" t="s">
        <v>528</v>
      </c>
      <c r="AE210" s="24" t="s">
        <v>529</v>
      </c>
      <c r="AF210" s="24">
        <v>0</v>
      </c>
      <c r="AG210" s="24">
        <v>0</v>
      </c>
      <c r="AH210" s="24">
        <v>1</v>
      </c>
      <c r="AI210" s="24">
        <v>0</v>
      </c>
      <c r="AJ210" s="24">
        <v>1</v>
      </c>
      <c r="AK210" s="24">
        <v>0</v>
      </c>
      <c r="AL210" s="24"/>
    </row>
    <row r="211" spans="1:38" ht="31.2" x14ac:dyDescent="0.3">
      <c r="A211" s="53">
        <v>204</v>
      </c>
      <c r="B211" s="24" t="s">
        <v>544</v>
      </c>
      <c r="C211" s="24" t="s">
        <v>555</v>
      </c>
      <c r="D211" s="82" t="s">
        <v>813</v>
      </c>
      <c r="E211" s="24">
        <v>1</v>
      </c>
      <c r="F211" s="24" t="s">
        <v>200</v>
      </c>
      <c r="G211" s="24"/>
      <c r="H211" s="24" t="s">
        <v>814</v>
      </c>
      <c r="I211" s="30" t="s">
        <v>548</v>
      </c>
      <c r="J211" s="24"/>
      <c r="K211" s="24" t="s">
        <v>549</v>
      </c>
      <c r="L211" s="24" t="s">
        <v>549</v>
      </c>
      <c r="M211" s="24">
        <v>1883</v>
      </c>
      <c r="N211" s="24" t="s">
        <v>550</v>
      </c>
      <c r="O211" s="24">
        <v>4</v>
      </c>
      <c r="P211" s="24">
        <v>0</v>
      </c>
      <c r="Q211" s="24">
        <v>3</v>
      </c>
      <c r="R211" s="24">
        <v>8</v>
      </c>
      <c r="S211" s="24">
        <v>1787</v>
      </c>
      <c r="T211" s="24">
        <v>1787</v>
      </c>
      <c r="U211" s="24">
        <v>1230.23</v>
      </c>
      <c r="V211" s="24">
        <v>556.77</v>
      </c>
      <c r="W211" s="24" t="s">
        <v>528</v>
      </c>
      <c r="X211" s="24" t="s">
        <v>528</v>
      </c>
      <c r="Y211" s="24" t="s">
        <v>529</v>
      </c>
      <c r="Z211" s="102" t="s">
        <v>528</v>
      </c>
      <c r="AA211" s="24" t="s">
        <v>528</v>
      </c>
      <c r="AB211" s="24" t="s">
        <v>528</v>
      </c>
      <c r="AC211" s="24" t="s">
        <v>528</v>
      </c>
      <c r="AD211" s="24" t="s">
        <v>528</v>
      </c>
      <c r="AE211" s="24" t="s">
        <v>529</v>
      </c>
      <c r="AF211" s="24">
        <v>0</v>
      </c>
      <c r="AG211" s="24">
        <v>0</v>
      </c>
      <c r="AH211" s="24">
        <v>1</v>
      </c>
      <c r="AI211" s="24">
        <v>0</v>
      </c>
      <c r="AJ211" s="24">
        <v>0</v>
      </c>
      <c r="AK211" s="24">
        <v>0</v>
      </c>
      <c r="AL211" s="24"/>
    </row>
    <row r="212" spans="1:38" ht="31.2" x14ac:dyDescent="0.3">
      <c r="A212" s="53">
        <v>205</v>
      </c>
      <c r="B212" s="24" t="s">
        <v>544</v>
      </c>
      <c r="C212" s="24" t="s">
        <v>555</v>
      </c>
      <c r="D212" s="82" t="s">
        <v>813</v>
      </c>
      <c r="E212" s="24">
        <v>3</v>
      </c>
      <c r="F212" s="24" t="s">
        <v>200</v>
      </c>
      <c r="G212" s="24"/>
      <c r="H212" s="24" t="s">
        <v>815</v>
      </c>
      <c r="I212" s="30" t="s">
        <v>548</v>
      </c>
      <c r="J212" s="24"/>
      <c r="K212" s="24" t="s">
        <v>549</v>
      </c>
      <c r="L212" s="24" t="s">
        <v>549</v>
      </c>
      <c r="M212" s="24">
        <v>1894</v>
      </c>
      <c r="N212" s="24" t="s">
        <v>550</v>
      </c>
      <c r="O212" s="24">
        <v>6</v>
      </c>
      <c r="P212" s="24">
        <v>0</v>
      </c>
      <c r="Q212" s="24">
        <v>1</v>
      </c>
      <c r="R212" s="24">
        <v>13</v>
      </c>
      <c r="S212" s="24">
        <v>1699.5500000000002</v>
      </c>
      <c r="T212" s="24">
        <v>1699.5500000000002</v>
      </c>
      <c r="U212" s="24">
        <v>1327.65</v>
      </c>
      <c r="V212" s="24">
        <v>371.9</v>
      </c>
      <c r="W212" s="24" t="s">
        <v>528</v>
      </c>
      <c r="X212" s="24" t="s">
        <v>528</v>
      </c>
      <c r="Y212" s="24" t="s">
        <v>529</v>
      </c>
      <c r="Z212" s="102" t="s">
        <v>528</v>
      </c>
      <c r="AA212" s="24" t="s">
        <v>528</v>
      </c>
      <c r="AB212" s="24" t="s">
        <v>528</v>
      </c>
      <c r="AC212" s="24" t="s">
        <v>528</v>
      </c>
      <c r="AD212" s="24" t="s">
        <v>528</v>
      </c>
      <c r="AE212" s="24" t="s">
        <v>529</v>
      </c>
      <c r="AF212" s="24">
        <v>1</v>
      </c>
      <c r="AG212" s="24">
        <v>0</v>
      </c>
      <c r="AH212" s="24">
        <v>1</v>
      </c>
      <c r="AI212" s="24">
        <v>0</v>
      </c>
      <c r="AJ212" s="24">
        <v>0</v>
      </c>
      <c r="AK212" s="24">
        <v>0</v>
      </c>
      <c r="AL212" s="24"/>
    </row>
    <row r="213" spans="1:38" ht="31.2" x14ac:dyDescent="0.3">
      <c r="A213" s="53">
        <v>206</v>
      </c>
      <c r="B213" s="24" t="s">
        <v>544</v>
      </c>
      <c r="C213" s="24" t="s">
        <v>555</v>
      </c>
      <c r="D213" s="82" t="s">
        <v>813</v>
      </c>
      <c r="E213" s="24">
        <v>12</v>
      </c>
      <c r="F213" s="24" t="s">
        <v>200</v>
      </c>
      <c r="G213" s="24"/>
      <c r="H213" s="24" t="s">
        <v>816</v>
      </c>
      <c r="I213" s="30" t="s">
        <v>548</v>
      </c>
      <c r="J213" s="24"/>
      <c r="K213" s="24" t="s">
        <v>549</v>
      </c>
      <c r="L213" s="24" t="s">
        <v>549</v>
      </c>
      <c r="M213" s="24">
        <v>1912</v>
      </c>
      <c r="N213" s="24" t="s">
        <v>550</v>
      </c>
      <c r="O213" s="24">
        <v>6</v>
      </c>
      <c r="P213" s="24">
        <v>0</v>
      </c>
      <c r="Q213" s="24">
        <v>7</v>
      </c>
      <c r="R213" s="24">
        <v>49</v>
      </c>
      <c r="S213" s="24">
        <v>5349.4</v>
      </c>
      <c r="T213" s="24">
        <v>5349.4</v>
      </c>
      <c r="U213" s="24">
        <v>4797.3999999999996</v>
      </c>
      <c r="V213" s="24">
        <v>552</v>
      </c>
      <c r="W213" s="24" t="s">
        <v>528</v>
      </c>
      <c r="X213" s="24" t="s">
        <v>528</v>
      </c>
      <c r="Y213" s="24" t="s">
        <v>529</v>
      </c>
      <c r="Z213" s="102" t="s">
        <v>528</v>
      </c>
      <c r="AA213" s="24" t="s">
        <v>528</v>
      </c>
      <c r="AB213" s="24" t="s">
        <v>528</v>
      </c>
      <c r="AC213" s="24" t="s">
        <v>528</v>
      </c>
      <c r="AD213" s="24" t="s">
        <v>528</v>
      </c>
      <c r="AE213" s="24" t="s">
        <v>529</v>
      </c>
      <c r="AF213" s="24">
        <v>2</v>
      </c>
      <c r="AG213" s="24">
        <v>0</v>
      </c>
      <c r="AH213" s="24">
        <v>1</v>
      </c>
      <c r="AI213" s="24">
        <v>0</v>
      </c>
      <c r="AJ213" s="24">
        <v>1</v>
      </c>
      <c r="AK213" s="24">
        <v>0</v>
      </c>
      <c r="AL213" s="24"/>
    </row>
    <row r="214" spans="1:38" ht="31.2" x14ac:dyDescent="0.3">
      <c r="A214" s="53">
        <v>207</v>
      </c>
      <c r="B214" s="24" t="s">
        <v>544</v>
      </c>
      <c r="C214" s="24" t="s">
        <v>555</v>
      </c>
      <c r="D214" s="82" t="s">
        <v>813</v>
      </c>
      <c r="E214" s="24">
        <v>14</v>
      </c>
      <c r="F214" s="24" t="s">
        <v>200</v>
      </c>
      <c r="G214" s="24"/>
      <c r="H214" s="24" t="s">
        <v>817</v>
      </c>
      <c r="I214" s="30" t="s">
        <v>548</v>
      </c>
      <c r="J214" s="24"/>
      <c r="K214" s="24" t="s">
        <v>549</v>
      </c>
      <c r="L214" s="24" t="s">
        <v>549</v>
      </c>
      <c r="M214" s="24">
        <v>1910</v>
      </c>
      <c r="N214" s="24" t="s">
        <v>550</v>
      </c>
      <c r="O214" s="24">
        <v>6</v>
      </c>
      <c r="P214" s="24">
        <v>0</v>
      </c>
      <c r="Q214" s="24">
        <v>5</v>
      </c>
      <c r="R214" s="24">
        <v>44</v>
      </c>
      <c r="S214" s="24">
        <v>3447.8199999999997</v>
      </c>
      <c r="T214" s="24">
        <v>3447.8199999999997</v>
      </c>
      <c r="U214" s="24">
        <v>3298.22</v>
      </c>
      <c r="V214" s="24">
        <v>149.6</v>
      </c>
      <c r="W214" s="24" t="s">
        <v>528</v>
      </c>
      <c r="X214" s="24" t="s">
        <v>528</v>
      </c>
      <c r="Y214" s="24" t="s">
        <v>529</v>
      </c>
      <c r="Z214" s="102" t="s">
        <v>528</v>
      </c>
      <c r="AA214" s="24" t="s">
        <v>528</v>
      </c>
      <c r="AB214" s="24" t="s">
        <v>528</v>
      </c>
      <c r="AC214" s="24" t="s">
        <v>528</v>
      </c>
      <c r="AD214" s="24" t="s">
        <v>528</v>
      </c>
      <c r="AE214" s="24" t="s">
        <v>529</v>
      </c>
      <c r="AF214" s="24">
        <v>0</v>
      </c>
      <c r="AG214" s="24">
        <v>0</v>
      </c>
      <c r="AH214" s="24">
        <v>1</v>
      </c>
      <c r="AI214" s="24">
        <v>0</v>
      </c>
      <c r="AJ214" s="24">
        <v>1</v>
      </c>
      <c r="AK214" s="24">
        <v>0</v>
      </c>
      <c r="AL214" s="24"/>
    </row>
    <row r="215" spans="1:38" ht="31.2" x14ac:dyDescent="0.3">
      <c r="A215" s="53">
        <v>208</v>
      </c>
      <c r="B215" s="24" t="s">
        <v>544</v>
      </c>
      <c r="C215" s="24" t="s">
        <v>555</v>
      </c>
      <c r="D215" s="82" t="s">
        <v>813</v>
      </c>
      <c r="E215" s="24">
        <v>15</v>
      </c>
      <c r="F215" s="24" t="s">
        <v>200</v>
      </c>
      <c r="G215" s="24"/>
      <c r="H215" s="24" t="s">
        <v>818</v>
      </c>
      <c r="I215" s="30" t="s">
        <v>548</v>
      </c>
      <c r="J215" s="24"/>
      <c r="K215" s="24" t="s">
        <v>549</v>
      </c>
      <c r="L215" s="24" t="s">
        <v>549</v>
      </c>
      <c r="M215" s="24">
        <v>1915</v>
      </c>
      <c r="N215" s="24" t="s">
        <v>550</v>
      </c>
      <c r="O215" s="24">
        <v>7</v>
      </c>
      <c r="P215" s="24">
        <v>0</v>
      </c>
      <c r="Q215" s="24">
        <v>3</v>
      </c>
      <c r="R215" s="24">
        <v>25</v>
      </c>
      <c r="S215" s="24">
        <v>2663</v>
      </c>
      <c r="T215" s="24">
        <v>2663</v>
      </c>
      <c r="U215" s="24">
        <v>2420.6999999999998</v>
      </c>
      <c r="V215" s="24">
        <v>242.3</v>
      </c>
      <c r="W215" s="24" t="s">
        <v>528</v>
      </c>
      <c r="X215" s="24" t="s">
        <v>528</v>
      </c>
      <c r="Y215" s="24" t="s">
        <v>529</v>
      </c>
      <c r="Z215" s="102" t="s">
        <v>528</v>
      </c>
      <c r="AA215" s="24" t="s">
        <v>528</v>
      </c>
      <c r="AB215" s="24" t="s">
        <v>528</v>
      </c>
      <c r="AC215" s="24" t="s">
        <v>528</v>
      </c>
      <c r="AD215" s="24" t="s">
        <v>528</v>
      </c>
      <c r="AE215" s="24" t="s">
        <v>529</v>
      </c>
      <c r="AF215" s="24">
        <v>1</v>
      </c>
      <c r="AG215" s="24">
        <v>0</v>
      </c>
      <c r="AH215" s="24">
        <v>1</v>
      </c>
      <c r="AI215" s="24">
        <v>0</v>
      </c>
      <c r="AJ215" s="24">
        <v>0</v>
      </c>
      <c r="AK215" s="24">
        <v>0</v>
      </c>
      <c r="AL215" s="24"/>
    </row>
    <row r="216" spans="1:38" ht="31.2" x14ac:dyDescent="0.3">
      <c r="A216" s="53">
        <v>209</v>
      </c>
      <c r="B216" s="24" t="s">
        <v>544</v>
      </c>
      <c r="C216" s="24" t="s">
        <v>555</v>
      </c>
      <c r="D216" s="82" t="s">
        <v>813</v>
      </c>
      <c r="E216" s="24">
        <v>16</v>
      </c>
      <c r="F216" s="24" t="s">
        <v>819</v>
      </c>
      <c r="G216" s="24"/>
      <c r="H216" s="24" t="s">
        <v>820</v>
      </c>
      <c r="I216" s="30" t="s">
        <v>548</v>
      </c>
      <c r="J216" s="24"/>
      <c r="K216" s="24" t="s">
        <v>549</v>
      </c>
      <c r="L216" s="24" t="s">
        <v>549</v>
      </c>
      <c r="M216" s="24">
        <v>1903</v>
      </c>
      <c r="N216" s="24" t="s">
        <v>550</v>
      </c>
      <c r="O216" s="24">
        <v>4</v>
      </c>
      <c r="P216" s="24">
        <v>0</v>
      </c>
      <c r="Q216" s="24">
        <v>1</v>
      </c>
      <c r="R216" s="24">
        <v>4</v>
      </c>
      <c r="S216" s="24">
        <v>327.39999999999998</v>
      </c>
      <c r="T216" s="24">
        <v>327.39999999999998</v>
      </c>
      <c r="U216" s="24">
        <v>307.89999999999998</v>
      </c>
      <c r="V216" s="24">
        <v>19.5</v>
      </c>
      <c r="W216" s="24" t="s">
        <v>528</v>
      </c>
      <c r="X216" s="24" t="s">
        <v>528</v>
      </c>
      <c r="Y216" s="24" t="s">
        <v>529</v>
      </c>
      <c r="Z216" s="102" t="s">
        <v>528</v>
      </c>
      <c r="AA216" s="24" t="s">
        <v>528</v>
      </c>
      <c r="AB216" s="24" t="s">
        <v>528</v>
      </c>
      <c r="AC216" s="24" t="s">
        <v>528</v>
      </c>
      <c r="AD216" s="24" t="s">
        <v>528</v>
      </c>
      <c r="AE216" s="24" t="s">
        <v>529</v>
      </c>
      <c r="AF216" s="24">
        <v>0</v>
      </c>
      <c r="AG216" s="24">
        <v>0</v>
      </c>
      <c r="AH216" s="24">
        <v>1</v>
      </c>
      <c r="AI216" s="24">
        <v>0</v>
      </c>
      <c r="AJ216" s="24">
        <v>0</v>
      </c>
      <c r="AK216" s="24">
        <v>0</v>
      </c>
      <c r="AL216" s="24"/>
    </row>
    <row r="217" spans="1:38" ht="31.2" x14ac:dyDescent="0.3">
      <c r="A217" s="53">
        <v>210</v>
      </c>
      <c r="B217" s="24" t="s">
        <v>544</v>
      </c>
      <c r="C217" s="24" t="s">
        <v>555</v>
      </c>
      <c r="D217" s="82" t="s">
        <v>813</v>
      </c>
      <c r="E217" s="24" t="s">
        <v>821</v>
      </c>
      <c r="F217" s="24" t="s">
        <v>200</v>
      </c>
      <c r="G217" s="24"/>
      <c r="H217" s="24" t="s">
        <v>822</v>
      </c>
      <c r="I217" s="30" t="s">
        <v>548</v>
      </c>
      <c r="J217" s="24"/>
      <c r="K217" s="24" t="s">
        <v>549</v>
      </c>
      <c r="L217" s="24" t="s">
        <v>549</v>
      </c>
      <c r="M217" s="24">
        <v>1910</v>
      </c>
      <c r="N217" s="24" t="s">
        <v>550</v>
      </c>
      <c r="O217" s="24">
        <v>5</v>
      </c>
      <c r="P217" s="24">
        <v>0</v>
      </c>
      <c r="Q217" s="24">
        <v>4</v>
      </c>
      <c r="R217" s="24">
        <v>17</v>
      </c>
      <c r="S217" s="24">
        <v>2263</v>
      </c>
      <c r="T217" s="24">
        <v>2263</v>
      </c>
      <c r="U217" s="24">
        <v>1973.9</v>
      </c>
      <c r="V217" s="24">
        <v>289.10000000000002</v>
      </c>
      <c r="W217" s="24" t="s">
        <v>528</v>
      </c>
      <c r="X217" s="24" t="s">
        <v>528</v>
      </c>
      <c r="Y217" s="24" t="s">
        <v>529</v>
      </c>
      <c r="Z217" s="102" t="s">
        <v>528</v>
      </c>
      <c r="AA217" s="24" t="s">
        <v>528</v>
      </c>
      <c r="AB217" s="24" t="s">
        <v>528</v>
      </c>
      <c r="AC217" s="24" t="s">
        <v>528</v>
      </c>
      <c r="AD217" s="24" t="s">
        <v>528</v>
      </c>
      <c r="AE217" s="24" t="s">
        <v>529</v>
      </c>
      <c r="AF217" s="24">
        <v>1</v>
      </c>
      <c r="AG217" s="24">
        <v>0</v>
      </c>
      <c r="AH217" s="24">
        <v>1</v>
      </c>
      <c r="AI217" s="24">
        <v>0</v>
      </c>
      <c r="AJ217" s="24">
        <v>1</v>
      </c>
      <c r="AK217" s="24">
        <v>0</v>
      </c>
      <c r="AL217" s="24"/>
    </row>
    <row r="218" spans="1:38" ht="31.2" x14ac:dyDescent="0.3">
      <c r="A218" s="53">
        <v>211</v>
      </c>
      <c r="B218" s="24" t="s">
        <v>544</v>
      </c>
      <c r="C218" s="24" t="s">
        <v>555</v>
      </c>
      <c r="D218" s="82" t="s">
        <v>813</v>
      </c>
      <c r="E218" s="24">
        <v>25</v>
      </c>
      <c r="F218" s="24" t="s">
        <v>200</v>
      </c>
      <c r="G218" s="24"/>
      <c r="H218" s="24" t="s">
        <v>823</v>
      </c>
      <c r="I218" s="30" t="s">
        <v>548</v>
      </c>
      <c r="J218" s="24"/>
      <c r="K218" s="24" t="s">
        <v>549</v>
      </c>
      <c r="L218" s="24" t="s">
        <v>549</v>
      </c>
      <c r="M218" s="24">
        <v>1961</v>
      </c>
      <c r="N218" s="24" t="s">
        <v>550</v>
      </c>
      <c r="O218" s="24">
        <v>8</v>
      </c>
      <c r="P218" s="24">
        <v>0</v>
      </c>
      <c r="Q218" s="24">
        <v>1</v>
      </c>
      <c r="R218" s="24">
        <v>49</v>
      </c>
      <c r="S218" s="24">
        <v>2716.3</v>
      </c>
      <c r="T218" s="24">
        <v>2716.3</v>
      </c>
      <c r="U218" s="24">
        <v>2116.3000000000002</v>
      </c>
      <c r="V218" s="24">
        <v>600</v>
      </c>
      <c r="W218" s="24" t="s">
        <v>528</v>
      </c>
      <c r="X218" s="24" t="s">
        <v>528</v>
      </c>
      <c r="Y218" s="24" t="s">
        <v>529</v>
      </c>
      <c r="Z218" s="102" t="s">
        <v>528</v>
      </c>
      <c r="AA218" s="24" t="s">
        <v>528</v>
      </c>
      <c r="AB218" s="24" t="s">
        <v>528</v>
      </c>
      <c r="AC218" s="24" t="s">
        <v>528</v>
      </c>
      <c r="AD218" s="24" t="s">
        <v>528</v>
      </c>
      <c r="AE218" s="24" t="s">
        <v>529</v>
      </c>
      <c r="AF218" s="24">
        <v>1</v>
      </c>
      <c r="AG218" s="24">
        <v>0</v>
      </c>
      <c r="AH218" s="24">
        <v>1</v>
      </c>
      <c r="AI218" s="24">
        <v>0</v>
      </c>
      <c r="AJ218" s="24">
        <v>1</v>
      </c>
      <c r="AK218" s="24">
        <v>0</v>
      </c>
      <c r="AL218" s="24"/>
    </row>
    <row r="219" spans="1:38" ht="31.2" x14ac:dyDescent="0.3">
      <c r="A219" s="53">
        <v>212</v>
      </c>
      <c r="B219" s="24" t="s">
        <v>544</v>
      </c>
      <c r="C219" s="24" t="s">
        <v>555</v>
      </c>
      <c r="D219" s="82" t="s">
        <v>813</v>
      </c>
      <c r="E219" s="24">
        <v>27</v>
      </c>
      <c r="F219" s="24" t="s">
        <v>200</v>
      </c>
      <c r="G219" s="24"/>
      <c r="H219" s="24" t="s">
        <v>824</v>
      </c>
      <c r="I219" s="30" t="s">
        <v>548</v>
      </c>
      <c r="J219" s="24"/>
      <c r="K219" s="24" t="s">
        <v>549</v>
      </c>
      <c r="L219" s="24" t="s">
        <v>549</v>
      </c>
      <c r="M219" s="24">
        <v>1910</v>
      </c>
      <c r="N219" s="24" t="s">
        <v>550</v>
      </c>
      <c r="O219" s="24">
        <v>6</v>
      </c>
      <c r="P219" s="24">
        <v>0</v>
      </c>
      <c r="Q219" s="24">
        <v>4</v>
      </c>
      <c r="R219" s="24">
        <v>24</v>
      </c>
      <c r="S219" s="24">
        <v>3014.1</v>
      </c>
      <c r="T219" s="24">
        <v>3014.1</v>
      </c>
      <c r="U219" s="24">
        <v>2754.1</v>
      </c>
      <c r="V219" s="24">
        <v>260</v>
      </c>
      <c r="W219" s="24" t="s">
        <v>528</v>
      </c>
      <c r="X219" s="24" t="s">
        <v>528</v>
      </c>
      <c r="Y219" s="24" t="s">
        <v>529</v>
      </c>
      <c r="Z219" s="102" t="s">
        <v>528</v>
      </c>
      <c r="AA219" s="24" t="s">
        <v>528</v>
      </c>
      <c r="AB219" s="24" t="s">
        <v>528</v>
      </c>
      <c r="AC219" s="24" t="s">
        <v>528</v>
      </c>
      <c r="AD219" s="24" t="s">
        <v>528</v>
      </c>
      <c r="AE219" s="24" t="s">
        <v>529</v>
      </c>
      <c r="AF219" s="24">
        <v>2</v>
      </c>
      <c r="AG219" s="24">
        <v>0</v>
      </c>
      <c r="AH219" s="24">
        <v>1</v>
      </c>
      <c r="AI219" s="24">
        <v>0</v>
      </c>
      <c r="AJ219" s="24">
        <v>2</v>
      </c>
      <c r="AK219" s="24">
        <v>0</v>
      </c>
      <c r="AL219" s="24"/>
    </row>
    <row r="220" spans="1:38" ht="31.2" x14ac:dyDescent="0.3">
      <c r="A220" s="53">
        <v>213</v>
      </c>
      <c r="B220" s="24" t="s">
        <v>544</v>
      </c>
      <c r="C220" s="24" t="s">
        <v>555</v>
      </c>
      <c r="D220" s="82" t="s">
        <v>825</v>
      </c>
      <c r="E220" s="24">
        <v>23</v>
      </c>
      <c r="F220" s="24" t="s">
        <v>200</v>
      </c>
      <c r="G220" s="24"/>
      <c r="H220" s="24" t="s">
        <v>826</v>
      </c>
      <c r="I220" s="30" t="s">
        <v>548</v>
      </c>
      <c r="J220" s="24" t="s">
        <v>558</v>
      </c>
      <c r="K220" s="24" t="s">
        <v>549</v>
      </c>
      <c r="L220" s="24" t="s">
        <v>549</v>
      </c>
      <c r="M220" s="24">
        <v>1911</v>
      </c>
      <c r="N220" s="24" t="s">
        <v>550</v>
      </c>
      <c r="O220" s="24">
        <v>6</v>
      </c>
      <c r="P220" s="24">
        <v>0</v>
      </c>
      <c r="Q220" s="24">
        <v>6</v>
      </c>
      <c r="R220" s="24">
        <v>59</v>
      </c>
      <c r="S220" s="24">
        <v>6816</v>
      </c>
      <c r="T220" s="24">
        <v>6816</v>
      </c>
      <c r="U220" s="24">
        <v>6115.9</v>
      </c>
      <c r="V220" s="24">
        <v>700.1</v>
      </c>
      <c r="W220" s="24" t="s">
        <v>528</v>
      </c>
      <c r="X220" s="24" t="s">
        <v>528</v>
      </c>
      <c r="Y220" s="24" t="s">
        <v>529</v>
      </c>
      <c r="Z220" s="102" t="s">
        <v>528</v>
      </c>
      <c r="AA220" s="24" t="s">
        <v>528</v>
      </c>
      <c r="AB220" s="24" t="s">
        <v>528</v>
      </c>
      <c r="AC220" s="24" t="s">
        <v>528</v>
      </c>
      <c r="AD220" s="24" t="s">
        <v>528</v>
      </c>
      <c r="AE220" s="24" t="s">
        <v>529</v>
      </c>
      <c r="AF220" s="24">
        <v>6</v>
      </c>
      <c r="AG220" s="24">
        <v>0</v>
      </c>
      <c r="AH220" s="24">
        <v>1</v>
      </c>
      <c r="AI220" s="24">
        <v>0</v>
      </c>
      <c r="AJ220" s="24">
        <v>1</v>
      </c>
      <c r="AK220" s="24">
        <v>0</v>
      </c>
      <c r="AL220" s="24"/>
    </row>
    <row r="221" spans="1:38" ht="31.2" x14ac:dyDescent="0.3">
      <c r="A221" s="53">
        <v>214</v>
      </c>
      <c r="B221" s="24" t="s">
        <v>544</v>
      </c>
      <c r="C221" s="24" t="s">
        <v>555</v>
      </c>
      <c r="D221" s="82" t="s">
        <v>825</v>
      </c>
      <c r="E221" s="24">
        <v>27</v>
      </c>
      <c r="F221" s="24" t="s">
        <v>200</v>
      </c>
      <c r="G221" s="24"/>
      <c r="H221" s="24" t="s">
        <v>827</v>
      </c>
      <c r="I221" s="30" t="s">
        <v>548</v>
      </c>
      <c r="J221" s="24"/>
      <c r="K221" s="24" t="s">
        <v>549</v>
      </c>
      <c r="L221" s="24" t="s">
        <v>549</v>
      </c>
      <c r="M221" s="24">
        <v>1911</v>
      </c>
      <c r="N221" s="24" t="s">
        <v>550</v>
      </c>
      <c r="O221" s="24">
        <v>6</v>
      </c>
      <c r="P221" s="24">
        <v>0</v>
      </c>
      <c r="Q221" s="24">
        <v>2</v>
      </c>
      <c r="R221" s="24">
        <v>17</v>
      </c>
      <c r="S221" s="24">
        <v>1792.8</v>
      </c>
      <c r="T221" s="24">
        <v>1792.8</v>
      </c>
      <c r="U221" s="24">
        <v>1530.6</v>
      </c>
      <c r="V221" s="24">
        <v>262.2</v>
      </c>
      <c r="W221" s="24" t="s">
        <v>528</v>
      </c>
      <c r="X221" s="24" t="s">
        <v>528</v>
      </c>
      <c r="Y221" s="24" t="s">
        <v>529</v>
      </c>
      <c r="Z221" s="102" t="s">
        <v>528</v>
      </c>
      <c r="AA221" s="24" t="s">
        <v>528</v>
      </c>
      <c r="AB221" s="24" t="s">
        <v>528</v>
      </c>
      <c r="AC221" s="24" t="s">
        <v>528</v>
      </c>
      <c r="AD221" s="24" t="s">
        <v>528</v>
      </c>
      <c r="AE221" s="24" t="s">
        <v>529</v>
      </c>
      <c r="AF221" s="24">
        <v>1</v>
      </c>
      <c r="AG221" s="24">
        <v>0</v>
      </c>
      <c r="AH221" s="24">
        <v>1</v>
      </c>
      <c r="AI221" s="24">
        <v>0</v>
      </c>
      <c r="AJ221" s="24">
        <v>1</v>
      </c>
      <c r="AK221" s="24">
        <v>0</v>
      </c>
      <c r="AL221" s="24"/>
    </row>
    <row r="222" spans="1:38" ht="31.2" x14ac:dyDescent="0.3">
      <c r="A222" s="53">
        <v>215</v>
      </c>
      <c r="B222" s="24" t="s">
        <v>544</v>
      </c>
      <c r="C222" s="24" t="s">
        <v>555</v>
      </c>
      <c r="D222" s="82" t="s">
        <v>825</v>
      </c>
      <c r="E222" s="24">
        <v>27</v>
      </c>
      <c r="F222" s="24" t="s">
        <v>205</v>
      </c>
      <c r="G222" s="24"/>
      <c r="H222" s="24" t="s">
        <v>828</v>
      </c>
      <c r="I222" s="30" t="s">
        <v>548</v>
      </c>
      <c r="J222" s="24"/>
      <c r="K222" s="24" t="s">
        <v>549</v>
      </c>
      <c r="L222" s="24" t="s">
        <v>549</v>
      </c>
      <c r="M222" s="24">
        <v>1911</v>
      </c>
      <c r="N222" s="24" t="s">
        <v>550</v>
      </c>
      <c r="O222" s="24">
        <v>7</v>
      </c>
      <c r="P222" s="24">
        <v>0</v>
      </c>
      <c r="Q222" s="24">
        <v>1</v>
      </c>
      <c r="R222" s="24">
        <v>63</v>
      </c>
      <c r="S222" s="24">
        <v>4570.3</v>
      </c>
      <c r="T222" s="24">
        <v>4570.3</v>
      </c>
      <c r="U222" s="24">
        <v>4312.7</v>
      </c>
      <c r="V222" s="24">
        <v>257.60000000000002</v>
      </c>
      <c r="W222" s="24" t="s">
        <v>528</v>
      </c>
      <c r="X222" s="24" t="s">
        <v>528</v>
      </c>
      <c r="Y222" s="24" t="s">
        <v>529</v>
      </c>
      <c r="Z222" s="102" t="s">
        <v>528</v>
      </c>
      <c r="AA222" s="24" t="s">
        <v>528</v>
      </c>
      <c r="AB222" s="24" t="s">
        <v>528</v>
      </c>
      <c r="AC222" s="24" t="s">
        <v>528</v>
      </c>
      <c r="AD222" s="24" t="s">
        <v>528</v>
      </c>
      <c r="AE222" s="24" t="s">
        <v>529</v>
      </c>
      <c r="AF222" s="24">
        <v>2</v>
      </c>
      <c r="AG222" s="24">
        <v>0</v>
      </c>
      <c r="AH222" s="24">
        <v>1</v>
      </c>
      <c r="AI222" s="24">
        <v>0</v>
      </c>
      <c r="AJ222" s="24">
        <v>1</v>
      </c>
      <c r="AK222" s="24">
        <v>0</v>
      </c>
      <c r="AL222" s="24"/>
    </row>
    <row r="223" spans="1:38" ht="31.2" x14ac:dyDescent="0.3">
      <c r="A223" s="53">
        <v>216</v>
      </c>
      <c r="B223" s="24" t="s">
        <v>544</v>
      </c>
      <c r="C223" s="24" t="s">
        <v>555</v>
      </c>
      <c r="D223" s="82" t="s">
        <v>825</v>
      </c>
      <c r="E223" s="24">
        <v>29</v>
      </c>
      <c r="F223" s="24" t="s">
        <v>200</v>
      </c>
      <c r="G223" s="24"/>
      <c r="H223" s="24" t="s">
        <v>829</v>
      </c>
      <c r="I223" s="30" t="s">
        <v>548</v>
      </c>
      <c r="J223" s="24"/>
      <c r="K223" s="24" t="s">
        <v>549</v>
      </c>
      <c r="L223" s="24" t="s">
        <v>549</v>
      </c>
      <c r="M223" s="24">
        <v>1904</v>
      </c>
      <c r="N223" s="24" t="s">
        <v>550</v>
      </c>
      <c r="O223" s="24">
        <v>5</v>
      </c>
      <c r="P223" s="24">
        <v>0</v>
      </c>
      <c r="Q223" s="24">
        <v>2</v>
      </c>
      <c r="R223" s="24">
        <v>28</v>
      </c>
      <c r="S223" s="24">
        <v>2132.0299999999997</v>
      </c>
      <c r="T223" s="24">
        <v>2132.0299999999997</v>
      </c>
      <c r="U223" s="24">
        <v>1716.03</v>
      </c>
      <c r="V223" s="24">
        <v>416</v>
      </c>
      <c r="W223" s="24" t="s">
        <v>528</v>
      </c>
      <c r="X223" s="24" t="s">
        <v>528</v>
      </c>
      <c r="Y223" s="24" t="s">
        <v>529</v>
      </c>
      <c r="Z223" s="102" t="s">
        <v>528</v>
      </c>
      <c r="AA223" s="24" t="s">
        <v>528</v>
      </c>
      <c r="AB223" s="24" t="s">
        <v>528</v>
      </c>
      <c r="AC223" s="24" t="s">
        <v>528</v>
      </c>
      <c r="AD223" s="24" t="s">
        <v>528</v>
      </c>
      <c r="AE223" s="24" t="s">
        <v>529</v>
      </c>
      <c r="AF223" s="24">
        <v>1</v>
      </c>
      <c r="AG223" s="24">
        <v>0</v>
      </c>
      <c r="AH223" s="24">
        <v>1</v>
      </c>
      <c r="AI223" s="24">
        <v>0</v>
      </c>
      <c r="AJ223" s="24">
        <v>1</v>
      </c>
      <c r="AK223" s="24">
        <v>0</v>
      </c>
      <c r="AL223" s="24"/>
    </row>
    <row r="224" spans="1:38" ht="31.2" x14ac:dyDescent="0.3">
      <c r="A224" s="53">
        <v>217</v>
      </c>
      <c r="B224" s="24" t="s">
        <v>544</v>
      </c>
      <c r="C224" s="24" t="s">
        <v>555</v>
      </c>
      <c r="D224" s="82" t="s">
        <v>825</v>
      </c>
      <c r="E224" s="24">
        <v>33</v>
      </c>
      <c r="F224" s="24" t="s">
        <v>200</v>
      </c>
      <c r="G224" s="24"/>
      <c r="H224" s="24" t="s">
        <v>830</v>
      </c>
      <c r="I224" s="30" t="s">
        <v>548</v>
      </c>
      <c r="J224" s="24"/>
      <c r="K224" s="24" t="s">
        <v>549</v>
      </c>
      <c r="L224" s="24" t="s">
        <v>549</v>
      </c>
      <c r="M224" s="24">
        <v>1900</v>
      </c>
      <c r="N224" s="24" t="s">
        <v>550</v>
      </c>
      <c r="O224" s="24">
        <v>6</v>
      </c>
      <c r="P224" s="24">
        <v>0</v>
      </c>
      <c r="Q224" s="24">
        <v>2</v>
      </c>
      <c r="R224" s="24">
        <v>19</v>
      </c>
      <c r="S224" s="24">
        <v>1613.24</v>
      </c>
      <c r="T224" s="24">
        <v>1613.24</v>
      </c>
      <c r="U224" s="24">
        <v>1426.4</v>
      </c>
      <c r="V224" s="24">
        <v>186.84</v>
      </c>
      <c r="W224" s="24" t="s">
        <v>528</v>
      </c>
      <c r="X224" s="24" t="s">
        <v>528</v>
      </c>
      <c r="Y224" s="24" t="s">
        <v>529</v>
      </c>
      <c r="Z224" s="102" t="s">
        <v>528</v>
      </c>
      <c r="AA224" s="24" t="s">
        <v>528</v>
      </c>
      <c r="AB224" s="24" t="s">
        <v>528</v>
      </c>
      <c r="AC224" s="24" t="s">
        <v>528</v>
      </c>
      <c r="AD224" s="24" t="s">
        <v>528</v>
      </c>
      <c r="AE224" s="24" t="s">
        <v>529</v>
      </c>
      <c r="AF224" s="24">
        <v>1</v>
      </c>
      <c r="AG224" s="24">
        <v>0</v>
      </c>
      <c r="AH224" s="24">
        <v>1</v>
      </c>
      <c r="AI224" s="24">
        <v>0</v>
      </c>
      <c r="AJ224" s="24">
        <v>1</v>
      </c>
      <c r="AK224" s="24">
        <v>0</v>
      </c>
      <c r="AL224" s="24"/>
    </row>
    <row r="225" spans="1:38" ht="31.2" x14ac:dyDescent="0.3">
      <c r="A225" s="53">
        <v>218</v>
      </c>
      <c r="B225" s="24" t="s">
        <v>544</v>
      </c>
      <c r="C225" s="24" t="s">
        <v>555</v>
      </c>
      <c r="D225" s="82" t="s">
        <v>825</v>
      </c>
      <c r="E225" s="24">
        <v>35</v>
      </c>
      <c r="F225" s="24" t="s">
        <v>200</v>
      </c>
      <c r="G225" s="24"/>
      <c r="H225" s="24" t="s">
        <v>831</v>
      </c>
      <c r="I225" s="30" t="s">
        <v>548</v>
      </c>
      <c r="J225" s="24"/>
      <c r="K225" s="24" t="s">
        <v>549</v>
      </c>
      <c r="L225" s="24" t="s">
        <v>549</v>
      </c>
      <c r="M225" s="24">
        <v>1961</v>
      </c>
      <c r="N225" s="24" t="s">
        <v>550</v>
      </c>
      <c r="O225" s="24">
        <v>6</v>
      </c>
      <c r="P225" s="24">
        <v>0</v>
      </c>
      <c r="Q225" s="24">
        <v>1</v>
      </c>
      <c r="R225" s="24">
        <v>30</v>
      </c>
      <c r="S225" s="24">
        <v>1842</v>
      </c>
      <c r="T225" s="24">
        <v>1842</v>
      </c>
      <c r="U225" s="24">
        <v>1586.2</v>
      </c>
      <c r="V225" s="24">
        <v>255.8</v>
      </c>
      <c r="W225" s="24" t="s">
        <v>528</v>
      </c>
      <c r="X225" s="24" t="s">
        <v>528</v>
      </c>
      <c r="Y225" s="24" t="s">
        <v>529</v>
      </c>
      <c r="Z225" s="102" t="s">
        <v>528</v>
      </c>
      <c r="AA225" s="24" t="s">
        <v>528</v>
      </c>
      <c r="AB225" s="24" t="s">
        <v>528</v>
      </c>
      <c r="AC225" s="24" t="s">
        <v>528</v>
      </c>
      <c r="AD225" s="24" t="s">
        <v>528</v>
      </c>
      <c r="AE225" s="24" t="s">
        <v>529</v>
      </c>
      <c r="AF225" s="24">
        <v>1</v>
      </c>
      <c r="AG225" s="24">
        <v>0</v>
      </c>
      <c r="AH225" s="24">
        <v>1</v>
      </c>
      <c r="AI225" s="24">
        <v>0</v>
      </c>
      <c r="AJ225" s="24">
        <v>1</v>
      </c>
      <c r="AK225" s="24">
        <v>0</v>
      </c>
      <c r="AL225" s="24"/>
    </row>
    <row r="226" spans="1:38" ht="31.2" x14ac:dyDescent="0.3">
      <c r="A226" s="53">
        <v>219</v>
      </c>
      <c r="B226" s="24" t="s">
        <v>544</v>
      </c>
      <c r="C226" s="24" t="s">
        <v>555</v>
      </c>
      <c r="D226" s="82" t="s">
        <v>825</v>
      </c>
      <c r="E226" s="24">
        <v>45</v>
      </c>
      <c r="F226" s="24" t="s">
        <v>200</v>
      </c>
      <c r="G226" s="24"/>
      <c r="H226" s="24" t="s">
        <v>832</v>
      </c>
      <c r="I226" s="30" t="s">
        <v>548</v>
      </c>
      <c r="J226" s="24" t="s">
        <v>558</v>
      </c>
      <c r="K226" s="24" t="s">
        <v>549</v>
      </c>
      <c r="L226" s="24" t="s">
        <v>549</v>
      </c>
      <c r="M226" s="24">
        <v>1938</v>
      </c>
      <c r="N226" s="24" t="s">
        <v>550</v>
      </c>
      <c r="O226" s="24">
        <v>8</v>
      </c>
      <c r="P226" s="24">
        <v>0</v>
      </c>
      <c r="Q226" s="24">
        <v>5</v>
      </c>
      <c r="R226" s="24">
        <v>102</v>
      </c>
      <c r="S226" s="24">
        <v>6766.03</v>
      </c>
      <c r="T226" s="24">
        <v>6766.03</v>
      </c>
      <c r="U226" s="24">
        <v>6062.61</v>
      </c>
      <c r="V226" s="24">
        <v>703.42</v>
      </c>
      <c r="W226" s="24" t="s">
        <v>528</v>
      </c>
      <c r="X226" s="24" t="s">
        <v>528</v>
      </c>
      <c r="Y226" s="24" t="s">
        <v>529</v>
      </c>
      <c r="Z226" s="102" t="s">
        <v>528</v>
      </c>
      <c r="AA226" s="24" t="s">
        <v>528</v>
      </c>
      <c r="AB226" s="24" t="s">
        <v>528</v>
      </c>
      <c r="AC226" s="24" t="s">
        <v>528</v>
      </c>
      <c r="AD226" s="24" t="s">
        <v>528</v>
      </c>
      <c r="AE226" s="24" t="s">
        <v>529</v>
      </c>
      <c r="AF226" s="24">
        <v>5</v>
      </c>
      <c r="AG226" s="24">
        <v>0</v>
      </c>
      <c r="AH226" s="24">
        <v>1</v>
      </c>
      <c r="AI226" s="24">
        <v>0</v>
      </c>
      <c r="AJ226" s="24">
        <v>1</v>
      </c>
      <c r="AK226" s="24">
        <v>0</v>
      </c>
      <c r="AL226" s="24"/>
    </row>
    <row r="227" spans="1:38" ht="31.2" x14ac:dyDescent="0.3">
      <c r="A227" s="53">
        <v>220</v>
      </c>
      <c r="B227" s="24" t="s">
        <v>544</v>
      </c>
      <c r="C227" s="24" t="s">
        <v>555</v>
      </c>
      <c r="D227" s="82" t="s">
        <v>825</v>
      </c>
      <c r="E227" s="24">
        <v>47</v>
      </c>
      <c r="F227" s="24" t="s">
        <v>200</v>
      </c>
      <c r="G227" s="24"/>
      <c r="H227" s="24" t="s">
        <v>833</v>
      </c>
      <c r="I227" s="30" t="s">
        <v>548</v>
      </c>
      <c r="J227" s="24"/>
      <c r="K227" s="24" t="s">
        <v>549</v>
      </c>
      <c r="L227" s="24" t="s">
        <v>549</v>
      </c>
      <c r="M227" s="24">
        <v>1900</v>
      </c>
      <c r="N227" s="24" t="s">
        <v>550</v>
      </c>
      <c r="O227" s="24">
        <v>7</v>
      </c>
      <c r="P227" s="24">
        <v>0</v>
      </c>
      <c r="Q227" s="24">
        <v>7</v>
      </c>
      <c r="R227" s="24">
        <v>48</v>
      </c>
      <c r="S227" s="24">
        <v>5654.4000000000005</v>
      </c>
      <c r="T227" s="24">
        <v>5654.4000000000005</v>
      </c>
      <c r="U227" s="24">
        <v>5021.3</v>
      </c>
      <c r="V227" s="24">
        <v>633.1</v>
      </c>
      <c r="W227" s="24" t="s">
        <v>528</v>
      </c>
      <c r="X227" s="24" t="s">
        <v>528</v>
      </c>
      <c r="Y227" s="24" t="s">
        <v>529</v>
      </c>
      <c r="Z227" s="102" t="s">
        <v>528</v>
      </c>
      <c r="AA227" s="24" t="s">
        <v>528</v>
      </c>
      <c r="AB227" s="24" t="s">
        <v>528</v>
      </c>
      <c r="AC227" s="24" t="s">
        <v>528</v>
      </c>
      <c r="AD227" s="24" t="s">
        <v>528</v>
      </c>
      <c r="AE227" s="24" t="s">
        <v>529</v>
      </c>
      <c r="AF227" s="24">
        <v>3</v>
      </c>
      <c r="AG227" s="24">
        <v>0</v>
      </c>
      <c r="AH227" s="24">
        <v>1</v>
      </c>
      <c r="AI227" s="24">
        <v>0</v>
      </c>
      <c r="AJ227" s="24">
        <v>1</v>
      </c>
      <c r="AK227" s="24">
        <v>0</v>
      </c>
      <c r="AL227" s="24"/>
    </row>
    <row r="228" spans="1:38" ht="31.2" x14ac:dyDescent="0.3">
      <c r="A228" s="53">
        <v>221</v>
      </c>
      <c r="B228" s="24" t="s">
        <v>544</v>
      </c>
      <c r="C228" s="24" t="s">
        <v>555</v>
      </c>
      <c r="D228" s="82" t="s">
        <v>825</v>
      </c>
      <c r="E228" s="24">
        <v>51</v>
      </c>
      <c r="F228" s="24" t="s">
        <v>200</v>
      </c>
      <c r="G228" s="24"/>
      <c r="H228" s="24" t="s">
        <v>834</v>
      </c>
      <c r="I228" s="30" t="s">
        <v>548</v>
      </c>
      <c r="J228" s="24"/>
      <c r="K228" s="24" t="s">
        <v>549</v>
      </c>
      <c r="L228" s="24" t="s">
        <v>549</v>
      </c>
      <c r="M228" s="24">
        <v>1887</v>
      </c>
      <c r="N228" s="24" t="s">
        <v>550</v>
      </c>
      <c r="O228" s="24">
        <v>4</v>
      </c>
      <c r="P228" s="24">
        <v>0</v>
      </c>
      <c r="Q228" s="24">
        <v>3</v>
      </c>
      <c r="R228" s="24">
        <v>21</v>
      </c>
      <c r="S228" s="24">
        <v>1669.5</v>
      </c>
      <c r="T228" s="24">
        <v>1669.5</v>
      </c>
      <c r="U228" s="24">
        <v>1598.9</v>
      </c>
      <c r="V228" s="24">
        <v>70.599999999999994</v>
      </c>
      <c r="W228" s="24" t="s">
        <v>528</v>
      </c>
      <c r="X228" s="24" t="s">
        <v>528</v>
      </c>
      <c r="Y228" s="24" t="s">
        <v>529</v>
      </c>
      <c r="Z228" s="102" t="s">
        <v>528</v>
      </c>
      <c r="AA228" s="24" t="s">
        <v>528</v>
      </c>
      <c r="AB228" s="24" t="s">
        <v>528</v>
      </c>
      <c r="AC228" s="24" t="s">
        <v>528</v>
      </c>
      <c r="AD228" s="24" t="s">
        <v>528</v>
      </c>
      <c r="AE228" s="24" t="s">
        <v>529</v>
      </c>
      <c r="AF228" s="24">
        <v>0</v>
      </c>
      <c r="AG228" s="24">
        <v>0</v>
      </c>
      <c r="AH228" s="24">
        <v>1</v>
      </c>
      <c r="AI228" s="24">
        <v>0</v>
      </c>
      <c r="AJ228" s="24">
        <v>1</v>
      </c>
      <c r="AK228" s="24">
        <v>0</v>
      </c>
      <c r="AL228" s="24"/>
    </row>
    <row r="229" spans="1:38" ht="31.2" x14ac:dyDescent="0.3">
      <c r="A229" s="53">
        <v>222</v>
      </c>
      <c r="B229" s="24" t="s">
        <v>544</v>
      </c>
      <c r="C229" s="24" t="s">
        <v>555</v>
      </c>
      <c r="D229" s="82" t="s">
        <v>825</v>
      </c>
      <c r="E229" s="24">
        <v>51</v>
      </c>
      <c r="F229" s="24" t="s">
        <v>205</v>
      </c>
      <c r="G229" s="24"/>
      <c r="H229" s="24" t="s">
        <v>835</v>
      </c>
      <c r="I229" s="30" t="s">
        <v>548</v>
      </c>
      <c r="J229" s="24"/>
      <c r="K229" s="24" t="s">
        <v>549</v>
      </c>
      <c r="L229" s="24" t="s">
        <v>549</v>
      </c>
      <c r="M229" s="24">
        <v>1879</v>
      </c>
      <c r="N229" s="24" t="s">
        <v>550</v>
      </c>
      <c r="O229" s="24">
        <v>3</v>
      </c>
      <c r="P229" s="24">
        <v>0</v>
      </c>
      <c r="Q229" s="24">
        <v>2</v>
      </c>
      <c r="R229" s="24">
        <v>31</v>
      </c>
      <c r="S229" s="24">
        <v>2900</v>
      </c>
      <c r="T229" s="24">
        <v>2900</v>
      </c>
      <c r="U229" s="24">
        <v>2177</v>
      </c>
      <c r="V229" s="24">
        <v>723</v>
      </c>
      <c r="W229" s="24" t="s">
        <v>528</v>
      </c>
      <c r="X229" s="24" t="s">
        <v>528</v>
      </c>
      <c r="Y229" s="24" t="s">
        <v>529</v>
      </c>
      <c r="Z229" s="102" t="s">
        <v>528</v>
      </c>
      <c r="AA229" s="24" t="s">
        <v>528</v>
      </c>
      <c r="AB229" s="24" t="s">
        <v>528</v>
      </c>
      <c r="AC229" s="24" t="s">
        <v>528</v>
      </c>
      <c r="AD229" s="24" t="s">
        <v>528</v>
      </c>
      <c r="AE229" s="24" t="s">
        <v>529</v>
      </c>
      <c r="AF229" s="24">
        <v>0</v>
      </c>
      <c r="AG229" s="24">
        <v>0</v>
      </c>
      <c r="AH229" s="24">
        <v>1</v>
      </c>
      <c r="AI229" s="24">
        <v>0</v>
      </c>
      <c r="AJ229" s="24">
        <v>1</v>
      </c>
      <c r="AK229" s="24">
        <v>0</v>
      </c>
      <c r="AL229" s="24"/>
    </row>
    <row r="230" spans="1:38" ht="31.2" x14ac:dyDescent="0.3">
      <c r="A230" s="53">
        <v>223</v>
      </c>
      <c r="B230" s="24" t="s">
        <v>544</v>
      </c>
      <c r="C230" s="24" t="s">
        <v>555</v>
      </c>
      <c r="D230" s="82" t="s">
        <v>836</v>
      </c>
      <c r="E230" s="24">
        <v>5</v>
      </c>
      <c r="F230" s="24" t="s">
        <v>200</v>
      </c>
      <c r="G230" s="24"/>
      <c r="H230" s="24" t="s">
        <v>837</v>
      </c>
      <c r="I230" s="30" t="s">
        <v>548</v>
      </c>
      <c r="J230" s="24"/>
      <c r="K230" s="24" t="s">
        <v>549</v>
      </c>
      <c r="L230" s="24" t="s">
        <v>549</v>
      </c>
      <c r="M230" s="24">
        <v>1910</v>
      </c>
      <c r="N230" s="24" t="s">
        <v>550</v>
      </c>
      <c r="O230" s="24">
        <v>5</v>
      </c>
      <c r="P230" s="24">
        <v>0</v>
      </c>
      <c r="Q230" s="24">
        <v>3</v>
      </c>
      <c r="R230" s="24">
        <v>31</v>
      </c>
      <c r="S230" s="24">
        <v>2094.1999999999998</v>
      </c>
      <c r="T230" s="24">
        <v>2094.1999999999998</v>
      </c>
      <c r="U230" s="24">
        <v>2007.2</v>
      </c>
      <c r="V230" s="24">
        <v>87</v>
      </c>
      <c r="W230" s="24" t="s">
        <v>528</v>
      </c>
      <c r="X230" s="24" t="s">
        <v>528</v>
      </c>
      <c r="Y230" s="24" t="s">
        <v>529</v>
      </c>
      <c r="Z230" s="102" t="s">
        <v>528</v>
      </c>
      <c r="AA230" s="24" t="s">
        <v>528</v>
      </c>
      <c r="AB230" s="24" t="s">
        <v>528</v>
      </c>
      <c r="AC230" s="24" t="s">
        <v>528</v>
      </c>
      <c r="AD230" s="24" t="s">
        <v>528</v>
      </c>
      <c r="AE230" s="24" t="s">
        <v>529</v>
      </c>
      <c r="AF230" s="24">
        <v>0</v>
      </c>
      <c r="AG230" s="24">
        <v>0</v>
      </c>
      <c r="AH230" s="24">
        <v>1</v>
      </c>
      <c r="AI230" s="24">
        <v>0</v>
      </c>
      <c r="AJ230" s="24">
        <v>1</v>
      </c>
      <c r="AK230" s="24">
        <v>0</v>
      </c>
      <c r="AL230" s="24"/>
    </row>
    <row r="231" spans="1:38" ht="31.2" x14ac:dyDescent="0.3">
      <c r="A231" s="53">
        <v>224</v>
      </c>
      <c r="B231" s="24" t="s">
        <v>544</v>
      </c>
      <c r="C231" s="24" t="s">
        <v>555</v>
      </c>
      <c r="D231" s="82" t="s">
        <v>836</v>
      </c>
      <c r="E231" s="24">
        <v>7</v>
      </c>
      <c r="F231" s="24" t="s">
        <v>200</v>
      </c>
      <c r="G231" s="24"/>
      <c r="H231" s="24" t="s">
        <v>838</v>
      </c>
      <c r="I231" s="30" t="s">
        <v>548</v>
      </c>
      <c r="J231" s="24"/>
      <c r="K231" s="24" t="s">
        <v>549</v>
      </c>
      <c r="L231" s="24" t="s">
        <v>549</v>
      </c>
      <c r="M231" s="24">
        <v>1900</v>
      </c>
      <c r="N231" s="24" t="s">
        <v>550</v>
      </c>
      <c r="O231" s="24">
        <v>4</v>
      </c>
      <c r="P231" s="24">
        <v>0</v>
      </c>
      <c r="Q231" s="24">
        <v>2</v>
      </c>
      <c r="R231" s="24">
        <v>22</v>
      </c>
      <c r="S231" s="24">
        <v>1761.05</v>
      </c>
      <c r="T231" s="24">
        <v>1761.05</v>
      </c>
      <c r="U231" s="24">
        <v>1373.05</v>
      </c>
      <c r="V231" s="24">
        <v>388</v>
      </c>
      <c r="W231" s="24" t="s">
        <v>528</v>
      </c>
      <c r="X231" s="24" t="s">
        <v>528</v>
      </c>
      <c r="Y231" s="24" t="s">
        <v>529</v>
      </c>
      <c r="Z231" s="102" t="s">
        <v>528</v>
      </c>
      <c r="AA231" s="24" t="s">
        <v>528</v>
      </c>
      <c r="AB231" s="24" t="s">
        <v>528</v>
      </c>
      <c r="AC231" s="24" t="s">
        <v>528</v>
      </c>
      <c r="AD231" s="24" t="s">
        <v>528</v>
      </c>
      <c r="AE231" s="24" t="s">
        <v>529</v>
      </c>
      <c r="AF231" s="24">
        <v>0</v>
      </c>
      <c r="AG231" s="24">
        <v>0</v>
      </c>
      <c r="AH231" s="24">
        <v>1</v>
      </c>
      <c r="AI231" s="24">
        <v>0</v>
      </c>
      <c r="AJ231" s="24">
        <v>1</v>
      </c>
      <c r="AK231" s="24">
        <v>0</v>
      </c>
      <c r="AL231" s="24"/>
    </row>
    <row r="232" spans="1:38" ht="31.2" x14ac:dyDescent="0.3">
      <c r="A232" s="53">
        <v>225</v>
      </c>
      <c r="B232" s="24" t="s">
        <v>544</v>
      </c>
      <c r="C232" s="24" t="s">
        <v>555</v>
      </c>
      <c r="D232" s="82" t="s">
        <v>836</v>
      </c>
      <c r="E232" s="24">
        <v>11</v>
      </c>
      <c r="F232" s="24" t="s">
        <v>200</v>
      </c>
      <c r="G232" s="24"/>
      <c r="H232" s="24" t="s">
        <v>839</v>
      </c>
      <c r="I232" s="30" t="s">
        <v>548</v>
      </c>
      <c r="J232" s="24"/>
      <c r="K232" s="24" t="s">
        <v>549</v>
      </c>
      <c r="L232" s="24" t="s">
        <v>549</v>
      </c>
      <c r="M232" s="24">
        <v>1910</v>
      </c>
      <c r="N232" s="24" t="s">
        <v>550</v>
      </c>
      <c r="O232" s="24">
        <v>6</v>
      </c>
      <c r="P232" s="24">
        <v>0</v>
      </c>
      <c r="Q232" s="24">
        <v>5</v>
      </c>
      <c r="R232" s="24">
        <v>94</v>
      </c>
      <c r="S232" s="24">
        <v>8105.3</v>
      </c>
      <c r="T232" s="24">
        <v>8105.3</v>
      </c>
      <c r="U232" s="24">
        <v>7221.3</v>
      </c>
      <c r="V232" s="24">
        <v>884</v>
      </c>
      <c r="W232" s="24" t="s">
        <v>528</v>
      </c>
      <c r="X232" s="24" t="s">
        <v>528</v>
      </c>
      <c r="Y232" s="24" t="s">
        <v>529</v>
      </c>
      <c r="Z232" s="102" t="s">
        <v>528</v>
      </c>
      <c r="AA232" s="24" t="s">
        <v>528</v>
      </c>
      <c r="AB232" s="24" t="s">
        <v>528</v>
      </c>
      <c r="AC232" s="24" t="s">
        <v>528</v>
      </c>
      <c r="AD232" s="24" t="s">
        <v>528</v>
      </c>
      <c r="AE232" s="24" t="s">
        <v>529</v>
      </c>
      <c r="AF232" s="24">
        <v>3</v>
      </c>
      <c r="AG232" s="24">
        <v>0</v>
      </c>
      <c r="AH232" s="24">
        <v>1</v>
      </c>
      <c r="AI232" s="24">
        <v>0</v>
      </c>
      <c r="AJ232" s="24">
        <v>1</v>
      </c>
      <c r="AK232" s="24">
        <v>0</v>
      </c>
      <c r="AL232" s="24"/>
    </row>
    <row r="233" spans="1:38" ht="31.2" x14ac:dyDescent="0.3">
      <c r="A233" s="53">
        <v>226</v>
      </c>
      <c r="B233" s="24" t="s">
        <v>544</v>
      </c>
      <c r="C233" s="24" t="s">
        <v>555</v>
      </c>
      <c r="D233" s="82" t="s">
        <v>836</v>
      </c>
      <c r="E233" s="24">
        <v>15</v>
      </c>
      <c r="F233" s="24" t="s">
        <v>200</v>
      </c>
      <c r="G233" s="24"/>
      <c r="H233" s="24" t="s">
        <v>840</v>
      </c>
      <c r="I233" s="30" t="s">
        <v>548</v>
      </c>
      <c r="J233" s="24"/>
      <c r="K233" s="24" t="s">
        <v>549</v>
      </c>
      <c r="L233" s="24" t="s">
        <v>549</v>
      </c>
      <c r="M233" s="24">
        <v>1912</v>
      </c>
      <c r="N233" s="24" t="s">
        <v>550</v>
      </c>
      <c r="O233" s="24">
        <v>5</v>
      </c>
      <c r="P233" s="24">
        <v>0</v>
      </c>
      <c r="Q233" s="24">
        <v>1</v>
      </c>
      <c r="R233" s="24">
        <v>17</v>
      </c>
      <c r="S233" s="24">
        <v>1208.7</v>
      </c>
      <c r="T233" s="24">
        <v>1208.7</v>
      </c>
      <c r="U233" s="24">
        <v>1105.4000000000001</v>
      </c>
      <c r="V233" s="24">
        <v>103.3</v>
      </c>
      <c r="W233" s="24" t="s">
        <v>528</v>
      </c>
      <c r="X233" s="24" t="s">
        <v>528</v>
      </c>
      <c r="Y233" s="24" t="s">
        <v>529</v>
      </c>
      <c r="Z233" s="102" t="s">
        <v>528</v>
      </c>
      <c r="AA233" s="24" t="s">
        <v>528</v>
      </c>
      <c r="AB233" s="24" t="s">
        <v>528</v>
      </c>
      <c r="AC233" s="24" t="s">
        <v>528</v>
      </c>
      <c r="AD233" s="24" t="s">
        <v>528</v>
      </c>
      <c r="AE233" s="24" t="s">
        <v>529</v>
      </c>
      <c r="AF233" s="24">
        <v>1</v>
      </c>
      <c r="AG233" s="24">
        <v>0</v>
      </c>
      <c r="AH233" s="24">
        <v>1</v>
      </c>
      <c r="AI233" s="24">
        <v>0</v>
      </c>
      <c r="AJ233" s="24">
        <v>1</v>
      </c>
      <c r="AK233" s="24">
        <v>0</v>
      </c>
      <c r="AL233" s="24"/>
    </row>
    <row r="234" spans="1:38" ht="31.2" x14ac:dyDescent="0.3">
      <c r="A234" s="53">
        <v>227</v>
      </c>
      <c r="B234" s="24" t="s">
        <v>544</v>
      </c>
      <c r="C234" s="24" t="s">
        <v>555</v>
      </c>
      <c r="D234" s="82" t="s">
        <v>836</v>
      </c>
      <c r="E234" s="24">
        <v>15</v>
      </c>
      <c r="F234" s="24" t="s">
        <v>205</v>
      </c>
      <c r="G234" s="24"/>
      <c r="H234" s="24" t="s">
        <v>841</v>
      </c>
      <c r="I234" s="30" t="s">
        <v>548</v>
      </c>
      <c r="J234" s="24"/>
      <c r="K234" s="24" t="s">
        <v>549</v>
      </c>
      <c r="L234" s="24" t="s">
        <v>549</v>
      </c>
      <c r="M234" s="24">
        <v>1905</v>
      </c>
      <c r="N234" s="24" t="s">
        <v>550</v>
      </c>
      <c r="O234" s="24">
        <v>5</v>
      </c>
      <c r="P234" s="24">
        <v>0</v>
      </c>
      <c r="Q234" s="24">
        <v>1</v>
      </c>
      <c r="R234" s="24">
        <v>20</v>
      </c>
      <c r="S234" s="24">
        <v>1149.9000000000001</v>
      </c>
      <c r="T234" s="24">
        <v>1149.9000000000001</v>
      </c>
      <c r="U234" s="24">
        <v>1149.9000000000001</v>
      </c>
      <c r="V234" s="24">
        <v>0</v>
      </c>
      <c r="W234" s="24" t="s">
        <v>528</v>
      </c>
      <c r="X234" s="24" t="s">
        <v>528</v>
      </c>
      <c r="Y234" s="24" t="s">
        <v>529</v>
      </c>
      <c r="Z234" s="102" t="s">
        <v>528</v>
      </c>
      <c r="AA234" s="24" t="s">
        <v>528</v>
      </c>
      <c r="AB234" s="24" t="s">
        <v>528</v>
      </c>
      <c r="AC234" s="24" t="s">
        <v>528</v>
      </c>
      <c r="AD234" s="24" t="s">
        <v>528</v>
      </c>
      <c r="AE234" s="24" t="s">
        <v>529</v>
      </c>
      <c r="AF234" s="24">
        <v>0</v>
      </c>
      <c r="AG234" s="24">
        <v>0</v>
      </c>
      <c r="AH234" s="24">
        <v>1</v>
      </c>
      <c r="AI234" s="24">
        <v>0</v>
      </c>
      <c r="AJ234" s="24">
        <v>1</v>
      </c>
      <c r="AK234" s="24">
        <v>0</v>
      </c>
      <c r="AL234" s="24"/>
    </row>
    <row r="235" spans="1:38" ht="31.2" x14ac:dyDescent="0.3">
      <c r="A235" s="53">
        <v>228</v>
      </c>
      <c r="B235" s="24" t="s">
        <v>544</v>
      </c>
      <c r="C235" s="24" t="s">
        <v>555</v>
      </c>
      <c r="D235" s="82" t="s">
        <v>836</v>
      </c>
      <c r="E235" s="24">
        <v>15</v>
      </c>
      <c r="F235" s="24" t="s">
        <v>206</v>
      </c>
      <c r="G235" s="24"/>
      <c r="H235" s="24" t="s">
        <v>842</v>
      </c>
      <c r="I235" s="30" t="s">
        <v>548</v>
      </c>
      <c r="J235" s="24"/>
      <c r="K235" s="24" t="s">
        <v>549</v>
      </c>
      <c r="L235" s="24" t="s">
        <v>549</v>
      </c>
      <c r="M235" s="24">
        <v>1905</v>
      </c>
      <c r="N235" s="24" t="s">
        <v>550</v>
      </c>
      <c r="O235" s="24">
        <v>6</v>
      </c>
      <c r="P235" s="24">
        <v>0</v>
      </c>
      <c r="Q235" s="24">
        <v>1</v>
      </c>
      <c r="R235" s="24">
        <v>24</v>
      </c>
      <c r="S235" s="24">
        <v>1652.6</v>
      </c>
      <c r="T235" s="24">
        <v>1652.6</v>
      </c>
      <c r="U235" s="24">
        <v>1652.6</v>
      </c>
      <c r="V235" s="24">
        <v>0</v>
      </c>
      <c r="W235" s="24" t="s">
        <v>528</v>
      </c>
      <c r="X235" s="24" t="s">
        <v>528</v>
      </c>
      <c r="Y235" s="24" t="s">
        <v>529</v>
      </c>
      <c r="Z235" s="102" t="s">
        <v>528</v>
      </c>
      <c r="AA235" s="24" t="s">
        <v>528</v>
      </c>
      <c r="AB235" s="24" t="s">
        <v>528</v>
      </c>
      <c r="AC235" s="24" t="s">
        <v>528</v>
      </c>
      <c r="AD235" s="24" t="s">
        <v>528</v>
      </c>
      <c r="AE235" s="24" t="s">
        <v>529</v>
      </c>
      <c r="AF235" s="24">
        <v>0</v>
      </c>
      <c r="AG235" s="24">
        <v>0</v>
      </c>
      <c r="AH235" s="24">
        <v>1</v>
      </c>
      <c r="AI235" s="24">
        <v>0</v>
      </c>
      <c r="AJ235" s="24">
        <v>1</v>
      </c>
      <c r="AK235" s="24">
        <v>0</v>
      </c>
      <c r="AL235" s="24"/>
    </row>
    <row r="236" spans="1:38" ht="31.2" x14ac:dyDescent="0.3">
      <c r="A236" s="53">
        <v>229</v>
      </c>
      <c r="B236" s="24" t="s">
        <v>544</v>
      </c>
      <c r="C236" s="24" t="s">
        <v>555</v>
      </c>
      <c r="D236" s="82" t="s">
        <v>836</v>
      </c>
      <c r="E236" s="24">
        <v>17</v>
      </c>
      <c r="F236" s="24" t="s">
        <v>200</v>
      </c>
      <c r="G236" s="24"/>
      <c r="H236" s="24" t="s">
        <v>843</v>
      </c>
      <c r="I236" s="30" t="s">
        <v>548</v>
      </c>
      <c r="J236" s="24"/>
      <c r="K236" s="24" t="s">
        <v>549</v>
      </c>
      <c r="L236" s="24" t="s">
        <v>549</v>
      </c>
      <c r="M236" s="24">
        <v>1908</v>
      </c>
      <c r="N236" s="24" t="s">
        <v>550</v>
      </c>
      <c r="O236" s="24">
        <v>5</v>
      </c>
      <c r="P236" s="24">
        <v>0</v>
      </c>
      <c r="Q236" s="24">
        <v>1</v>
      </c>
      <c r="R236" s="24">
        <v>18</v>
      </c>
      <c r="S236" s="24">
        <v>1355.3</v>
      </c>
      <c r="T236" s="24">
        <v>1355.3</v>
      </c>
      <c r="U236" s="24">
        <v>1249.2</v>
      </c>
      <c r="V236" s="24">
        <v>106.1</v>
      </c>
      <c r="W236" s="24" t="s">
        <v>528</v>
      </c>
      <c r="X236" s="24" t="s">
        <v>528</v>
      </c>
      <c r="Y236" s="24" t="s">
        <v>529</v>
      </c>
      <c r="Z236" s="102" t="s">
        <v>528</v>
      </c>
      <c r="AA236" s="24" t="s">
        <v>528</v>
      </c>
      <c r="AB236" s="24" t="s">
        <v>528</v>
      </c>
      <c r="AC236" s="24" t="s">
        <v>528</v>
      </c>
      <c r="AD236" s="24" t="s">
        <v>528</v>
      </c>
      <c r="AE236" s="24" t="s">
        <v>529</v>
      </c>
      <c r="AF236" s="24">
        <v>0</v>
      </c>
      <c r="AG236" s="24">
        <v>0</v>
      </c>
      <c r="AH236" s="24">
        <v>1</v>
      </c>
      <c r="AI236" s="24">
        <v>0</v>
      </c>
      <c r="AJ236" s="24">
        <v>1</v>
      </c>
      <c r="AK236" s="24">
        <v>0</v>
      </c>
      <c r="AL236" s="24"/>
    </row>
    <row r="237" spans="1:38" ht="31.2" x14ac:dyDescent="0.3">
      <c r="A237" s="53">
        <v>230</v>
      </c>
      <c r="B237" s="24" t="s">
        <v>544</v>
      </c>
      <c r="C237" s="24" t="s">
        <v>555</v>
      </c>
      <c r="D237" s="82" t="s">
        <v>836</v>
      </c>
      <c r="E237" s="24">
        <v>17</v>
      </c>
      <c r="F237" s="24" t="s">
        <v>205</v>
      </c>
      <c r="G237" s="24"/>
      <c r="H237" s="24" t="s">
        <v>844</v>
      </c>
      <c r="I237" s="30" t="s">
        <v>548</v>
      </c>
      <c r="J237" s="24"/>
      <c r="K237" s="24" t="s">
        <v>549</v>
      </c>
      <c r="L237" s="24" t="s">
        <v>549</v>
      </c>
      <c r="M237" s="24">
        <v>1905</v>
      </c>
      <c r="N237" s="24" t="s">
        <v>550</v>
      </c>
      <c r="O237" s="24">
        <v>5</v>
      </c>
      <c r="P237" s="24">
        <v>0</v>
      </c>
      <c r="Q237" s="24">
        <v>2</v>
      </c>
      <c r="R237" s="24">
        <v>20</v>
      </c>
      <c r="S237" s="24">
        <v>1578.1999999999998</v>
      </c>
      <c r="T237" s="24">
        <v>1578.1999999999998</v>
      </c>
      <c r="U237" s="24">
        <v>1398.6</v>
      </c>
      <c r="V237" s="24">
        <v>179.6</v>
      </c>
      <c r="W237" s="24" t="s">
        <v>528</v>
      </c>
      <c r="X237" s="24" t="s">
        <v>528</v>
      </c>
      <c r="Y237" s="24" t="s">
        <v>529</v>
      </c>
      <c r="Z237" s="102" t="s">
        <v>528</v>
      </c>
      <c r="AA237" s="24" t="s">
        <v>528</v>
      </c>
      <c r="AB237" s="24" t="s">
        <v>528</v>
      </c>
      <c r="AC237" s="24" t="s">
        <v>528</v>
      </c>
      <c r="AD237" s="24" t="s">
        <v>528</v>
      </c>
      <c r="AE237" s="24" t="s">
        <v>529</v>
      </c>
      <c r="AF237" s="24">
        <v>0</v>
      </c>
      <c r="AG237" s="24">
        <v>0</v>
      </c>
      <c r="AH237" s="24">
        <v>1</v>
      </c>
      <c r="AI237" s="24">
        <v>0</v>
      </c>
      <c r="AJ237" s="24">
        <v>1</v>
      </c>
      <c r="AK237" s="24">
        <v>0</v>
      </c>
      <c r="AL237" s="24"/>
    </row>
    <row r="238" spans="1:38" ht="31.2" x14ac:dyDescent="0.3">
      <c r="A238" s="53">
        <v>231</v>
      </c>
      <c r="B238" s="24" t="s">
        <v>544</v>
      </c>
      <c r="C238" s="24" t="s">
        <v>555</v>
      </c>
      <c r="D238" s="82" t="s">
        <v>836</v>
      </c>
      <c r="E238" s="24">
        <v>17</v>
      </c>
      <c r="F238" s="24" t="s">
        <v>206</v>
      </c>
      <c r="G238" s="24"/>
      <c r="H238" s="24" t="s">
        <v>845</v>
      </c>
      <c r="I238" s="30" t="s">
        <v>548</v>
      </c>
      <c r="J238" s="24"/>
      <c r="K238" s="24" t="s">
        <v>549</v>
      </c>
      <c r="L238" s="24" t="s">
        <v>549</v>
      </c>
      <c r="M238" s="24">
        <v>1905</v>
      </c>
      <c r="N238" s="24" t="s">
        <v>550</v>
      </c>
      <c r="O238" s="24">
        <v>6</v>
      </c>
      <c r="P238" s="24">
        <v>0</v>
      </c>
      <c r="Q238" s="24">
        <v>1</v>
      </c>
      <c r="R238" s="24">
        <v>35</v>
      </c>
      <c r="S238" s="24">
        <v>1804.7</v>
      </c>
      <c r="T238" s="24">
        <v>1804.7</v>
      </c>
      <c r="U238" s="24">
        <v>1754.3</v>
      </c>
      <c r="V238" s="24">
        <v>50.4</v>
      </c>
      <c r="W238" s="24" t="s">
        <v>528</v>
      </c>
      <c r="X238" s="24" t="s">
        <v>528</v>
      </c>
      <c r="Y238" s="24" t="s">
        <v>529</v>
      </c>
      <c r="Z238" s="102" t="s">
        <v>528</v>
      </c>
      <c r="AA238" s="24" t="s">
        <v>528</v>
      </c>
      <c r="AB238" s="24" t="s">
        <v>528</v>
      </c>
      <c r="AC238" s="24" t="s">
        <v>528</v>
      </c>
      <c r="AD238" s="24" t="s">
        <v>528</v>
      </c>
      <c r="AE238" s="24" t="s">
        <v>529</v>
      </c>
      <c r="AF238" s="24">
        <v>0</v>
      </c>
      <c r="AG238" s="24">
        <v>0</v>
      </c>
      <c r="AH238" s="24">
        <v>1</v>
      </c>
      <c r="AI238" s="24">
        <v>0</v>
      </c>
      <c r="AJ238" s="24">
        <v>1</v>
      </c>
      <c r="AK238" s="24">
        <v>0</v>
      </c>
      <c r="AL238" s="24"/>
    </row>
    <row r="239" spans="1:38" ht="31.2" x14ac:dyDescent="0.3">
      <c r="A239" s="53">
        <v>232</v>
      </c>
      <c r="B239" s="24" t="s">
        <v>544</v>
      </c>
      <c r="C239" s="24" t="s">
        <v>555</v>
      </c>
      <c r="D239" s="82" t="s">
        <v>836</v>
      </c>
      <c r="E239" s="24" t="s">
        <v>846</v>
      </c>
      <c r="F239" s="24" t="s">
        <v>200</v>
      </c>
      <c r="G239" s="24"/>
      <c r="H239" s="24" t="s">
        <v>847</v>
      </c>
      <c r="I239" s="30" t="s">
        <v>548</v>
      </c>
      <c r="J239" s="24" t="s">
        <v>558</v>
      </c>
      <c r="K239" s="24" t="s">
        <v>549</v>
      </c>
      <c r="L239" s="24" t="s">
        <v>549</v>
      </c>
      <c r="M239" s="24">
        <v>1911</v>
      </c>
      <c r="N239" s="24" t="s">
        <v>550</v>
      </c>
      <c r="O239" s="24">
        <v>7</v>
      </c>
      <c r="P239" s="24">
        <v>0</v>
      </c>
      <c r="Q239" s="24">
        <v>4</v>
      </c>
      <c r="R239" s="24">
        <v>20</v>
      </c>
      <c r="S239" s="24">
        <v>2597.73</v>
      </c>
      <c r="T239" s="24">
        <v>2597.73</v>
      </c>
      <c r="U239" s="24">
        <v>1967.43</v>
      </c>
      <c r="V239" s="24">
        <v>630.29999999999995</v>
      </c>
      <c r="W239" s="24" t="s">
        <v>528</v>
      </c>
      <c r="X239" s="24" t="s">
        <v>528</v>
      </c>
      <c r="Y239" s="24" t="s">
        <v>529</v>
      </c>
      <c r="Z239" s="102" t="s">
        <v>528</v>
      </c>
      <c r="AA239" s="24" t="s">
        <v>528</v>
      </c>
      <c r="AB239" s="24" t="s">
        <v>528</v>
      </c>
      <c r="AC239" s="24" t="s">
        <v>528</v>
      </c>
      <c r="AD239" s="24" t="s">
        <v>528</v>
      </c>
      <c r="AE239" s="24" t="s">
        <v>529</v>
      </c>
      <c r="AF239" s="24">
        <v>1</v>
      </c>
      <c r="AG239" s="24">
        <v>0</v>
      </c>
      <c r="AH239" s="24">
        <v>1</v>
      </c>
      <c r="AI239" s="24">
        <v>0</v>
      </c>
      <c r="AJ239" s="24">
        <v>1</v>
      </c>
      <c r="AK239" s="24">
        <v>0</v>
      </c>
      <c r="AL239" s="24"/>
    </row>
    <row r="240" spans="1:38" ht="31.2" x14ac:dyDescent="0.3">
      <c r="A240" s="53">
        <v>233</v>
      </c>
      <c r="B240" s="24" t="s">
        <v>544</v>
      </c>
      <c r="C240" s="24" t="s">
        <v>848</v>
      </c>
      <c r="D240" s="82" t="s">
        <v>849</v>
      </c>
      <c r="E240" s="24" t="s">
        <v>850</v>
      </c>
      <c r="F240" s="24" t="s">
        <v>200</v>
      </c>
      <c r="G240" s="24"/>
      <c r="H240" s="24" t="s">
        <v>851</v>
      </c>
      <c r="I240" s="30" t="s">
        <v>548</v>
      </c>
      <c r="J240" s="24"/>
      <c r="K240" s="24" t="s">
        <v>549</v>
      </c>
      <c r="L240" s="24" t="s">
        <v>549</v>
      </c>
      <c r="M240" s="24">
        <v>1955</v>
      </c>
      <c r="N240" s="24" t="s">
        <v>550</v>
      </c>
      <c r="O240" s="24">
        <v>7</v>
      </c>
      <c r="P240" s="24">
        <v>0</v>
      </c>
      <c r="Q240" s="24">
        <v>6</v>
      </c>
      <c r="R240" s="24">
        <v>125</v>
      </c>
      <c r="S240" s="24">
        <v>11338.099999999999</v>
      </c>
      <c r="T240" s="24">
        <v>11338.099999999999</v>
      </c>
      <c r="U240" s="24">
        <v>8287.3799999999992</v>
      </c>
      <c r="V240" s="24">
        <v>3050.72</v>
      </c>
      <c r="W240" s="24" t="s">
        <v>528</v>
      </c>
      <c r="X240" s="24" t="s">
        <v>528</v>
      </c>
      <c r="Y240" s="24" t="s">
        <v>529</v>
      </c>
      <c r="Z240" s="102" t="s">
        <v>528</v>
      </c>
      <c r="AA240" s="24" t="s">
        <v>528</v>
      </c>
      <c r="AB240" s="24" t="s">
        <v>528</v>
      </c>
      <c r="AC240" s="24" t="s">
        <v>528</v>
      </c>
      <c r="AD240" s="24" t="s">
        <v>528</v>
      </c>
      <c r="AE240" s="24" t="s">
        <v>529</v>
      </c>
      <c r="AF240" s="24">
        <v>6</v>
      </c>
      <c r="AG240" s="24">
        <v>0</v>
      </c>
      <c r="AH240" s="24">
        <v>1</v>
      </c>
      <c r="AI240" s="24">
        <v>0</v>
      </c>
      <c r="AJ240" s="24">
        <v>1</v>
      </c>
      <c r="AK240" s="24">
        <v>0</v>
      </c>
      <c r="AL240" s="24"/>
    </row>
    <row r="241" spans="1:38" ht="31.2" x14ac:dyDescent="0.3">
      <c r="A241" s="53">
        <v>234</v>
      </c>
      <c r="B241" s="24" t="s">
        <v>544</v>
      </c>
      <c r="C241" s="24" t="s">
        <v>848</v>
      </c>
      <c r="D241" s="82" t="s">
        <v>849</v>
      </c>
      <c r="E241" s="24">
        <v>3</v>
      </c>
      <c r="F241" s="24" t="s">
        <v>205</v>
      </c>
      <c r="G241" s="24"/>
      <c r="H241" s="24" t="s">
        <v>852</v>
      </c>
      <c r="I241" s="30" t="s">
        <v>548</v>
      </c>
      <c r="J241" s="24"/>
      <c r="K241" s="24" t="s">
        <v>549</v>
      </c>
      <c r="L241" s="24" t="s">
        <v>549</v>
      </c>
      <c r="M241" s="24">
        <v>1954</v>
      </c>
      <c r="N241" s="24" t="s">
        <v>550</v>
      </c>
      <c r="O241" s="24">
        <v>7</v>
      </c>
      <c r="P241" s="24">
        <v>0</v>
      </c>
      <c r="Q241" s="24">
        <v>3</v>
      </c>
      <c r="R241" s="24">
        <v>70</v>
      </c>
      <c r="S241" s="24">
        <v>4963.7</v>
      </c>
      <c r="T241" s="24">
        <v>4963.7</v>
      </c>
      <c r="U241" s="24">
        <v>4544.7</v>
      </c>
      <c r="V241" s="24">
        <v>419</v>
      </c>
      <c r="W241" s="24" t="s">
        <v>528</v>
      </c>
      <c r="X241" s="24" t="s">
        <v>528</v>
      </c>
      <c r="Y241" s="24" t="s">
        <v>529</v>
      </c>
      <c r="Z241" s="102" t="s">
        <v>528</v>
      </c>
      <c r="AA241" s="24" t="s">
        <v>528</v>
      </c>
      <c r="AB241" s="24" t="s">
        <v>528</v>
      </c>
      <c r="AC241" s="24" t="s">
        <v>528</v>
      </c>
      <c r="AD241" s="24" t="s">
        <v>528</v>
      </c>
      <c r="AE241" s="24" t="s">
        <v>529</v>
      </c>
      <c r="AF241" s="24">
        <v>3</v>
      </c>
      <c r="AG241" s="24">
        <v>0</v>
      </c>
      <c r="AH241" s="24">
        <v>1</v>
      </c>
      <c r="AI241" s="24">
        <v>0</v>
      </c>
      <c r="AJ241" s="24">
        <v>1</v>
      </c>
      <c r="AK241" s="24">
        <v>0</v>
      </c>
      <c r="AL241" s="24"/>
    </row>
    <row r="242" spans="1:38" ht="31.2" x14ac:dyDescent="0.3">
      <c r="A242" s="53">
        <v>235</v>
      </c>
      <c r="B242" s="24" t="s">
        <v>544</v>
      </c>
      <c r="C242" s="24" t="s">
        <v>848</v>
      </c>
      <c r="D242" s="82" t="s">
        <v>849</v>
      </c>
      <c r="E242" s="24">
        <v>5</v>
      </c>
      <c r="F242" s="24" t="s">
        <v>200</v>
      </c>
      <c r="G242" s="24"/>
      <c r="H242" s="24" t="s">
        <v>853</v>
      </c>
      <c r="I242" s="30" t="s">
        <v>548</v>
      </c>
      <c r="J242" s="24" t="s">
        <v>558</v>
      </c>
      <c r="K242" s="24" t="s">
        <v>549</v>
      </c>
      <c r="L242" s="24" t="s">
        <v>549</v>
      </c>
      <c r="M242" s="24">
        <v>1913</v>
      </c>
      <c r="N242" s="24" t="s">
        <v>550</v>
      </c>
      <c r="O242" s="24">
        <v>6</v>
      </c>
      <c r="P242" s="24">
        <v>0</v>
      </c>
      <c r="Q242" s="24">
        <v>4</v>
      </c>
      <c r="R242" s="24">
        <v>28</v>
      </c>
      <c r="S242" s="24">
        <v>3926.3</v>
      </c>
      <c r="T242" s="24">
        <v>3926.3</v>
      </c>
      <c r="U242" s="24">
        <v>3261.3</v>
      </c>
      <c r="V242" s="24">
        <v>665</v>
      </c>
      <c r="W242" s="24" t="s">
        <v>528</v>
      </c>
      <c r="X242" s="24" t="s">
        <v>528</v>
      </c>
      <c r="Y242" s="24" t="s">
        <v>529</v>
      </c>
      <c r="Z242" s="102" t="s">
        <v>528</v>
      </c>
      <c r="AA242" s="24" t="s">
        <v>528</v>
      </c>
      <c r="AB242" s="24" t="s">
        <v>528</v>
      </c>
      <c r="AC242" s="24" t="s">
        <v>528</v>
      </c>
      <c r="AD242" s="24" t="s">
        <v>528</v>
      </c>
      <c r="AE242" s="24" t="s">
        <v>529</v>
      </c>
      <c r="AF242" s="24">
        <v>2</v>
      </c>
      <c r="AG242" s="24">
        <v>0</v>
      </c>
      <c r="AH242" s="24">
        <v>1</v>
      </c>
      <c r="AI242" s="24">
        <v>0</v>
      </c>
      <c r="AJ242" s="24">
        <v>1</v>
      </c>
      <c r="AK242" s="24">
        <v>0</v>
      </c>
      <c r="AL242" s="24"/>
    </row>
    <row r="243" spans="1:38" ht="31.2" x14ac:dyDescent="0.3">
      <c r="A243" s="53">
        <v>236</v>
      </c>
      <c r="B243" s="24" t="s">
        <v>544</v>
      </c>
      <c r="C243" s="24" t="s">
        <v>848</v>
      </c>
      <c r="D243" s="82" t="s">
        <v>849</v>
      </c>
      <c r="E243" s="24">
        <v>6</v>
      </c>
      <c r="F243" s="24" t="s">
        <v>205</v>
      </c>
      <c r="G243" s="24"/>
      <c r="H243" s="24" t="s">
        <v>854</v>
      </c>
      <c r="I243" s="30" t="s">
        <v>548</v>
      </c>
      <c r="J243" s="24"/>
      <c r="K243" s="24" t="s">
        <v>549</v>
      </c>
      <c r="L243" s="24" t="s">
        <v>549</v>
      </c>
      <c r="M243" s="24">
        <v>1879</v>
      </c>
      <c r="N243" s="24" t="s">
        <v>550</v>
      </c>
      <c r="O243" s="24">
        <v>4</v>
      </c>
      <c r="P243" s="24">
        <v>0</v>
      </c>
      <c r="Q243" s="24">
        <v>1</v>
      </c>
      <c r="R243" s="24">
        <v>8</v>
      </c>
      <c r="S243" s="24">
        <v>710.6</v>
      </c>
      <c r="T243" s="24">
        <v>710.6</v>
      </c>
      <c r="U243" s="24">
        <v>710.6</v>
      </c>
      <c r="V243" s="24">
        <v>0</v>
      </c>
      <c r="W243" s="24" t="s">
        <v>528</v>
      </c>
      <c r="X243" s="24" t="s">
        <v>528</v>
      </c>
      <c r="Y243" s="24" t="s">
        <v>529</v>
      </c>
      <c r="Z243" s="102" t="s">
        <v>528</v>
      </c>
      <c r="AA243" s="24" t="s">
        <v>528</v>
      </c>
      <c r="AB243" s="24" t="s">
        <v>528</v>
      </c>
      <c r="AC243" s="24" t="s">
        <v>528</v>
      </c>
      <c r="AD243" s="24" t="s">
        <v>528</v>
      </c>
      <c r="AE243" s="24" t="s">
        <v>529</v>
      </c>
      <c r="AF243" s="24">
        <v>0</v>
      </c>
      <c r="AG243" s="24">
        <v>0</v>
      </c>
      <c r="AH243" s="24">
        <v>1</v>
      </c>
      <c r="AI243" s="24">
        <v>0</v>
      </c>
      <c r="AJ243" s="24">
        <v>0</v>
      </c>
      <c r="AK243" s="24">
        <v>0</v>
      </c>
      <c r="AL243" s="24"/>
    </row>
    <row r="244" spans="1:38" ht="31.2" x14ac:dyDescent="0.3">
      <c r="A244" s="53">
        <v>237</v>
      </c>
      <c r="B244" s="24" t="s">
        <v>544</v>
      </c>
      <c r="C244" s="24" t="s">
        <v>848</v>
      </c>
      <c r="D244" s="82" t="s">
        <v>849</v>
      </c>
      <c r="E244" s="24">
        <v>6</v>
      </c>
      <c r="F244" s="24" t="s">
        <v>206</v>
      </c>
      <c r="G244" s="24"/>
      <c r="H244" s="24" t="s">
        <v>855</v>
      </c>
      <c r="I244" s="30" t="s">
        <v>548</v>
      </c>
      <c r="J244" s="24"/>
      <c r="K244" s="24" t="s">
        <v>549</v>
      </c>
      <c r="L244" s="24" t="s">
        <v>549</v>
      </c>
      <c r="M244" s="24">
        <v>1879</v>
      </c>
      <c r="N244" s="24" t="s">
        <v>550</v>
      </c>
      <c r="O244" s="24">
        <v>3</v>
      </c>
      <c r="P244" s="24">
        <v>0</v>
      </c>
      <c r="Q244" s="24">
        <v>1</v>
      </c>
      <c r="R244" s="24">
        <v>4</v>
      </c>
      <c r="S244" s="24">
        <v>182.7</v>
      </c>
      <c r="T244" s="24">
        <v>182.7</v>
      </c>
      <c r="U244" s="24">
        <v>121</v>
      </c>
      <c r="V244" s="24">
        <v>61.7</v>
      </c>
      <c r="W244" s="24" t="s">
        <v>528</v>
      </c>
      <c r="X244" s="24" t="s">
        <v>528</v>
      </c>
      <c r="Y244" s="24" t="s">
        <v>529</v>
      </c>
      <c r="Z244" s="102" t="s">
        <v>528</v>
      </c>
      <c r="AA244" s="24" t="s">
        <v>528</v>
      </c>
      <c r="AB244" s="24" t="s">
        <v>528</v>
      </c>
      <c r="AC244" s="24" t="s">
        <v>528</v>
      </c>
      <c r="AD244" s="24" t="s">
        <v>528</v>
      </c>
      <c r="AE244" s="24" t="s">
        <v>529</v>
      </c>
      <c r="AF244" s="24">
        <v>0</v>
      </c>
      <c r="AG244" s="24">
        <v>0</v>
      </c>
      <c r="AH244" s="24">
        <v>1</v>
      </c>
      <c r="AI244" s="24">
        <v>0</v>
      </c>
      <c r="AJ244" s="24">
        <v>1</v>
      </c>
      <c r="AK244" s="24">
        <v>0</v>
      </c>
      <c r="AL244" s="24"/>
    </row>
    <row r="245" spans="1:38" ht="31.2" x14ac:dyDescent="0.3">
      <c r="A245" s="53">
        <v>238</v>
      </c>
      <c r="B245" s="24" t="s">
        <v>544</v>
      </c>
      <c r="C245" s="24" t="s">
        <v>848</v>
      </c>
      <c r="D245" s="82" t="s">
        <v>849</v>
      </c>
      <c r="E245" s="24">
        <v>7</v>
      </c>
      <c r="F245" s="24" t="s">
        <v>200</v>
      </c>
      <c r="G245" s="24"/>
      <c r="H245" s="24" t="s">
        <v>856</v>
      </c>
      <c r="I245" s="30" t="s">
        <v>548</v>
      </c>
      <c r="J245" s="24"/>
      <c r="K245" s="24" t="s">
        <v>549</v>
      </c>
      <c r="L245" s="24" t="s">
        <v>549</v>
      </c>
      <c r="M245" s="24">
        <v>1897</v>
      </c>
      <c r="N245" s="24" t="s">
        <v>550</v>
      </c>
      <c r="O245" s="24">
        <v>6</v>
      </c>
      <c r="P245" s="24">
        <v>0</v>
      </c>
      <c r="Q245" s="24">
        <v>2</v>
      </c>
      <c r="R245" s="24">
        <v>25</v>
      </c>
      <c r="S245" s="24">
        <v>2067.8000000000002</v>
      </c>
      <c r="T245" s="24">
        <v>2067.8000000000002</v>
      </c>
      <c r="U245" s="24">
        <v>1761.8</v>
      </c>
      <c r="V245" s="24">
        <v>306</v>
      </c>
      <c r="W245" s="24" t="s">
        <v>528</v>
      </c>
      <c r="X245" s="24" t="s">
        <v>528</v>
      </c>
      <c r="Y245" s="24" t="s">
        <v>528</v>
      </c>
      <c r="Z245" s="102" t="s">
        <v>528</v>
      </c>
      <c r="AA245" s="24" t="s">
        <v>528</v>
      </c>
      <c r="AB245" s="24" t="s">
        <v>528</v>
      </c>
      <c r="AC245" s="24" t="s">
        <v>529</v>
      </c>
      <c r="AD245" s="24" t="s">
        <v>528</v>
      </c>
      <c r="AE245" s="24" t="s">
        <v>529</v>
      </c>
      <c r="AF245" s="24">
        <v>1</v>
      </c>
      <c r="AG245" s="24">
        <v>0</v>
      </c>
      <c r="AH245" s="24">
        <v>1</v>
      </c>
      <c r="AI245" s="24">
        <v>1</v>
      </c>
      <c r="AJ245" s="24">
        <v>1</v>
      </c>
      <c r="AK245" s="24">
        <v>0</v>
      </c>
      <c r="AL245" s="24"/>
    </row>
    <row r="246" spans="1:38" ht="31.2" x14ac:dyDescent="0.3">
      <c r="A246" s="53">
        <v>239</v>
      </c>
      <c r="B246" s="24" t="s">
        <v>544</v>
      </c>
      <c r="C246" s="24" t="s">
        <v>848</v>
      </c>
      <c r="D246" s="82" t="s">
        <v>849</v>
      </c>
      <c r="E246" s="24">
        <v>8</v>
      </c>
      <c r="F246" s="24" t="s">
        <v>200</v>
      </c>
      <c r="G246" s="24"/>
      <c r="H246" s="24" t="s">
        <v>857</v>
      </c>
      <c r="I246" s="30" t="s">
        <v>548</v>
      </c>
      <c r="J246" s="24"/>
      <c r="K246" s="24" t="s">
        <v>549</v>
      </c>
      <c r="L246" s="24" t="s">
        <v>549</v>
      </c>
      <c r="M246" s="24">
        <v>1951</v>
      </c>
      <c r="N246" s="24" t="s">
        <v>550</v>
      </c>
      <c r="O246" s="24">
        <v>6</v>
      </c>
      <c r="P246" s="24">
        <v>0</v>
      </c>
      <c r="Q246" s="24">
        <v>3</v>
      </c>
      <c r="R246" s="24">
        <v>32</v>
      </c>
      <c r="S246" s="24">
        <v>2732</v>
      </c>
      <c r="T246" s="24">
        <v>2732</v>
      </c>
      <c r="U246" s="24">
        <v>2171.6</v>
      </c>
      <c r="V246" s="24">
        <v>560.4</v>
      </c>
      <c r="W246" s="24" t="s">
        <v>528</v>
      </c>
      <c r="X246" s="24" t="s">
        <v>528</v>
      </c>
      <c r="Y246" s="24" t="s">
        <v>529</v>
      </c>
      <c r="Z246" s="102" t="s">
        <v>528</v>
      </c>
      <c r="AA246" s="24" t="s">
        <v>528</v>
      </c>
      <c r="AB246" s="24" t="s">
        <v>528</v>
      </c>
      <c r="AC246" s="24" t="s">
        <v>528</v>
      </c>
      <c r="AD246" s="24" t="s">
        <v>528</v>
      </c>
      <c r="AE246" s="24" t="s">
        <v>529</v>
      </c>
      <c r="AF246" s="24">
        <v>3</v>
      </c>
      <c r="AG246" s="24">
        <v>0</v>
      </c>
      <c r="AH246" s="24">
        <v>1</v>
      </c>
      <c r="AI246" s="24">
        <v>0</v>
      </c>
      <c r="AJ246" s="24">
        <v>1</v>
      </c>
      <c r="AK246" s="24">
        <v>0</v>
      </c>
      <c r="AL246" s="24"/>
    </row>
    <row r="247" spans="1:38" ht="31.2" x14ac:dyDescent="0.3">
      <c r="A247" s="53">
        <v>240</v>
      </c>
      <c r="B247" s="24" t="s">
        <v>544</v>
      </c>
      <c r="C247" s="24" t="s">
        <v>848</v>
      </c>
      <c r="D247" s="82" t="s">
        <v>849</v>
      </c>
      <c r="E247" s="24" t="s">
        <v>858</v>
      </c>
      <c r="F247" s="24" t="s">
        <v>200</v>
      </c>
      <c r="G247" s="24"/>
      <c r="H247" s="24" t="s">
        <v>859</v>
      </c>
      <c r="I247" s="30" t="s">
        <v>548</v>
      </c>
      <c r="J247" s="24"/>
      <c r="K247" s="24" t="s">
        <v>549</v>
      </c>
      <c r="L247" s="24" t="s">
        <v>549</v>
      </c>
      <c r="M247" s="24">
        <v>1906</v>
      </c>
      <c r="N247" s="24" t="s">
        <v>550</v>
      </c>
      <c r="O247" s="24">
        <v>6</v>
      </c>
      <c r="P247" s="24">
        <v>0</v>
      </c>
      <c r="Q247" s="24">
        <v>2</v>
      </c>
      <c r="R247" s="24">
        <v>25</v>
      </c>
      <c r="S247" s="24">
        <v>1713.88</v>
      </c>
      <c r="T247" s="24">
        <v>1713.88</v>
      </c>
      <c r="U247" s="24">
        <v>1482.18</v>
      </c>
      <c r="V247" s="24">
        <v>231.7</v>
      </c>
      <c r="W247" s="24" t="s">
        <v>528</v>
      </c>
      <c r="X247" s="24" t="s">
        <v>528</v>
      </c>
      <c r="Y247" s="24" t="s">
        <v>529</v>
      </c>
      <c r="Z247" s="102" t="s">
        <v>528</v>
      </c>
      <c r="AA247" s="24" t="s">
        <v>528</v>
      </c>
      <c r="AB247" s="24" t="s">
        <v>528</v>
      </c>
      <c r="AC247" s="24" t="s">
        <v>528</v>
      </c>
      <c r="AD247" s="24" t="s">
        <v>528</v>
      </c>
      <c r="AE247" s="24" t="s">
        <v>529</v>
      </c>
      <c r="AF247" s="24">
        <v>2</v>
      </c>
      <c r="AG247" s="24">
        <v>0</v>
      </c>
      <c r="AH247" s="24">
        <v>1</v>
      </c>
      <c r="AI247" s="24">
        <v>0</v>
      </c>
      <c r="AJ247" s="24">
        <v>1</v>
      </c>
      <c r="AK247" s="24">
        <v>0</v>
      </c>
      <c r="AL247" s="24"/>
    </row>
    <row r="248" spans="1:38" ht="31.2" x14ac:dyDescent="0.3">
      <c r="A248" s="53">
        <v>241</v>
      </c>
      <c r="B248" s="24" t="s">
        <v>544</v>
      </c>
      <c r="C248" s="24" t="s">
        <v>848</v>
      </c>
      <c r="D248" s="82" t="s">
        <v>849</v>
      </c>
      <c r="E248" s="24">
        <v>10</v>
      </c>
      <c r="F248" s="24" t="s">
        <v>200</v>
      </c>
      <c r="G248" s="24"/>
      <c r="H248" s="24" t="s">
        <v>860</v>
      </c>
      <c r="I248" s="30" t="s">
        <v>548</v>
      </c>
      <c r="J248" s="24" t="s">
        <v>558</v>
      </c>
      <c r="K248" s="24" t="s">
        <v>549</v>
      </c>
      <c r="L248" s="24" t="s">
        <v>549</v>
      </c>
      <c r="M248" s="24">
        <v>1912</v>
      </c>
      <c r="N248" s="24" t="s">
        <v>550</v>
      </c>
      <c r="O248" s="24">
        <v>6</v>
      </c>
      <c r="P248" s="24">
        <v>0</v>
      </c>
      <c r="Q248" s="24">
        <v>9</v>
      </c>
      <c r="R248" s="24">
        <v>92</v>
      </c>
      <c r="S248" s="24">
        <v>6230.6</v>
      </c>
      <c r="T248" s="24">
        <v>6230.6</v>
      </c>
      <c r="U248" s="24">
        <v>5845.6</v>
      </c>
      <c r="V248" s="24">
        <v>385</v>
      </c>
      <c r="W248" s="24" t="s">
        <v>528</v>
      </c>
      <c r="X248" s="24" t="s">
        <v>528</v>
      </c>
      <c r="Y248" s="24" t="s">
        <v>529</v>
      </c>
      <c r="Z248" s="102" t="s">
        <v>528</v>
      </c>
      <c r="AA248" s="24" t="s">
        <v>528</v>
      </c>
      <c r="AB248" s="24" t="s">
        <v>528</v>
      </c>
      <c r="AC248" s="24" t="s">
        <v>528</v>
      </c>
      <c r="AD248" s="24" t="s">
        <v>528</v>
      </c>
      <c r="AE248" s="24" t="s">
        <v>529</v>
      </c>
      <c r="AF248" s="24">
        <v>7</v>
      </c>
      <c r="AG248" s="24">
        <v>0</v>
      </c>
      <c r="AH248" s="24">
        <v>1</v>
      </c>
      <c r="AI248" s="24">
        <v>0</v>
      </c>
      <c r="AJ248" s="24">
        <v>1</v>
      </c>
      <c r="AK248" s="24">
        <v>0</v>
      </c>
      <c r="AL248" s="24"/>
    </row>
    <row r="249" spans="1:38" ht="31.2" x14ac:dyDescent="0.3">
      <c r="A249" s="53">
        <v>242</v>
      </c>
      <c r="B249" s="24" t="s">
        <v>544</v>
      </c>
      <c r="C249" s="24" t="s">
        <v>848</v>
      </c>
      <c r="D249" s="82" t="s">
        <v>849</v>
      </c>
      <c r="E249" s="24">
        <v>12</v>
      </c>
      <c r="F249" s="24" t="s">
        <v>200</v>
      </c>
      <c r="G249" s="24"/>
      <c r="H249" s="24" t="s">
        <v>861</v>
      </c>
      <c r="I249" s="30" t="s">
        <v>548</v>
      </c>
      <c r="J249" s="24"/>
      <c r="K249" s="24" t="s">
        <v>549</v>
      </c>
      <c r="L249" s="24" t="s">
        <v>549</v>
      </c>
      <c r="M249" s="24">
        <v>1905</v>
      </c>
      <c r="N249" s="24" t="s">
        <v>550</v>
      </c>
      <c r="O249" s="24">
        <v>5</v>
      </c>
      <c r="P249" s="24">
        <v>0</v>
      </c>
      <c r="Q249" s="24">
        <v>1</v>
      </c>
      <c r="R249" s="24">
        <v>18</v>
      </c>
      <c r="S249" s="24">
        <v>1243.95</v>
      </c>
      <c r="T249" s="24">
        <v>1243.95</v>
      </c>
      <c r="U249" s="24">
        <v>1100.25</v>
      </c>
      <c r="V249" s="24">
        <v>143.69999999999999</v>
      </c>
      <c r="W249" s="24" t="s">
        <v>528</v>
      </c>
      <c r="X249" s="24" t="s">
        <v>528</v>
      </c>
      <c r="Y249" s="24" t="s">
        <v>529</v>
      </c>
      <c r="Z249" s="102" t="s">
        <v>528</v>
      </c>
      <c r="AA249" s="24" t="s">
        <v>528</v>
      </c>
      <c r="AB249" s="24" t="s">
        <v>528</v>
      </c>
      <c r="AC249" s="24" t="s">
        <v>528</v>
      </c>
      <c r="AD249" s="24" t="s">
        <v>528</v>
      </c>
      <c r="AE249" s="24" t="s">
        <v>529</v>
      </c>
      <c r="AF249" s="24">
        <v>0</v>
      </c>
      <c r="AG249" s="24">
        <v>0</v>
      </c>
      <c r="AH249" s="24">
        <v>1</v>
      </c>
      <c r="AI249" s="24">
        <v>0</v>
      </c>
      <c r="AJ249" s="24">
        <v>0</v>
      </c>
      <c r="AK249" s="24">
        <v>0</v>
      </c>
      <c r="AL249" s="24"/>
    </row>
    <row r="250" spans="1:38" ht="31.2" x14ac:dyDescent="0.3">
      <c r="A250" s="53">
        <v>243</v>
      </c>
      <c r="B250" s="24" t="s">
        <v>544</v>
      </c>
      <c r="C250" s="24" t="s">
        <v>848</v>
      </c>
      <c r="D250" s="82" t="s">
        <v>849</v>
      </c>
      <c r="E250" s="24">
        <v>12</v>
      </c>
      <c r="F250" s="24" t="s">
        <v>205</v>
      </c>
      <c r="G250" s="24"/>
      <c r="H250" s="24" t="s">
        <v>862</v>
      </c>
      <c r="I250" s="30" t="s">
        <v>548</v>
      </c>
      <c r="J250" s="24"/>
      <c r="K250" s="24" t="s">
        <v>549</v>
      </c>
      <c r="L250" s="24" t="s">
        <v>549</v>
      </c>
      <c r="M250" s="24">
        <v>1915</v>
      </c>
      <c r="N250" s="24" t="s">
        <v>550</v>
      </c>
      <c r="O250" s="24">
        <v>4</v>
      </c>
      <c r="P250" s="24">
        <v>0</v>
      </c>
      <c r="Q250" s="24">
        <v>1</v>
      </c>
      <c r="R250" s="24">
        <v>8</v>
      </c>
      <c r="S250" s="24">
        <v>387.45000000000005</v>
      </c>
      <c r="T250" s="24">
        <v>387.45000000000005</v>
      </c>
      <c r="U250" s="24">
        <v>361.35</v>
      </c>
      <c r="V250" s="24">
        <v>26.1</v>
      </c>
      <c r="W250" s="24" t="s">
        <v>528</v>
      </c>
      <c r="X250" s="24" t="s">
        <v>528</v>
      </c>
      <c r="Y250" s="24" t="s">
        <v>529</v>
      </c>
      <c r="Z250" s="102" t="s">
        <v>528</v>
      </c>
      <c r="AA250" s="24" t="s">
        <v>528</v>
      </c>
      <c r="AB250" s="24" t="s">
        <v>528</v>
      </c>
      <c r="AC250" s="24" t="s">
        <v>528</v>
      </c>
      <c r="AD250" s="24" t="s">
        <v>528</v>
      </c>
      <c r="AE250" s="24" t="s">
        <v>529</v>
      </c>
      <c r="AF250" s="24">
        <v>0</v>
      </c>
      <c r="AG250" s="24">
        <v>0</v>
      </c>
      <c r="AH250" s="24">
        <v>1</v>
      </c>
      <c r="AI250" s="24">
        <v>0</v>
      </c>
      <c r="AJ250" s="24">
        <v>0</v>
      </c>
      <c r="AK250" s="24">
        <v>0</v>
      </c>
      <c r="AL250" s="24"/>
    </row>
    <row r="251" spans="1:38" ht="31.2" x14ac:dyDescent="0.3">
      <c r="A251" s="53">
        <v>244</v>
      </c>
      <c r="B251" s="24" t="s">
        <v>544</v>
      </c>
      <c r="C251" s="24" t="s">
        <v>848</v>
      </c>
      <c r="D251" s="82" t="s">
        <v>849</v>
      </c>
      <c r="E251" s="24">
        <v>14</v>
      </c>
      <c r="F251" s="24" t="s">
        <v>200</v>
      </c>
      <c r="G251" s="24"/>
      <c r="H251" s="24" t="s">
        <v>863</v>
      </c>
      <c r="I251" s="30" t="s">
        <v>548</v>
      </c>
      <c r="J251" s="24"/>
      <c r="K251" s="24" t="s">
        <v>549</v>
      </c>
      <c r="L251" s="24" t="s">
        <v>549</v>
      </c>
      <c r="M251" s="24">
        <v>1914</v>
      </c>
      <c r="N251" s="24" t="s">
        <v>550</v>
      </c>
      <c r="O251" s="24">
        <v>6</v>
      </c>
      <c r="P251" s="24">
        <v>0</v>
      </c>
      <c r="Q251" s="24">
        <v>5</v>
      </c>
      <c r="R251" s="24">
        <v>34</v>
      </c>
      <c r="S251" s="24">
        <v>4111.07</v>
      </c>
      <c r="T251" s="24">
        <v>4111.07</v>
      </c>
      <c r="U251" s="24">
        <v>3598.57</v>
      </c>
      <c r="V251" s="24">
        <v>512.5</v>
      </c>
      <c r="W251" s="24" t="s">
        <v>528</v>
      </c>
      <c r="X251" s="24" t="s">
        <v>528</v>
      </c>
      <c r="Y251" s="24" t="s">
        <v>529</v>
      </c>
      <c r="Z251" s="102" t="s">
        <v>528</v>
      </c>
      <c r="AA251" s="24" t="s">
        <v>528</v>
      </c>
      <c r="AB251" s="24" t="s">
        <v>528</v>
      </c>
      <c r="AC251" s="24" t="s">
        <v>528</v>
      </c>
      <c r="AD251" s="24" t="s">
        <v>528</v>
      </c>
      <c r="AE251" s="24" t="s">
        <v>529</v>
      </c>
      <c r="AF251" s="24">
        <v>2</v>
      </c>
      <c r="AG251" s="24">
        <v>0</v>
      </c>
      <c r="AH251" s="24">
        <v>1</v>
      </c>
      <c r="AI251" s="24">
        <v>0</v>
      </c>
      <c r="AJ251" s="24">
        <v>1</v>
      </c>
      <c r="AK251" s="24">
        <v>0</v>
      </c>
      <c r="AL251" s="24"/>
    </row>
    <row r="252" spans="1:38" ht="31.2" x14ac:dyDescent="0.3">
      <c r="A252" s="53">
        <v>245</v>
      </c>
      <c r="B252" s="24" t="s">
        <v>544</v>
      </c>
      <c r="C252" s="24" t="s">
        <v>848</v>
      </c>
      <c r="D252" s="82" t="s">
        <v>849</v>
      </c>
      <c r="E252" s="24">
        <v>15</v>
      </c>
      <c r="F252" s="24" t="s">
        <v>209</v>
      </c>
      <c r="G252" s="24"/>
      <c r="H252" s="24" t="s">
        <v>864</v>
      </c>
      <c r="I252" s="30" t="s">
        <v>548</v>
      </c>
      <c r="J252" s="24"/>
      <c r="K252" s="24" t="s">
        <v>549</v>
      </c>
      <c r="L252" s="24" t="s">
        <v>549</v>
      </c>
      <c r="M252" s="24">
        <v>1903</v>
      </c>
      <c r="N252" s="24" t="s">
        <v>550</v>
      </c>
      <c r="O252" s="24">
        <v>3</v>
      </c>
      <c r="P252" s="24">
        <v>0</v>
      </c>
      <c r="Q252" s="24">
        <v>1</v>
      </c>
      <c r="R252" s="24">
        <v>6</v>
      </c>
      <c r="S252" s="24">
        <v>437.5</v>
      </c>
      <c r="T252" s="24">
        <v>437.5</v>
      </c>
      <c r="U252" s="24">
        <v>399.5</v>
      </c>
      <c r="V252" s="24">
        <v>38</v>
      </c>
      <c r="W252" s="24" t="s">
        <v>528</v>
      </c>
      <c r="X252" s="24" t="s">
        <v>528</v>
      </c>
      <c r="Y252" s="24" t="s">
        <v>529</v>
      </c>
      <c r="Z252" s="102" t="s">
        <v>528</v>
      </c>
      <c r="AA252" s="24" t="s">
        <v>528</v>
      </c>
      <c r="AB252" s="24" t="s">
        <v>529</v>
      </c>
      <c r="AC252" s="24" t="s">
        <v>528</v>
      </c>
      <c r="AD252" s="24" t="s">
        <v>529</v>
      </c>
      <c r="AE252" s="24" t="s">
        <v>528</v>
      </c>
      <c r="AF252" s="24">
        <v>0</v>
      </c>
      <c r="AG252" s="24">
        <v>0</v>
      </c>
      <c r="AH252" s="24">
        <v>1</v>
      </c>
      <c r="AI252" s="24">
        <v>0</v>
      </c>
      <c r="AJ252" s="24">
        <v>1</v>
      </c>
      <c r="AK252" s="24">
        <v>0</v>
      </c>
      <c r="AL252" s="24"/>
    </row>
    <row r="253" spans="1:38" ht="31.2" x14ac:dyDescent="0.3">
      <c r="A253" s="53">
        <v>246</v>
      </c>
      <c r="B253" s="24" t="s">
        <v>544</v>
      </c>
      <c r="C253" s="24" t="s">
        <v>848</v>
      </c>
      <c r="D253" s="82" t="s">
        <v>849</v>
      </c>
      <c r="E253" s="24">
        <v>19</v>
      </c>
      <c r="F253" s="24" t="s">
        <v>200</v>
      </c>
      <c r="G253" s="24"/>
      <c r="H253" s="24" t="s">
        <v>865</v>
      </c>
      <c r="I253" s="30" t="s">
        <v>548</v>
      </c>
      <c r="J253" s="24"/>
      <c r="K253" s="24" t="s">
        <v>549</v>
      </c>
      <c r="L253" s="24" t="s">
        <v>549</v>
      </c>
      <c r="M253" s="24">
        <v>1904</v>
      </c>
      <c r="N253" s="24" t="s">
        <v>550</v>
      </c>
      <c r="O253" s="24">
        <v>6</v>
      </c>
      <c r="P253" s="24">
        <v>0</v>
      </c>
      <c r="Q253" s="24">
        <v>4</v>
      </c>
      <c r="R253" s="24">
        <v>24</v>
      </c>
      <c r="S253" s="24">
        <v>2871.01</v>
      </c>
      <c r="T253" s="24">
        <v>2871.01</v>
      </c>
      <c r="U253" s="24">
        <v>2526.0100000000002</v>
      </c>
      <c r="V253" s="24">
        <v>345</v>
      </c>
      <c r="W253" s="24" t="s">
        <v>528</v>
      </c>
      <c r="X253" s="24" t="s">
        <v>528</v>
      </c>
      <c r="Y253" s="24" t="s">
        <v>529</v>
      </c>
      <c r="Z253" s="102" t="s">
        <v>528</v>
      </c>
      <c r="AA253" s="24" t="s">
        <v>528</v>
      </c>
      <c r="AB253" s="24" t="s">
        <v>528</v>
      </c>
      <c r="AC253" s="24" t="s">
        <v>528</v>
      </c>
      <c r="AD253" s="24" t="s">
        <v>528</v>
      </c>
      <c r="AE253" s="24" t="s">
        <v>529</v>
      </c>
      <c r="AF253" s="24">
        <v>0</v>
      </c>
      <c r="AG253" s="24">
        <v>0</v>
      </c>
      <c r="AH253" s="24">
        <v>1</v>
      </c>
      <c r="AI253" s="24">
        <v>0</v>
      </c>
      <c r="AJ253" s="24">
        <v>1</v>
      </c>
      <c r="AK253" s="24">
        <v>0</v>
      </c>
      <c r="AL253" s="24"/>
    </row>
    <row r="254" spans="1:38" ht="31.2" x14ac:dyDescent="0.3">
      <c r="A254" s="53">
        <v>247</v>
      </c>
      <c r="B254" s="24" t="s">
        <v>544</v>
      </c>
      <c r="C254" s="24" t="s">
        <v>848</v>
      </c>
      <c r="D254" s="82" t="s">
        <v>849</v>
      </c>
      <c r="E254" s="24">
        <v>20</v>
      </c>
      <c r="F254" s="24" t="s">
        <v>200</v>
      </c>
      <c r="G254" s="24"/>
      <c r="H254" s="24" t="s">
        <v>866</v>
      </c>
      <c r="I254" s="30" t="s">
        <v>548</v>
      </c>
      <c r="J254" s="24"/>
      <c r="K254" s="24" t="s">
        <v>549</v>
      </c>
      <c r="L254" s="24" t="s">
        <v>549</v>
      </c>
      <c r="M254" s="24">
        <v>1879</v>
      </c>
      <c r="N254" s="24" t="s">
        <v>550</v>
      </c>
      <c r="O254" s="24">
        <v>7</v>
      </c>
      <c r="P254" s="24">
        <v>0</v>
      </c>
      <c r="Q254" s="24">
        <v>4</v>
      </c>
      <c r="R254" s="24">
        <v>33</v>
      </c>
      <c r="S254" s="24">
        <v>4048.2999999999997</v>
      </c>
      <c r="T254" s="24">
        <v>4048.2999999999997</v>
      </c>
      <c r="U254" s="24">
        <v>3699.7</v>
      </c>
      <c r="V254" s="24">
        <v>348.6</v>
      </c>
      <c r="W254" s="24" t="s">
        <v>528</v>
      </c>
      <c r="X254" s="24" t="s">
        <v>528</v>
      </c>
      <c r="Y254" s="24" t="s">
        <v>529</v>
      </c>
      <c r="Z254" s="102" t="s">
        <v>528</v>
      </c>
      <c r="AA254" s="24" t="s">
        <v>528</v>
      </c>
      <c r="AB254" s="24" t="s">
        <v>528</v>
      </c>
      <c r="AC254" s="24" t="s">
        <v>528</v>
      </c>
      <c r="AD254" s="24" t="s">
        <v>528</v>
      </c>
      <c r="AE254" s="24" t="s">
        <v>529</v>
      </c>
      <c r="AF254" s="24">
        <v>3</v>
      </c>
      <c r="AG254" s="24">
        <v>0</v>
      </c>
      <c r="AH254" s="24">
        <v>1</v>
      </c>
      <c r="AI254" s="24">
        <v>0</v>
      </c>
      <c r="AJ254" s="24">
        <v>1</v>
      </c>
      <c r="AK254" s="24">
        <v>0</v>
      </c>
      <c r="AL254" s="24"/>
    </row>
    <row r="255" spans="1:38" ht="31.2" x14ac:dyDescent="0.3">
      <c r="A255" s="53">
        <v>248</v>
      </c>
      <c r="B255" s="24" t="s">
        <v>544</v>
      </c>
      <c r="C255" s="24" t="s">
        <v>848</v>
      </c>
      <c r="D255" s="82" t="s">
        <v>849</v>
      </c>
      <c r="E255" s="24">
        <v>21</v>
      </c>
      <c r="F255" s="24" t="s">
        <v>200</v>
      </c>
      <c r="G255" s="24"/>
      <c r="H255" s="24" t="s">
        <v>867</v>
      </c>
      <c r="I255" s="30" t="s">
        <v>548</v>
      </c>
      <c r="J255" s="24" t="s">
        <v>558</v>
      </c>
      <c r="K255" s="24" t="s">
        <v>549</v>
      </c>
      <c r="L255" s="24" t="s">
        <v>549</v>
      </c>
      <c r="M255" s="24">
        <v>1909</v>
      </c>
      <c r="N255" s="24" t="s">
        <v>550</v>
      </c>
      <c r="O255" s="24">
        <v>7</v>
      </c>
      <c r="P255" s="24">
        <v>0</v>
      </c>
      <c r="Q255" s="24">
        <v>12</v>
      </c>
      <c r="R255" s="24">
        <v>87</v>
      </c>
      <c r="S255" s="24">
        <v>13048.58</v>
      </c>
      <c r="T255" s="24">
        <v>13048.58</v>
      </c>
      <c r="U255" s="24">
        <v>8020.49</v>
      </c>
      <c r="V255" s="24">
        <v>5028.09</v>
      </c>
      <c r="W255" s="24" t="s">
        <v>528</v>
      </c>
      <c r="X255" s="24" t="s">
        <v>528</v>
      </c>
      <c r="Y255" s="24" t="s">
        <v>529</v>
      </c>
      <c r="Z255" s="102" t="s">
        <v>528</v>
      </c>
      <c r="AA255" s="24" t="s">
        <v>528</v>
      </c>
      <c r="AB255" s="24" t="s">
        <v>528</v>
      </c>
      <c r="AC255" s="24" t="s">
        <v>528</v>
      </c>
      <c r="AD255" s="24" t="s">
        <v>528</v>
      </c>
      <c r="AE255" s="24" t="s">
        <v>529</v>
      </c>
      <c r="AF255" s="24">
        <v>5</v>
      </c>
      <c r="AG255" s="24">
        <v>0</v>
      </c>
      <c r="AH255" s="24">
        <v>1</v>
      </c>
      <c r="AI255" s="24">
        <v>0</v>
      </c>
      <c r="AJ255" s="24">
        <v>1</v>
      </c>
      <c r="AK255" s="24">
        <v>0</v>
      </c>
      <c r="AL255" s="24"/>
    </row>
    <row r="256" spans="1:38" ht="31.2" x14ac:dyDescent="0.3">
      <c r="A256" s="53">
        <v>249</v>
      </c>
      <c r="B256" s="24" t="s">
        <v>544</v>
      </c>
      <c r="C256" s="24" t="s">
        <v>848</v>
      </c>
      <c r="D256" s="82" t="s">
        <v>849</v>
      </c>
      <c r="E256" s="24">
        <v>22</v>
      </c>
      <c r="F256" s="24" t="s">
        <v>200</v>
      </c>
      <c r="G256" s="24"/>
      <c r="H256" s="24" t="s">
        <v>868</v>
      </c>
      <c r="I256" s="30" t="s">
        <v>548</v>
      </c>
      <c r="J256" s="24" t="s">
        <v>558</v>
      </c>
      <c r="K256" s="24" t="s">
        <v>549</v>
      </c>
      <c r="L256" s="24" t="s">
        <v>549</v>
      </c>
      <c r="M256" s="24">
        <v>1901</v>
      </c>
      <c r="N256" s="24" t="s">
        <v>550</v>
      </c>
      <c r="O256" s="24">
        <v>5</v>
      </c>
      <c r="P256" s="24">
        <v>0</v>
      </c>
      <c r="Q256" s="24">
        <v>7</v>
      </c>
      <c r="R256" s="24">
        <v>52</v>
      </c>
      <c r="S256" s="24">
        <v>7261.0899999999992</v>
      </c>
      <c r="T256" s="24">
        <v>7261.0899999999992</v>
      </c>
      <c r="U256" s="24">
        <v>6308.69</v>
      </c>
      <c r="V256" s="24">
        <v>952.4</v>
      </c>
      <c r="W256" s="24" t="s">
        <v>528</v>
      </c>
      <c r="X256" s="24" t="s">
        <v>528</v>
      </c>
      <c r="Y256" s="24" t="s">
        <v>529</v>
      </c>
      <c r="Z256" s="102" t="s">
        <v>528</v>
      </c>
      <c r="AA256" s="24" t="s">
        <v>528</v>
      </c>
      <c r="AB256" s="24" t="s">
        <v>528</v>
      </c>
      <c r="AC256" s="24" t="s">
        <v>528</v>
      </c>
      <c r="AD256" s="24" t="s">
        <v>528</v>
      </c>
      <c r="AE256" s="24" t="s">
        <v>529</v>
      </c>
      <c r="AF256" s="24">
        <v>4</v>
      </c>
      <c r="AG256" s="24">
        <v>0</v>
      </c>
      <c r="AH256" s="24">
        <v>1</v>
      </c>
      <c r="AI256" s="24">
        <v>0</v>
      </c>
      <c r="AJ256" s="24">
        <v>1</v>
      </c>
      <c r="AK256" s="24">
        <v>0</v>
      </c>
      <c r="AL256" s="24"/>
    </row>
    <row r="257" spans="1:38" ht="31.2" x14ac:dyDescent="0.3">
      <c r="A257" s="53">
        <v>250</v>
      </c>
      <c r="B257" s="24" t="s">
        <v>544</v>
      </c>
      <c r="C257" s="24" t="s">
        <v>848</v>
      </c>
      <c r="D257" s="82" t="s">
        <v>849</v>
      </c>
      <c r="E257" s="24">
        <v>23</v>
      </c>
      <c r="F257" s="24" t="s">
        <v>200</v>
      </c>
      <c r="G257" s="24"/>
      <c r="H257" s="24" t="s">
        <v>869</v>
      </c>
      <c r="I257" s="30" t="s">
        <v>548</v>
      </c>
      <c r="J257" s="24" t="s">
        <v>558</v>
      </c>
      <c r="K257" s="24" t="s">
        <v>549</v>
      </c>
      <c r="L257" s="24" t="s">
        <v>549</v>
      </c>
      <c r="M257" s="24">
        <v>1902</v>
      </c>
      <c r="N257" s="24" t="s">
        <v>550</v>
      </c>
      <c r="O257" s="24">
        <v>6</v>
      </c>
      <c r="P257" s="24">
        <v>0</v>
      </c>
      <c r="Q257" s="24">
        <v>6</v>
      </c>
      <c r="R257" s="24">
        <v>51</v>
      </c>
      <c r="S257" s="24">
        <v>6592.4</v>
      </c>
      <c r="T257" s="24">
        <v>6592.4</v>
      </c>
      <c r="U257" s="24">
        <v>5380.7</v>
      </c>
      <c r="V257" s="24">
        <v>1211.7</v>
      </c>
      <c r="W257" s="24" t="s">
        <v>528</v>
      </c>
      <c r="X257" s="24" t="s">
        <v>528</v>
      </c>
      <c r="Y257" s="24" t="s">
        <v>529</v>
      </c>
      <c r="Z257" s="102" t="s">
        <v>528</v>
      </c>
      <c r="AA257" s="24" t="s">
        <v>528</v>
      </c>
      <c r="AB257" s="24" t="s">
        <v>528</v>
      </c>
      <c r="AC257" s="24" t="s">
        <v>528</v>
      </c>
      <c r="AD257" s="24" t="s">
        <v>528</v>
      </c>
      <c r="AE257" s="24" t="s">
        <v>529</v>
      </c>
      <c r="AF257" s="24">
        <v>2</v>
      </c>
      <c r="AG257" s="24">
        <v>0</v>
      </c>
      <c r="AH257" s="24">
        <v>1</v>
      </c>
      <c r="AI257" s="24">
        <v>0</v>
      </c>
      <c r="AJ257" s="24">
        <v>1</v>
      </c>
      <c r="AK257" s="24">
        <v>0</v>
      </c>
      <c r="AL257" s="24"/>
    </row>
    <row r="258" spans="1:38" ht="31.2" x14ac:dyDescent="0.3">
      <c r="A258" s="53">
        <v>251</v>
      </c>
      <c r="B258" s="24" t="s">
        <v>544</v>
      </c>
      <c r="C258" s="24" t="s">
        <v>848</v>
      </c>
      <c r="D258" s="82" t="s">
        <v>849</v>
      </c>
      <c r="E258" s="24">
        <v>24</v>
      </c>
      <c r="F258" s="24" t="s">
        <v>200</v>
      </c>
      <c r="G258" s="24"/>
      <c r="H258" s="24" t="s">
        <v>870</v>
      </c>
      <c r="I258" s="30" t="s">
        <v>548</v>
      </c>
      <c r="J258" s="24"/>
      <c r="K258" s="24" t="s">
        <v>549</v>
      </c>
      <c r="L258" s="24" t="s">
        <v>549</v>
      </c>
      <c r="M258" s="24">
        <v>1877</v>
      </c>
      <c r="N258" s="24" t="s">
        <v>550</v>
      </c>
      <c r="O258" s="24">
        <v>3</v>
      </c>
      <c r="P258" s="24">
        <v>0</v>
      </c>
      <c r="Q258" s="24">
        <v>4</v>
      </c>
      <c r="R258" s="24">
        <v>18</v>
      </c>
      <c r="S258" s="24">
        <v>1464.27</v>
      </c>
      <c r="T258" s="24">
        <v>1464.27</v>
      </c>
      <c r="U258" s="24">
        <v>1219.67</v>
      </c>
      <c r="V258" s="24">
        <v>244.6</v>
      </c>
      <c r="W258" s="24" t="s">
        <v>528</v>
      </c>
      <c r="X258" s="24" t="s">
        <v>528</v>
      </c>
      <c r="Y258" s="24" t="s">
        <v>529</v>
      </c>
      <c r="Z258" s="102" t="s">
        <v>528</v>
      </c>
      <c r="AA258" s="24" t="s">
        <v>528</v>
      </c>
      <c r="AB258" s="24" t="s">
        <v>528</v>
      </c>
      <c r="AC258" s="24" t="s">
        <v>528</v>
      </c>
      <c r="AD258" s="24" t="s">
        <v>528</v>
      </c>
      <c r="AE258" s="24" t="s">
        <v>529</v>
      </c>
      <c r="AF258" s="24">
        <v>0</v>
      </c>
      <c r="AG258" s="24">
        <v>0</v>
      </c>
      <c r="AH258" s="24">
        <v>1</v>
      </c>
      <c r="AI258" s="24">
        <v>0</v>
      </c>
      <c r="AJ258" s="24">
        <v>1</v>
      </c>
      <c r="AK258" s="24">
        <v>0</v>
      </c>
      <c r="AL258" s="24"/>
    </row>
    <row r="259" spans="1:38" ht="31.2" x14ac:dyDescent="0.3">
      <c r="A259" s="53">
        <v>252</v>
      </c>
      <c r="B259" s="24" t="s">
        <v>544</v>
      </c>
      <c r="C259" s="24" t="s">
        <v>848</v>
      </c>
      <c r="D259" s="82" t="s">
        <v>849</v>
      </c>
      <c r="E259" s="24">
        <v>27</v>
      </c>
      <c r="F259" s="24" t="s">
        <v>200</v>
      </c>
      <c r="G259" s="24"/>
      <c r="H259" s="24" t="s">
        <v>871</v>
      </c>
      <c r="I259" s="30" t="s">
        <v>548</v>
      </c>
      <c r="J259" s="24"/>
      <c r="K259" s="24" t="s">
        <v>549</v>
      </c>
      <c r="L259" s="24" t="s">
        <v>549</v>
      </c>
      <c r="M259" s="24">
        <v>1890</v>
      </c>
      <c r="N259" s="24" t="s">
        <v>550</v>
      </c>
      <c r="O259" s="24">
        <v>4</v>
      </c>
      <c r="P259" s="24">
        <v>0</v>
      </c>
      <c r="Q259" s="24">
        <v>3</v>
      </c>
      <c r="R259" s="24">
        <v>24</v>
      </c>
      <c r="S259" s="24">
        <v>2843.08</v>
      </c>
      <c r="T259" s="24">
        <v>2843.08</v>
      </c>
      <c r="U259" s="24">
        <v>2104.6</v>
      </c>
      <c r="V259" s="24">
        <v>738.48</v>
      </c>
      <c r="W259" s="24" t="s">
        <v>528</v>
      </c>
      <c r="X259" s="24" t="s">
        <v>528</v>
      </c>
      <c r="Y259" s="24" t="s">
        <v>529</v>
      </c>
      <c r="Z259" s="102" t="s">
        <v>528</v>
      </c>
      <c r="AA259" s="24" t="s">
        <v>528</v>
      </c>
      <c r="AB259" s="24" t="s">
        <v>528</v>
      </c>
      <c r="AC259" s="24" t="s">
        <v>528</v>
      </c>
      <c r="AD259" s="24" t="s">
        <v>528</v>
      </c>
      <c r="AE259" s="24" t="s">
        <v>529</v>
      </c>
      <c r="AF259" s="24">
        <v>0</v>
      </c>
      <c r="AG259" s="24">
        <v>0</v>
      </c>
      <c r="AH259" s="24">
        <v>1</v>
      </c>
      <c r="AI259" s="24">
        <v>0</v>
      </c>
      <c r="AJ259" s="24">
        <v>1</v>
      </c>
      <c r="AK259" s="24">
        <v>0</v>
      </c>
      <c r="AL259" s="24"/>
    </row>
    <row r="260" spans="1:38" ht="31.2" x14ac:dyDescent="0.3">
      <c r="A260" s="53">
        <v>253</v>
      </c>
      <c r="B260" s="24" t="s">
        <v>544</v>
      </c>
      <c r="C260" s="24" t="s">
        <v>848</v>
      </c>
      <c r="D260" s="82" t="s">
        <v>849</v>
      </c>
      <c r="E260" s="24">
        <v>28</v>
      </c>
      <c r="F260" s="24" t="s">
        <v>205</v>
      </c>
      <c r="G260" s="24"/>
      <c r="H260" s="24" t="s">
        <v>872</v>
      </c>
      <c r="I260" s="30" t="s">
        <v>548</v>
      </c>
      <c r="J260" s="24"/>
      <c r="K260" s="24" t="s">
        <v>549</v>
      </c>
      <c r="L260" s="24" t="s">
        <v>549</v>
      </c>
      <c r="M260" s="24">
        <v>1905</v>
      </c>
      <c r="N260" s="24" t="s">
        <v>550</v>
      </c>
      <c r="O260" s="24">
        <v>6</v>
      </c>
      <c r="P260" s="24">
        <v>0</v>
      </c>
      <c r="Q260" s="24">
        <v>1</v>
      </c>
      <c r="R260" s="24">
        <v>10</v>
      </c>
      <c r="S260" s="24">
        <v>879.09999999999991</v>
      </c>
      <c r="T260" s="24">
        <v>879.09999999999991</v>
      </c>
      <c r="U260" s="24">
        <v>738.3</v>
      </c>
      <c r="V260" s="24">
        <v>140.80000000000001</v>
      </c>
      <c r="W260" s="24" t="s">
        <v>528</v>
      </c>
      <c r="X260" s="24" t="s">
        <v>528</v>
      </c>
      <c r="Y260" s="24" t="s">
        <v>529</v>
      </c>
      <c r="Z260" s="102" t="s">
        <v>528</v>
      </c>
      <c r="AA260" s="24" t="s">
        <v>528</v>
      </c>
      <c r="AB260" s="24" t="s">
        <v>528</v>
      </c>
      <c r="AC260" s="24" t="s">
        <v>528</v>
      </c>
      <c r="AD260" s="24" t="s">
        <v>528</v>
      </c>
      <c r="AE260" s="24" t="s">
        <v>529</v>
      </c>
      <c r="AF260" s="24">
        <v>0</v>
      </c>
      <c r="AG260" s="24">
        <v>0</v>
      </c>
      <c r="AH260" s="24">
        <v>1</v>
      </c>
      <c r="AI260" s="24">
        <v>0</v>
      </c>
      <c r="AJ260" s="24">
        <v>1</v>
      </c>
      <c r="AK260" s="24">
        <v>0</v>
      </c>
      <c r="AL260" s="24"/>
    </row>
    <row r="261" spans="1:38" ht="31.2" x14ac:dyDescent="0.3">
      <c r="A261" s="53">
        <v>254</v>
      </c>
      <c r="B261" s="24" t="s">
        <v>544</v>
      </c>
      <c r="C261" s="24" t="s">
        <v>848</v>
      </c>
      <c r="D261" s="82" t="s">
        <v>849</v>
      </c>
      <c r="E261" s="24">
        <v>28</v>
      </c>
      <c r="F261" s="24" t="s">
        <v>206</v>
      </c>
      <c r="G261" s="24"/>
      <c r="H261" s="24" t="s">
        <v>873</v>
      </c>
      <c r="I261" s="30" t="s">
        <v>548</v>
      </c>
      <c r="J261" s="24"/>
      <c r="K261" s="24" t="s">
        <v>549</v>
      </c>
      <c r="L261" s="24" t="s">
        <v>549</v>
      </c>
      <c r="M261" s="24">
        <v>1899</v>
      </c>
      <c r="N261" s="24" t="s">
        <v>550</v>
      </c>
      <c r="O261" s="24">
        <v>1</v>
      </c>
      <c r="P261" s="24">
        <v>0</v>
      </c>
      <c r="Q261" s="24">
        <v>1</v>
      </c>
      <c r="R261" s="24">
        <v>1</v>
      </c>
      <c r="S261" s="24">
        <v>81.400000000000006</v>
      </c>
      <c r="T261" s="24">
        <v>81.400000000000006</v>
      </c>
      <c r="U261" s="24">
        <v>81.400000000000006</v>
      </c>
      <c r="V261" s="24">
        <v>0</v>
      </c>
      <c r="W261" s="24" t="s">
        <v>528</v>
      </c>
      <c r="X261" s="24" t="s">
        <v>528</v>
      </c>
      <c r="Y261" s="24" t="s">
        <v>529</v>
      </c>
      <c r="Z261" s="102" t="s">
        <v>528</v>
      </c>
      <c r="AA261" s="24" t="s">
        <v>528</v>
      </c>
      <c r="AB261" s="24" t="s">
        <v>529</v>
      </c>
      <c r="AC261" s="24" t="s">
        <v>528</v>
      </c>
      <c r="AD261" s="24" t="s">
        <v>529</v>
      </c>
      <c r="AE261" s="24" t="s">
        <v>528</v>
      </c>
      <c r="AF261" s="24">
        <v>0</v>
      </c>
      <c r="AG261" s="24">
        <v>0</v>
      </c>
      <c r="AH261" s="24">
        <v>1</v>
      </c>
      <c r="AI261" s="24">
        <v>0</v>
      </c>
      <c r="AJ261" s="24">
        <v>1</v>
      </c>
      <c r="AK261" s="24">
        <v>0</v>
      </c>
      <c r="AL261" s="24"/>
    </row>
    <row r="262" spans="1:38" ht="31.2" x14ac:dyDescent="0.3">
      <c r="A262" s="53">
        <v>255</v>
      </c>
      <c r="B262" s="24" t="s">
        <v>544</v>
      </c>
      <c r="C262" s="24" t="s">
        <v>848</v>
      </c>
      <c r="D262" s="82" t="s">
        <v>849</v>
      </c>
      <c r="E262" s="24">
        <v>28</v>
      </c>
      <c r="F262" s="24" t="s">
        <v>874</v>
      </c>
      <c r="G262" s="24"/>
      <c r="H262" s="24" t="s">
        <v>875</v>
      </c>
      <c r="I262" s="30" t="s">
        <v>548</v>
      </c>
      <c r="J262" s="24"/>
      <c r="K262" s="24" t="s">
        <v>549</v>
      </c>
      <c r="L262" s="24" t="s">
        <v>549</v>
      </c>
      <c r="M262" s="24">
        <v>1899</v>
      </c>
      <c r="N262" s="24" t="s">
        <v>550</v>
      </c>
      <c r="O262" s="24">
        <v>5</v>
      </c>
      <c r="P262" s="24">
        <v>0</v>
      </c>
      <c r="Q262" s="24">
        <v>1</v>
      </c>
      <c r="R262" s="24">
        <v>9</v>
      </c>
      <c r="S262" s="24">
        <v>1303.2</v>
      </c>
      <c r="T262" s="24">
        <v>1303.2</v>
      </c>
      <c r="U262" s="24">
        <v>863.6</v>
      </c>
      <c r="V262" s="24">
        <v>439.6</v>
      </c>
      <c r="W262" s="24" t="s">
        <v>528</v>
      </c>
      <c r="X262" s="24" t="s">
        <v>528</v>
      </c>
      <c r="Y262" s="24" t="s">
        <v>529</v>
      </c>
      <c r="Z262" s="102" t="s">
        <v>528</v>
      </c>
      <c r="AA262" s="24" t="s">
        <v>528</v>
      </c>
      <c r="AB262" s="24" t="s">
        <v>528</v>
      </c>
      <c r="AC262" s="24" t="s">
        <v>528</v>
      </c>
      <c r="AD262" s="24" t="s">
        <v>528</v>
      </c>
      <c r="AE262" s="24" t="s">
        <v>529</v>
      </c>
      <c r="AF262" s="24">
        <v>1</v>
      </c>
      <c r="AG262" s="24">
        <v>0</v>
      </c>
      <c r="AH262" s="24">
        <v>1</v>
      </c>
      <c r="AI262" s="24">
        <v>0</v>
      </c>
      <c r="AJ262" s="24">
        <v>1</v>
      </c>
      <c r="AK262" s="24">
        <v>0</v>
      </c>
      <c r="AL262" s="24"/>
    </row>
    <row r="263" spans="1:38" ht="31.2" x14ac:dyDescent="0.3">
      <c r="A263" s="53">
        <v>256</v>
      </c>
      <c r="B263" s="24" t="s">
        <v>544</v>
      </c>
      <c r="C263" s="24" t="s">
        <v>848</v>
      </c>
      <c r="D263" s="82" t="s">
        <v>849</v>
      </c>
      <c r="E263" s="24">
        <v>29</v>
      </c>
      <c r="F263" s="24" t="s">
        <v>200</v>
      </c>
      <c r="G263" s="24"/>
      <c r="H263" s="24" t="s">
        <v>876</v>
      </c>
      <c r="I263" s="30" t="s">
        <v>548</v>
      </c>
      <c r="J263" s="24"/>
      <c r="K263" s="24" t="s">
        <v>549</v>
      </c>
      <c r="L263" s="24" t="s">
        <v>549</v>
      </c>
      <c r="M263" s="24">
        <v>1877</v>
      </c>
      <c r="N263" s="24" t="s">
        <v>550</v>
      </c>
      <c r="O263" s="24">
        <v>4</v>
      </c>
      <c r="P263" s="24">
        <v>0</v>
      </c>
      <c r="Q263" s="24">
        <v>2</v>
      </c>
      <c r="R263" s="24">
        <v>9</v>
      </c>
      <c r="S263" s="24">
        <v>787.81000000000006</v>
      </c>
      <c r="T263" s="24">
        <v>787.81000000000006</v>
      </c>
      <c r="U263" s="24">
        <v>714.71</v>
      </c>
      <c r="V263" s="24">
        <v>73.099999999999994</v>
      </c>
      <c r="W263" s="24" t="s">
        <v>528</v>
      </c>
      <c r="X263" s="24" t="s">
        <v>528</v>
      </c>
      <c r="Y263" s="24" t="s">
        <v>529</v>
      </c>
      <c r="Z263" s="102" t="s">
        <v>528</v>
      </c>
      <c r="AA263" s="24" t="s">
        <v>528</v>
      </c>
      <c r="AB263" s="24" t="s">
        <v>528</v>
      </c>
      <c r="AC263" s="24" t="s">
        <v>528</v>
      </c>
      <c r="AD263" s="24" t="s">
        <v>528</v>
      </c>
      <c r="AE263" s="24" t="s">
        <v>529</v>
      </c>
      <c r="AF263" s="24">
        <v>0</v>
      </c>
      <c r="AG263" s="24">
        <v>0</v>
      </c>
      <c r="AH263" s="24">
        <v>1</v>
      </c>
      <c r="AI263" s="24">
        <v>0</v>
      </c>
      <c r="AJ263" s="24">
        <v>1</v>
      </c>
      <c r="AK263" s="24">
        <v>0</v>
      </c>
      <c r="AL263" s="24"/>
    </row>
    <row r="264" spans="1:38" ht="31.2" x14ac:dyDescent="0.3">
      <c r="A264" s="53">
        <v>257</v>
      </c>
      <c r="B264" s="24" t="s">
        <v>544</v>
      </c>
      <c r="C264" s="24" t="s">
        <v>848</v>
      </c>
      <c r="D264" s="82" t="s">
        <v>849</v>
      </c>
      <c r="E264" s="24">
        <v>29</v>
      </c>
      <c r="F264" s="24" t="s">
        <v>206</v>
      </c>
      <c r="G264" s="24"/>
      <c r="H264" s="24" t="s">
        <v>877</v>
      </c>
      <c r="I264" s="30" t="s">
        <v>548</v>
      </c>
      <c r="J264" s="24"/>
      <c r="K264" s="24" t="s">
        <v>549</v>
      </c>
      <c r="L264" s="24" t="s">
        <v>549</v>
      </c>
      <c r="M264" s="24">
        <v>1877</v>
      </c>
      <c r="N264" s="24" t="s">
        <v>550</v>
      </c>
      <c r="O264" s="24">
        <v>4</v>
      </c>
      <c r="P264" s="24">
        <v>0</v>
      </c>
      <c r="Q264" s="24">
        <v>1</v>
      </c>
      <c r="R264" s="24">
        <v>15</v>
      </c>
      <c r="S264" s="24">
        <v>1192</v>
      </c>
      <c r="T264" s="24">
        <v>1192</v>
      </c>
      <c r="U264" s="24">
        <v>1157.9000000000001</v>
      </c>
      <c r="V264" s="24">
        <v>34.1</v>
      </c>
      <c r="W264" s="24" t="s">
        <v>528</v>
      </c>
      <c r="X264" s="24" t="s">
        <v>528</v>
      </c>
      <c r="Y264" s="24" t="s">
        <v>529</v>
      </c>
      <c r="Z264" s="102" t="s">
        <v>528</v>
      </c>
      <c r="AA264" s="24" t="s">
        <v>528</v>
      </c>
      <c r="AB264" s="24" t="s">
        <v>528</v>
      </c>
      <c r="AC264" s="24" t="s">
        <v>528</v>
      </c>
      <c r="AD264" s="24" t="s">
        <v>528</v>
      </c>
      <c r="AE264" s="24" t="s">
        <v>529</v>
      </c>
      <c r="AF264" s="24">
        <v>0</v>
      </c>
      <c r="AG264" s="24">
        <v>0</v>
      </c>
      <c r="AH264" s="24">
        <v>1</v>
      </c>
      <c r="AI264" s="24">
        <v>0</v>
      </c>
      <c r="AJ264" s="24">
        <v>1</v>
      </c>
      <c r="AK264" s="24">
        <v>0</v>
      </c>
      <c r="AL264" s="24"/>
    </row>
    <row r="265" spans="1:38" ht="31.2" x14ac:dyDescent="0.3">
      <c r="A265" s="53">
        <v>258</v>
      </c>
      <c r="B265" s="24" t="s">
        <v>544</v>
      </c>
      <c r="C265" s="24" t="s">
        <v>848</v>
      </c>
      <c r="D265" s="82" t="s">
        <v>849</v>
      </c>
      <c r="E265" s="24">
        <v>30</v>
      </c>
      <c r="F265" s="24" t="s">
        <v>200</v>
      </c>
      <c r="G265" s="24"/>
      <c r="H265" s="24" t="s">
        <v>878</v>
      </c>
      <c r="I265" s="30" t="s">
        <v>548</v>
      </c>
      <c r="J265" s="24"/>
      <c r="K265" s="24" t="s">
        <v>549</v>
      </c>
      <c r="L265" s="24" t="s">
        <v>549</v>
      </c>
      <c r="M265" s="24">
        <v>1899</v>
      </c>
      <c r="N265" s="24" t="s">
        <v>550</v>
      </c>
      <c r="O265" s="24">
        <v>5</v>
      </c>
      <c r="P265" s="24">
        <v>0</v>
      </c>
      <c r="Q265" s="24">
        <v>5</v>
      </c>
      <c r="R265" s="24">
        <v>22</v>
      </c>
      <c r="S265" s="24">
        <v>2045.7</v>
      </c>
      <c r="T265" s="24">
        <v>2045.7</v>
      </c>
      <c r="U265" s="24">
        <v>1723</v>
      </c>
      <c r="V265" s="24">
        <v>322.7</v>
      </c>
      <c r="W265" s="24" t="s">
        <v>528</v>
      </c>
      <c r="X265" s="24" t="s">
        <v>528</v>
      </c>
      <c r="Y265" s="24" t="s">
        <v>529</v>
      </c>
      <c r="Z265" s="102" t="s">
        <v>528</v>
      </c>
      <c r="AA265" s="24" t="s">
        <v>528</v>
      </c>
      <c r="AB265" s="24" t="s">
        <v>528</v>
      </c>
      <c r="AC265" s="24" t="s">
        <v>528</v>
      </c>
      <c r="AD265" s="24" t="s">
        <v>528</v>
      </c>
      <c r="AE265" s="24" t="s">
        <v>529</v>
      </c>
      <c r="AF265" s="24">
        <v>0</v>
      </c>
      <c r="AG265" s="24">
        <v>0</v>
      </c>
      <c r="AH265" s="24">
        <v>1</v>
      </c>
      <c r="AI265" s="24">
        <v>0</v>
      </c>
      <c r="AJ265" s="24">
        <v>0</v>
      </c>
      <c r="AK265" s="24">
        <v>0</v>
      </c>
      <c r="AL265" s="24"/>
    </row>
    <row r="266" spans="1:38" ht="31.2" x14ac:dyDescent="0.3">
      <c r="A266" s="53">
        <v>259</v>
      </c>
      <c r="B266" s="24" t="s">
        <v>544</v>
      </c>
      <c r="C266" s="24" t="s">
        <v>848</v>
      </c>
      <c r="D266" s="82" t="s">
        <v>849</v>
      </c>
      <c r="E266" s="24">
        <v>31</v>
      </c>
      <c r="F266" s="24" t="s">
        <v>200</v>
      </c>
      <c r="G266" s="24"/>
      <c r="H266" s="24" t="s">
        <v>879</v>
      </c>
      <c r="I266" s="30" t="s">
        <v>548</v>
      </c>
      <c r="J266" s="24"/>
      <c r="K266" s="24" t="s">
        <v>549</v>
      </c>
      <c r="L266" s="24" t="s">
        <v>549</v>
      </c>
      <c r="M266" s="24">
        <v>1956</v>
      </c>
      <c r="N266" s="24" t="s">
        <v>550</v>
      </c>
      <c r="O266" s="24">
        <v>5</v>
      </c>
      <c r="P266" s="24">
        <v>0</v>
      </c>
      <c r="Q266" s="24">
        <v>1</v>
      </c>
      <c r="R266" s="24">
        <v>12</v>
      </c>
      <c r="S266" s="24">
        <v>1142.0999999999999</v>
      </c>
      <c r="T266" s="24">
        <v>1142.0999999999999</v>
      </c>
      <c r="U266" s="24">
        <v>848.8</v>
      </c>
      <c r="V266" s="24">
        <v>293.3</v>
      </c>
      <c r="W266" s="24" t="s">
        <v>528</v>
      </c>
      <c r="X266" s="24" t="s">
        <v>528</v>
      </c>
      <c r="Y266" s="24" t="s">
        <v>529</v>
      </c>
      <c r="Z266" s="102" t="s">
        <v>528</v>
      </c>
      <c r="AA266" s="24" t="s">
        <v>528</v>
      </c>
      <c r="AB266" s="24" t="s">
        <v>528</v>
      </c>
      <c r="AC266" s="24" t="s">
        <v>528</v>
      </c>
      <c r="AD266" s="24" t="s">
        <v>528</v>
      </c>
      <c r="AE266" s="24" t="s">
        <v>529</v>
      </c>
      <c r="AF266" s="24">
        <v>0</v>
      </c>
      <c r="AG266" s="24">
        <v>0</v>
      </c>
      <c r="AH266" s="24">
        <v>1</v>
      </c>
      <c r="AI266" s="24">
        <v>0</v>
      </c>
      <c r="AJ266" s="24">
        <v>0</v>
      </c>
      <c r="AK266" s="24">
        <v>0</v>
      </c>
      <c r="AL266" s="24"/>
    </row>
    <row r="267" spans="1:38" ht="31.2" x14ac:dyDescent="0.3">
      <c r="A267" s="53">
        <v>260</v>
      </c>
      <c r="B267" s="24" t="s">
        <v>544</v>
      </c>
      <c r="C267" s="24" t="s">
        <v>848</v>
      </c>
      <c r="D267" s="82" t="s">
        <v>849</v>
      </c>
      <c r="E267" s="24">
        <v>32</v>
      </c>
      <c r="F267" s="24" t="s">
        <v>200</v>
      </c>
      <c r="G267" s="24"/>
      <c r="H267" s="24" t="s">
        <v>880</v>
      </c>
      <c r="I267" s="30" t="s">
        <v>548</v>
      </c>
      <c r="J267" s="24" t="s">
        <v>558</v>
      </c>
      <c r="K267" s="24" t="s">
        <v>549</v>
      </c>
      <c r="L267" s="24" t="s">
        <v>549</v>
      </c>
      <c r="M267" s="24">
        <v>1910</v>
      </c>
      <c r="N267" s="24" t="s">
        <v>550</v>
      </c>
      <c r="O267" s="24">
        <v>6</v>
      </c>
      <c r="P267" s="24">
        <v>0</v>
      </c>
      <c r="Q267" s="24">
        <v>1</v>
      </c>
      <c r="R267" s="24">
        <v>36</v>
      </c>
      <c r="S267" s="24">
        <v>4117.2</v>
      </c>
      <c r="T267" s="24">
        <v>4117.2</v>
      </c>
      <c r="U267" s="24">
        <v>3167.3</v>
      </c>
      <c r="V267" s="24">
        <v>949.9</v>
      </c>
      <c r="W267" s="24" t="s">
        <v>528</v>
      </c>
      <c r="X267" s="24" t="s">
        <v>528</v>
      </c>
      <c r="Y267" s="24" t="s">
        <v>529</v>
      </c>
      <c r="Z267" s="102" t="s">
        <v>528</v>
      </c>
      <c r="AA267" s="24" t="s">
        <v>528</v>
      </c>
      <c r="AB267" s="24" t="s">
        <v>528</v>
      </c>
      <c r="AC267" s="24" t="s">
        <v>528</v>
      </c>
      <c r="AD267" s="24" t="s">
        <v>528</v>
      </c>
      <c r="AE267" s="24" t="s">
        <v>529</v>
      </c>
      <c r="AF267" s="24">
        <v>1</v>
      </c>
      <c r="AG267" s="24">
        <v>0</v>
      </c>
      <c r="AH267" s="24">
        <v>1</v>
      </c>
      <c r="AI267" s="24">
        <v>0</v>
      </c>
      <c r="AJ267" s="24">
        <v>1</v>
      </c>
      <c r="AK267" s="24">
        <v>0</v>
      </c>
      <c r="AL267" s="24"/>
    </row>
    <row r="268" spans="1:38" ht="31.2" x14ac:dyDescent="0.3">
      <c r="A268" s="53">
        <v>261</v>
      </c>
      <c r="B268" s="24" t="s">
        <v>544</v>
      </c>
      <c r="C268" s="24" t="s">
        <v>848</v>
      </c>
      <c r="D268" s="82" t="s">
        <v>849</v>
      </c>
      <c r="E268" s="24" t="s">
        <v>881</v>
      </c>
      <c r="F268" s="24" t="s">
        <v>200</v>
      </c>
      <c r="G268" s="24"/>
      <c r="H268" s="24" t="s">
        <v>882</v>
      </c>
      <c r="I268" s="30" t="s">
        <v>548</v>
      </c>
      <c r="J268" s="24" t="s">
        <v>558</v>
      </c>
      <c r="K268" s="24" t="s">
        <v>549</v>
      </c>
      <c r="L268" s="24" t="s">
        <v>549</v>
      </c>
      <c r="M268" s="24">
        <v>1907</v>
      </c>
      <c r="N268" s="24" t="s">
        <v>550</v>
      </c>
      <c r="O268" s="24">
        <v>5</v>
      </c>
      <c r="P268" s="24">
        <v>0</v>
      </c>
      <c r="Q268" s="24">
        <v>9</v>
      </c>
      <c r="R268" s="24">
        <v>38</v>
      </c>
      <c r="S268" s="24">
        <v>6715.9</v>
      </c>
      <c r="T268" s="24">
        <v>6715.9</v>
      </c>
      <c r="U268" s="24">
        <v>4280.7</v>
      </c>
      <c r="V268" s="24">
        <v>2435.1999999999998</v>
      </c>
      <c r="W268" s="24" t="s">
        <v>528</v>
      </c>
      <c r="X268" s="24" t="s">
        <v>528</v>
      </c>
      <c r="Y268" s="24" t="s">
        <v>529</v>
      </c>
      <c r="Z268" s="102" t="s">
        <v>528</v>
      </c>
      <c r="AA268" s="24" t="s">
        <v>528</v>
      </c>
      <c r="AB268" s="24" t="s">
        <v>528</v>
      </c>
      <c r="AC268" s="24" t="s">
        <v>528</v>
      </c>
      <c r="AD268" s="24" t="s">
        <v>528</v>
      </c>
      <c r="AE268" s="24" t="s">
        <v>529</v>
      </c>
      <c r="AF268" s="24">
        <v>0</v>
      </c>
      <c r="AG268" s="24">
        <v>0</v>
      </c>
      <c r="AH268" s="24">
        <v>1</v>
      </c>
      <c r="AI268" s="24">
        <v>0</v>
      </c>
      <c r="AJ268" s="24">
        <v>1</v>
      </c>
      <c r="AK268" s="24">
        <v>0</v>
      </c>
      <c r="AL268" s="24"/>
    </row>
    <row r="269" spans="1:38" ht="31.2" x14ac:dyDescent="0.3">
      <c r="A269" s="53">
        <v>262</v>
      </c>
      <c r="B269" s="24" t="s">
        <v>544</v>
      </c>
      <c r="C269" s="24" t="s">
        <v>848</v>
      </c>
      <c r="D269" s="82" t="s">
        <v>849</v>
      </c>
      <c r="E269" s="24">
        <v>34</v>
      </c>
      <c r="F269" s="24" t="s">
        <v>200</v>
      </c>
      <c r="G269" s="24"/>
      <c r="H269" s="24" t="s">
        <v>883</v>
      </c>
      <c r="I269" s="30" t="s">
        <v>548</v>
      </c>
      <c r="J269" s="24"/>
      <c r="K269" s="24" t="s">
        <v>549</v>
      </c>
      <c r="L269" s="24" t="s">
        <v>549</v>
      </c>
      <c r="M269" s="24">
        <v>1958</v>
      </c>
      <c r="N269" s="24" t="s">
        <v>550</v>
      </c>
      <c r="O269" s="24">
        <v>6</v>
      </c>
      <c r="P269" s="24">
        <v>0</v>
      </c>
      <c r="Q269" s="24">
        <v>6</v>
      </c>
      <c r="R269" s="24">
        <v>24</v>
      </c>
      <c r="S269" s="24">
        <v>2603.85</v>
      </c>
      <c r="T269" s="24">
        <v>2603.85</v>
      </c>
      <c r="U269" s="24">
        <v>1553.85</v>
      </c>
      <c r="V269" s="24">
        <v>1050</v>
      </c>
      <c r="W269" s="24" t="s">
        <v>528</v>
      </c>
      <c r="X269" s="24" t="s">
        <v>528</v>
      </c>
      <c r="Y269" s="24" t="s">
        <v>529</v>
      </c>
      <c r="Z269" s="102" t="s">
        <v>528</v>
      </c>
      <c r="AA269" s="24" t="s">
        <v>528</v>
      </c>
      <c r="AB269" s="24" t="s">
        <v>528</v>
      </c>
      <c r="AC269" s="24" t="s">
        <v>528</v>
      </c>
      <c r="AD269" s="24" t="s">
        <v>528</v>
      </c>
      <c r="AE269" s="24" t="s">
        <v>529</v>
      </c>
      <c r="AF269" s="24">
        <v>1</v>
      </c>
      <c r="AG269" s="24">
        <v>0</v>
      </c>
      <c r="AH269" s="24">
        <v>1</v>
      </c>
      <c r="AI269" s="24">
        <v>0</v>
      </c>
      <c r="AJ269" s="24">
        <v>1</v>
      </c>
      <c r="AK269" s="24">
        <v>0</v>
      </c>
      <c r="AL269" s="24"/>
    </row>
    <row r="270" spans="1:38" ht="31.2" x14ac:dyDescent="0.3">
      <c r="A270" s="53">
        <v>263</v>
      </c>
      <c r="B270" s="24" t="s">
        <v>544</v>
      </c>
      <c r="C270" s="24" t="s">
        <v>848</v>
      </c>
      <c r="D270" s="82" t="s">
        <v>849</v>
      </c>
      <c r="E270" s="24">
        <v>36</v>
      </c>
      <c r="F270" s="24" t="s">
        <v>200</v>
      </c>
      <c r="G270" s="24"/>
      <c r="H270" s="24" t="s">
        <v>884</v>
      </c>
      <c r="I270" s="30" t="s">
        <v>548</v>
      </c>
      <c r="J270" s="24" t="s">
        <v>558</v>
      </c>
      <c r="K270" s="24" t="s">
        <v>549</v>
      </c>
      <c r="L270" s="24" t="s">
        <v>549</v>
      </c>
      <c r="M270" s="24">
        <v>1913</v>
      </c>
      <c r="N270" s="24" t="s">
        <v>550</v>
      </c>
      <c r="O270" s="24">
        <v>7</v>
      </c>
      <c r="P270" s="24">
        <v>0</v>
      </c>
      <c r="Q270" s="24">
        <v>5</v>
      </c>
      <c r="R270" s="24">
        <v>47</v>
      </c>
      <c r="S270" s="24">
        <v>5255.3600000000006</v>
      </c>
      <c r="T270" s="24">
        <v>5255.3600000000006</v>
      </c>
      <c r="U270" s="24">
        <v>4585.76</v>
      </c>
      <c r="V270" s="24">
        <v>669.6</v>
      </c>
      <c r="W270" s="24" t="s">
        <v>528</v>
      </c>
      <c r="X270" s="24" t="s">
        <v>528</v>
      </c>
      <c r="Y270" s="24" t="s">
        <v>529</v>
      </c>
      <c r="Z270" s="102" t="s">
        <v>528</v>
      </c>
      <c r="AA270" s="24" t="s">
        <v>528</v>
      </c>
      <c r="AB270" s="24" t="s">
        <v>528</v>
      </c>
      <c r="AC270" s="24" t="s">
        <v>528</v>
      </c>
      <c r="AD270" s="24" t="s">
        <v>528</v>
      </c>
      <c r="AE270" s="24" t="s">
        <v>529</v>
      </c>
      <c r="AF270" s="24">
        <v>2</v>
      </c>
      <c r="AG270" s="24">
        <v>0</v>
      </c>
      <c r="AH270" s="24">
        <v>1</v>
      </c>
      <c r="AI270" s="24">
        <v>0</v>
      </c>
      <c r="AJ270" s="24">
        <v>1</v>
      </c>
      <c r="AK270" s="24">
        <v>0</v>
      </c>
      <c r="AL270" s="24"/>
    </row>
    <row r="271" spans="1:38" ht="31.2" x14ac:dyDescent="0.3">
      <c r="A271" s="53">
        <v>264</v>
      </c>
      <c r="B271" s="24" t="s">
        <v>544</v>
      </c>
      <c r="C271" s="24" t="s">
        <v>848</v>
      </c>
      <c r="D271" s="82" t="s">
        <v>849</v>
      </c>
      <c r="E271" s="24" t="s">
        <v>885</v>
      </c>
      <c r="F271" s="24" t="s">
        <v>200</v>
      </c>
      <c r="G271" s="24"/>
      <c r="H271" s="24" t="s">
        <v>886</v>
      </c>
      <c r="I271" s="30" t="s">
        <v>548</v>
      </c>
      <c r="J271" s="24"/>
      <c r="K271" s="24" t="s">
        <v>549</v>
      </c>
      <c r="L271" s="24" t="s">
        <v>549</v>
      </c>
      <c r="M271" s="24">
        <v>1894</v>
      </c>
      <c r="N271" s="24" t="s">
        <v>550</v>
      </c>
      <c r="O271" s="24">
        <v>4</v>
      </c>
      <c r="P271" s="24">
        <v>0</v>
      </c>
      <c r="Q271" s="24">
        <v>3</v>
      </c>
      <c r="R271" s="24">
        <v>13</v>
      </c>
      <c r="S271" s="24">
        <v>2244.92</v>
      </c>
      <c r="T271" s="24">
        <v>2244.92</v>
      </c>
      <c r="U271" s="24">
        <v>1734.02</v>
      </c>
      <c r="V271" s="24">
        <v>510.9</v>
      </c>
      <c r="W271" s="24" t="s">
        <v>528</v>
      </c>
      <c r="X271" s="24" t="s">
        <v>528</v>
      </c>
      <c r="Y271" s="24" t="s">
        <v>529</v>
      </c>
      <c r="Z271" s="102" t="s">
        <v>528</v>
      </c>
      <c r="AA271" s="24" t="s">
        <v>528</v>
      </c>
      <c r="AB271" s="24" t="s">
        <v>528</v>
      </c>
      <c r="AC271" s="24" t="s">
        <v>528</v>
      </c>
      <c r="AD271" s="24" t="s">
        <v>528</v>
      </c>
      <c r="AE271" s="24" t="s">
        <v>529</v>
      </c>
      <c r="AF271" s="24">
        <v>0</v>
      </c>
      <c r="AG271" s="24">
        <v>0</v>
      </c>
      <c r="AH271" s="24">
        <v>1</v>
      </c>
      <c r="AI271" s="24">
        <v>0</v>
      </c>
      <c r="AJ271" s="24">
        <v>1</v>
      </c>
      <c r="AK271" s="24">
        <v>0</v>
      </c>
      <c r="AL271" s="24"/>
    </row>
    <row r="272" spans="1:38" ht="31.2" x14ac:dyDescent="0.3">
      <c r="A272" s="53">
        <v>265</v>
      </c>
      <c r="B272" s="24" t="s">
        <v>544</v>
      </c>
      <c r="C272" s="24" t="s">
        <v>545</v>
      </c>
      <c r="D272" s="82" t="s">
        <v>887</v>
      </c>
      <c r="E272" s="24" t="s">
        <v>539</v>
      </c>
      <c r="F272" s="24" t="s">
        <v>200</v>
      </c>
      <c r="G272" s="24"/>
      <c r="H272" s="24" t="s">
        <v>888</v>
      </c>
      <c r="I272" s="30" t="s">
        <v>548</v>
      </c>
      <c r="J272" s="24" t="s">
        <v>558</v>
      </c>
      <c r="K272" s="24" t="s">
        <v>549</v>
      </c>
      <c r="L272" s="24" t="s">
        <v>549</v>
      </c>
      <c r="M272" s="24">
        <v>1903</v>
      </c>
      <c r="N272" s="24" t="s">
        <v>550</v>
      </c>
      <c r="O272" s="24">
        <v>5</v>
      </c>
      <c r="P272" s="24">
        <v>0</v>
      </c>
      <c r="Q272" s="24">
        <v>8</v>
      </c>
      <c r="R272" s="24">
        <v>26</v>
      </c>
      <c r="S272" s="24">
        <v>10844.3</v>
      </c>
      <c r="T272" s="24">
        <v>10844.3</v>
      </c>
      <c r="U272" s="24">
        <v>5598.5</v>
      </c>
      <c r="V272" s="24">
        <v>5245.8</v>
      </c>
      <c r="W272" s="24" t="s">
        <v>528</v>
      </c>
      <c r="X272" s="24" t="s">
        <v>528</v>
      </c>
      <c r="Y272" s="24" t="s">
        <v>528</v>
      </c>
      <c r="Z272" s="102" t="s">
        <v>528</v>
      </c>
      <c r="AA272" s="24" t="s">
        <v>528</v>
      </c>
      <c r="AB272" s="24" t="s">
        <v>528</v>
      </c>
      <c r="AC272" s="24" t="s">
        <v>529</v>
      </c>
      <c r="AD272" s="24" t="s">
        <v>528</v>
      </c>
      <c r="AE272" s="24" t="s">
        <v>529</v>
      </c>
      <c r="AF272" s="24">
        <v>2</v>
      </c>
      <c r="AG272" s="24">
        <v>0</v>
      </c>
      <c r="AH272" s="24">
        <v>1</v>
      </c>
      <c r="AI272" s="24">
        <v>1</v>
      </c>
      <c r="AJ272" s="24">
        <v>2</v>
      </c>
      <c r="AK272" s="24">
        <v>0</v>
      </c>
      <c r="AL272" s="24"/>
    </row>
    <row r="273" spans="1:38" ht="31.2" x14ac:dyDescent="0.3">
      <c r="A273" s="53">
        <v>266</v>
      </c>
      <c r="B273" s="24" t="s">
        <v>544</v>
      </c>
      <c r="C273" s="24" t="s">
        <v>545</v>
      </c>
      <c r="D273" s="82" t="s">
        <v>887</v>
      </c>
      <c r="E273" s="24" t="s">
        <v>539</v>
      </c>
      <c r="F273" s="24" t="s">
        <v>205</v>
      </c>
      <c r="G273" s="24"/>
      <c r="H273" s="24" t="s">
        <v>889</v>
      </c>
      <c r="I273" s="30" t="s">
        <v>548</v>
      </c>
      <c r="J273" s="24" t="s">
        <v>558</v>
      </c>
      <c r="K273" s="24" t="s">
        <v>549</v>
      </c>
      <c r="L273" s="24" t="s">
        <v>549</v>
      </c>
      <c r="M273" s="24">
        <v>1903</v>
      </c>
      <c r="N273" s="24" t="s">
        <v>550</v>
      </c>
      <c r="O273" s="24">
        <v>6</v>
      </c>
      <c r="P273" s="24">
        <v>0</v>
      </c>
      <c r="Q273" s="24">
        <v>2</v>
      </c>
      <c r="R273" s="24">
        <v>44</v>
      </c>
      <c r="S273" s="24">
        <v>3024.3</v>
      </c>
      <c r="T273" s="24">
        <v>3024.3</v>
      </c>
      <c r="U273" s="24">
        <v>2727.76</v>
      </c>
      <c r="V273" s="24">
        <v>296.54000000000002</v>
      </c>
      <c r="W273" s="24" t="s">
        <v>528</v>
      </c>
      <c r="X273" s="24" t="s">
        <v>528</v>
      </c>
      <c r="Y273" s="24" t="s">
        <v>528</v>
      </c>
      <c r="Z273" s="102" t="s">
        <v>528</v>
      </c>
      <c r="AA273" s="24" t="s">
        <v>528</v>
      </c>
      <c r="AB273" s="24" t="s">
        <v>528</v>
      </c>
      <c r="AC273" s="24" t="s">
        <v>529</v>
      </c>
      <c r="AD273" s="24" t="s">
        <v>528</v>
      </c>
      <c r="AE273" s="24" t="s">
        <v>529</v>
      </c>
      <c r="AF273" s="24">
        <v>2</v>
      </c>
      <c r="AG273" s="24">
        <v>0</v>
      </c>
      <c r="AH273" s="24">
        <v>1</v>
      </c>
      <c r="AI273" s="24">
        <v>1</v>
      </c>
      <c r="AJ273" s="24">
        <v>1</v>
      </c>
      <c r="AK273" s="24">
        <v>0</v>
      </c>
      <c r="AL273" s="24"/>
    </row>
    <row r="274" spans="1:38" ht="31.2" x14ac:dyDescent="0.3">
      <c r="A274" s="53">
        <v>267</v>
      </c>
      <c r="B274" s="24" t="s">
        <v>544</v>
      </c>
      <c r="C274" s="24" t="s">
        <v>545</v>
      </c>
      <c r="D274" s="82" t="s">
        <v>887</v>
      </c>
      <c r="E274" s="24">
        <v>4</v>
      </c>
      <c r="F274" s="24" t="s">
        <v>200</v>
      </c>
      <c r="G274" s="24"/>
      <c r="H274" s="24" t="s">
        <v>890</v>
      </c>
      <c r="I274" s="30" t="s">
        <v>548</v>
      </c>
      <c r="J274" s="24"/>
      <c r="K274" s="24" t="s">
        <v>549</v>
      </c>
      <c r="L274" s="24" t="s">
        <v>549</v>
      </c>
      <c r="M274" s="24">
        <v>1909</v>
      </c>
      <c r="N274" s="24" t="s">
        <v>550</v>
      </c>
      <c r="O274" s="24">
        <v>4</v>
      </c>
      <c r="P274" s="24">
        <v>0</v>
      </c>
      <c r="Q274" s="24">
        <v>3</v>
      </c>
      <c r="R274" s="24">
        <v>12</v>
      </c>
      <c r="S274" s="24">
        <v>1876.03</v>
      </c>
      <c r="T274" s="24">
        <v>1876.03</v>
      </c>
      <c r="U274" s="24">
        <v>1574.03</v>
      </c>
      <c r="V274" s="24">
        <v>302</v>
      </c>
      <c r="W274" s="24" t="s">
        <v>528</v>
      </c>
      <c r="X274" s="24" t="s">
        <v>528</v>
      </c>
      <c r="Y274" s="24" t="s">
        <v>528</v>
      </c>
      <c r="Z274" s="102" t="s">
        <v>528</v>
      </c>
      <c r="AA274" s="24" t="s">
        <v>528</v>
      </c>
      <c r="AB274" s="24" t="s">
        <v>528</v>
      </c>
      <c r="AC274" s="24" t="s">
        <v>529</v>
      </c>
      <c r="AD274" s="24" t="s">
        <v>528</v>
      </c>
      <c r="AE274" s="24" t="s">
        <v>529</v>
      </c>
      <c r="AF274" s="24">
        <v>0</v>
      </c>
      <c r="AG274" s="24">
        <v>0</v>
      </c>
      <c r="AH274" s="24">
        <v>1</v>
      </c>
      <c r="AI274" s="24">
        <v>1</v>
      </c>
      <c r="AJ274" s="24">
        <v>1</v>
      </c>
      <c r="AK274" s="24">
        <v>0</v>
      </c>
      <c r="AL274" s="24"/>
    </row>
    <row r="275" spans="1:38" ht="31.2" x14ac:dyDescent="0.3">
      <c r="A275" s="53">
        <v>268</v>
      </c>
      <c r="B275" s="24" t="s">
        <v>544</v>
      </c>
      <c r="C275" s="24" t="s">
        <v>545</v>
      </c>
      <c r="D275" s="82" t="s">
        <v>887</v>
      </c>
      <c r="E275" s="24">
        <v>5</v>
      </c>
      <c r="F275" s="24" t="s">
        <v>200</v>
      </c>
      <c r="G275" s="24"/>
      <c r="H275" s="24" t="s">
        <v>891</v>
      </c>
      <c r="I275" s="30" t="s">
        <v>548</v>
      </c>
      <c r="J275" s="24"/>
      <c r="K275" s="24" t="s">
        <v>549</v>
      </c>
      <c r="L275" s="24" t="s">
        <v>549</v>
      </c>
      <c r="M275" s="24">
        <v>1893</v>
      </c>
      <c r="N275" s="24" t="s">
        <v>550</v>
      </c>
      <c r="O275" s="24">
        <v>4</v>
      </c>
      <c r="P275" s="24">
        <v>0</v>
      </c>
      <c r="Q275" s="24">
        <v>4</v>
      </c>
      <c r="R275" s="24">
        <v>47</v>
      </c>
      <c r="S275" s="24">
        <v>5095.2000000000007</v>
      </c>
      <c r="T275" s="24">
        <v>5095.2000000000007</v>
      </c>
      <c r="U275" s="24">
        <v>3987.8</v>
      </c>
      <c r="V275" s="24">
        <v>1107.4000000000001</v>
      </c>
      <c r="W275" s="24" t="s">
        <v>528</v>
      </c>
      <c r="X275" s="24" t="s">
        <v>528</v>
      </c>
      <c r="Y275" s="24" t="s">
        <v>528</v>
      </c>
      <c r="Z275" s="102" t="s">
        <v>528</v>
      </c>
      <c r="AA275" s="24" t="s">
        <v>528</v>
      </c>
      <c r="AB275" s="24" t="s">
        <v>528</v>
      </c>
      <c r="AC275" s="24" t="s">
        <v>529</v>
      </c>
      <c r="AD275" s="24" t="s">
        <v>528</v>
      </c>
      <c r="AE275" s="24" t="s">
        <v>529</v>
      </c>
      <c r="AF275" s="24">
        <v>2</v>
      </c>
      <c r="AG275" s="24">
        <v>0</v>
      </c>
      <c r="AH275" s="24">
        <v>1</v>
      </c>
      <c r="AI275" s="24">
        <v>1</v>
      </c>
      <c r="AJ275" s="24">
        <v>1</v>
      </c>
      <c r="AK275" s="24">
        <v>0</v>
      </c>
      <c r="AL275" s="24"/>
    </row>
    <row r="276" spans="1:38" ht="31.2" x14ac:dyDescent="0.3">
      <c r="A276" s="53">
        <v>269</v>
      </c>
      <c r="B276" s="24" t="s">
        <v>544</v>
      </c>
      <c r="C276" s="24" t="s">
        <v>545</v>
      </c>
      <c r="D276" s="82" t="s">
        <v>887</v>
      </c>
      <c r="E276" s="24">
        <v>5</v>
      </c>
      <c r="F276" s="24" t="s">
        <v>205</v>
      </c>
      <c r="G276" s="24"/>
      <c r="H276" s="24" t="s">
        <v>892</v>
      </c>
      <c r="I276" s="30" t="s">
        <v>548</v>
      </c>
      <c r="J276" s="24"/>
      <c r="K276" s="24" t="s">
        <v>549</v>
      </c>
      <c r="L276" s="24" t="s">
        <v>549</v>
      </c>
      <c r="M276" s="24">
        <v>1903</v>
      </c>
      <c r="N276" s="24" t="s">
        <v>550</v>
      </c>
      <c r="O276" s="24">
        <v>5</v>
      </c>
      <c r="P276" s="24">
        <v>0</v>
      </c>
      <c r="Q276" s="24">
        <v>1</v>
      </c>
      <c r="R276" s="24">
        <v>6</v>
      </c>
      <c r="S276" s="24">
        <v>434.5</v>
      </c>
      <c r="T276" s="24">
        <v>434.5</v>
      </c>
      <c r="U276" s="24">
        <v>325.5</v>
      </c>
      <c r="V276" s="24">
        <v>109</v>
      </c>
      <c r="W276" s="24" t="s">
        <v>528</v>
      </c>
      <c r="X276" s="24" t="s">
        <v>528</v>
      </c>
      <c r="Y276" s="24" t="s">
        <v>528</v>
      </c>
      <c r="Z276" s="102" t="s">
        <v>528</v>
      </c>
      <c r="AA276" s="24" t="s">
        <v>528</v>
      </c>
      <c r="AB276" s="24" t="s">
        <v>528</v>
      </c>
      <c r="AC276" s="24" t="s">
        <v>529</v>
      </c>
      <c r="AD276" s="24" t="s">
        <v>528</v>
      </c>
      <c r="AE276" s="24" t="s">
        <v>529</v>
      </c>
      <c r="AF276" s="24">
        <v>1</v>
      </c>
      <c r="AG276" s="24">
        <v>0</v>
      </c>
      <c r="AH276" s="24">
        <v>1</v>
      </c>
      <c r="AI276" s="24">
        <v>1</v>
      </c>
      <c r="AJ276" s="24">
        <v>1</v>
      </c>
      <c r="AK276" s="24">
        <v>0</v>
      </c>
      <c r="AL276" s="24"/>
    </row>
    <row r="277" spans="1:38" ht="31.2" x14ac:dyDescent="0.3">
      <c r="A277" s="53">
        <v>270</v>
      </c>
      <c r="B277" s="24" t="s">
        <v>544</v>
      </c>
      <c r="C277" s="24" t="s">
        <v>893</v>
      </c>
      <c r="D277" s="82" t="s">
        <v>894</v>
      </c>
      <c r="E277" s="24">
        <v>8</v>
      </c>
      <c r="F277" s="24" t="s">
        <v>200</v>
      </c>
      <c r="G277" s="24"/>
      <c r="H277" s="24" t="s">
        <v>895</v>
      </c>
      <c r="I277" s="30" t="s">
        <v>548</v>
      </c>
      <c r="J277" s="24" t="s">
        <v>558</v>
      </c>
      <c r="K277" s="24" t="s">
        <v>549</v>
      </c>
      <c r="L277" s="24" t="s">
        <v>549</v>
      </c>
      <c r="M277" s="24">
        <v>1908</v>
      </c>
      <c r="N277" s="24" t="s">
        <v>550</v>
      </c>
      <c r="O277" s="24">
        <v>5</v>
      </c>
      <c r="P277" s="24">
        <v>0</v>
      </c>
      <c r="Q277" s="24">
        <v>14</v>
      </c>
      <c r="R277" s="24">
        <v>113</v>
      </c>
      <c r="S277" s="24">
        <v>12309.42</v>
      </c>
      <c r="T277" s="24">
        <v>12309.42</v>
      </c>
      <c r="U277" s="24">
        <v>11852.42</v>
      </c>
      <c r="V277" s="24">
        <v>457</v>
      </c>
      <c r="W277" s="24" t="s">
        <v>528</v>
      </c>
      <c r="X277" s="24" t="s">
        <v>528</v>
      </c>
      <c r="Y277" s="24" t="s">
        <v>529</v>
      </c>
      <c r="Z277" s="102" t="s">
        <v>528</v>
      </c>
      <c r="AA277" s="24" t="s">
        <v>528</v>
      </c>
      <c r="AB277" s="24" t="s">
        <v>528</v>
      </c>
      <c r="AC277" s="24" t="s">
        <v>528</v>
      </c>
      <c r="AD277" s="24" t="s">
        <v>528</v>
      </c>
      <c r="AE277" s="24" t="s">
        <v>529</v>
      </c>
      <c r="AF277" s="24">
        <v>4</v>
      </c>
      <c r="AG277" s="24">
        <v>0</v>
      </c>
      <c r="AH277" s="24">
        <v>1</v>
      </c>
      <c r="AI277" s="24">
        <v>0</v>
      </c>
      <c r="AJ277" s="24">
        <v>1</v>
      </c>
      <c r="AK277" s="24">
        <v>0</v>
      </c>
      <c r="AL277" s="24"/>
    </row>
    <row r="278" spans="1:38" ht="31.2" x14ac:dyDescent="0.3">
      <c r="A278" s="53">
        <v>271</v>
      </c>
      <c r="B278" s="24" t="s">
        <v>544</v>
      </c>
      <c r="C278" s="24" t="s">
        <v>893</v>
      </c>
      <c r="D278" s="82" t="s">
        <v>894</v>
      </c>
      <c r="E278" s="24">
        <v>10</v>
      </c>
      <c r="F278" s="24" t="s">
        <v>200</v>
      </c>
      <c r="G278" s="24"/>
      <c r="H278" s="24" t="s">
        <v>896</v>
      </c>
      <c r="I278" s="30" t="s">
        <v>548</v>
      </c>
      <c r="J278" s="24"/>
      <c r="K278" s="24" t="s">
        <v>549</v>
      </c>
      <c r="L278" s="24" t="s">
        <v>549</v>
      </c>
      <c r="M278" s="24">
        <v>1895</v>
      </c>
      <c r="N278" s="24" t="s">
        <v>550</v>
      </c>
      <c r="O278" s="24">
        <v>3</v>
      </c>
      <c r="P278" s="24">
        <v>0</v>
      </c>
      <c r="Q278" s="24">
        <v>1</v>
      </c>
      <c r="R278" s="24">
        <v>9</v>
      </c>
      <c r="S278" s="24">
        <v>898.7</v>
      </c>
      <c r="T278" s="24">
        <v>898.7</v>
      </c>
      <c r="U278" s="24">
        <v>541.70000000000005</v>
      </c>
      <c r="V278" s="24">
        <v>357</v>
      </c>
      <c r="W278" s="24" t="s">
        <v>528</v>
      </c>
      <c r="X278" s="24" t="s">
        <v>528</v>
      </c>
      <c r="Y278" s="24" t="s">
        <v>529</v>
      </c>
      <c r="Z278" s="102" t="s">
        <v>528</v>
      </c>
      <c r="AA278" s="24" t="s">
        <v>528</v>
      </c>
      <c r="AB278" s="24" t="s">
        <v>528</v>
      </c>
      <c r="AC278" s="24" t="s">
        <v>528</v>
      </c>
      <c r="AD278" s="24" t="s">
        <v>528</v>
      </c>
      <c r="AE278" s="24" t="s">
        <v>529</v>
      </c>
      <c r="AF278" s="24">
        <v>0</v>
      </c>
      <c r="AG278" s="24">
        <v>0</v>
      </c>
      <c r="AH278" s="24">
        <v>1</v>
      </c>
      <c r="AI278" s="24">
        <v>0</v>
      </c>
      <c r="AJ278" s="24">
        <v>0</v>
      </c>
      <c r="AK278" s="24">
        <v>0</v>
      </c>
      <c r="AL278" s="24"/>
    </row>
    <row r="279" spans="1:38" ht="31.2" x14ac:dyDescent="0.3">
      <c r="A279" s="53">
        <v>272</v>
      </c>
      <c r="B279" s="24" t="s">
        <v>544</v>
      </c>
      <c r="C279" s="24" t="s">
        <v>893</v>
      </c>
      <c r="D279" s="82" t="s">
        <v>894</v>
      </c>
      <c r="E279" s="24" t="s">
        <v>897</v>
      </c>
      <c r="F279" s="24" t="s">
        <v>200</v>
      </c>
      <c r="G279" s="24"/>
      <c r="H279" s="24" t="s">
        <v>898</v>
      </c>
      <c r="I279" s="30" t="s">
        <v>548</v>
      </c>
      <c r="J279" s="24"/>
      <c r="K279" s="24" t="s">
        <v>549</v>
      </c>
      <c r="L279" s="24" t="s">
        <v>549</v>
      </c>
      <c r="M279" s="24">
        <v>1913</v>
      </c>
      <c r="N279" s="24" t="s">
        <v>550</v>
      </c>
      <c r="O279" s="24">
        <v>6</v>
      </c>
      <c r="P279" s="24">
        <v>0</v>
      </c>
      <c r="Q279" s="24">
        <v>6</v>
      </c>
      <c r="R279" s="24">
        <v>17</v>
      </c>
      <c r="S279" s="24">
        <v>7583.2</v>
      </c>
      <c r="T279" s="24">
        <v>7583.2</v>
      </c>
      <c r="U279" s="24">
        <v>1570.2</v>
      </c>
      <c r="V279" s="24">
        <v>6013</v>
      </c>
      <c r="W279" s="24" t="s">
        <v>528</v>
      </c>
      <c r="X279" s="24" t="s">
        <v>528</v>
      </c>
      <c r="Y279" s="24" t="s">
        <v>529</v>
      </c>
      <c r="Z279" s="102" t="s">
        <v>528</v>
      </c>
      <c r="AA279" s="24" t="s">
        <v>528</v>
      </c>
      <c r="AB279" s="24" t="s">
        <v>528</v>
      </c>
      <c r="AC279" s="24" t="s">
        <v>528</v>
      </c>
      <c r="AD279" s="24" t="s">
        <v>528</v>
      </c>
      <c r="AE279" s="24" t="s">
        <v>529</v>
      </c>
      <c r="AF279" s="24">
        <v>1</v>
      </c>
      <c r="AG279" s="24">
        <v>0</v>
      </c>
      <c r="AH279" s="24">
        <v>1</v>
      </c>
      <c r="AI279" s="24">
        <v>0</v>
      </c>
      <c r="AJ279" s="24">
        <v>0</v>
      </c>
      <c r="AK279" s="24">
        <v>0</v>
      </c>
      <c r="AL279" s="24"/>
    </row>
    <row r="280" spans="1:38" ht="31.2" x14ac:dyDescent="0.3">
      <c r="A280" s="53">
        <v>273</v>
      </c>
      <c r="B280" s="24" t="s">
        <v>544</v>
      </c>
      <c r="C280" s="24" t="s">
        <v>893</v>
      </c>
      <c r="D280" s="82" t="s">
        <v>894</v>
      </c>
      <c r="E280" s="24" t="s">
        <v>899</v>
      </c>
      <c r="F280" s="24" t="s">
        <v>200</v>
      </c>
      <c r="G280" s="24"/>
      <c r="H280" s="24" t="s">
        <v>900</v>
      </c>
      <c r="I280" s="30" t="s">
        <v>548</v>
      </c>
      <c r="J280" s="24"/>
      <c r="K280" s="24" t="s">
        <v>549</v>
      </c>
      <c r="L280" s="24" t="s">
        <v>549</v>
      </c>
      <c r="M280" s="24">
        <v>1910</v>
      </c>
      <c r="N280" s="24" t="s">
        <v>550</v>
      </c>
      <c r="O280" s="24">
        <v>7</v>
      </c>
      <c r="P280" s="24">
        <v>0</v>
      </c>
      <c r="Q280" s="24">
        <v>3</v>
      </c>
      <c r="R280" s="24">
        <v>45</v>
      </c>
      <c r="S280" s="24">
        <v>4626.7</v>
      </c>
      <c r="T280" s="24">
        <v>4626.7</v>
      </c>
      <c r="U280" s="24">
        <v>4098.7</v>
      </c>
      <c r="V280" s="24">
        <v>528</v>
      </c>
      <c r="W280" s="24" t="s">
        <v>528</v>
      </c>
      <c r="X280" s="24" t="s">
        <v>528</v>
      </c>
      <c r="Y280" s="24" t="s">
        <v>529</v>
      </c>
      <c r="Z280" s="102" t="s">
        <v>528</v>
      </c>
      <c r="AA280" s="24" t="s">
        <v>528</v>
      </c>
      <c r="AB280" s="24" t="s">
        <v>528</v>
      </c>
      <c r="AC280" s="24" t="s">
        <v>528</v>
      </c>
      <c r="AD280" s="24" t="s">
        <v>528</v>
      </c>
      <c r="AE280" s="24" t="s">
        <v>529</v>
      </c>
      <c r="AF280" s="24">
        <v>3</v>
      </c>
      <c r="AG280" s="24">
        <v>0</v>
      </c>
      <c r="AH280" s="24">
        <v>1</v>
      </c>
      <c r="AI280" s="24">
        <v>0</v>
      </c>
      <c r="AJ280" s="24">
        <v>1</v>
      </c>
      <c r="AK280" s="24">
        <v>0</v>
      </c>
      <c r="AL280" s="24"/>
    </row>
    <row r="281" spans="1:38" ht="31.2" x14ac:dyDescent="0.3">
      <c r="A281" s="53">
        <v>274</v>
      </c>
      <c r="B281" s="24" t="s">
        <v>544</v>
      </c>
      <c r="C281" s="24" t="s">
        <v>893</v>
      </c>
      <c r="D281" s="82" t="s">
        <v>894</v>
      </c>
      <c r="E281" s="24">
        <v>13</v>
      </c>
      <c r="F281" s="24" t="s">
        <v>200</v>
      </c>
      <c r="G281" s="24"/>
      <c r="H281" s="24" t="s">
        <v>901</v>
      </c>
      <c r="I281" s="30" t="s">
        <v>548</v>
      </c>
      <c r="J281" s="24"/>
      <c r="K281" s="24" t="s">
        <v>549</v>
      </c>
      <c r="L281" s="24" t="s">
        <v>549</v>
      </c>
      <c r="M281" s="24">
        <v>1899</v>
      </c>
      <c r="N281" s="24" t="s">
        <v>550</v>
      </c>
      <c r="O281" s="24">
        <v>6</v>
      </c>
      <c r="P281" s="24">
        <v>0</v>
      </c>
      <c r="Q281" s="24">
        <v>1</v>
      </c>
      <c r="R281" s="24">
        <v>19</v>
      </c>
      <c r="S281" s="24">
        <v>1338.35</v>
      </c>
      <c r="T281" s="24">
        <v>1338.35</v>
      </c>
      <c r="U281" s="24">
        <v>1200.3499999999999</v>
      </c>
      <c r="V281" s="24">
        <v>138</v>
      </c>
      <c r="W281" s="24" t="s">
        <v>528</v>
      </c>
      <c r="X281" s="24" t="s">
        <v>528</v>
      </c>
      <c r="Y281" s="24" t="s">
        <v>529</v>
      </c>
      <c r="Z281" s="102" t="s">
        <v>528</v>
      </c>
      <c r="AA281" s="24" t="s">
        <v>528</v>
      </c>
      <c r="AB281" s="24" t="s">
        <v>528</v>
      </c>
      <c r="AC281" s="24" t="s">
        <v>528</v>
      </c>
      <c r="AD281" s="24" t="s">
        <v>528</v>
      </c>
      <c r="AE281" s="24" t="s">
        <v>529</v>
      </c>
      <c r="AF281" s="24">
        <v>0</v>
      </c>
      <c r="AG281" s="24">
        <v>0</v>
      </c>
      <c r="AH281" s="24">
        <v>1</v>
      </c>
      <c r="AI281" s="24">
        <v>0</v>
      </c>
      <c r="AJ281" s="24">
        <v>1</v>
      </c>
      <c r="AK281" s="24">
        <v>0</v>
      </c>
      <c r="AL281" s="24"/>
    </row>
    <row r="282" spans="1:38" ht="31.2" x14ac:dyDescent="0.3">
      <c r="A282" s="53">
        <v>275</v>
      </c>
      <c r="B282" s="24" t="s">
        <v>544</v>
      </c>
      <c r="C282" s="24" t="s">
        <v>893</v>
      </c>
      <c r="D282" s="82" t="s">
        <v>894</v>
      </c>
      <c r="E282" s="24">
        <v>14</v>
      </c>
      <c r="F282" s="24" t="s">
        <v>200</v>
      </c>
      <c r="G282" s="24"/>
      <c r="H282" s="24" t="s">
        <v>902</v>
      </c>
      <c r="I282" s="30" t="s">
        <v>548</v>
      </c>
      <c r="J282" s="24"/>
      <c r="K282" s="24" t="s">
        <v>549</v>
      </c>
      <c r="L282" s="24" t="s">
        <v>549</v>
      </c>
      <c r="M282" s="24">
        <v>1969</v>
      </c>
      <c r="N282" s="24" t="s">
        <v>550</v>
      </c>
      <c r="O282" s="24">
        <v>6</v>
      </c>
      <c r="P282" s="24">
        <v>0</v>
      </c>
      <c r="Q282" s="24">
        <v>3</v>
      </c>
      <c r="R282" s="24">
        <v>50</v>
      </c>
      <c r="S282" s="24">
        <v>2944.3</v>
      </c>
      <c r="T282" s="24">
        <v>2944.3</v>
      </c>
      <c r="U282" s="24">
        <v>2473.3000000000002</v>
      </c>
      <c r="V282" s="24">
        <v>471</v>
      </c>
      <c r="W282" s="24" t="s">
        <v>528</v>
      </c>
      <c r="X282" s="24" t="s">
        <v>528</v>
      </c>
      <c r="Y282" s="24" t="s">
        <v>529</v>
      </c>
      <c r="Z282" s="102" t="s">
        <v>528</v>
      </c>
      <c r="AA282" s="24" t="s">
        <v>528</v>
      </c>
      <c r="AB282" s="24" t="s">
        <v>528</v>
      </c>
      <c r="AC282" s="24" t="s">
        <v>528</v>
      </c>
      <c r="AD282" s="24" t="s">
        <v>528</v>
      </c>
      <c r="AE282" s="24" t="s">
        <v>529</v>
      </c>
      <c r="AF282" s="24">
        <v>3</v>
      </c>
      <c r="AG282" s="24">
        <v>0</v>
      </c>
      <c r="AH282" s="24">
        <v>1</v>
      </c>
      <c r="AI282" s="24">
        <v>0</v>
      </c>
      <c r="AJ282" s="24">
        <v>0</v>
      </c>
      <c r="AK282" s="24">
        <v>0</v>
      </c>
      <c r="AL282" s="24"/>
    </row>
    <row r="283" spans="1:38" ht="31.2" x14ac:dyDescent="0.3">
      <c r="A283" s="53">
        <v>276</v>
      </c>
      <c r="B283" s="24" t="s">
        <v>544</v>
      </c>
      <c r="C283" s="24" t="s">
        <v>893</v>
      </c>
      <c r="D283" s="82" t="s">
        <v>894</v>
      </c>
      <c r="E283" s="24">
        <v>19</v>
      </c>
      <c r="F283" s="24" t="s">
        <v>200</v>
      </c>
      <c r="G283" s="24"/>
      <c r="H283" s="24" t="s">
        <v>903</v>
      </c>
      <c r="I283" s="30" t="s">
        <v>548</v>
      </c>
      <c r="J283" s="24" t="s">
        <v>558</v>
      </c>
      <c r="K283" s="24" t="s">
        <v>549</v>
      </c>
      <c r="L283" s="24" t="s">
        <v>549</v>
      </c>
      <c r="M283" s="24">
        <v>1909</v>
      </c>
      <c r="N283" s="24" t="s">
        <v>550</v>
      </c>
      <c r="O283" s="24">
        <v>6</v>
      </c>
      <c r="P283" s="24">
        <v>0</v>
      </c>
      <c r="Q283" s="24">
        <v>3</v>
      </c>
      <c r="R283" s="24">
        <v>26</v>
      </c>
      <c r="S283" s="24">
        <v>2858.5</v>
      </c>
      <c r="T283" s="24">
        <v>2858.5</v>
      </c>
      <c r="U283" s="24">
        <v>2402.5</v>
      </c>
      <c r="V283" s="24">
        <v>456</v>
      </c>
      <c r="W283" s="24" t="s">
        <v>528</v>
      </c>
      <c r="X283" s="24" t="s">
        <v>528</v>
      </c>
      <c r="Y283" s="24" t="s">
        <v>529</v>
      </c>
      <c r="Z283" s="102" t="s">
        <v>528</v>
      </c>
      <c r="AA283" s="24" t="s">
        <v>528</v>
      </c>
      <c r="AB283" s="24" t="s">
        <v>528</v>
      </c>
      <c r="AC283" s="24" t="s">
        <v>528</v>
      </c>
      <c r="AD283" s="24" t="s">
        <v>528</v>
      </c>
      <c r="AE283" s="24" t="s">
        <v>529</v>
      </c>
      <c r="AF283" s="24">
        <v>2</v>
      </c>
      <c r="AG283" s="24">
        <v>0</v>
      </c>
      <c r="AH283" s="24">
        <v>1</v>
      </c>
      <c r="AI283" s="24">
        <v>0</v>
      </c>
      <c r="AJ283" s="24">
        <v>1</v>
      </c>
      <c r="AK283" s="24">
        <v>0</v>
      </c>
      <c r="AL283" s="24"/>
    </row>
    <row r="284" spans="1:38" ht="31.2" x14ac:dyDescent="0.3">
      <c r="A284" s="53">
        <v>277</v>
      </c>
      <c r="B284" s="24" t="s">
        <v>544</v>
      </c>
      <c r="C284" s="24" t="s">
        <v>893</v>
      </c>
      <c r="D284" s="82" t="s">
        <v>894</v>
      </c>
      <c r="E284" s="24">
        <v>25</v>
      </c>
      <c r="F284" s="24" t="s">
        <v>200</v>
      </c>
      <c r="G284" s="24"/>
      <c r="H284" s="24" t="s">
        <v>904</v>
      </c>
      <c r="I284" s="30" t="s">
        <v>548</v>
      </c>
      <c r="J284" s="24" t="s">
        <v>558</v>
      </c>
      <c r="K284" s="24" t="s">
        <v>549</v>
      </c>
      <c r="L284" s="24" t="s">
        <v>549</v>
      </c>
      <c r="M284" s="24">
        <v>1902</v>
      </c>
      <c r="N284" s="24" t="s">
        <v>550</v>
      </c>
      <c r="O284" s="24">
        <v>6</v>
      </c>
      <c r="P284" s="24">
        <v>0</v>
      </c>
      <c r="Q284" s="24">
        <v>3</v>
      </c>
      <c r="R284" s="24">
        <v>22</v>
      </c>
      <c r="S284" s="24">
        <v>2478.5</v>
      </c>
      <c r="T284" s="24">
        <v>2478.5</v>
      </c>
      <c r="U284" s="24">
        <v>1849.5</v>
      </c>
      <c r="V284" s="24">
        <v>629</v>
      </c>
      <c r="W284" s="24" t="s">
        <v>528</v>
      </c>
      <c r="X284" s="24" t="s">
        <v>528</v>
      </c>
      <c r="Y284" s="24" t="s">
        <v>529</v>
      </c>
      <c r="Z284" s="102" t="s">
        <v>528</v>
      </c>
      <c r="AA284" s="24" t="s">
        <v>528</v>
      </c>
      <c r="AB284" s="24" t="s">
        <v>528</v>
      </c>
      <c r="AC284" s="24" t="s">
        <v>528</v>
      </c>
      <c r="AD284" s="24" t="s">
        <v>528</v>
      </c>
      <c r="AE284" s="24" t="s">
        <v>529</v>
      </c>
      <c r="AF284" s="24">
        <v>0</v>
      </c>
      <c r="AG284" s="24">
        <v>0</v>
      </c>
      <c r="AH284" s="24">
        <v>1</v>
      </c>
      <c r="AI284" s="24">
        <v>0</v>
      </c>
      <c r="AJ284" s="24">
        <v>1</v>
      </c>
      <c r="AK284" s="24">
        <v>0</v>
      </c>
      <c r="AL284" s="24"/>
    </row>
    <row r="285" spans="1:38" ht="31.2" x14ac:dyDescent="0.3">
      <c r="A285" s="53">
        <v>278</v>
      </c>
      <c r="B285" s="24" t="s">
        <v>544</v>
      </c>
      <c r="C285" s="24" t="s">
        <v>893</v>
      </c>
      <c r="D285" s="82" t="s">
        <v>894</v>
      </c>
      <c r="E285" s="24">
        <v>27</v>
      </c>
      <c r="F285" s="24" t="s">
        <v>200</v>
      </c>
      <c r="G285" s="24"/>
      <c r="H285" s="24" t="s">
        <v>905</v>
      </c>
      <c r="I285" s="30" t="s">
        <v>548</v>
      </c>
      <c r="J285" s="24"/>
      <c r="K285" s="24" t="s">
        <v>549</v>
      </c>
      <c r="L285" s="24" t="s">
        <v>549</v>
      </c>
      <c r="M285" s="24">
        <v>1955</v>
      </c>
      <c r="N285" s="24" t="s">
        <v>550</v>
      </c>
      <c r="O285" s="24">
        <v>5</v>
      </c>
      <c r="P285" s="24">
        <v>0</v>
      </c>
      <c r="Q285" s="24">
        <v>2</v>
      </c>
      <c r="R285" s="24">
        <v>20</v>
      </c>
      <c r="S285" s="24">
        <v>1899.14</v>
      </c>
      <c r="T285" s="24">
        <v>1899.14</v>
      </c>
      <c r="U285" s="24">
        <v>1466.94</v>
      </c>
      <c r="V285" s="24">
        <v>432.2</v>
      </c>
      <c r="W285" s="24" t="s">
        <v>528</v>
      </c>
      <c r="X285" s="24" t="s">
        <v>528</v>
      </c>
      <c r="Y285" s="24" t="s">
        <v>529</v>
      </c>
      <c r="Z285" s="102" t="s">
        <v>528</v>
      </c>
      <c r="AA285" s="24" t="s">
        <v>528</v>
      </c>
      <c r="AB285" s="24" t="s">
        <v>528</v>
      </c>
      <c r="AC285" s="24" t="s">
        <v>528</v>
      </c>
      <c r="AD285" s="24" t="s">
        <v>528</v>
      </c>
      <c r="AE285" s="24" t="s">
        <v>529</v>
      </c>
      <c r="AF285" s="24">
        <v>0</v>
      </c>
      <c r="AG285" s="24">
        <v>0</v>
      </c>
      <c r="AH285" s="24">
        <v>1</v>
      </c>
      <c r="AI285" s="24">
        <v>0</v>
      </c>
      <c r="AJ285" s="24">
        <v>0</v>
      </c>
      <c r="AK285" s="24">
        <v>0</v>
      </c>
      <c r="AL285" s="24"/>
    </row>
    <row r="286" spans="1:38" ht="31.2" x14ac:dyDescent="0.3">
      <c r="A286" s="53">
        <v>279</v>
      </c>
      <c r="B286" s="24" t="s">
        <v>544</v>
      </c>
      <c r="C286" s="24" t="s">
        <v>893</v>
      </c>
      <c r="D286" s="82" t="s">
        <v>894</v>
      </c>
      <c r="E286" s="24">
        <v>29</v>
      </c>
      <c r="F286" s="24" t="s">
        <v>200</v>
      </c>
      <c r="G286" s="24"/>
      <c r="H286" s="24" t="s">
        <v>906</v>
      </c>
      <c r="I286" s="30" t="s">
        <v>548</v>
      </c>
      <c r="J286" s="24"/>
      <c r="K286" s="24" t="s">
        <v>549</v>
      </c>
      <c r="L286" s="24" t="s">
        <v>549</v>
      </c>
      <c r="M286" s="24">
        <v>1906</v>
      </c>
      <c r="N286" s="24" t="s">
        <v>550</v>
      </c>
      <c r="O286" s="24">
        <v>6</v>
      </c>
      <c r="P286" s="24">
        <v>0</v>
      </c>
      <c r="Q286" s="24">
        <v>4</v>
      </c>
      <c r="R286" s="24">
        <v>29</v>
      </c>
      <c r="S286" s="24">
        <v>3128.8900000000003</v>
      </c>
      <c r="T286" s="24">
        <v>3128.8900000000003</v>
      </c>
      <c r="U286" s="24">
        <v>2640.09</v>
      </c>
      <c r="V286" s="24">
        <v>488.8</v>
      </c>
      <c r="W286" s="24" t="s">
        <v>528</v>
      </c>
      <c r="X286" s="24" t="s">
        <v>528</v>
      </c>
      <c r="Y286" s="24" t="s">
        <v>529</v>
      </c>
      <c r="Z286" s="102" t="s">
        <v>528</v>
      </c>
      <c r="AA286" s="24" t="s">
        <v>528</v>
      </c>
      <c r="AB286" s="24" t="s">
        <v>528</v>
      </c>
      <c r="AC286" s="24" t="s">
        <v>528</v>
      </c>
      <c r="AD286" s="24" t="s">
        <v>528</v>
      </c>
      <c r="AE286" s="24" t="s">
        <v>529</v>
      </c>
      <c r="AF286" s="24">
        <v>3</v>
      </c>
      <c r="AG286" s="24">
        <v>0</v>
      </c>
      <c r="AH286" s="24">
        <v>1</v>
      </c>
      <c r="AI286" s="24">
        <v>0</v>
      </c>
      <c r="AJ286" s="24">
        <v>1</v>
      </c>
      <c r="AK286" s="24">
        <v>0</v>
      </c>
      <c r="AL286" s="24"/>
    </row>
    <row r="287" spans="1:38" ht="31.2" x14ac:dyDescent="0.3">
      <c r="A287" s="53">
        <v>280</v>
      </c>
      <c r="B287" s="24" t="s">
        <v>544</v>
      </c>
      <c r="C287" s="24" t="s">
        <v>893</v>
      </c>
      <c r="D287" s="82" t="s">
        <v>894</v>
      </c>
      <c r="E287" s="24">
        <v>31</v>
      </c>
      <c r="F287" s="24" t="s">
        <v>200</v>
      </c>
      <c r="G287" s="24"/>
      <c r="H287" s="24" t="s">
        <v>907</v>
      </c>
      <c r="I287" s="30" t="s">
        <v>548</v>
      </c>
      <c r="J287" s="24"/>
      <c r="K287" s="24" t="s">
        <v>549</v>
      </c>
      <c r="L287" s="24" t="s">
        <v>549</v>
      </c>
      <c r="M287" s="24">
        <v>1913</v>
      </c>
      <c r="N287" s="24" t="s">
        <v>550</v>
      </c>
      <c r="O287" s="24">
        <v>6</v>
      </c>
      <c r="P287" s="24">
        <v>0</v>
      </c>
      <c r="Q287" s="24">
        <v>3</v>
      </c>
      <c r="R287" s="24">
        <v>30</v>
      </c>
      <c r="S287" s="24">
        <v>1795.1</v>
      </c>
      <c r="T287" s="24">
        <v>1795.1</v>
      </c>
      <c r="U287" s="24">
        <v>1742.1</v>
      </c>
      <c r="V287" s="24">
        <v>53</v>
      </c>
      <c r="W287" s="24" t="s">
        <v>528</v>
      </c>
      <c r="X287" s="24" t="s">
        <v>528</v>
      </c>
      <c r="Y287" s="24" t="s">
        <v>529</v>
      </c>
      <c r="Z287" s="102" t="s">
        <v>528</v>
      </c>
      <c r="AA287" s="24" t="s">
        <v>528</v>
      </c>
      <c r="AB287" s="24" t="s">
        <v>528</v>
      </c>
      <c r="AC287" s="24" t="s">
        <v>528</v>
      </c>
      <c r="AD287" s="24" t="s">
        <v>528</v>
      </c>
      <c r="AE287" s="24" t="s">
        <v>529</v>
      </c>
      <c r="AF287" s="24">
        <v>1</v>
      </c>
      <c r="AG287" s="24">
        <v>0</v>
      </c>
      <c r="AH287" s="24">
        <v>1</v>
      </c>
      <c r="AI287" s="24">
        <v>0</v>
      </c>
      <c r="AJ287" s="24">
        <v>1</v>
      </c>
      <c r="AK287" s="24">
        <v>0</v>
      </c>
      <c r="AL287" s="24"/>
    </row>
    <row r="288" spans="1:38" ht="31.2" x14ac:dyDescent="0.3">
      <c r="A288" s="53">
        <v>281</v>
      </c>
      <c r="B288" s="24" t="s">
        <v>544</v>
      </c>
      <c r="C288" s="24" t="s">
        <v>893</v>
      </c>
      <c r="D288" s="82" t="s">
        <v>894</v>
      </c>
      <c r="E288" s="24">
        <v>31</v>
      </c>
      <c r="F288" s="24" t="s">
        <v>205</v>
      </c>
      <c r="G288" s="24"/>
      <c r="H288" s="24" t="s">
        <v>908</v>
      </c>
      <c r="I288" s="30" t="s">
        <v>548</v>
      </c>
      <c r="J288" s="24"/>
      <c r="K288" s="24" t="s">
        <v>549</v>
      </c>
      <c r="L288" s="24" t="s">
        <v>549</v>
      </c>
      <c r="M288" s="24">
        <v>1898</v>
      </c>
      <c r="N288" s="24" t="s">
        <v>550</v>
      </c>
      <c r="O288" s="24">
        <v>4</v>
      </c>
      <c r="P288" s="24">
        <v>0</v>
      </c>
      <c r="Q288" s="24">
        <v>1</v>
      </c>
      <c r="R288" s="24">
        <v>8</v>
      </c>
      <c r="S288" s="24">
        <v>738.5</v>
      </c>
      <c r="T288" s="24">
        <v>738.5</v>
      </c>
      <c r="U288" s="24">
        <v>437.5</v>
      </c>
      <c r="V288" s="24">
        <v>301</v>
      </c>
      <c r="W288" s="24" t="s">
        <v>528</v>
      </c>
      <c r="X288" s="24" t="s">
        <v>528</v>
      </c>
      <c r="Y288" s="24" t="s">
        <v>529</v>
      </c>
      <c r="Z288" s="102" t="s">
        <v>528</v>
      </c>
      <c r="AA288" s="24" t="s">
        <v>528</v>
      </c>
      <c r="AB288" s="24" t="s">
        <v>528</v>
      </c>
      <c r="AC288" s="24" t="s">
        <v>528</v>
      </c>
      <c r="AD288" s="24" t="s">
        <v>528</v>
      </c>
      <c r="AE288" s="24" t="s">
        <v>529</v>
      </c>
      <c r="AF288" s="24">
        <v>0</v>
      </c>
      <c r="AG288" s="24">
        <v>0</v>
      </c>
      <c r="AH288" s="24">
        <v>1</v>
      </c>
      <c r="AI288" s="24">
        <v>0</v>
      </c>
      <c r="AJ288" s="24">
        <v>1</v>
      </c>
      <c r="AK288" s="24">
        <v>0</v>
      </c>
      <c r="AL288" s="24"/>
    </row>
    <row r="289" spans="1:38" ht="31.2" x14ac:dyDescent="0.3">
      <c r="A289" s="53">
        <v>282</v>
      </c>
      <c r="B289" s="24" t="s">
        <v>544</v>
      </c>
      <c r="C289" s="24" t="s">
        <v>893</v>
      </c>
      <c r="D289" s="82" t="s">
        <v>894</v>
      </c>
      <c r="E289" s="24">
        <v>33</v>
      </c>
      <c r="F289" s="24" t="s">
        <v>200</v>
      </c>
      <c r="G289" s="24"/>
      <c r="H289" s="24" t="s">
        <v>909</v>
      </c>
      <c r="I289" s="30" t="s">
        <v>548</v>
      </c>
      <c r="J289" s="24" t="s">
        <v>558</v>
      </c>
      <c r="K289" s="24" t="s">
        <v>549</v>
      </c>
      <c r="L289" s="24" t="s">
        <v>549</v>
      </c>
      <c r="M289" s="24">
        <v>1910</v>
      </c>
      <c r="N289" s="24" t="s">
        <v>550</v>
      </c>
      <c r="O289" s="24">
        <v>6</v>
      </c>
      <c r="P289" s="24">
        <v>0</v>
      </c>
      <c r="Q289" s="24">
        <v>4</v>
      </c>
      <c r="R289" s="24">
        <v>39</v>
      </c>
      <c r="S289" s="24">
        <v>2755.3</v>
      </c>
      <c r="T289" s="24">
        <v>2755.3</v>
      </c>
      <c r="U289" s="24">
        <v>2699.3</v>
      </c>
      <c r="V289" s="24">
        <v>56</v>
      </c>
      <c r="W289" s="24" t="s">
        <v>528</v>
      </c>
      <c r="X289" s="24" t="s">
        <v>528</v>
      </c>
      <c r="Y289" s="24" t="s">
        <v>529</v>
      </c>
      <c r="Z289" s="102" t="s">
        <v>528</v>
      </c>
      <c r="AA289" s="24" t="s">
        <v>528</v>
      </c>
      <c r="AB289" s="24" t="s">
        <v>528</v>
      </c>
      <c r="AC289" s="24" t="s">
        <v>528</v>
      </c>
      <c r="AD289" s="24" t="s">
        <v>528</v>
      </c>
      <c r="AE289" s="24" t="s">
        <v>529</v>
      </c>
      <c r="AF289" s="24">
        <v>1</v>
      </c>
      <c r="AG289" s="24">
        <v>0</v>
      </c>
      <c r="AH289" s="24">
        <v>1</v>
      </c>
      <c r="AI289" s="24">
        <v>0</v>
      </c>
      <c r="AJ289" s="24">
        <v>1</v>
      </c>
      <c r="AK289" s="24">
        <v>0</v>
      </c>
      <c r="AL289" s="24"/>
    </row>
    <row r="290" spans="1:38" ht="31.2" x14ac:dyDescent="0.3">
      <c r="A290" s="53">
        <v>283</v>
      </c>
      <c r="B290" s="24" t="s">
        <v>544</v>
      </c>
      <c r="C290" s="24" t="s">
        <v>893</v>
      </c>
      <c r="D290" s="82" t="s">
        <v>894</v>
      </c>
      <c r="E290" s="24">
        <v>35</v>
      </c>
      <c r="F290" s="24" t="s">
        <v>200</v>
      </c>
      <c r="G290" s="24"/>
      <c r="H290" s="24" t="s">
        <v>910</v>
      </c>
      <c r="I290" s="30" t="s">
        <v>548</v>
      </c>
      <c r="J290" s="24" t="s">
        <v>558</v>
      </c>
      <c r="K290" s="24" t="s">
        <v>549</v>
      </c>
      <c r="L290" s="24" t="s">
        <v>549</v>
      </c>
      <c r="M290" s="24">
        <v>1912</v>
      </c>
      <c r="N290" s="24" t="s">
        <v>550</v>
      </c>
      <c r="O290" s="24">
        <v>3</v>
      </c>
      <c r="P290" s="24">
        <v>0</v>
      </c>
      <c r="Q290" s="24">
        <v>1</v>
      </c>
      <c r="R290" s="24">
        <v>8</v>
      </c>
      <c r="S290" s="24">
        <v>715.97</v>
      </c>
      <c r="T290" s="24">
        <v>715.97</v>
      </c>
      <c r="U290" s="24">
        <v>694.97</v>
      </c>
      <c r="V290" s="24">
        <v>21</v>
      </c>
      <c r="W290" s="24" t="s">
        <v>528</v>
      </c>
      <c r="X290" s="24" t="s">
        <v>528</v>
      </c>
      <c r="Y290" s="24" t="s">
        <v>529</v>
      </c>
      <c r="Z290" s="102" t="s">
        <v>528</v>
      </c>
      <c r="AA290" s="24" t="s">
        <v>528</v>
      </c>
      <c r="AB290" s="24" t="s">
        <v>528</v>
      </c>
      <c r="AC290" s="24" t="s">
        <v>528</v>
      </c>
      <c r="AD290" s="24" t="s">
        <v>528</v>
      </c>
      <c r="AE290" s="24" t="s">
        <v>529</v>
      </c>
      <c r="AF290" s="24">
        <v>0</v>
      </c>
      <c r="AG290" s="24">
        <v>0</v>
      </c>
      <c r="AH290" s="24">
        <v>1</v>
      </c>
      <c r="AI290" s="24">
        <v>0</v>
      </c>
      <c r="AJ290" s="24">
        <v>1</v>
      </c>
      <c r="AK290" s="24">
        <v>0</v>
      </c>
      <c r="AL290" s="24"/>
    </row>
    <row r="291" spans="1:38" ht="31.2" x14ac:dyDescent="0.3">
      <c r="A291" s="53">
        <v>284</v>
      </c>
      <c r="B291" s="24" t="s">
        <v>544</v>
      </c>
      <c r="C291" s="24" t="s">
        <v>893</v>
      </c>
      <c r="D291" s="82" t="s">
        <v>894</v>
      </c>
      <c r="E291" s="24">
        <v>37</v>
      </c>
      <c r="F291" s="24" t="s">
        <v>200</v>
      </c>
      <c r="G291" s="24"/>
      <c r="H291" s="24" t="s">
        <v>911</v>
      </c>
      <c r="I291" s="30" t="s">
        <v>548</v>
      </c>
      <c r="J291" s="24" t="s">
        <v>558</v>
      </c>
      <c r="K291" s="24" t="s">
        <v>549</v>
      </c>
      <c r="L291" s="24" t="s">
        <v>549</v>
      </c>
      <c r="M291" s="24">
        <v>1914</v>
      </c>
      <c r="N291" s="24" t="s">
        <v>550</v>
      </c>
      <c r="O291" s="24">
        <v>7</v>
      </c>
      <c r="P291" s="24">
        <v>0</v>
      </c>
      <c r="Q291" s="24">
        <v>4</v>
      </c>
      <c r="R291" s="24">
        <v>65</v>
      </c>
      <c r="S291" s="24">
        <v>4576.6499999999996</v>
      </c>
      <c r="T291" s="24">
        <v>4576.6499999999996</v>
      </c>
      <c r="U291" s="24">
        <v>4533.6499999999996</v>
      </c>
      <c r="V291" s="24">
        <v>43</v>
      </c>
      <c r="W291" s="24" t="s">
        <v>528</v>
      </c>
      <c r="X291" s="24" t="s">
        <v>528</v>
      </c>
      <c r="Y291" s="24" t="s">
        <v>529</v>
      </c>
      <c r="Z291" s="102" t="s">
        <v>528</v>
      </c>
      <c r="AA291" s="24" t="s">
        <v>528</v>
      </c>
      <c r="AB291" s="24" t="s">
        <v>528</v>
      </c>
      <c r="AC291" s="24" t="s">
        <v>528</v>
      </c>
      <c r="AD291" s="24" t="s">
        <v>528</v>
      </c>
      <c r="AE291" s="24" t="s">
        <v>529</v>
      </c>
      <c r="AF291" s="24">
        <v>4</v>
      </c>
      <c r="AG291" s="24">
        <v>0</v>
      </c>
      <c r="AH291" s="24">
        <v>1</v>
      </c>
      <c r="AI291" s="24">
        <v>0</v>
      </c>
      <c r="AJ291" s="24">
        <v>1</v>
      </c>
      <c r="AK291" s="24">
        <v>0</v>
      </c>
      <c r="AL291" s="24"/>
    </row>
    <row r="292" spans="1:38" ht="31.2" x14ac:dyDescent="0.3">
      <c r="A292" s="53">
        <v>285</v>
      </c>
      <c r="B292" s="24" t="s">
        <v>544</v>
      </c>
      <c r="C292" s="24" t="s">
        <v>893</v>
      </c>
      <c r="D292" s="82" t="s">
        <v>894</v>
      </c>
      <c r="E292" s="24">
        <v>39</v>
      </c>
      <c r="F292" s="24" t="s">
        <v>200</v>
      </c>
      <c r="G292" s="24"/>
      <c r="H292" s="24" t="s">
        <v>912</v>
      </c>
      <c r="I292" s="30" t="s">
        <v>548</v>
      </c>
      <c r="J292" s="24"/>
      <c r="K292" s="24" t="s">
        <v>549</v>
      </c>
      <c r="L292" s="24" t="s">
        <v>549</v>
      </c>
      <c r="M292" s="24">
        <v>1954</v>
      </c>
      <c r="N292" s="24" t="s">
        <v>550</v>
      </c>
      <c r="O292" s="24">
        <v>5</v>
      </c>
      <c r="P292" s="24">
        <v>0</v>
      </c>
      <c r="Q292" s="24">
        <v>2</v>
      </c>
      <c r="R292" s="24">
        <v>24</v>
      </c>
      <c r="S292" s="24">
        <v>2178.8000000000002</v>
      </c>
      <c r="T292" s="24">
        <v>2178.8000000000002</v>
      </c>
      <c r="U292" s="24">
        <v>1555.2</v>
      </c>
      <c r="V292" s="24">
        <v>623.6</v>
      </c>
      <c r="W292" s="24" t="s">
        <v>528</v>
      </c>
      <c r="X292" s="24" t="s">
        <v>528</v>
      </c>
      <c r="Y292" s="24" t="s">
        <v>529</v>
      </c>
      <c r="Z292" s="102" t="s">
        <v>528</v>
      </c>
      <c r="AA292" s="24" t="s">
        <v>528</v>
      </c>
      <c r="AB292" s="24" t="s">
        <v>528</v>
      </c>
      <c r="AC292" s="24" t="s">
        <v>528</v>
      </c>
      <c r="AD292" s="24" t="s">
        <v>528</v>
      </c>
      <c r="AE292" s="24" t="s">
        <v>529</v>
      </c>
      <c r="AF292" s="24">
        <v>0</v>
      </c>
      <c r="AG292" s="24">
        <v>0</v>
      </c>
      <c r="AH292" s="24">
        <v>1</v>
      </c>
      <c r="AI292" s="24">
        <v>0</v>
      </c>
      <c r="AJ292" s="24">
        <v>1</v>
      </c>
      <c r="AK292" s="24">
        <v>0</v>
      </c>
      <c r="AL292" s="24"/>
    </row>
    <row r="293" spans="1:38" ht="31.2" x14ac:dyDescent="0.3">
      <c r="A293" s="53">
        <v>286</v>
      </c>
      <c r="B293" s="24" t="s">
        <v>544</v>
      </c>
      <c r="C293" s="24" t="s">
        <v>893</v>
      </c>
      <c r="D293" s="82" t="s">
        <v>894</v>
      </c>
      <c r="E293" s="24">
        <v>41</v>
      </c>
      <c r="F293" s="24" t="s">
        <v>200</v>
      </c>
      <c r="G293" s="24"/>
      <c r="H293" s="24" t="s">
        <v>913</v>
      </c>
      <c r="I293" s="30" t="s">
        <v>548</v>
      </c>
      <c r="J293" s="24" t="s">
        <v>558</v>
      </c>
      <c r="K293" s="24" t="s">
        <v>549</v>
      </c>
      <c r="L293" s="24" t="s">
        <v>549</v>
      </c>
      <c r="M293" s="24">
        <v>1912</v>
      </c>
      <c r="N293" s="24" t="s">
        <v>550</v>
      </c>
      <c r="O293" s="24">
        <v>7</v>
      </c>
      <c r="P293" s="24">
        <v>0</v>
      </c>
      <c r="Q293" s="24">
        <v>8</v>
      </c>
      <c r="R293" s="24">
        <v>80</v>
      </c>
      <c r="S293" s="24">
        <v>7700.9000000000005</v>
      </c>
      <c r="T293" s="24">
        <v>7700.9000000000005</v>
      </c>
      <c r="U293" s="24">
        <v>6720.3</v>
      </c>
      <c r="V293" s="24">
        <v>980.6</v>
      </c>
      <c r="W293" s="24" t="s">
        <v>528</v>
      </c>
      <c r="X293" s="24" t="s">
        <v>528</v>
      </c>
      <c r="Y293" s="24" t="s">
        <v>529</v>
      </c>
      <c r="Z293" s="102" t="s">
        <v>528</v>
      </c>
      <c r="AA293" s="24" t="s">
        <v>528</v>
      </c>
      <c r="AB293" s="24" t="s">
        <v>528</v>
      </c>
      <c r="AC293" s="24" t="s">
        <v>528</v>
      </c>
      <c r="AD293" s="24" t="s">
        <v>528</v>
      </c>
      <c r="AE293" s="24" t="s">
        <v>529</v>
      </c>
      <c r="AF293" s="24">
        <v>3</v>
      </c>
      <c r="AG293" s="24">
        <v>0</v>
      </c>
      <c r="AH293" s="24">
        <v>2</v>
      </c>
      <c r="AI293" s="24">
        <v>0</v>
      </c>
      <c r="AJ293" s="24">
        <v>1</v>
      </c>
      <c r="AK293" s="24">
        <v>0</v>
      </c>
      <c r="AL293" s="24"/>
    </row>
    <row r="294" spans="1:38" ht="31.2" x14ac:dyDescent="0.3">
      <c r="A294" s="53">
        <v>287</v>
      </c>
      <c r="B294" s="24" t="s">
        <v>544</v>
      </c>
      <c r="C294" s="24" t="s">
        <v>545</v>
      </c>
      <c r="D294" s="82" t="s">
        <v>914</v>
      </c>
      <c r="E294" s="24">
        <v>15</v>
      </c>
      <c r="F294" s="24" t="s">
        <v>200</v>
      </c>
      <c r="G294" s="24"/>
      <c r="H294" s="24" t="s">
        <v>915</v>
      </c>
      <c r="I294" s="30" t="s">
        <v>548</v>
      </c>
      <c r="J294" s="24"/>
      <c r="K294" s="24" t="s">
        <v>549</v>
      </c>
      <c r="L294" s="24" t="s">
        <v>549</v>
      </c>
      <c r="M294" s="24">
        <v>1912</v>
      </c>
      <c r="N294" s="24" t="s">
        <v>550</v>
      </c>
      <c r="O294" s="24">
        <v>6</v>
      </c>
      <c r="P294" s="24">
        <v>0</v>
      </c>
      <c r="Q294" s="24">
        <v>5</v>
      </c>
      <c r="R294" s="24">
        <v>45</v>
      </c>
      <c r="S294" s="24">
        <v>3150.3</v>
      </c>
      <c r="T294" s="24">
        <v>3150.3</v>
      </c>
      <c r="U294" s="24">
        <v>2923.3</v>
      </c>
      <c r="V294" s="24">
        <v>227</v>
      </c>
      <c r="W294" s="24" t="s">
        <v>528</v>
      </c>
      <c r="X294" s="24" t="s">
        <v>528</v>
      </c>
      <c r="Y294" s="24" t="s">
        <v>529</v>
      </c>
      <c r="Z294" s="102" t="s">
        <v>528</v>
      </c>
      <c r="AA294" s="24" t="s">
        <v>528</v>
      </c>
      <c r="AB294" s="24" t="s">
        <v>528</v>
      </c>
      <c r="AC294" s="24" t="s">
        <v>528</v>
      </c>
      <c r="AD294" s="24" t="s">
        <v>528</v>
      </c>
      <c r="AE294" s="24" t="s">
        <v>529</v>
      </c>
      <c r="AF294" s="24">
        <v>2</v>
      </c>
      <c r="AG294" s="24">
        <v>0</v>
      </c>
      <c r="AH294" s="24">
        <v>1</v>
      </c>
      <c r="AI294" s="24">
        <v>0</v>
      </c>
      <c r="AJ294" s="24">
        <v>1</v>
      </c>
      <c r="AK294" s="24">
        <v>0</v>
      </c>
      <c r="AL294" s="24"/>
    </row>
    <row r="295" spans="1:38" ht="31.2" x14ac:dyDescent="0.3">
      <c r="A295" s="53">
        <v>288</v>
      </c>
      <c r="B295" s="24" t="s">
        <v>544</v>
      </c>
      <c r="C295" s="24" t="s">
        <v>545</v>
      </c>
      <c r="D295" s="82" t="s">
        <v>914</v>
      </c>
      <c r="E295" s="24">
        <v>17</v>
      </c>
      <c r="F295" s="24" t="s">
        <v>205</v>
      </c>
      <c r="G295" s="24"/>
      <c r="H295" s="24" t="s">
        <v>916</v>
      </c>
      <c r="I295" s="30" t="s">
        <v>548</v>
      </c>
      <c r="J295" s="24"/>
      <c r="K295" s="24" t="s">
        <v>549</v>
      </c>
      <c r="L295" s="24" t="s">
        <v>549</v>
      </c>
      <c r="M295" s="24">
        <v>1905</v>
      </c>
      <c r="N295" s="24" t="s">
        <v>550</v>
      </c>
      <c r="O295" s="24">
        <v>4</v>
      </c>
      <c r="P295" s="24">
        <v>0</v>
      </c>
      <c r="Q295" s="24">
        <v>2</v>
      </c>
      <c r="R295" s="24">
        <v>6</v>
      </c>
      <c r="S295" s="24">
        <v>351.58000000000004</v>
      </c>
      <c r="T295" s="24">
        <v>351.58000000000004</v>
      </c>
      <c r="U295" s="24">
        <v>191.58</v>
      </c>
      <c r="V295" s="24">
        <v>160</v>
      </c>
      <c r="W295" s="24" t="s">
        <v>528</v>
      </c>
      <c r="X295" s="24" t="s">
        <v>528</v>
      </c>
      <c r="Y295" s="24" t="s">
        <v>529</v>
      </c>
      <c r="Z295" s="102" t="s">
        <v>528</v>
      </c>
      <c r="AA295" s="24" t="s">
        <v>528</v>
      </c>
      <c r="AB295" s="24" t="s">
        <v>528</v>
      </c>
      <c r="AC295" s="24" t="s">
        <v>528</v>
      </c>
      <c r="AD295" s="24" t="s">
        <v>528</v>
      </c>
      <c r="AE295" s="24" t="s">
        <v>529</v>
      </c>
      <c r="AF295" s="24">
        <v>0</v>
      </c>
      <c r="AG295" s="24">
        <v>0</v>
      </c>
      <c r="AH295" s="24">
        <v>1</v>
      </c>
      <c r="AI295" s="24">
        <v>0</v>
      </c>
      <c r="AJ295" s="24">
        <v>0</v>
      </c>
      <c r="AK295" s="24">
        <v>0</v>
      </c>
      <c r="AL295" s="24"/>
    </row>
    <row r="296" spans="1:38" ht="31.2" x14ac:dyDescent="0.3">
      <c r="A296" s="53">
        <v>289</v>
      </c>
      <c r="B296" s="24" t="s">
        <v>544</v>
      </c>
      <c r="C296" s="24" t="s">
        <v>848</v>
      </c>
      <c r="D296" s="82" t="s">
        <v>917</v>
      </c>
      <c r="E296" s="24">
        <v>7</v>
      </c>
      <c r="F296" s="24" t="s">
        <v>200</v>
      </c>
      <c r="G296" s="24"/>
      <c r="H296" s="24" t="s">
        <v>918</v>
      </c>
      <c r="I296" s="30" t="s">
        <v>548</v>
      </c>
      <c r="J296" s="24"/>
      <c r="K296" s="24" t="s">
        <v>549</v>
      </c>
      <c r="L296" s="24" t="s">
        <v>549</v>
      </c>
      <c r="M296" s="24">
        <v>1961</v>
      </c>
      <c r="N296" s="24" t="s">
        <v>550</v>
      </c>
      <c r="O296" s="24">
        <v>5</v>
      </c>
      <c r="P296" s="24">
        <v>0</v>
      </c>
      <c r="Q296" s="24">
        <v>3</v>
      </c>
      <c r="R296" s="24">
        <v>60</v>
      </c>
      <c r="S296" s="24">
        <v>2495.3000000000002</v>
      </c>
      <c r="T296" s="24">
        <v>2495.3000000000002</v>
      </c>
      <c r="U296" s="24">
        <v>2495.3000000000002</v>
      </c>
      <c r="V296" s="24">
        <v>0</v>
      </c>
      <c r="W296" s="24" t="s">
        <v>528</v>
      </c>
      <c r="X296" s="24" t="s">
        <v>528</v>
      </c>
      <c r="Y296" s="24" t="s">
        <v>529</v>
      </c>
      <c r="Z296" s="102" t="s">
        <v>528</v>
      </c>
      <c r="AA296" s="24" t="s">
        <v>528</v>
      </c>
      <c r="AB296" s="24" t="s">
        <v>528</v>
      </c>
      <c r="AC296" s="24" t="s">
        <v>528</v>
      </c>
      <c r="AD296" s="24" t="s">
        <v>528</v>
      </c>
      <c r="AE296" s="24" t="s">
        <v>529</v>
      </c>
      <c r="AF296" s="24">
        <v>0</v>
      </c>
      <c r="AG296" s="24">
        <v>0</v>
      </c>
      <c r="AH296" s="24">
        <v>1</v>
      </c>
      <c r="AI296" s="24">
        <v>0</v>
      </c>
      <c r="AJ296" s="24">
        <v>1</v>
      </c>
      <c r="AK296" s="24">
        <v>0</v>
      </c>
      <c r="AL296" s="24"/>
    </row>
    <row r="297" spans="1:38" ht="31.2" x14ac:dyDescent="0.3">
      <c r="A297" s="53">
        <v>290</v>
      </c>
      <c r="B297" s="24" t="s">
        <v>544</v>
      </c>
      <c r="C297" s="24" t="s">
        <v>848</v>
      </c>
      <c r="D297" s="82" t="s">
        <v>919</v>
      </c>
      <c r="E297" s="24" t="s">
        <v>344</v>
      </c>
      <c r="F297" s="24" t="s">
        <v>200</v>
      </c>
      <c r="G297" s="24"/>
      <c r="H297" s="24" t="s">
        <v>920</v>
      </c>
      <c r="I297" s="30" t="s">
        <v>548</v>
      </c>
      <c r="J297" s="24"/>
      <c r="K297" s="24" t="s">
        <v>549</v>
      </c>
      <c r="L297" s="24" t="s">
        <v>549</v>
      </c>
      <c r="M297" s="24">
        <v>1935</v>
      </c>
      <c r="N297" s="24" t="s">
        <v>550</v>
      </c>
      <c r="O297" s="24">
        <v>6</v>
      </c>
      <c r="P297" s="24">
        <v>0</v>
      </c>
      <c r="Q297" s="24">
        <v>1</v>
      </c>
      <c r="R297" s="24">
        <v>19</v>
      </c>
      <c r="S297" s="24">
        <v>1436.9199999999998</v>
      </c>
      <c r="T297" s="24">
        <v>1436.9199999999998</v>
      </c>
      <c r="U297" s="24">
        <v>1214.32</v>
      </c>
      <c r="V297" s="24">
        <v>222.6</v>
      </c>
      <c r="W297" s="24" t="s">
        <v>528</v>
      </c>
      <c r="X297" s="24" t="s">
        <v>528</v>
      </c>
      <c r="Y297" s="24" t="s">
        <v>529</v>
      </c>
      <c r="Z297" s="102" t="s">
        <v>528</v>
      </c>
      <c r="AA297" s="24" t="s">
        <v>528</v>
      </c>
      <c r="AB297" s="24" t="s">
        <v>528</v>
      </c>
      <c r="AC297" s="24" t="s">
        <v>528</v>
      </c>
      <c r="AD297" s="24" t="s">
        <v>528</v>
      </c>
      <c r="AE297" s="24" t="s">
        <v>529</v>
      </c>
      <c r="AF297" s="24">
        <v>1</v>
      </c>
      <c r="AG297" s="24">
        <v>0</v>
      </c>
      <c r="AH297" s="24">
        <v>1</v>
      </c>
      <c r="AI297" s="24">
        <v>0</v>
      </c>
      <c r="AJ297" s="24">
        <v>1</v>
      </c>
      <c r="AK297" s="24">
        <v>0</v>
      </c>
      <c r="AL297" s="24"/>
    </row>
    <row r="298" spans="1:38" ht="31.2" x14ac:dyDescent="0.3">
      <c r="A298" s="53">
        <v>291</v>
      </c>
      <c r="B298" s="24" t="s">
        <v>544</v>
      </c>
      <c r="C298" s="24" t="s">
        <v>848</v>
      </c>
      <c r="D298" s="82" t="s">
        <v>919</v>
      </c>
      <c r="E298" s="24" t="s">
        <v>344</v>
      </c>
      <c r="F298" s="24" t="s">
        <v>205</v>
      </c>
      <c r="G298" s="24"/>
      <c r="H298" s="24" t="s">
        <v>921</v>
      </c>
      <c r="I298" s="30" t="s">
        <v>548</v>
      </c>
      <c r="J298" s="24"/>
      <c r="K298" s="24" t="s">
        <v>549</v>
      </c>
      <c r="L298" s="24" t="s">
        <v>549</v>
      </c>
      <c r="M298" s="24">
        <v>1935</v>
      </c>
      <c r="N298" s="24" t="s">
        <v>550</v>
      </c>
      <c r="O298" s="24">
        <v>3</v>
      </c>
      <c r="P298" s="24">
        <v>0</v>
      </c>
      <c r="Q298" s="24">
        <v>1</v>
      </c>
      <c r="R298" s="24">
        <v>4</v>
      </c>
      <c r="S298" s="24">
        <v>389.5</v>
      </c>
      <c r="T298" s="24">
        <v>389.5</v>
      </c>
      <c r="U298" s="24">
        <v>261.3</v>
      </c>
      <c r="V298" s="24">
        <v>128.19999999999999</v>
      </c>
      <c r="W298" s="24" t="s">
        <v>528</v>
      </c>
      <c r="X298" s="24" t="s">
        <v>528</v>
      </c>
      <c r="Y298" s="24" t="s">
        <v>529</v>
      </c>
      <c r="Z298" s="102" t="s">
        <v>528</v>
      </c>
      <c r="AA298" s="24" t="s">
        <v>528</v>
      </c>
      <c r="AB298" s="24" t="s">
        <v>528</v>
      </c>
      <c r="AC298" s="24" t="s">
        <v>528</v>
      </c>
      <c r="AD298" s="24" t="s">
        <v>528</v>
      </c>
      <c r="AE298" s="24" t="s">
        <v>529</v>
      </c>
      <c r="AF298" s="24">
        <v>1</v>
      </c>
      <c r="AG298" s="24">
        <v>0</v>
      </c>
      <c r="AH298" s="24">
        <v>1</v>
      </c>
      <c r="AI298" s="24">
        <v>0</v>
      </c>
      <c r="AJ298" s="24">
        <v>1</v>
      </c>
      <c r="AK298" s="24">
        <v>0</v>
      </c>
      <c r="AL298" s="24"/>
    </row>
    <row r="299" spans="1:38" ht="31.2" x14ac:dyDescent="0.3">
      <c r="A299" s="53">
        <v>292</v>
      </c>
      <c r="B299" s="24" t="s">
        <v>544</v>
      </c>
      <c r="C299" s="24" t="s">
        <v>848</v>
      </c>
      <c r="D299" s="82" t="s">
        <v>919</v>
      </c>
      <c r="E299" s="24">
        <v>6</v>
      </c>
      <c r="F299" s="24" t="s">
        <v>205</v>
      </c>
      <c r="G299" s="24"/>
      <c r="H299" s="24" t="s">
        <v>922</v>
      </c>
      <c r="I299" s="30" t="s">
        <v>548</v>
      </c>
      <c r="J299" s="24"/>
      <c r="K299" s="24" t="s">
        <v>549</v>
      </c>
      <c r="L299" s="24" t="s">
        <v>549</v>
      </c>
      <c r="M299" s="24">
        <v>1908</v>
      </c>
      <c r="N299" s="24" t="s">
        <v>550</v>
      </c>
      <c r="O299" s="24">
        <v>5</v>
      </c>
      <c r="P299" s="24">
        <v>0</v>
      </c>
      <c r="Q299" s="24">
        <v>1</v>
      </c>
      <c r="R299" s="24">
        <v>23</v>
      </c>
      <c r="S299" s="24">
        <v>1710.8</v>
      </c>
      <c r="T299" s="24">
        <v>1710.8</v>
      </c>
      <c r="U299" s="24">
        <v>1307.3</v>
      </c>
      <c r="V299" s="24">
        <v>403.5</v>
      </c>
      <c r="W299" s="24" t="s">
        <v>528</v>
      </c>
      <c r="X299" s="24" t="s">
        <v>528</v>
      </c>
      <c r="Y299" s="24" t="s">
        <v>529</v>
      </c>
      <c r="Z299" s="102" t="s">
        <v>528</v>
      </c>
      <c r="AA299" s="24" t="s">
        <v>528</v>
      </c>
      <c r="AB299" s="24" t="s">
        <v>528</v>
      </c>
      <c r="AC299" s="24" t="s">
        <v>528</v>
      </c>
      <c r="AD299" s="24" t="s">
        <v>528</v>
      </c>
      <c r="AE299" s="24" t="s">
        <v>529</v>
      </c>
      <c r="AF299" s="24">
        <v>0</v>
      </c>
      <c r="AG299" s="24">
        <v>0</v>
      </c>
      <c r="AH299" s="24">
        <v>1</v>
      </c>
      <c r="AI299" s="24">
        <v>0</v>
      </c>
      <c r="AJ299" s="24">
        <v>1</v>
      </c>
      <c r="AK299" s="24">
        <v>0</v>
      </c>
      <c r="AL299" s="24"/>
    </row>
    <row r="300" spans="1:38" ht="31.2" x14ac:dyDescent="0.3">
      <c r="A300" s="53">
        <v>293</v>
      </c>
      <c r="B300" s="24" t="s">
        <v>544</v>
      </c>
      <c r="C300" s="24" t="s">
        <v>848</v>
      </c>
      <c r="D300" s="82" t="s">
        <v>919</v>
      </c>
      <c r="E300" s="24">
        <v>6</v>
      </c>
      <c r="F300" s="24" t="s">
        <v>206</v>
      </c>
      <c r="G300" s="24"/>
      <c r="H300" s="24" t="s">
        <v>923</v>
      </c>
      <c r="I300" s="30" t="s">
        <v>548</v>
      </c>
      <c r="J300" s="24"/>
      <c r="K300" s="24" t="s">
        <v>549</v>
      </c>
      <c r="L300" s="24" t="s">
        <v>549</v>
      </c>
      <c r="M300" s="24">
        <v>1908</v>
      </c>
      <c r="N300" s="24" t="s">
        <v>550</v>
      </c>
      <c r="O300" s="24">
        <v>6</v>
      </c>
      <c r="P300" s="24">
        <v>0</v>
      </c>
      <c r="Q300" s="24">
        <v>1</v>
      </c>
      <c r="R300" s="24">
        <v>12</v>
      </c>
      <c r="S300" s="24">
        <v>719.2</v>
      </c>
      <c r="T300" s="24">
        <v>719.2</v>
      </c>
      <c r="U300" s="24">
        <v>719.2</v>
      </c>
      <c r="V300" s="24">
        <v>0</v>
      </c>
      <c r="W300" s="24" t="s">
        <v>528</v>
      </c>
      <c r="X300" s="24" t="s">
        <v>528</v>
      </c>
      <c r="Y300" s="24" t="s">
        <v>529</v>
      </c>
      <c r="Z300" s="102" t="s">
        <v>528</v>
      </c>
      <c r="AA300" s="24" t="s">
        <v>528</v>
      </c>
      <c r="AB300" s="24" t="s">
        <v>528</v>
      </c>
      <c r="AC300" s="24" t="s">
        <v>528</v>
      </c>
      <c r="AD300" s="24" t="s">
        <v>528</v>
      </c>
      <c r="AE300" s="24" t="s">
        <v>529</v>
      </c>
      <c r="AF300" s="24">
        <v>1</v>
      </c>
      <c r="AG300" s="24">
        <v>0</v>
      </c>
      <c r="AH300" s="24">
        <v>1</v>
      </c>
      <c r="AI300" s="24">
        <v>0</v>
      </c>
      <c r="AJ300" s="24">
        <v>1</v>
      </c>
      <c r="AK300" s="24">
        <v>0</v>
      </c>
      <c r="AL300" s="24"/>
    </row>
    <row r="301" spans="1:38" ht="31.2" x14ac:dyDescent="0.3">
      <c r="A301" s="53">
        <v>294</v>
      </c>
      <c r="B301" s="24" t="s">
        <v>544</v>
      </c>
      <c r="C301" s="24" t="s">
        <v>848</v>
      </c>
      <c r="D301" s="82" t="s">
        <v>919</v>
      </c>
      <c r="E301" s="24" t="s">
        <v>924</v>
      </c>
      <c r="F301" s="24" t="s">
        <v>200</v>
      </c>
      <c r="G301" s="24"/>
      <c r="H301" s="24" t="s">
        <v>925</v>
      </c>
      <c r="I301" s="30" t="s">
        <v>548</v>
      </c>
      <c r="J301" s="24"/>
      <c r="K301" s="24" t="s">
        <v>549</v>
      </c>
      <c r="L301" s="24" t="s">
        <v>549</v>
      </c>
      <c r="M301" s="24">
        <v>1907</v>
      </c>
      <c r="N301" s="24" t="s">
        <v>550</v>
      </c>
      <c r="O301" s="24">
        <v>6</v>
      </c>
      <c r="P301" s="24">
        <v>0</v>
      </c>
      <c r="Q301" s="24">
        <v>6</v>
      </c>
      <c r="R301" s="24">
        <v>39</v>
      </c>
      <c r="S301" s="24">
        <v>5625.76</v>
      </c>
      <c r="T301" s="24">
        <v>5625.76</v>
      </c>
      <c r="U301" s="24">
        <v>4005.56</v>
      </c>
      <c r="V301" s="24">
        <v>1620.2</v>
      </c>
      <c r="W301" s="24" t="s">
        <v>528</v>
      </c>
      <c r="X301" s="24" t="s">
        <v>528</v>
      </c>
      <c r="Y301" s="24" t="s">
        <v>529</v>
      </c>
      <c r="Z301" s="102" t="s">
        <v>528</v>
      </c>
      <c r="AA301" s="24" t="s">
        <v>528</v>
      </c>
      <c r="AB301" s="24" t="s">
        <v>528</v>
      </c>
      <c r="AC301" s="24" t="s">
        <v>528</v>
      </c>
      <c r="AD301" s="24" t="s">
        <v>528</v>
      </c>
      <c r="AE301" s="24" t="s">
        <v>529</v>
      </c>
      <c r="AF301" s="24">
        <v>2</v>
      </c>
      <c r="AG301" s="24">
        <v>0</v>
      </c>
      <c r="AH301" s="24">
        <v>1</v>
      </c>
      <c r="AI301" s="24">
        <v>0</v>
      </c>
      <c r="AJ301" s="24">
        <v>1</v>
      </c>
      <c r="AK301" s="24">
        <v>0</v>
      </c>
      <c r="AL301" s="24"/>
    </row>
    <row r="302" spans="1:38" ht="31.2" x14ac:dyDescent="0.3">
      <c r="A302" s="53">
        <v>295</v>
      </c>
      <c r="B302" s="24" t="s">
        <v>544</v>
      </c>
      <c r="C302" s="24" t="s">
        <v>848</v>
      </c>
      <c r="D302" s="82" t="s">
        <v>919</v>
      </c>
      <c r="E302" s="24">
        <v>8</v>
      </c>
      <c r="F302" s="24" t="s">
        <v>200</v>
      </c>
      <c r="G302" s="24"/>
      <c r="H302" s="24" t="s">
        <v>926</v>
      </c>
      <c r="I302" s="30" t="s">
        <v>548</v>
      </c>
      <c r="J302" s="24"/>
      <c r="K302" s="24" t="s">
        <v>549</v>
      </c>
      <c r="L302" s="24" t="s">
        <v>549</v>
      </c>
      <c r="M302" s="24">
        <v>1955</v>
      </c>
      <c r="N302" s="24" t="s">
        <v>550</v>
      </c>
      <c r="O302" s="24">
        <v>6</v>
      </c>
      <c r="P302" s="24">
        <v>0</v>
      </c>
      <c r="Q302" s="24">
        <v>1</v>
      </c>
      <c r="R302" s="24">
        <v>20</v>
      </c>
      <c r="S302" s="24">
        <v>2116.4</v>
      </c>
      <c r="T302" s="24">
        <v>2116.4</v>
      </c>
      <c r="U302" s="24">
        <v>1601.7</v>
      </c>
      <c r="V302" s="24">
        <v>514.70000000000005</v>
      </c>
      <c r="W302" s="24" t="s">
        <v>528</v>
      </c>
      <c r="X302" s="24" t="s">
        <v>528</v>
      </c>
      <c r="Y302" s="24" t="s">
        <v>529</v>
      </c>
      <c r="Z302" s="102" t="s">
        <v>528</v>
      </c>
      <c r="AA302" s="24" t="s">
        <v>528</v>
      </c>
      <c r="AB302" s="24" t="s">
        <v>528</v>
      </c>
      <c r="AC302" s="24" t="s">
        <v>528</v>
      </c>
      <c r="AD302" s="24" t="s">
        <v>528</v>
      </c>
      <c r="AE302" s="24" t="s">
        <v>529</v>
      </c>
      <c r="AF302" s="24">
        <v>1</v>
      </c>
      <c r="AG302" s="24">
        <v>0</v>
      </c>
      <c r="AH302" s="24">
        <v>1</v>
      </c>
      <c r="AI302" s="24">
        <v>0</v>
      </c>
      <c r="AJ302" s="24">
        <v>1</v>
      </c>
      <c r="AK302" s="24">
        <v>0</v>
      </c>
      <c r="AL302" s="24"/>
    </row>
    <row r="303" spans="1:38" ht="31.2" x14ac:dyDescent="0.3">
      <c r="A303" s="53">
        <v>296</v>
      </c>
      <c r="B303" s="24" t="s">
        <v>544</v>
      </c>
      <c r="C303" s="24" t="s">
        <v>848</v>
      </c>
      <c r="D303" s="82" t="s">
        <v>919</v>
      </c>
      <c r="E303" s="24">
        <v>12</v>
      </c>
      <c r="F303" s="24" t="s">
        <v>200</v>
      </c>
      <c r="G303" s="24"/>
      <c r="H303" s="24" t="s">
        <v>927</v>
      </c>
      <c r="I303" s="30" t="s">
        <v>548</v>
      </c>
      <c r="J303" s="24"/>
      <c r="K303" s="24" t="s">
        <v>549</v>
      </c>
      <c r="L303" s="24" t="s">
        <v>549</v>
      </c>
      <c r="M303" s="24">
        <v>1957</v>
      </c>
      <c r="N303" s="24" t="s">
        <v>550</v>
      </c>
      <c r="O303" s="24">
        <v>7</v>
      </c>
      <c r="P303" s="24">
        <v>0</v>
      </c>
      <c r="Q303" s="24">
        <v>1</v>
      </c>
      <c r="R303" s="24">
        <v>28</v>
      </c>
      <c r="S303" s="24">
        <v>2639.7999999999997</v>
      </c>
      <c r="T303" s="24">
        <v>2639.7999999999997</v>
      </c>
      <c r="U303" s="24">
        <v>2410.1</v>
      </c>
      <c r="V303" s="24">
        <v>229.7</v>
      </c>
      <c r="W303" s="24" t="s">
        <v>528</v>
      </c>
      <c r="X303" s="24" t="s">
        <v>528</v>
      </c>
      <c r="Y303" s="24" t="s">
        <v>529</v>
      </c>
      <c r="Z303" s="102" t="s">
        <v>528</v>
      </c>
      <c r="AA303" s="24" t="s">
        <v>528</v>
      </c>
      <c r="AB303" s="24" t="s">
        <v>528</v>
      </c>
      <c r="AC303" s="24" t="s">
        <v>528</v>
      </c>
      <c r="AD303" s="24" t="s">
        <v>528</v>
      </c>
      <c r="AE303" s="24" t="s">
        <v>529</v>
      </c>
      <c r="AF303" s="24">
        <v>1</v>
      </c>
      <c r="AG303" s="24">
        <v>0</v>
      </c>
      <c r="AH303" s="24">
        <v>2</v>
      </c>
      <c r="AI303" s="24">
        <v>0</v>
      </c>
      <c r="AJ303" s="24">
        <v>1</v>
      </c>
      <c r="AK303" s="24">
        <v>0</v>
      </c>
      <c r="AL303" s="24"/>
    </row>
    <row r="304" spans="1:38" ht="31.2" x14ac:dyDescent="0.3">
      <c r="A304" s="53">
        <v>297</v>
      </c>
      <c r="B304" s="24" t="s">
        <v>544</v>
      </c>
      <c r="C304" s="24" t="s">
        <v>848</v>
      </c>
      <c r="D304" s="82" t="s">
        <v>919</v>
      </c>
      <c r="E304" s="24">
        <v>12</v>
      </c>
      <c r="F304" s="24" t="s">
        <v>205</v>
      </c>
      <c r="G304" s="24"/>
      <c r="H304" s="24" t="s">
        <v>928</v>
      </c>
      <c r="I304" s="30" t="s">
        <v>548</v>
      </c>
      <c r="J304" s="24"/>
      <c r="K304" s="24" t="s">
        <v>549</v>
      </c>
      <c r="L304" s="24" t="s">
        <v>549</v>
      </c>
      <c r="M304" s="24">
        <v>1904</v>
      </c>
      <c r="N304" s="24" t="s">
        <v>550</v>
      </c>
      <c r="O304" s="24">
        <v>2</v>
      </c>
      <c r="P304" s="24">
        <v>0</v>
      </c>
      <c r="Q304" s="24">
        <v>1</v>
      </c>
      <c r="R304" s="24">
        <v>5</v>
      </c>
      <c r="S304" s="24">
        <v>223.7</v>
      </c>
      <c r="T304" s="24">
        <v>223.7</v>
      </c>
      <c r="U304" s="24">
        <v>223.7</v>
      </c>
      <c r="V304" s="24">
        <v>0</v>
      </c>
      <c r="W304" s="24" t="s">
        <v>528</v>
      </c>
      <c r="X304" s="24" t="s">
        <v>528</v>
      </c>
      <c r="Y304" s="24" t="s">
        <v>529</v>
      </c>
      <c r="Z304" s="102" t="s">
        <v>528</v>
      </c>
      <c r="AA304" s="24" t="s">
        <v>528</v>
      </c>
      <c r="AB304" s="24" t="s">
        <v>528</v>
      </c>
      <c r="AC304" s="24" t="s">
        <v>528</v>
      </c>
      <c r="AD304" s="24" t="s">
        <v>528</v>
      </c>
      <c r="AE304" s="24" t="s">
        <v>529</v>
      </c>
      <c r="AF304" s="24">
        <v>1</v>
      </c>
      <c r="AG304" s="24">
        <v>0</v>
      </c>
      <c r="AH304" s="24">
        <v>0</v>
      </c>
      <c r="AI304" s="24">
        <v>0</v>
      </c>
      <c r="AJ304" s="24">
        <v>1</v>
      </c>
      <c r="AK304" s="24">
        <v>0</v>
      </c>
      <c r="AL304" s="24"/>
    </row>
    <row r="305" spans="1:38" ht="31.2" x14ac:dyDescent="0.3">
      <c r="A305" s="53">
        <v>298</v>
      </c>
      <c r="B305" s="24" t="s">
        <v>544</v>
      </c>
      <c r="C305" s="24" t="s">
        <v>848</v>
      </c>
      <c r="D305" s="82" t="s">
        <v>919</v>
      </c>
      <c r="E305" s="24">
        <v>12</v>
      </c>
      <c r="F305" s="24" t="s">
        <v>206</v>
      </c>
      <c r="G305" s="24"/>
      <c r="H305" s="24" t="s">
        <v>929</v>
      </c>
      <c r="I305" s="30" t="s">
        <v>548</v>
      </c>
      <c r="J305" s="24"/>
      <c r="K305" s="24" t="s">
        <v>549</v>
      </c>
      <c r="L305" s="24" t="s">
        <v>549</v>
      </c>
      <c r="M305" s="24">
        <v>1904</v>
      </c>
      <c r="N305" s="24" t="s">
        <v>550</v>
      </c>
      <c r="O305" s="24">
        <v>5</v>
      </c>
      <c r="P305" s="24">
        <v>0</v>
      </c>
      <c r="Q305" s="24">
        <v>3</v>
      </c>
      <c r="R305" s="24">
        <v>19</v>
      </c>
      <c r="S305" s="24">
        <v>1810.8</v>
      </c>
      <c r="T305" s="24">
        <v>1810.8</v>
      </c>
      <c r="U305" s="24">
        <v>1612.8</v>
      </c>
      <c r="V305" s="24">
        <v>198</v>
      </c>
      <c r="W305" s="24" t="s">
        <v>528</v>
      </c>
      <c r="X305" s="24" t="s">
        <v>528</v>
      </c>
      <c r="Y305" s="24" t="s">
        <v>529</v>
      </c>
      <c r="Z305" s="102" t="s">
        <v>528</v>
      </c>
      <c r="AA305" s="24" t="s">
        <v>528</v>
      </c>
      <c r="AB305" s="24" t="s">
        <v>528</v>
      </c>
      <c r="AC305" s="24" t="s">
        <v>528</v>
      </c>
      <c r="AD305" s="24" t="s">
        <v>528</v>
      </c>
      <c r="AE305" s="24" t="s">
        <v>529</v>
      </c>
      <c r="AF305" s="24">
        <v>0</v>
      </c>
      <c r="AG305" s="24">
        <v>0</v>
      </c>
      <c r="AH305" s="24">
        <v>0</v>
      </c>
      <c r="AI305" s="24">
        <v>0</v>
      </c>
      <c r="AJ305" s="24">
        <v>1</v>
      </c>
      <c r="AK305" s="24">
        <v>0</v>
      </c>
      <c r="AL305" s="24"/>
    </row>
    <row r="306" spans="1:38" ht="31.2" x14ac:dyDescent="0.3">
      <c r="A306" s="53">
        <v>299</v>
      </c>
      <c r="B306" s="24" t="s">
        <v>544</v>
      </c>
      <c r="C306" s="24" t="s">
        <v>848</v>
      </c>
      <c r="D306" s="82" t="s">
        <v>919</v>
      </c>
      <c r="E306" s="24">
        <v>14</v>
      </c>
      <c r="F306" s="24" t="s">
        <v>200</v>
      </c>
      <c r="G306" s="24"/>
      <c r="H306" s="24" t="s">
        <v>930</v>
      </c>
      <c r="I306" s="30" t="s">
        <v>548</v>
      </c>
      <c r="J306" s="24"/>
      <c r="K306" s="24" t="s">
        <v>549</v>
      </c>
      <c r="L306" s="24" t="s">
        <v>549</v>
      </c>
      <c r="M306" s="24">
        <v>1910</v>
      </c>
      <c r="N306" s="24" t="s">
        <v>550</v>
      </c>
      <c r="O306" s="24">
        <v>8</v>
      </c>
      <c r="P306" s="24">
        <v>0</v>
      </c>
      <c r="Q306" s="24">
        <v>5</v>
      </c>
      <c r="R306" s="24">
        <v>33</v>
      </c>
      <c r="S306" s="24">
        <v>3922.6000000000004</v>
      </c>
      <c r="T306" s="24">
        <v>3922.6000000000004</v>
      </c>
      <c r="U306" s="24">
        <v>3802.8</v>
      </c>
      <c r="V306" s="24">
        <v>119.8</v>
      </c>
      <c r="W306" s="24" t="s">
        <v>528</v>
      </c>
      <c r="X306" s="24" t="s">
        <v>528</v>
      </c>
      <c r="Y306" s="24" t="s">
        <v>529</v>
      </c>
      <c r="Z306" s="102" t="s">
        <v>528</v>
      </c>
      <c r="AA306" s="24" t="s">
        <v>528</v>
      </c>
      <c r="AB306" s="24" t="s">
        <v>528</v>
      </c>
      <c r="AC306" s="24" t="s">
        <v>528</v>
      </c>
      <c r="AD306" s="24" t="s">
        <v>528</v>
      </c>
      <c r="AE306" s="24" t="s">
        <v>529</v>
      </c>
      <c r="AF306" s="24">
        <v>2</v>
      </c>
      <c r="AG306" s="24">
        <v>0</v>
      </c>
      <c r="AH306" s="24">
        <v>1</v>
      </c>
      <c r="AI306" s="24">
        <v>0</v>
      </c>
      <c r="AJ306" s="24">
        <v>1</v>
      </c>
      <c r="AK306" s="24">
        <v>0</v>
      </c>
      <c r="AL306" s="24"/>
    </row>
    <row r="307" spans="1:38" ht="31.2" x14ac:dyDescent="0.3">
      <c r="A307" s="53">
        <v>300</v>
      </c>
      <c r="B307" s="24" t="s">
        <v>544</v>
      </c>
      <c r="C307" s="24" t="s">
        <v>848</v>
      </c>
      <c r="D307" s="82" t="s">
        <v>919</v>
      </c>
      <c r="E307" s="24">
        <v>16</v>
      </c>
      <c r="F307" s="24" t="s">
        <v>200</v>
      </c>
      <c r="G307" s="24"/>
      <c r="H307" s="24" t="s">
        <v>931</v>
      </c>
      <c r="I307" s="30" t="s">
        <v>548</v>
      </c>
      <c r="J307" s="24"/>
      <c r="K307" s="24" t="s">
        <v>549</v>
      </c>
      <c r="L307" s="24" t="s">
        <v>549</v>
      </c>
      <c r="M307" s="24">
        <v>1911</v>
      </c>
      <c r="N307" s="24" t="s">
        <v>550</v>
      </c>
      <c r="O307" s="24">
        <v>5</v>
      </c>
      <c r="P307" s="24">
        <v>0</v>
      </c>
      <c r="Q307" s="24">
        <v>4</v>
      </c>
      <c r="R307" s="24">
        <v>38</v>
      </c>
      <c r="S307" s="24">
        <v>3563.95</v>
      </c>
      <c r="T307" s="24">
        <v>3563.95</v>
      </c>
      <c r="U307" s="24">
        <v>3124.25</v>
      </c>
      <c r="V307" s="24">
        <v>439.7</v>
      </c>
      <c r="W307" s="24" t="s">
        <v>528</v>
      </c>
      <c r="X307" s="24" t="s">
        <v>528</v>
      </c>
      <c r="Y307" s="24" t="s">
        <v>529</v>
      </c>
      <c r="Z307" s="102" t="s">
        <v>528</v>
      </c>
      <c r="AA307" s="24" t="s">
        <v>528</v>
      </c>
      <c r="AB307" s="24" t="s">
        <v>528</v>
      </c>
      <c r="AC307" s="24" t="s">
        <v>528</v>
      </c>
      <c r="AD307" s="24" t="s">
        <v>528</v>
      </c>
      <c r="AE307" s="24" t="s">
        <v>529</v>
      </c>
      <c r="AF307" s="24">
        <v>2</v>
      </c>
      <c r="AG307" s="24">
        <v>0</v>
      </c>
      <c r="AH307" s="24">
        <v>1</v>
      </c>
      <c r="AI307" s="24">
        <v>0</v>
      </c>
      <c r="AJ307" s="24">
        <v>1</v>
      </c>
      <c r="AK307" s="24">
        <v>0</v>
      </c>
      <c r="AL307" s="24"/>
    </row>
    <row r="308" spans="1:38" ht="31.2" x14ac:dyDescent="0.3">
      <c r="A308" s="53">
        <v>301</v>
      </c>
      <c r="B308" s="24" t="s">
        <v>544</v>
      </c>
      <c r="C308" s="24" t="s">
        <v>848</v>
      </c>
      <c r="D308" s="82" t="s">
        <v>919</v>
      </c>
      <c r="E308" s="24">
        <v>19</v>
      </c>
      <c r="F308" s="24" t="s">
        <v>205</v>
      </c>
      <c r="G308" s="24"/>
      <c r="H308" s="24" t="s">
        <v>932</v>
      </c>
      <c r="I308" s="30" t="s">
        <v>548</v>
      </c>
      <c r="J308" s="24" t="s">
        <v>558</v>
      </c>
      <c r="K308" s="24" t="s">
        <v>549</v>
      </c>
      <c r="L308" s="24" t="s">
        <v>549</v>
      </c>
      <c r="M308" s="24">
        <v>1904</v>
      </c>
      <c r="N308" s="24" t="s">
        <v>550</v>
      </c>
      <c r="O308" s="24">
        <v>4</v>
      </c>
      <c r="P308" s="24">
        <v>0</v>
      </c>
      <c r="Q308" s="24">
        <v>1</v>
      </c>
      <c r="R308" s="24">
        <v>8</v>
      </c>
      <c r="S308" s="24">
        <v>1184.0999999999999</v>
      </c>
      <c r="T308" s="24">
        <v>1184.0999999999999</v>
      </c>
      <c r="U308" s="24">
        <v>900.7</v>
      </c>
      <c r="V308" s="24">
        <v>283.39999999999998</v>
      </c>
      <c r="W308" s="24" t="s">
        <v>528</v>
      </c>
      <c r="X308" s="24" t="s">
        <v>528</v>
      </c>
      <c r="Y308" s="24" t="s">
        <v>529</v>
      </c>
      <c r="Z308" s="102" t="s">
        <v>528</v>
      </c>
      <c r="AA308" s="24" t="s">
        <v>528</v>
      </c>
      <c r="AB308" s="24" t="s">
        <v>528</v>
      </c>
      <c r="AC308" s="24" t="s">
        <v>528</v>
      </c>
      <c r="AD308" s="24" t="s">
        <v>528</v>
      </c>
      <c r="AE308" s="24" t="s">
        <v>529</v>
      </c>
      <c r="AF308" s="24">
        <v>3</v>
      </c>
      <c r="AG308" s="24">
        <v>0</v>
      </c>
      <c r="AH308" s="24">
        <v>1</v>
      </c>
      <c r="AI308" s="24">
        <v>0</v>
      </c>
      <c r="AJ308" s="24">
        <v>1</v>
      </c>
      <c r="AK308" s="24">
        <v>0</v>
      </c>
      <c r="AL308" s="24"/>
    </row>
    <row r="309" spans="1:38" ht="31.2" x14ac:dyDescent="0.3">
      <c r="A309" s="53">
        <v>302</v>
      </c>
      <c r="B309" s="24" t="s">
        <v>544</v>
      </c>
      <c r="C309" s="24" t="s">
        <v>848</v>
      </c>
      <c r="D309" s="82" t="s">
        <v>919</v>
      </c>
      <c r="E309" s="24">
        <v>19</v>
      </c>
      <c r="F309" s="24" t="s">
        <v>200</v>
      </c>
      <c r="G309" s="24"/>
      <c r="H309" s="24" t="s">
        <v>933</v>
      </c>
      <c r="I309" s="30" t="s">
        <v>548</v>
      </c>
      <c r="J309" s="24" t="s">
        <v>558</v>
      </c>
      <c r="K309" s="24" t="s">
        <v>549</v>
      </c>
      <c r="L309" s="24" t="s">
        <v>549</v>
      </c>
      <c r="M309" s="24">
        <v>1904</v>
      </c>
      <c r="N309" s="24" t="s">
        <v>550</v>
      </c>
      <c r="O309" s="24">
        <v>6</v>
      </c>
      <c r="P309" s="24">
        <v>0</v>
      </c>
      <c r="Q309" s="24">
        <v>3</v>
      </c>
      <c r="R309" s="24">
        <v>47</v>
      </c>
      <c r="S309" s="24">
        <v>6388.78</v>
      </c>
      <c r="T309" s="24">
        <v>6388.78</v>
      </c>
      <c r="U309" s="24">
        <v>5618.58</v>
      </c>
      <c r="V309" s="24">
        <v>770.2</v>
      </c>
      <c r="W309" s="24" t="s">
        <v>528</v>
      </c>
      <c r="X309" s="24" t="s">
        <v>528</v>
      </c>
      <c r="Y309" s="24" t="s">
        <v>529</v>
      </c>
      <c r="Z309" s="102" t="s">
        <v>528</v>
      </c>
      <c r="AA309" s="24" t="s">
        <v>528</v>
      </c>
      <c r="AB309" s="24" t="s">
        <v>528</v>
      </c>
      <c r="AC309" s="24" t="s">
        <v>528</v>
      </c>
      <c r="AD309" s="24" t="s">
        <v>528</v>
      </c>
      <c r="AE309" s="24" t="s">
        <v>529</v>
      </c>
      <c r="AF309" s="24">
        <v>0</v>
      </c>
      <c r="AG309" s="24">
        <v>0</v>
      </c>
      <c r="AH309" s="24">
        <v>1</v>
      </c>
      <c r="AI309" s="24">
        <v>0</v>
      </c>
      <c r="AJ309" s="24">
        <v>1</v>
      </c>
      <c r="AK309" s="24">
        <v>0</v>
      </c>
      <c r="AL309" s="24"/>
    </row>
    <row r="310" spans="1:38" ht="31.2" x14ac:dyDescent="0.3">
      <c r="A310" s="53">
        <v>303</v>
      </c>
      <c r="B310" s="24" t="s">
        <v>544</v>
      </c>
      <c r="C310" s="24" t="s">
        <v>848</v>
      </c>
      <c r="D310" s="82" t="s">
        <v>919</v>
      </c>
      <c r="E310" s="24">
        <v>20</v>
      </c>
      <c r="F310" s="24" t="s">
        <v>200</v>
      </c>
      <c r="G310" s="24"/>
      <c r="H310" s="24" t="s">
        <v>934</v>
      </c>
      <c r="I310" s="30" t="s">
        <v>548</v>
      </c>
      <c r="J310" s="24"/>
      <c r="K310" s="24" t="s">
        <v>549</v>
      </c>
      <c r="L310" s="24" t="s">
        <v>549</v>
      </c>
      <c r="M310" s="24">
        <v>1890</v>
      </c>
      <c r="N310" s="24" t="s">
        <v>550</v>
      </c>
      <c r="O310" s="24">
        <v>4</v>
      </c>
      <c r="P310" s="24">
        <v>0</v>
      </c>
      <c r="Q310" s="24">
        <v>3</v>
      </c>
      <c r="R310" s="24">
        <v>8</v>
      </c>
      <c r="S310" s="24">
        <v>1184.9000000000001</v>
      </c>
      <c r="T310" s="24">
        <v>1184.9000000000001</v>
      </c>
      <c r="U310" s="24">
        <v>915.9</v>
      </c>
      <c r="V310" s="24">
        <v>269</v>
      </c>
      <c r="W310" s="24" t="s">
        <v>528</v>
      </c>
      <c r="X310" s="24" t="s">
        <v>528</v>
      </c>
      <c r="Y310" s="24" t="s">
        <v>529</v>
      </c>
      <c r="Z310" s="102" t="s">
        <v>528</v>
      </c>
      <c r="AA310" s="24" t="s">
        <v>528</v>
      </c>
      <c r="AB310" s="24" t="s">
        <v>528</v>
      </c>
      <c r="AC310" s="24" t="s">
        <v>528</v>
      </c>
      <c r="AD310" s="24" t="s">
        <v>528</v>
      </c>
      <c r="AE310" s="24" t="s">
        <v>529</v>
      </c>
      <c r="AF310" s="24">
        <v>0</v>
      </c>
      <c r="AG310" s="24">
        <v>0</v>
      </c>
      <c r="AH310" s="24">
        <v>1</v>
      </c>
      <c r="AI310" s="24">
        <v>0</v>
      </c>
      <c r="AJ310" s="24">
        <v>1</v>
      </c>
      <c r="AK310" s="24">
        <v>0</v>
      </c>
      <c r="AL310" s="24"/>
    </row>
    <row r="311" spans="1:38" ht="31.2" x14ac:dyDescent="0.3">
      <c r="A311" s="53">
        <v>304</v>
      </c>
      <c r="B311" s="24" t="s">
        <v>544</v>
      </c>
      <c r="C311" s="24" t="s">
        <v>848</v>
      </c>
      <c r="D311" s="82" t="s">
        <v>919</v>
      </c>
      <c r="E311" s="24">
        <v>21</v>
      </c>
      <c r="F311" s="24" t="s">
        <v>200</v>
      </c>
      <c r="G311" s="24"/>
      <c r="H311" s="24" t="s">
        <v>935</v>
      </c>
      <c r="I311" s="30" t="s">
        <v>548</v>
      </c>
      <c r="J311" s="24"/>
      <c r="K311" s="24" t="s">
        <v>549</v>
      </c>
      <c r="L311" s="24" t="s">
        <v>549</v>
      </c>
      <c r="M311" s="24">
        <v>1902</v>
      </c>
      <c r="N311" s="24" t="s">
        <v>550</v>
      </c>
      <c r="O311" s="24">
        <v>5</v>
      </c>
      <c r="P311" s="24">
        <v>0</v>
      </c>
      <c r="Q311" s="24">
        <v>2</v>
      </c>
      <c r="R311" s="24">
        <v>11</v>
      </c>
      <c r="S311" s="24">
        <v>879.8</v>
      </c>
      <c r="T311" s="24">
        <v>879.8</v>
      </c>
      <c r="U311" s="24">
        <v>873.8</v>
      </c>
      <c r="V311" s="24">
        <v>6</v>
      </c>
      <c r="W311" s="24" t="s">
        <v>528</v>
      </c>
      <c r="X311" s="24" t="s">
        <v>528</v>
      </c>
      <c r="Y311" s="24" t="s">
        <v>529</v>
      </c>
      <c r="Z311" s="102" t="s">
        <v>528</v>
      </c>
      <c r="AA311" s="24" t="s">
        <v>528</v>
      </c>
      <c r="AB311" s="24" t="s">
        <v>528</v>
      </c>
      <c r="AC311" s="24" t="s">
        <v>528</v>
      </c>
      <c r="AD311" s="24" t="s">
        <v>528</v>
      </c>
      <c r="AE311" s="24" t="s">
        <v>529</v>
      </c>
      <c r="AF311" s="24">
        <v>0</v>
      </c>
      <c r="AG311" s="24">
        <v>0</v>
      </c>
      <c r="AH311" s="24">
        <v>1</v>
      </c>
      <c r="AI311" s="24">
        <v>0</v>
      </c>
      <c r="AJ311" s="24">
        <v>0</v>
      </c>
      <c r="AK311" s="24">
        <v>0</v>
      </c>
      <c r="AL311" s="24"/>
    </row>
    <row r="312" spans="1:38" ht="31.2" x14ac:dyDescent="0.3">
      <c r="A312" s="53">
        <v>305</v>
      </c>
      <c r="B312" s="24" t="s">
        <v>544</v>
      </c>
      <c r="C312" s="24" t="s">
        <v>848</v>
      </c>
      <c r="D312" s="82" t="s">
        <v>919</v>
      </c>
      <c r="E312" s="24">
        <v>21</v>
      </c>
      <c r="F312" s="24" t="s">
        <v>205</v>
      </c>
      <c r="G312" s="24"/>
      <c r="H312" s="24" t="s">
        <v>936</v>
      </c>
      <c r="I312" s="30" t="s">
        <v>548</v>
      </c>
      <c r="J312" s="24"/>
      <c r="K312" s="24" t="s">
        <v>549</v>
      </c>
      <c r="L312" s="24" t="s">
        <v>549</v>
      </c>
      <c r="M312" s="24">
        <v>1902</v>
      </c>
      <c r="N312" s="24" t="s">
        <v>550</v>
      </c>
      <c r="O312" s="24">
        <v>5</v>
      </c>
      <c r="P312" s="24">
        <v>0</v>
      </c>
      <c r="Q312" s="24">
        <v>2</v>
      </c>
      <c r="R312" s="24">
        <v>10</v>
      </c>
      <c r="S312" s="24">
        <v>566.5</v>
      </c>
      <c r="T312" s="24">
        <v>566.5</v>
      </c>
      <c r="U312" s="24">
        <v>541.29999999999995</v>
      </c>
      <c r="V312" s="24">
        <v>25.2</v>
      </c>
      <c r="W312" s="24" t="s">
        <v>528</v>
      </c>
      <c r="X312" s="24" t="s">
        <v>528</v>
      </c>
      <c r="Y312" s="24" t="s">
        <v>529</v>
      </c>
      <c r="Z312" s="102" t="s">
        <v>528</v>
      </c>
      <c r="AA312" s="24" t="s">
        <v>528</v>
      </c>
      <c r="AB312" s="24" t="s">
        <v>528</v>
      </c>
      <c r="AC312" s="24" t="s">
        <v>528</v>
      </c>
      <c r="AD312" s="24" t="s">
        <v>528</v>
      </c>
      <c r="AE312" s="24" t="s">
        <v>529</v>
      </c>
      <c r="AF312" s="24">
        <v>0</v>
      </c>
      <c r="AG312" s="24">
        <v>0</v>
      </c>
      <c r="AH312" s="24">
        <v>1</v>
      </c>
      <c r="AI312" s="24">
        <v>0</v>
      </c>
      <c r="AJ312" s="24">
        <v>1</v>
      </c>
      <c r="AK312" s="24">
        <v>0</v>
      </c>
      <c r="AL312" s="24"/>
    </row>
    <row r="313" spans="1:38" ht="31.2" x14ac:dyDescent="0.3">
      <c r="A313" s="53">
        <v>306</v>
      </c>
      <c r="B313" s="24" t="s">
        <v>544</v>
      </c>
      <c r="C313" s="24" t="s">
        <v>848</v>
      </c>
      <c r="D313" s="82" t="s">
        <v>919</v>
      </c>
      <c r="E313" s="24">
        <v>23</v>
      </c>
      <c r="F313" s="24" t="s">
        <v>200</v>
      </c>
      <c r="G313" s="24"/>
      <c r="H313" s="24" t="s">
        <v>937</v>
      </c>
      <c r="I313" s="30" t="s">
        <v>548</v>
      </c>
      <c r="J313" s="24"/>
      <c r="K313" s="24" t="s">
        <v>549</v>
      </c>
      <c r="L313" s="24" t="s">
        <v>549</v>
      </c>
      <c r="M313" s="24">
        <v>1908</v>
      </c>
      <c r="N313" s="24" t="s">
        <v>550</v>
      </c>
      <c r="O313" s="24">
        <v>5</v>
      </c>
      <c r="P313" s="24">
        <v>0</v>
      </c>
      <c r="Q313" s="24">
        <v>2</v>
      </c>
      <c r="R313" s="24">
        <v>20</v>
      </c>
      <c r="S313" s="24">
        <v>1712.71</v>
      </c>
      <c r="T313" s="24">
        <v>1712.71</v>
      </c>
      <c r="U313" s="24">
        <v>1450.71</v>
      </c>
      <c r="V313" s="24">
        <v>262</v>
      </c>
      <c r="W313" s="24" t="s">
        <v>528</v>
      </c>
      <c r="X313" s="24" t="s">
        <v>528</v>
      </c>
      <c r="Y313" s="24" t="s">
        <v>529</v>
      </c>
      <c r="Z313" s="102" t="s">
        <v>528</v>
      </c>
      <c r="AA313" s="24" t="s">
        <v>528</v>
      </c>
      <c r="AB313" s="24" t="s">
        <v>528</v>
      </c>
      <c r="AC313" s="24" t="s">
        <v>528</v>
      </c>
      <c r="AD313" s="24" t="s">
        <v>528</v>
      </c>
      <c r="AE313" s="24" t="s">
        <v>529</v>
      </c>
      <c r="AF313" s="24">
        <v>0</v>
      </c>
      <c r="AG313" s="24">
        <v>0</v>
      </c>
      <c r="AH313" s="24">
        <v>1</v>
      </c>
      <c r="AI313" s="24">
        <v>0</v>
      </c>
      <c r="AJ313" s="24">
        <v>0</v>
      </c>
      <c r="AK313" s="24">
        <v>0</v>
      </c>
      <c r="AL313" s="24"/>
    </row>
    <row r="314" spans="1:38" ht="31.2" x14ac:dyDescent="0.3">
      <c r="A314" s="53">
        <v>307</v>
      </c>
      <c r="B314" s="24" t="s">
        <v>544</v>
      </c>
      <c r="C314" s="24" t="s">
        <v>848</v>
      </c>
      <c r="D314" s="82" t="s">
        <v>919</v>
      </c>
      <c r="E314" s="24" t="s">
        <v>938</v>
      </c>
      <c r="F314" s="24" t="s">
        <v>200</v>
      </c>
      <c r="G314" s="24"/>
      <c r="H314" s="24" t="s">
        <v>939</v>
      </c>
      <c r="I314" s="30" t="s">
        <v>548</v>
      </c>
      <c r="J314" s="24"/>
      <c r="K314" s="24" t="s">
        <v>549</v>
      </c>
      <c r="L314" s="24" t="s">
        <v>549</v>
      </c>
      <c r="M314" s="24">
        <v>1911</v>
      </c>
      <c r="N314" s="24" t="s">
        <v>550</v>
      </c>
      <c r="O314" s="24">
        <v>7</v>
      </c>
      <c r="P314" s="24">
        <v>0</v>
      </c>
      <c r="Q314" s="24">
        <v>7</v>
      </c>
      <c r="R314" s="24">
        <v>82</v>
      </c>
      <c r="S314" s="24">
        <v>9782.2999999999993</v>
      </c>
      <c r="T314" s="24">
        <v>9782.2999999999993</v>
      </c>
      <c r="U314" s="24">
        <v>8478.4</v>
      </c>
      <c r="V314" s="24">
        <v>1303.9000000000001</v>
      </c>
      <c r="W314" s="24" t="s">
        <v>528</v>
      </c>
      <c r="X314" s="24" t="s">
        <v>528</v>
      </c>
      <c r="Y314" s="24" t="s">
        <v>529</v>
      </c>
      <c r="Z314" s="102" t="s">
        <v>528</v>
      </c>
      <c r="AA314" s="24" t="s">
        <v>528</v>
      </c>
      <c r="AB314" s="24" t="s">
        <v>528</v>
      </c>
      <c r="AC314" s="24" t="s">
        <v>528</v>
      </c>
      <c r="AD314" s="24" t="s">
        <v>528</v>
      </c>
      <c r="AE314" s="24" t="s">
        <v>529</v>
      </c>
      <c r="AF314" s="24">
        <v>4</v>
      </c>
      <c r="AG314" s="24">
        <v>0</v>
      </c>
      <c r="AH314" s="24">
        <v>1</v>
      </c>
      <c r="AI314" s="24">
        <v>0</v>
      </c>
      <c r="AJ314" s="24">
        <v>1</v>
      </c>
      <c r="AK314" s="24">
        <v>0</v>
      </c>
      <c r="AL314" s="24"/>
    </row>
    <row r="315" spans="1:38" ht="31.2" x14ac:dyDescent="0.3">
      <c r="A315" s="53">
        <v>308</v>
      </c>
      <c r="B315" s="24" t="s">
        <v>544</v>
      </c>
      <c r="C315" s="24" t="s">
        <v>555</v>
      </c>
      <c r="D315" s="82" t="s">
        <v>940</v>
      </c>
      <c r="E315" s="24" t="s">
        <v>941</v>
      </c>
      <c r="F315" s="24" t="s">
        <v>200</v>
      </c>
      <c r="G315" s="24"/>
      <c r="H315" s="24" t="s">
        <v>942</v>
      </c>
      <c r="I315" s="30" t="s">
        <v>548</v>
      </c>
      <c r="J315" s="24"/>
      <c r="K315" s="24" t="s">
        <v>549</v>
      </c>
      <c r="L315" s="24" t="s">
        <v>549</v>
      </c>
      <c r="M315" s="24">
        <v>1898</v>
      </c>
      <c r="N315" s="24" t="s">
        <v>550</v>
      </c>
      <c r="O315" s="24">
        <v>4</v>
      </c>
      <c r="P315" s="24">
        <v>0</v>
      </c>
      <c r="Q315" s="24">
        <v>2</v>
      </c>
      <c r="R315" s="24">
        <v>28</v>
      </c>
      <c r="S315" s="24">
        <v>1876.44</v>
      </c>
      <c r="T315" s="24">
        <v>1876.44</v>
      </c>
      <c r="U315" s="24">
        <v>1594.44</v>
      </c>
      <c r="V315" s="24">
        <v>282</v>
      </c>
      <c r="W315" s="24" t="s">
        <v>528</v>
      </c>
      <c r="X315" s="24" t="s">
        <v>528</v>
      </c>
      <c r="Y315" s="24" t="s">
        <v>529</v>
      </c>
      <c r="Z315" s="102" t="s">
        <v>528</v>
      </c>
      <c r="AA315" s="24" t="s">
        <v>528</v>
      </c>
      <c r="AB315" s="24" t="s">
        <v>528</v>
      </c>
      <c r="AC315" s="24" t="s">
        <v>528</v>
      </c>
      <c r="AD315" s="24" t="s">
        <v>528</v>
      </c>
      <c r="AE315" s="24" t="s">
        <v>529</v>
      </c>
      <c r="AF315" s="24">
        <v>0</v>
      </c>
      <c r="AG315" s="24">
        <v>0</v>
      </c>
      <c r="AH315" s="24">
        <v>1</v>
      </c>
      <c r="AI315" s="24">
        <v>0</v>
      </c>
      <c r="AJ315" s="24">
        <v>0</v>
      </c>
      <c r="AK315" s="24">
        <v>0</v>
      </c>
      <c r="AL315" s="24"/>
    </row>
    <row r="316" spans="1:38" ht="31.2" x14ac:dyDescent="0.3">
      <c r="A316" s="53">
        <v>309</v>
      </c>
      <c r="B316" s="24" t="s">
        <v>544</v>
      </c>
      <c r="C316" s="24" t="s">
        <v>555</v>
      </c>
      <c r="D316" s="82" t="s">
        <v>940</v>
      </c>
      <c r="E316" s="24" t="s">
        <v>943</v>
      </c>
      <c r="F316" s="24" t="s">
        <v>200</v>
      </c>
      <c r="G316" s="24"/>
      <c r="H316" s="24" t="s">
        <v>944</v>
      </c>
      <c r="I316" s="30" t="s">
        <v>548</v>
      </c>
      <c r="J316" s="24"/>
      <c r="K316" s="24" t="s">
        <v>549</v>
      </c>
      <c r="L316" s="24" t="s">
        <v>549</v>
      </c>
      <c r="M316" s="24">
        <v>1909</v>
      </c>
      <c r="N316" s="24" t="s">
        <v>550</v>
      </c>
      <c r="O316" s="24">
        <v>6</v>
      </c>
      <c r="P316" s="24">
        <v>0</v>
      </c>
      <c r="Q316" s="24">
        <v>3</v>
      </c>
      <c r="R316" s="24">
        <v>16</v>
      </c>
      <c r="S316" s="24">
        <v>2665.6</v>
      </c>
      <c r="T316" s="24">
        <v>2665.6</v>
      </c>
      <c r="U316" s="24">
        <v>1630.6</v>
      </c>
      <c r="V316" s="24">
        <v>1035</v>
      </c>
      <c r="W316" s="24" t="s">
        <v>528</v>
      </c>
      <c r="X316" s="24" t="s">
        <v>528</v>
      </c>
      <c r="Y316" s="24" t="s">
        <v>529</v>
      </c>
      <c r="Z316" s="102" t="s">
        <v>528</v>
      </c>
      <c r="AA316" s="24" t="s">
        <v>528</v>
      </c>
      <c r="AB316" s="24" t="s">
        <v>528</v>
      </c>
      <c r="AC316" s="24" t="s">
        <v>528</v>
      </c>
      <c r="AD316" s="24" t="s">
        <v>528</v>
      </c>
      <c r="AE316" s="24" t="s">
        <v>529</v>
      </c>
      <c r="AF316" s="24">
        <v>0</v>
      </c>
      <c r="AG316" s="24">
        <v>0</v>
      </c>
      <c r="AH316" s="24">
        <v>1</v>
      </c>
      <c r="AI316" s="24">
        <v>0</v>
      </c>
      <c r="AJ316" s="24">
        <v>1</v>
      </c>
      <c r="AK316" s="24">
        <v>0</v>
      </c>
      <c r="AL316" s="24"/>
    </row>
    <row r="317" spans="1:38" ht="31.2" x14ac:dyDescent="0.3">
      <c r="A317" s="53">
        <v>310</v>
      </c>
      <c r="B317" s="24" t="s">
        <v>544</v>
      </c>
      <c r="C317" s="24" t="s">
        <v>555</v>
      </c>
      <c r="D317" s="82" t="s">
        <v>940</v>
      </c>
      <c r="E317" s="24" t="s">
        <v>945</v>
      </c>
      <c r="F317" s="24" t="s">
        <v>200</v>
      </c>
      <c r="G317" s="24"/>
      <c r="H317" s="24" t="s">
        <v>946</v>
      </c>
      <c r="I317" s="30" t="s">
        <v>548</v>
      </c>
      <c r="J317" s="24"/>
      <c r="K317" s="24" t="s">
        <v>549</v>
      </c>
      <c r="L317" s="24" t="s">
        <v>549</v>
      </c>
      <c r="M317" s="24">
        <v>1903</v>
      </c>
      <c r="N317" s="24" t="s">
        <v>550</v>
      </c>
      <c r="O317" s="24">
        <v>5</v>
      </c>
      <c r="P317" s="24">
        <v>0</v>
      </c>
      <c r="Q317" s="24">
        <v>1</v>
      </c>
      <c r="R317" s="24">
        <v>19</v>
      </c>
      <c r="S317" s="24">
        <v>875.89</v>
      </c>
      <c r="T317" s="24">
        <v>875.89</v>
      </c>
      <c r="U317" s="24">
        <v>875.89</v>
      </c>
      <c r="V317" s="24">
        <v>0</v>
      </c>
      <c r="W317" s="24" t="s">
        <v>528</v>
      </c>
      <c r="X317" s="24" t="s">
        <v>528</v>
      </c>
      <c r="Y317" s="24" t="s">
        <v>529</v>
      </c>
      <c r="Z317" s="102" t="s">
        <v>528</v>
      </c>
      <c r="AA317" s="24" t="s">
        <v>528</v>
      </c>
      <c r="AB317" s="24" t="s">
        <v>528</v>
      </c>
      <c r="AC317" s="24" t="s">
        <v>528</v>
      </c>
      <c r="AD317" s="24" t="s">
        <v>528</v>
      </c>
      <c r="AE317" s="24" t="s">
        <v>529</v>
      </c>
      <c r="AF317" s="24">
        <v>1</v>
      </c>
      <c r="AG317" s="24">
        <v>0</v>
      </c>
      <c r="AH317" s="24">
        <v>1</v>
      </c>
      <c r="AI317" s="24">
        <v>0</v>
      </c>
      <c r="AJ317" s="24">
        <v>1</v>
      </c>
      <c r="AK317" s="24">
        <v>0</v>
      </c>
      <c r="AL317" s="24"/>
    </row>
    <row r="318" spans="1:38" ht="31.2" x14ac:dyDescent="0.3">
      <c r="A318" s="53">
        <v>311</v>
      </c>
      <c r="B318" s="24" t="s">
        <v>544</v>
      </c>
      <c r="C318" s="24" t="s">
        <v>555</v>
      </c>
      <c r="D318" s="82" t="s">
        <v>940</v>
      </c>
      <c r="E318" s="24" t="s">
        <v>945</v>
      </c>
      <c r="F318" s="24" t="s">
        <v>205</v>
      </c>
      <c r="G318" s="24"/>
      <c r="H318" s="24" t="s">
        <v>947</v>
      </c>
      <c r="I318" s="30" t="s">
        <v>548</v>
      </c>
      <c r="J318" s="24"/>
      <c r="K318" s="24" t="s">
        <v>549</v>
      </c>
      <c r="L318" s="24" t="s">
        <v>549</v>
      </c>
      <c r="M318" s="24">
        <v>1909</v>
      </c>
      <c r="N318" s="24" t="s">
        <v>550</v>
      </c>
      <c r="O318" s="24">
        <v>5</v>
      </c>
      <c r="P318" s="24">
        <v>0</v>
      </c>
      <c r="Q318" s="24">
        <v>1</v>
      </c>
      <c r="R318" s="24">
        <v>10</v>
      </c>
      <c r="S318" s="24">
        <v>470.84999999999997</v>
      </c>
      <c r="T318" s="24">
        <v>470.84999999999997</v>
      </c>
      <c r="U318" s="24">
        <v>456.45</v>
      </c>
      <c r="V318" s="24">
        <v>14.4</v>
      </c>
      <c r="W318" s="24" t="s">
        <v>528</v>
      </c>
      <c r="X318" s="24" t="s">
        <v>528</v>
      </c>
      <c r="Y318" s="24" t="s">
        <v>529</v>
      </c>
      <c r="Z318" s="102" t="s">
        <v>528</v>
      </c>
      <c r="AA318" s="24" t="s">
        <v>528</v>
      </c>
      <c r="AB318" s="24" t="s">
        <v>528</v>
      </c>
      <c r="AC318" s="24" t="s">
        <v>528</v>
      </c>
      <c r="AD318" s="24" t="s">
        <v>528</v>
      </c>
      <c r="AE318" s="24" t="s">
        <v>529</v>
      </c>
      <c r="AF318" s="24">
        <v>0</v>
      </c>
      <c r="AG318" s="24">
        <v>0</v>
      </c>
      <c r="AH318" s="24">
        <v>1</v>
      </c>
      <c r="AI318" s="24">
        <v>0</v>
      </c>
      <c r="AJ318" s="24">
        <v>0</v>
      </c>
      <c r="AK318" s="24">
        <v>0</v>
      </c>
      <c r="AL318" s="24"/>
    </row>
    <row r="319" spans="1:38" ht="31.2" x14ac:dyDescent="0.3">
      <c r="A319" s="53">
        <v>312</v>
      </c>
      <c r="B319" s="24" t="s">
        <v>544</v>
      </c>
      <c r="C319" s="24" t="s">
        <v>555</v>
      </c>
      <c r="D319" s="82" t="s">
        <v>940</v>
      </c>
      <c r="E319" s="24">
        <v>26</v>
      </c>
      <c r="F319" s="24" t="s">
        <v>200</v>
      </c>
      <c r="G319" s="24"/>
      <c r="H319" s="24" t="s">
        <v>948</v>
      </c>
      <c r="I319" s="30" t="s">
        <v>548</v>
      </c>
      <c r="J319" s="24"/>
      <c r="K319" s="24" t="s">
        <v>549</v>
      </c>
      <c r="L319" s="24" t="s">
        <v>549</v>
      </c>
      <c r="M319" s="24">
        <v>1904</v>
      </c>
      <c r="N319" s="24" t="s">
        <v>550</v>
      </c>
      <c r="O319" s="24">
        <v>5</v>
      </c>
      <c r="P319" s="24">
        <v>0</v>
      </c>
      <c r="Q319" s="24">
        <v>1</v>
      </c>
      <c r="R319" s="24">
        <v>11</v>
      </c>
      <c r="S319" s="24">
        <v>515.9</v>
      </c>
      <c r="T319" s="24">
        <v>515.9</v>
      </c>
      <c r="U319" s="24">
        <v>515.9</v>
      </c>
      <c r="V319" s="24">
        <v>0</v>
      </c>
      <c r="W319" s="24" t="s">
        <v>528</v>
      </c>
      <c r="X319" s="24" t="s">
        <v>528</v>
      </c>
      <c r="Y319" s="24" t="s">
        <v>529</v>
      </c>
      <c r="Z319" s="102" t="s">
        <v>528</v>
      </c>
      <c r="AA319" s="24" t="s">
        <v>528</v>
      </c>
      <c r="AB319" s="24" t="s">
        <v>528</v>
      </c>
      <c r="AC319" s="24" t="s">
        <v>528</v>
      </c>
      <c r="AD319" s="24" t="s">
        <v>528</v>
      </c>
      <c r="AE319" s="24" t="s">
        <v>529</v>
      </c>
      <c r="AF319" s="24">
        <v>0</v>
      </c>
      <c r="AG319" s="24">
        <v>0</v>
      </c>
      <c r="AH319" s="24">
        <v>1</v>
      </c>
      <c r="AI319" s="24">
        <v>0</v>
      </c>
      <c r="AJ319" s="24">
        <v>0</v>
      </c>
      <c r="AK319" s="24">
        <v>0</v>
      </c>
      <c r="AL319" s="24"/>
    </row>
    <row r="320" spans="1:38" ht="31.2" x14ac:dyDescent="0.3">
      <c r="A320" s="53">
        <v>313</v>
      </c>
      <c r="B320" s="24" t="s">
        <v>544</v>
      </c>
      <c r="C320" s="24" t="s">
        <v>555</v>
      </c>
      <c r="D320" s="82" t="s">
        <v>940</v>
      </c>
      <c r="E320" s="24">
        <v>28</v>
      </c>
      <c r="F320" s="24" t="s">
        <v>200</v>
      </c>
      <c r="G320" s="24"/>
      <c r="H320" s="24" t="s">
        <v>949</v>
      </c>
      <c r="I320" s="30" t="s">
        <v>548</v>
      </c>
      <c r="J320" s="24"/>
      <c r="K320" s="24" t="s">
        <v>549</v>
      </c>
      <c r="L320" s="24" t="s">
        <v>549</v>
      </c>
      <c r="M320" s="24">
        <v>1913</v>
      </c>
      <c r="N320" s="24" t="s">
        <v>550</v>
      </c>
      <c r="O320" s="24">
        <v>6</v>
      </c>
      <c r="P320" s="24">
        <v>0</v>
      </c>
      <c r="Q320" s="24">
        <v>2</v>
      </c>
      <c r="R320" s="24">
        <v>21</v>
      </c>
      <c r="S320" s="24">
        <v>1871.85</v>
      </c>
      <c r="T320" s="24">
        <v>1871.85</v>
      </c>
      <c r="U320" s="24">
        <v>1871.85</v>
      </c>
      <c r="V320" s="24">
        <v>0</v>
      </c>
      <c r="W320" s="24" t="s">
        <v>528</v>
      </c>
      <c r="X320" s="24" t="s">
        <v>528</v>
      </c>
      <c r="Y320" s="24" t="s">
        <v>529</v>
      </c>
      <c r="Z320" s="102" t="s">
        <v>528</v>
      </c>
      <c r="AA320" s="24" t="s">
        <v>528</v>
      </c>
      <c r="AB320" s="24" t="s">
        <v>528</v>
      </c>
      <c r="AC320" s="24" t="s">
        <v>528</v>
      </c>
      <c r="AD320" s="24" t="s">
        <v>528</v>
      </c>
      <c r="AE320" s="24" t="s">
        <v>529</v>
      </c>
      <c r="AF320" s="24">
        <v>1</v>
      </c>
      <c r="AG320" s="24">
        <v>0</v>
      </c>
      <c r="AH320" s="24">
        <v>1</v>
      </c>
      <c r="AI320" s="24">
        <v>0</v>
      </c>
      <c r="AJ320" s="24">
        <v>1</v>
      </c>
      <c r="AK320" s="24">
        <v>0</v>
      </c>
      <c r="AL320" s="24"/>
    </row>
    <row r="321" spans="1:38" ht="31.2" x14ac:dyDescent="0.3">
      <c r="A321" s="53">
        <v>314</v>
      </c>
      <c r="B321" s="24" t="s">
        <v>544</v>
      </c>
      <c r="C321" s="24" t="s">
        <v>555</v>
      </c>
      <c r="D321" s="82" t="s">
        <v>940</v>
      </c>
      <c r="E321" s="24">
        <v>28</v>
      </c>
      <c r="F321" s="24" t="s">
        <v>205</v>
      </c>
      <c r="G321" s="24"/>
      <c r="H321" s="24" t="s">
        <v>950</v>
      </c>
      <c r="I321" s="30" t="s">
        <v>548</v>
      </c>
      <c r="J321" s="24"/>
      <c r="K321" s="24" t="s">
        <v>549</v>
      </c>
      <c r="L321" s="24" t="s">
        <v>549</v>
      </c>
      <c r="M321" s="24">
        <v>1909</v>
      </c>
      <c r="N321" s="24" t="s">
        <v>550</v>
      </c>
      <c r="O321" s="24">
        <v>5</v>
      </c>
      <c r="P321" s="24">
        <v>0</v>
      </c>
      <c r="Q321" s="24">
        <v>1</v>
      </c>
      <c r="R321" s="24">
        <v>1</v>
      </c>
      <c r="S321" s="24">
        <v>41</v>
      </c>
      <c r="T321" s="24">
        <v>41</v>
      </c>
      <c r="U321" s="24">
        <v>41</v>
      </c>
      <c r="V321" s="24">
        <v>0</v>
      </c>
      <c r="W321" s="24" t="s">
        <v>528</v>
      </c>
      <c r="X321" s="24" t="s">
        <v>528</v>
      </c>
      <c r="Y321" s="24" t="s">
        <v>529</v>
      </c>
      <c r="Z321" s="102" t="s">
        <v>528</v>
      </c>
      <c r="AA321" s="24" t="s">
        <v>528</v>
      </c>
      <c r="AB321" s="24" t="s">
        <v>528</v>
      </c>
      <c r="AC321" s="24" t="s">
        <v>528</v>
      </c>
      <c r="AD321" s="24" t="s">
        <v>528</v>
      </c>
      <c r="AE321" s="24" t="s">
        <v>529</v>
      </c>
      <c r="AF321" s="24">
        <v>0</v>
      </c>
      <c r="AG321" s="24">
        <v>0</v>
      </c>
      <c r="AH321" s="24">
        <v>1</v>
      </c>
      <c r="AI321" s="24">
        <v>0</v>
      </c>
      <c r="AJ321" s="24">
        <v>1</v>
      </c>
      <c r="AK321" s="24">
        <v>0</v>
      </c>
      <c r="AL321" s="24"/>
    </row>
    <row r="322" spans="1:38" ht="31.2" x14ac:dyDescent="0.3">
      <c r="A322" s="53">
        <v>315</v>
      </c>
      <c r="B322" s="24" t="s">
        <v>544</v>
      </c>
      <c r="C322" s="24" t="s">
        <v>555</v>
      </c>
      <c r="D322" s="82" t="s">
        <v>940</v>
      </c>
      <c r="E322" s="24">
        <v>30</v>
      </c>
      <c r="F322" s="24" t="s">
        <v>200</v>
      </c>
      <c r="G322" s="24"/>
      <c r="H322" s="24" t="s">
        <v>951</v>
      </c>
      <c r="I322" s="30" t="s">
        <v>548</v>
      </c>
      <c r="J322" s="24"/>
      <c r="K322" s="24" t="s">
        <v>549</v>
      </c>
      <c r="L322" s="24" t="s">
        <v>549</v>
      </c>
      <c r="M322" s="24">
        <v>1913</v>
      </c>
      <c r="N322" s="24" t="s">
        <v>550</v>
      </c>
      <c r="O322" s="24">
        <v>7</v>
      </c>
      <c r="P322" s="24">
        <v>0</v>
      </c>
      <c r="Q322" s="24">
        <v>1</v>
      </c>
      <c r="R322" s="24">
        <v>24</v>
      </c>
      <c r="S322" s="24">
        <v>1250.9100000000001</v>
      </c>
      <c r="T322" s="24">
        <v>1250.9100000000001</v>
      </c>
      <c r="U322" s="24">
        <v>1250.9100000000001</v>
      </c>
      <c r="V322" s="24">
        <v>0</v>
      </c>
      <c r="W322" s="24" t="s">
        <v>528</v>
      </c>
      <c r="X322" s="24" t="s">
        <v>528</v>
      </c>
      <c r="Y322" s="24" t="s">
        <v>529</v>
      </c>
      <c r="Z322" s="102" t="s">
        <v>528</v>
      </c>
      <c r="AA322" s="24" t="s">
        <v>528</v>
      </c>
      <c r="AB322" s="24" t="s">
        <v>528</v>
      </c>
      <c r="AC322" s="24" t="s">
        <v>528</v>
      </c>
      <c r="AD322" s="24" t="s">
        <v>528</v>
      </c>
      <c r="AE322" s="24" t="s">
        <v>529</v>
      </c>
      <c r="AF322" s="24">
        <v>1</v>
      </c>
      <c r="AG322" s="24">
        <v>0</v>
      </c>
      <c r="AH322" s="24">
        <v>1</v>
      </c>
      <c r="AI322" s="24">
        <v>0</v>
      </c>
      <c r="AJ322" s="24">
        <v>1</v>
      </c>
      <c r="AK322" s="24">
        <v>0</v>
      </c>
      <c r="AL322" s="24"/>
    </row>
    <row r="323" spans="1:38" ht="31.2" x14ac:dyDescent="0.3">
      <c r="A323" s="53">
        <v>316</v>
      </c>
      <c r="B323" s="24" t="s">
        <v>544</v>
      </c>
      <c r="C323" s="24" t="s">
        <v>555</v>
      </c>
      <c r="D323" s="82" t="s">
        <v>940</v>
      </c>
      <c r="E323" s="24">
        <v>30</v>
      </c>
      <c r="F323" s="24" t="s">
        <v>206</v>
      </c>
      <c r="G323" s="24"/>
      <c r="H323" s="24" t="s">
        <v>952</v>
      </c>
      <c r="I323" s="30" t="s">
        <v>548</v>
      </c>
      <c r="J323" s="24"/>
      <c r="K323" s="24" t="s">
        <v>549</v>
      </c>
      <c r="L323" s="24" t="s">
        <v>549</v>
      </c>
      <c r="M323" s="24">
        <v>1903</v>
      </c>
      <c r="N323" s="24" t="s">
        <v>550</v>
      </c>
      <c r="O323" s="24">
        <v>5</v>
      </c>
      <c r="P323" s="24">
        <v>0</v>
      </c>
      <c r="Q323" s="24">
        <v>1</v>
      </c>
      <c r="R323" s="24">
        <v>10</v>
      </c>
      <c r="S323" s="24">
        <v>497.15</v>
      </c>
      <c r="T323" s="24">
        <v>497.15</v>
      </c>
      <c r="U323" s="24">
        <v>497.15</v>
      </c>
      <c r="V323" s="24">
        <v>0</v>
      </c>
      <c r="W323" s="24" t="s">
        <v>528</v>
      </c>
      <c r="X323" s="24" t="s">
        <v>528</v>
      </c>
      <c r="Y323" s="24" t="s">
        <v>529</v>
      </c>
      <c r="Z323" s="102" t="s">
        <v>528</v>
      </c>
      <c r="AA323" s="24" t="s">
        <v>528</v>
      </c>
      <c r="AB323" s="24" t="s">
        <v>528</v>
      </c>
      <c r="AC323" s="24" t="s">
        <v>528</v>
      </c>
      <c r="AD323" s="24" t="s">
        <v>528</v>
      </c>
      <c r="AE323" s="24" t="s">
        <v>529</v>
      </c>
      <c r="AF323" s="24">
        <v>0</v>
      </c>
      <c r="AG323" s="24">
        <v>0</v>
      </c>
      <c r="AH323" s="24">
        <v>1</v>
      </c>
      <c r="AI323" s="24">
        <v>0</v>
      </c>
      <c r="AJ323" s="24">
        <v>1</v>
      </c>
      <c r="AK323" s="24">
        <v>0</v>
      </c>
      <c r="AL323" s="24"/>
    </row>
    <row r="324" spans="1:38" ht="31.2" x14ac:dyDescent="0.3">
      <c r="A324" s="53">
        <v>317</v>
      </c>
      <c r="B324" s="24" t="s">
        <v>544</v>
      </c>
      <c r="C324" s="24" t="s">
        <v>555</v>
      </c>
      <c r="D324" s="82" t="s">
        <v>940</v>
      </c>
      <c r="E324" s="24">
        <v>32</v>
      </c>
      <c r="F324" s="24" t="s">
        <v>206</v>
      </c>
      <c r="G324" s="24"/>
      <c r="H324" s="24" t="s">
        <v>953</v>
      </c>
      <c r="I324" s="30" t="s">
        <v>548</v>
      </c>
      <c r="J324" s="24"/>
      <c r="K324" s="24" t="s">
        <v>549</v>
      </c>
      <c r="L324" s="24" t="s">
        <v>549</v>
      </c>
      <c r="M324" s="24">
        <v>1915</v>
      </c>
      <c r="N324" s="24" t="s">
        <v>550</v>
      </c>
      <c r="O324" s="24">
        <v>4</v>
      </c>
      <c r="P324" s="24">
        <v>0</v>
      </c>
      <c r="Q324" s="24">
        <v>1</v>
      </c>
      <c r="R324" s="24">
        <v>8</v>
      </c>
      <c r="S324" s="24">
        <v>852.46</v>
      </c>
      <c r="T324" s="24">
        <v>852.46</v>
      </c>
      <c r="U324" s="24">
        <v>636.09</v>
      </c>
      <c r="V324" s="24">
        <v>216.37</v>
      </c>
      <c r="W324" s="24" t="s">
        <v>528</v>
      </c>
      <c r="X324" s="24" t="s">
        <v>528</v>
      </c>
      <c r="Y324" s="24" t="s">
        <v>529</v>
      </c>
      <c r="Z324" s="102" t="s">
        <v>528</v>
      </c>
      <c r="AA324" s="24" t="s">
        <v>528</v>
      </c>
      <c r="AB324" s="24" t="s">
        <v>528</v>
      </c>
      <c r="AC324" s="24" t="s">
        <v>528</v>
      </c>
      <c r="AD324" s="24" t="s">
        <v>528</v>
      </c>
      <c r="AE324" s="24" t="s">
        <v>529</v>
      </c>
      <c r="AF324" s="24">
        <v>0</v>
      </c>
      <c r="AG324" s="24">
        <v>0</v>
      </c>
      <c r="AH324" s="24">
        <v>1</v>
      </c>
      <c r="AI324" s="24">
        <v>0</v>
      </c>
      <c r="AJ324" s="24">
        <v>0</v>
      </c>
      <c r="AK324" s="24">
        <v>0</v>
      </c>
      <c r="AL324" s="24"/>
    </row>
    <row r="325" spans="1:38" ht="31.2" x14ac:dyDescent="0.3">
      <c r="A325" s="53">
        <v>318</v>
      </c>
      <c r="B325" s="24" t="s">
        <v>544</v>
      </c>
      <c r="C325" s="24" t="s">
        <v>555</v>
      </c>
      <c r="D325" s="82" t="s">
        <v>940</v>
      </c>
      <c r="E325" s="24">
        <v>34</v>
      </c>
      <c r="F325" s="24" t="s">
        <v>205</v>
      </c>
      <c r="G325" s="24"/>
      <c r="H325" s="24" t="s">
        <v>954</v>
      </c>
      <c r="I325" s="30" t="s">
        <v>548</v>
      </c>
      <c r="J325" s="24"/>
      <c r="K325" s="24" t="s">
        <v>549</v>
      </c>
      <c r="L325" s="24" t="s">
        <v>549</v>
      </c>
      <c r="M325" s="24">
        <v>1902</v>
      </c>
      <c r="N325" s="24" t="s">
        <v>550</v>
      </c>
      <c r="O325" s="24">
        <v>4</v>
      </c>
      <c r="P325" s="24">
        <v>0</v>
      </c>
      <c r="Q325" s="24">
        <v>4</v>
      </c>
      <c r="R325" s="24">
        <v>23</v>
      </c>
      <c r="S325" s="24">
        <v>1790.17</v>
      </c>
      <c r="T325" s="24">
        <v>1790.17</v>
      </c>
      <c r="U325" s="24">
        <v>1724.17</v>
      </c>
      <c r="V325" s="24">
        <v>66</v>
      </c>
      <c r="W325" s="24" t="s">
        <v>528</v>
      </c>
      <c r="X325" s="24" t="s">
        <v>528</v>
      </c>
      <c r="Y325" s="24" t="s">
        <v>529</v>
      </c>
      <c r="Z325" s="102" t="s">
        <v>528</v>
      </c>
      <c r="AA325" s="24" t="s">
        <v>528</v>
      </c>
      <c r="AB325" s="24" t="s">
        <v>528</v>
      </c>
      <c r="AC325" s="24" t="s">
        <v>528</v>
      </c>
      <c r="AD325" s="24" t="s">
        <v>528</v>
      </c>
      <c r="AE325" s="24" t="s">
        <v>529</v>
      </c>
      <c r="AF325" s="24">
        <v>0</v>
      </c>
      <c r="AG325" s="24">
        <v>0</v>
      </c>
      <c r="AH325" s="24">
        <v>1</v>
      </c>
      <c r="AI325" s="24">
        <v>0</v>
      </c>
      <c r="AJ325" s="24">
        <v>0</v>
      </c>
      <c r="AK325" s="24">
        <v>0</v>
      </c>
      <c r="AL325" s="24"/>
    </row>
    <row r="326" spans="1:38" ht="31.2" x14ac:dyDescent="0.3">
      <c r="A326" s="53">
        <v>319</v>
      </c>
      <c r="B326" s="24" t="s">
        <v>544</v>
      </c>
      <c r="C326" s="24" t="s">
        <v>545</v>
      </c>
      <c r="D326" s="82" t="s">
        <v>955</v>
      </c>
      <c r="E326" s="24" t="s">
        <v>956</v>
      </c>
      <c r="F326" s="24" t="s">
        <v>200</v>
      </c>
      <c r="G326" s="24"/>
      <c r="H326" s="24" t="s">
        <v>957</v>
      </c>
      <c r="I326" s="30" t="s">
        <v>548</v>
      </c>
      <c r="J326" s="24"/>
      <c r="K326" s="24" t="s">
        <v>549</v>
      </c>
      <c r="L326" s="24" t="s">
        <v>549</v>
      </c>
      <c r="M326" s="24">
        <v>1900</v>
      </c>
      <c r="N326" s="24" t="s">
        <v>550</v>
      </c>
      <c r="O326" s="24">
        <v>4</v>
      </c>
      <c r="P326" s="24">
        <v>0</v>
      </c>
      <c r="Q326" s="24">
        <v>3</v>
      </c>
      <c r="R326" s="24">
        <v>36</v>
      </c>
      <c r="S326" s="24">
        <v>2415.6</v>
      </c>
      <c r="T326" s="24">
        <v>2415.6</v>
      </c>
      <c r="U326" s="24">
        <v>2243</v>
      </c>
      <c r="V326" s="24">
        <v>172.6</v>
      </c>
      <c r="W326" s="24" t="s">
        <v>528</v>
      </c>
      <c r="X326" s="24" t="s">
        <v>528</v>
      </c>
      <c r="Y326" s="24" t="s">
        <v>529</v>
      </c>
      <c r="Z326" s="102" t="s">
        <v>528</v>
      </c>
      <c r="AA326" s="24" t="s">
        <v>528</v>
      </c>
      <c r="AB326" s="24" t="s">
        <v>528</v>
      </c>
      <c r="AC326" s="24" t="s">
        <v>528</v>
      </c>
      <c r="AD326" s="24" t="s">
        <v>528</v>
      </c>
      <c r="AE326" s="24" t="s">
        <v>529</v>
      </c>
      <c r="AF326" s="24">
        <v>0</v>
      </c>
      <c r="AG326" s="24">
        <v>0</v>
      </c>
      <c r="AH326" s="24">
        <v>1</v>
      </c>
      <c r="AI326" s="24">
        <v>0</v>
      </c>
      <c r="AJ326" s="24">
        <v>1</v>
      </c>
      <c r="AK326" s="24">
        <v>0</v>
      </c>
      <c r="AL326" s="24"/>
    </row>
    <row r="327" spans="1:38" ht="31.2" x14ac:dyDescent="0.3">
      <c r="A327" s="53">
        <v>320</v>
      </c>
      <c r="B327" s="24" t="s">
        <v>544</v>
      </c>
      <c r="C327" s="24" t="s">
        <v>545</v>
      </c>
      <c r="D327" s="82" t="s">
        <v>955</v>
      </c>
      <c r="E327" s="24">
        <v>72</v>
      </c>
      <c r="F327" s="24" t="s">
        <v>200</v>
      </c>
      <c r="G327" s="24"/>
      <c r="H327" s="24" t="s">
        <v>958</v>
      </c>
      <c r="I327" s="30" t="s">
        <v>548</v>
      </c>
      <c r="J327" s="24"/>
      <c r="K327" s="24" t="s">
        <v>549</v>
      </c>
      <c r="L327" s="24" t="s">
        <v>549</v>
      </c>
      <c r="M327" s="24">
        <v>1900</v>
      </c>
      <c r="N327" s="24" t="s">
        <v>550</v>
      </c>
      <c r="O327" s="24">
        <v>5</v>
      </c>
      <c r="P327" s="24">
        <v>0</v>
      </c>
      <c r="Q327" s="24">
        <v>3</v>
      </c>
      <c r="R327" s="24">
        <v>27</v>
      </c>
      <c r="S327" s="24">
        <v>2221.1999999999998</v>
      </c>
      <c r="T327" s="24">
        <v>2221.1999999999998</v>
      </c>
      <c r="U327" s="24">
        <v>1796.2</v>
      </c>
      <c r="V327" s="24">
        <v>425</v>
      </c>
      <c r="W327" s="24" t="s">
        <v>528</v>
      </c>
      <c r="X327" s="24" t="s">
        <v>528</v>
      </c>
      <c r="Y327" s="24" t="s">
        <v>529</v>
      </c>
      <c r="Z327" s="102" t="s">
        <v>528</v>
      </c>
      <c r="AA327" s="24" t="s">
        <v>528</v>
      </c>
      <c r="AB327" s="24" t="s">
        <v>528</v>
      </c>
      <c r="AC327" s="24" t="s">
        <v>528</v>
      </c>
      <c r="AD327" s="24" t="s">
        <v>528</v>
      </c>
      <c r="AE327" s="24" t="s">
        <v>529</v>
      </c>
      <c r="AF327" s="24">
        <v>2</v>
      </c>
      <c r="AG327" s="24">
        <v>0</v>
      </c>
      <c r="AH327" s="24">
        <v>1</v>
      </c>
      <c r="AI327" s="24">
        <v>0</v>
      </c>
      <c r="AJ327" s="24">
        <v>1</v>
      </c>
      <c r="AK327" s="24">
        <v>0</v>
      </c>
      <c r="AL327" s="24"/>
    </row>
    <row r="328" spans="1:38" ht="31.2" x14ac:dyDescent="0.3">
      <c r="A328" s="53">
        <v>321</v>
      </c>
      <c r="B328" s="24" t="s">
        <v>544</v>
      </c>
      <c r="C328" s="24" t="s">
        <v>545</v>
      </c>
      <c r="D328" s="82" t="s">
        <v>955</v>
      </c>
      <c r="E328" s="24">
        <v>74</v>
      </c>
      <c r="F328" s="24" t="s">
        <v>200</v>
      </c>
      <c r="G328" s="24"/>
      <c r="H328" s="24" t="s">
        <v>959</v>
      </c>
      <c r="I328" s="30" t="s">
        <v>548</v>
      </c>
      <c r="J328" s="24"/>
      <c r="K328" s="24" t="s">
        <v>549</v>
      </c>
      <c r="L328" s="24" t="s">
        <v>549</v>
      </c>
      <c r="M328" s="24">
        <v>1932</v>
      </c>
      <c r="N328" s="24" t="s">
        <v>550</v>
      </c>
      <c r="O328" s="24">
        <v>5</v>
      </c>
      <c r="P328" s="24">
        <v>0</v>
      </c>
      <c r="Q328" s="24">
        <v>5</v>
      </c>
      <c r="R328" s="24">
        <v>55</v>
      </c>
      <c r="S328" s="24">
        <v>4442.8</v>
      </c>
      <c r="T328" s="24">
        <v>4442.8</v>
      </c>
      <c r="U328" s="24">
        <v>3897.7</v>
      </c>
      <c r="V328" s="24">
        <v>545.1</v>
      </c>
      <c r="W328" s="24" t="s">
        <v>528</v>
      </c>
      <c r="X328" s="24" t="s">
        <v>528</v>
      </c>
      <c r="Y328" s="24" t="s">
        <v>529</v>
      </c>
      <c r="Z328" s="102" t="s">
        <v>528</v>
      </c>
      <c r="AA328" s="24" t="s">
        <v>528</v>
      </c>
      <c r="AB328" s="24" t="s">
        <v>528</v>
      </c>
      <c r="AC328" s="24" t="s">
        <v>528</v>
      </c>
      <c r="AD328" s="24" t="s">
        <v>528</v>
      </c>
      <c r="AE328" s="24" t="s">
        <v>529</v>
      </c>
      <c r="AF328" s="24">
        <v>1</v>
      </c>
      <c r="AG328" s="24">
        <v>0</v>
      </c>
      <c r="AH328" s="24">
        <v>1</v>
      </c>
      <c r="AI328" s="24">
        <v>0</v>
      </c>
      <c r="AJ328" s="24">
        <v>1</v>
      </c>
      <c r="AK328" s="24">
        <v>0</v>
      </c>
      <c r="AL328" s="24"/>
    </row>
    <row r="329" spans="1:38" ht="31.2" x14ac:dyDescent="0.3">
      <c r="A329" s="53">
        <v>322</v>
      </c>
      <c r="B329" s="24" t="s">
        <v>544</v>
      </c>
      <c r="C329" s="24" t="s">
        <v>545</v>
      </c>
      <c r="D329" s="82" t="s">
        <v>955</v>
      </c>
      <c r="E329" s="24">
        <v>82</v>
      </c>
      <c r="F329" s="24" t="s">
        <v>200</v>
      </c>
      <c r="G329" s="24"/>
      <c r="H329" s="24" t="s">
        <v>960</v>
      </c>
      <c r="I329" s="30" t="s">
        <v>548</v>
      </c>
      <c r="J329" s="24"/>
      <c r="K329" s="24" t="s">
        <v>549</v>
      </c>
      <c r="L329" s="24" t="s">
        <v>549</v>
      </c>
      <c r="M329" s="24">
        <v>1903</v>
      </c>
      <c r="N329" s="24" t="s">
        <v>550</v>
      </c>
      <c r="O329" s="24">
        <v>4</v>
      </c>
      <c r="P329" s="24">
        <v>0</v>
      </c>
      <c r="Q329" s="24">
        <v>1</v>
      </c>
      <c r="R329" s="24">
        <v>21</v>
      </c>
      <c r="S329" s="24">
        <v>1264.5</v>
      </c>
      <c r="T329" s="24">
        <v>1264.5</v>
      </c>
      <c r="U329" s="24">
        <v>1116.5</v>
      </c>
      <c r="V329" s="24">
        <v>148</v>
      </c>
      <c r="W329" s="24" t="s">
        <v>528</v>
      </c>
      <c r="X329" s="24" t="s">
        <v>528</v>
      </c>
      <c r="Y329" s="24" t="s">
        <v>529</v>
      </c>
      <c r="Z329" s="102" t="s">
        <v>528</v>
      </c>
      <c r="AA329" s="24" t="s">
        <v>528</v>
      </c>
      <c r="AB329" s="24" t="s">
        <v>528</v>
      </c>
      <c r="AC329" s="24" t="s">
        <v>528</v>
      </c>
      <c r="AD329" s="24" t="s">
        <v>528</v>
      </c>
      <c r="AE329" s="24" t="s">
        <v>529</v>
      </c>
      <c r="AF329" s="24">
        <v>0</v>
      </c>
      <c r="AG329" s="24">
        <v>0</v>
      </c>
      <c r="AH329" s="24">
        <v>1</v>
      </c>
      <c r="AI329" s="24">
        <v>0</v>
      </c>
      <c r="AJ329" s="24">
        <v>0</v>
      </c>
      <c r="AK329" s="24">
        <v>0</v>
      </c>
      <c r="AL329" s="24"/>
    </row>
    <row r="330" spans="1:38" ht="31.2" x14ac:dyDescent="0.3">
      <c r="A330" s="53">
        <v>323</v>
      </c>
      <c r="B330" s="24" t="s">
        <v>544</v>
      </c>
      <c r="C330" s="24" t="s">
        <v>545</v>
      </c>
      <c r="D330" s="82" t="s">
        <v>955</v>
      </c>
      <c r="E330" s="24" t="s">
        <v>961</v>
      </c>
      <c r="F330" s="24" t="s">
        <v>200</v>
      </c>
      <c r="G330" s="24"/>
      <c r="H330" s="24" t="s">
        <v>962</v>
      </c>
      <c r="I330" s="30" t="s">
        <v>548</v>
      </c>
      <c r="J330" s="24" t="s">
        <v>558</v>
      </c>
      <c r="K330" s="24" t="s">
        <v>549</v>
      </c>
      <c r="L330" s="24" t="s">
        <v>549</v>
      </c>
      <c r="M330" s="24">
        <v>1938</v>
      </c>
      <c r="N330" s="24" t="s">
        <v>550</v>
      </c>
      <c r="O330" s="24">
        <v>7</v>
      </c>
      <c r="P330" s="24">
        <v>0</v>
      </c>
      <c r="Q330" s="24">
        <v>12</v>
      </c>
      <c r="R330" s="24">
        <v>145</v>
      </c>
      <c r="S330" s="24">
        <v>11955.7</v>
      </c>
      <c r="T330" s="24">
        <v>11955.7</v>
      </c>
      <c r="U330" s="24">
        <v>11557.7</v>
      </c>
      <c r="V330" s="24">
        <v>398</v>
      </c>
      <c r="W330" s="24" t="s">
        <v>528</v>
      </c>
      <c r="X330" s="24" t="s">
        <v>528</v>
      </c>
      <c r="Y330" s="24" t="s">
        <v>528</v>
      </c>
      <c r="Z330" s="102" t="s">
        <v>528</v>
      </c>
      <c r="AA330" s="24" t="s">
        <v>528</v>
      </c>
      <c r="AB330" s="24" t="s">
        <v>528</v>
      </c>
      <c r="AC330" s="24" t="s">
        <v>529</v>
      </c>
      <c r="AD330" s="24" t="s">
        <v>528</v>
      </c>
      <c r="AE330" s="24" t="s">
        <v>529</v>
      </c>
      <c r="AF330" s="24">
        <v>10</v>
      </c>
      <c r="AG330" s="24">
        <v>0</v>
      </c>
      <c r="AH330" s="24">
        <v>2</v>
      </c>
      <c r="AI330" s="24">
        <v>2</v>
      </c>
      <c r="AJ330" s="24">
        <v>2</v>
      </c>
      <c r="AK330" s="24">
        <v>0</v>
      </c>
      <c r="AL330" s="24"/>
    </row>
    <row r="331" spans="1:38" ht="31.2" x14ac:dyDescent="0.3">
      <c r="A331" s="53">
        <v>324</v>
      </c>
      <c r="B331" s="24" t="s">
        <v>544</v>
      </c>
      <c r="C331" s="24" t="s">
        <v>555</v>
      </c>
      <c r="D331" s="82" t="s">
        <v>963</v>
      </c>
      <c r="E331" s="24">
        <v>7</v>
      </c>
      <c r="F331" s="24" t="s">
        <v>200</v>
      </c>
      <c r="G331" s="24"/>
      <c r="H331" s="24" t="s">
        <v>964</v>
      </c>
      <c r="I331" s="30" t="s">
        <v>548</v>
      </c>
      <c r="J331" s="24"/>
      <c r="K331" s="24" t="s">
        <v>549</v>
      </c>
      <c r="L331" s="24" t="s">
        <v>549</v>
      </c>
      <c r="M331" s="24">
        <v>1901</v>
      </c>
      <c r="N331" s="24" t="s">
        <v>550</v>
      </c>
      <c r="O331" s="24">
        <v>5</v>
      </c>
      <c r="P331" s="24">
        <v>0</v>
      </c>
      <c r="Q331" s="24">
        <v>2</v>
      </c>
      <c r="R331" s="24">
        <v>49</v>
      </c>
      <c r="S331" s="24">
        <v>2746.1</v>
      </c>
      <c r="T331" s="24">
        <v>2746.1</v>
      </c>
      <c r="U331" s="24">
        <v>2586.1</v>
      </c>
      <c r="V331" s="24">
        <v>160</v>
      </c>
      <c r="W331" s="24" t="s">
        <v>528</v>
      </c>
      <c r="X331" s="24" t="s">
        <v>528</v>
      </c>
      <c r="Y331" s="24" t="s">
        <v>529</v>
      </c>
      <c r="Z331" s="102" t="s">
        <v>528</v>
      </c>
      <c r="AA331" s="24" t="s">
        <v>528</v>
      </c>
      <c r="AB331" s="24" t="s">
        <v>528</v>
      </c>
      <c r="AC331" s="24" t="s">
        <v>528</v>
      </c>
      <c r="AD331" s="24" t="s">
        <v>528</v>
      </c>
      <c r="AE331" s="24" t="s">
        <v>529</v>
      </c>
      <c r="AF331" s="24">
        <v>0</v>
      </c>
      <c r="AG331" s="24">
        <v>0</v>
      </c>
      <c r="AH331" s="24">
        <v>1</v>
      </c>
      <c r="AI331" s="24">
        <v>0</v>
      </c>
      <c r="AJ331" s="24">
        <v>1</v>
      </c>
      <c r="AK331" s="24">
        <v>0</v>
      </c>
      <c r="AL331" s="24"/>
    </row>
    <row r="332" spans="1:38" ht="31.2" x14ac:dyDescent="0.3">
      <c r="A332" s="53">
        <v>325</v>
      </c>
      <c r="B332" s="24" t="s">
        <v>544</v>
      </c>
      <c r="C332" s="24" t="s">
        <v>555</v>
      </c>
      <c r="D332" s="82" t="s">
        <v>965</v>
      </c>
      <c r="E332" s="24" t="s">
        <v>966</v>
      </c>
      <c r="F332" s="24" t="s">
        <v>200</v>
      </c>
      <c r="G332" s="24"/>
      <c r="H332" s="24" t="s">
        <v>967</v>
      </c>
      <c r="I332" s="30" t="s">
        <v>548</v>
      </c>
      <c r="J332" s="24"/>
      <c r="K332" s="24" t="s">
        <v>549</v>
      </c>
      <c r="L332" s="24" t="s">
        <v>549</v>
      </c>
      <c r="M332" s="24">
        <v>1911</v>
      </c>
      <c r="N332" s="24" t="s">
        <v>550</v>
      </c>
      <c r="O332" s="24">
        <v>4</v>
      </c>
      <c r="P332" s="24">
        <v>0</v>
      </c>
      <c r="Q332" s="24">
        <v>3</v>
      </c>
      <c r="R332" s="24">
        <v>26</v>
      </c>
      <c r="S332" s="24">
        <v>1610.1</v>
      </c>
      <c r="T332" s="24">
        <v>1610.1</v>
      </c>
      <c r="U332" s="24">
        <v>1496.1</v>
      </c>
      <c r="V332" s="24">
        <v>114</v>
      </c>
      <c r="W332" s="24" t="s">
        <v>528</v>
      </c>
      <c r="X332" s="24" t="s">
        <v>528</v>
      </c>
      <c r="Y332" s="24" t="s">
        <v>529</v>
      </c>
      <c r="Z332" s="102" t="s">
        <v>528</v>
      </c>
      <c r="AA332" s="24" t="s">
        <v>528</v>
      </c>
      <c r="AB332" s="24" t="s">
        <v>528</v>
      </c>
      <c r="AC332" s="24" t="s">
        <v>528</v>
      </c>
      <c r="AD332" s="24" t="s">
        <v>528</v>
      </c>
      <c r="AE332" s="24" t="s">
        <v>529</v>
      </c>
      <c r="AF332" s="24">
        <v>0</v>
      </c>
      <c r="AG332" s="24">
        <v>0</v>
      </c>
      <c r="AH332" s="24">
        <v>1</v>
      </c>
      <c r="AI332" s="24">
        <v>0</v>
      </c>
      <c r="AJ332" s="24">
        <v>1</v>
      </c>
      <c r="AK332" s="24">
        <v>0</v>
      </c>
      <c r="AL332" s="24"/>
    </row>
    <row r="333" spans="1:38" ht="31.2" x14ac:dyDescent="0.3">
      <c r="A333" s="53">
        <v>326</v>
      </c>
      <c r="B333" s="24" t="s">
        <v>544</v>
      </c>
      <c r="C333" s="24" t="s">
        <v>555</v>
      </c>
      <c r="D333" s="82" t="s">
        <v>968</v>
      </c>
      <c r="E333" s="24" t="s">
        <v>969</v>
      </c>
      <c r="F333" s="24" t="s">
        <v>200</v>
      </c>
      <c r="G333" s="24"/>
      <c r="H333" s="24" t="s">
        <v>970</v>
      </c>
      <c r="I333" s="30" t="s">
        <v>548</v>
      </c>
      <c r="J333" s="24"/>
      <c r="K333" s="24" t="s">
        <v>549</v>
      </c>
      <c r="L333" s="24" t="s">
        <v>549</v>
      </c>
      <c r="M333" s="24">
        <v>1898</v>
      </c>
      <c r="N333" s="24" t="s">
        <v>550</v>
      </c>
      <c r="O333" s="24">
        <v>5</v>
      </c>
      <c r="P333" s="24">
        <v>0</v>
      </c>
      <c r="Q333" s="24">
        <v>2</v>
      </c>
      <c r="R333" s="24">
        <v>33</v>
      </c>
      <c r="S333" s="24">
        <v>2938</v>
      </c>
      <c r="T333" s="24">
        <v>2938</v>
      </c>
      <c r="U333" s="24">
        <v>2412.8000000000002</v>
      </c>
      <c r="V333" s="24">
        <v>525.20000000000005</v>
      </c>
      <c r="W333" s="24" t="s">
        <v>528</v>
      </c>
      <c r="X333" s="24" t="s">
        <v>528</v>
      </c>
      <c r="Y333" s="24" t="s">
        <v>529</v>
      </c>
      <c r="Z333" s="102" t="s">
        <v>528</v>
      </c>
      <c r="AA333" s="24" t="s">
        <v>528</v>
      </c>
      <c r="AB333" s="24" t="s">
        <v>528</v>
      </c>
      <c r="AC333" s="24" t="s">
        <v>528</v>
      </c>
      <c r="AD333" s="24" t="s">
        <v>528</v>
      </c>
      <c r="AE333" s="24" t="s">
        <v>529</v>
      </c>
      <c r="AF333" s="24">
        <v>0</v>
      </c>
      <c r="AG333" s="24">
        <v>0</v>
      </c>
      <c r="AH333" s="24">
        <v>1</v>
      </c>
      <c r="AI333" s="24">
        <v>0</v>
      </c>
      <c r="AJ333" s="24">
        <v>1</v>
      </c>
      <c r="AK333" s="24">
        <v>0</v>
      </c>
      <c r="AL333" s="24"/>
    </row>
    <row r="334" spans="1:38" ht="31.2" x14ac:dyDescent="0.3">
      <c r="A334" s="53">
        <v>327</v>
      </c>
      <c r="B334" s="24" t="s">
        <v>544</v>
      </c>
      <c r="C334" s="24" t="s">
        <v>555</v>
      </c>
      <c r="D334" s="82" t="s">
        <v>968</v>
      </c>
      <c r="E334" s="24" t="s">
        <v>971</v>
      </c>
      <c r="F334" s="24" t="s">
        <v>200</v>
      </c>
      <c r="G334" s="24"/>
      <c r="H334" s="24" t="s">
        <v>972</v>
      </c>
      <c r="I334" s="30" t="s">
        <v>548</v>
      </c>
      <c r="J334" s="24"/>
      <c r="K334" s="24" t="s">
        <v>549</v>
      </c>
      <c r="L334" s="24" t="s">
        <v>549</v>
      </c>
      <c r="M334" s="24">
        <v>1900</v>
      </c>
      <c r="N334" s="24" t="s">
        <v>550</v>
      </c>
      <c r="O334" s="24">
        <v>4</v>
      </c>
      <c r="P334" s="24">
        <v>0</v>
      </c>
      <c r="Q334" s="24">
        <v>3</v>
      </c>
      <c r="R334" s="24">
        <v>20</v>
      </c>
      <c r="S334" s="24">
        <v>1734</v>
      </c>
      <c r="T334" s="24">
        <v>1734</v>
      </c>
      <c r="U334" s="24">
        <v>1375.52</v>
      </c>
      <c r="V334" s="24">
        <v>358.48</v>
      </c>
      <c r="W334" s="24" t="s">
        <v>528</v>
      </c>
      <c r="X334" s="24" t="s">
        <v>528</v>
      </c>
      <c r="Y334" s="24" t="s">
        <v>529</v>
      </c>
      <c r="Z334" s="102" t="s">
        <v>528</v>
      </c>
      <c r="AA334" s="24" t="s">
        <v>528</v>
      </c>
      <c r="AB334" s="24" t="s">
        <v>528</v>
      </c>
      <c r="AC334" s="24" t="s">
        <v>528</v>
      </c>
      <c r="AD334" s="24" t="s">
        <v>528</v>
      </c>
      <c r="AE334" s="24" t="s">
        <v>529</v>
      </c>
      <c r="AF334" s="24">
        <v>0</v>
      </c>
      <c r="AG334" s="24">
        <v>0</v>
      </c>
      <c r="AH334" s="24">
        <v>1</v>
      </c>
      <c r="AI334" s="24">
        <v>0</v>
      </c>
      <c r="AJ334" s="24">
        <v>0</v>
      </c>
      <c r="AK334" s="24">
        <v>0</v>
      </c>
      <c r="AL334" s="24"/>
    </row>
    <row r="335" spans="1:38" ht="31.2" x14ac:dyDescent="0.3">
      <c r="A335" s="53">
        <v>328</v>
      </c>
      <c r="B335" s="24" t="s">
        <v>544</v>
      </c>
      <c r="C335" s="24" t="s">
        <v>555</v>
      </c>
      <c r="D335" s="82" t="s">
        <v>968</v>
      </c>
      <c r="E335" s="24">
        <v>6</v>
      </c>
      <c r="F335" s="24" t="s">
        <v>200</v>
      </c>
      <c r="G335" s="24"/>
      <c r="H335" s="24" t="s">
        <v>973</v>
      </c>
      <c r="I335" s="30" t="s">
        <v>548</v>
      </c>
      <c r="J335" s="24"/>
      <c r="K335" s="24" t="s">
        <v>549</v>
      </c>
      <c r="L335" s="24" t="s">
        <v>549</v>
      </c>
      <c r="M335" s="24">
        <v>1909</v>
      </c>
      <c r="N335" s="24" t="s">
        <v>550</v>
      </c>
      <c r="O335" s="24">
        <v>6</v>
      </c>
      <c r="P335" s="24">
        <v>0</v>
      </c>
      <c r="Q335" s="24">
        <v>4</v>
      </c>
      <c r="R335" s="24">
        <v>43</v>
      </c>
      <c r="S335" s="24">
        <v>4318</v>
      </c>
      <c r="T335" s="24">
        <v>4318</v>
      </c>
      <c r="U335" s="24">
        <v>4053.6</v>
      </c>
      <c r="V335" s="24">
        <v>264.39999999999998</v>
      </c>
      <c r="W335" s="24" t="s">
        <v>528</v>
      </c>
      <c r="X335" s="24" t="s">
        <v>528</v>
      </c>
      <c r="Y335" s="24" t="s">
        <v>529</v>
      </c>
      <c r="Z335" s="102" t="s">
        <v>528</v>
      </c>
      <c r="AA335" s="24" t="s">
        <v>528</v>
      </c>
      <c r="AB335" s="24" t="s">
        <v>528</v>
      </c>
      <c r="AC335" s="24" t="s">
        <v>528</v>
      </c>
      <c r="AD335" s="24" t="s">
        <v>528</v>
      </c>
      <c r="AE335" s="24" t="s">
        <v>529</v>
      </c>
      <c r="AF335" s="24">
        <v>2</v>
      </c>
      <c r="AG335" s="24">
        <v>0</v>
      </c>
      <c r="AH335" s="24">
        <v>1</v>
      </c>
      <c r="AI335" s="24">
        <v>0</v>
      </c>
      <c r="AJ335" s="24">
        <v>1</v>
      </c>
      <c r="AK335" s="24">
        <v>0</v>
      </c>
      <c r="AL335" s="24"/>
    </row>
    <row r="336" spans="1:38" ht="31.2" x14ac:dyDescent="0.3">
      <c r="A336" s="53">
        <v>329</v>
      </c>
      <c r="B336" s="24" t="s">
        <v>544</v>
      </c>
      <c r="C336" s="24" t="s">
        <v>555</v>
      </c>
      <c r="D336" s="82" t="s">
        <v>968</v>
      </c>
      <c r="E336" s="24">
        <v>6</v>
      </c>
      <c r="F336" s="24" t="s">
        <v>205</v>
      </c>
      <c r="G336" s="24"/>
      <c r="H336" s="24" t="s">
        <v>974</v>
      </c>
      <c r="I336" s="30" t="s">
        <v>548</v>
      </c>
      <c r="J336" s="24"/>
      <c r="K336" s="24" t="s">
        <v>549</v>
      </c>
      <c r="L336" s="24" t="s">
        <v>549</v>
      </c>
      <c r="M336" s="24">
        <v>1888</v>
      </c>
      <c r="N336" s="24" t="s">
        <v>550</v>
      </c>
      <c r="O336" s="24">
        <v>5</v>
      </c>
      <c r="P336" s="24">
        <v>0</v>
      </c>
      <c r="Q336" s="24">
        <v>3</v>
      </c>
      <c r="R336" s="24">
        <v>31</v>
      </c>
      <c r="S336" s="24">
        <v>2376</v>
      </c>
      <c r="T336" s="24">
        <v>2376</v>
      </c>
      <c r="U336" s="24">
        <v>2374.17</v>
      </c>
      <c r="V336" s="24">
        <v>1.83</v>
      </c>
      <c r="W336" s="24" t="s">
        <v>528</v>
      </c>
      <c r="X336" s="24" t="s">
        <v>528</v>
      </c>
      <c r="Y336" s="24" t="s">
        <v>529</v>
      </c>
      <c r="Z336" s="102" t="s">
        <v>528</v>
      </c>
      <c r="AA336" s="24" t="s">
        <v>528</v>
      </c>
      <c r="AB336" s="24" t="s">
        <v>528</v>
      </c>
      <c r="AC336" s="24" t="s">
        <v>528</v>
      </c>
      <c r="AD336" s="24" t="s">
        <v>528</v>
      </c>
      <c r="AE336" s="24" t="s">
        <v>529</v>
      </c>
      <c r="AF336" s="24">
        <v>0</v>
      </c>
      <c r="AG336" s="24">
        <v>0</v>
      </c>
      <c r="AH336" s="24">
        <v>1</v>
      </c>
      <c r="AI336" s="24">
        <v>0</v>
      </c>
      <c r="AJ336" s="24">
        <v>1</v>
      </c>
      <c r="AK336" s="24">
        <v>0</v>
      </c>
      <c r="AL336" s="24"/>
    </row>
    <row r="337" spans="1:38" ht="31.2" x14ac:dyDescent="0.3">
      <c r="A337" s="53">
        <v>330</v>
      </c>
      <c r="B337" s="24" t="s">
        <v>544</v>
      </c>
      <c r="C337" s="24" t="s">
        <v>555</v>
      </c>
      <c r="D337" s="82" t="s">
        <v>968</v>
      </c>
      <c r="E337" s="24">
        <v>7</v>
      </c>
      <c r="F337" s="24" t="s">
        <v>200</v>
      </c>
      <c r="G337" s="24"/>
      <c r="H337" s="24" t="s">
        <v>975</v>
      </c>
      <c r="I337" s="30" t="s">
        <v>548</v>
      </c>
      <c r="J337" s="24"/>
      <c r="K337" s="24" t="s">
        <v>549</v>
      </c>
      <c r="L337" s="24" t="s">
        <v>549</v>
      </c>
      <c r="M337" s="24">
        <v>1891</v>
      </c>
      <c r="N337" s="24" t="s">
        <v>550</v>
      </c>
      <c r="O337" s="24">
        <v>3</v>
      </c>
      <c r="P337" s="24">
        <v>0</v>
      </c>
      <c r="Q337" s="24">
        <v>2</v>
      </c>
      <c r="R337" s="24">
        <v>24</v>
      </c>
      <c r="S337" s="24">
        <v>1507.96</v>
      </c>
      <c r="T337" s="24">
        <v>1507.96</v>
      </c>
      <c r="U337" s="24">
        <v>1156.96</v>
      </c>
      <c r="V337" s="24">
        <v>351</v>
      </c>
      <c r="W337" s="24" t="s">
        <v>528</v>
      </c>
      <c r="X337" s="24" t="s">
        <v>528</v>
      </c>
      <c r="Y337" s="24" t="s">
        <v>529</v>
      </c>
      <c r="Z337" s="102" t="s">
        <v>528</v>
      </c>
      <c r="AA337" s="24" t="s">
        <v>528</v>
      </c>
      <c r="AB337" s="24" t="s">
        <v>528</v>
      </c>
      <c r="AC337" s="24" t="s">
        <v>528</v>
      </c>
      <c r="AD337" s="24" t="s">
        <v>528</v>
      </c>
      <c r="AE337" s="24" t="s">
        <v>529</v>
      </c>
      <c r="AF337" s="24">
        <v>0</v>
      </c>
      <c r="AG337" s="24">
        <v>0</v>
      </c>
      <c r="AH337" s="24">
        <v>1</v>
      </c>
      <c r="AI337" s="24">
        <v>0</v>
      </c>
      <c r="AJ337" s="24">
        <v>1</v>
      </c>
      <c r="AK337" s="24">
        <v>0</v>
      </c>
      <c r="AL337" s="24"/>
    </row>
    <row r="338" spans="1:38" ht="31.2" x14ac:dyDescent="0.3">
      <c r="A338" s="53">
        <v>331</v>
      </c>
      <c r="B338" s="24" t="s">
        <v>544</v>
      </c>
      <c r="C338" s="24" t="s">
        <v>555</v>
      </c>
      <c r="D338" s="82" t="s">
        <v>968</v>
      </c>
      <c r="E338" s="24">
        <v>7</v>
      </c>
      <c r="F338" s="24" t="s">
        <v>206</v>
      </c>
      <c r="G338" s="24"/>
      <c r="H338" s="24" t="s">
        <v>976</v>
      </c>
      <c r="I338" s="30" t="s">
        <v>548</v>
      </c>
      <c r="J338" s="24"/>
      <c r="K338" s="24" t="s">
        <v>549</v>
      </c>
      <c r="L338" s="24" t="s">
        <v>549</v>
      </c>
      <c r="M338" s="24">
        <v>1893</v>
      </c>
      <c r="N338" s="24" t="s">
        <v>550</v>
      </c>
      <c r="O338" s="24">
        <v>3</v>
      </c>
      <c r="P338" s="24">
        <v>0</v>
      </c>
      <c r="Q338" s="24">
        <v>1</v>
      </c>
      <c r="R338" s="24">
        <v>8</v>
      </c>
      <c r="S338" s="24">
        <v>510</v>
      </c>
      <c r="T338" s="24">
        <v>510</v>
      </c>
      <c r="U338" s="24">
        <v>510</v>
      </c>
      <c r="V338" s="24">
        <v>0</v>
      </c>
      <c r="W338" s="24" t="s">
        <v>528</v>
      </c>
      <c r="X338" s="24" t="s">
        <v>528</v>
      </c>
      <c r="Y338" s="24" t="s">
        <v>529</v>
      </c>
      <c r="Z338" s="102" t="s">
        <v>528</v>
      </c>
      <c r="AA338" s="24" t="s">
        <v>528</v>
      </c>
      <c r="AB338" s="24" t="s">
        <v>528</v>
      </c>
      <c r="AC338" s="24" t="s">
        <v>528</v>
      </c>
      <c r="AD338" s="24" t="s">
        <v>528</v>
      </c>
      <c r="AE338" s="24" t="s">
        <v>529</v>
      </c>
      <c r="AF338" s="24">
        <v>0</v>
      </c>
      <c r="AG338" s="24">
        <v>0</v>
      </c>
      <c r="AH338" s="24">
        <v>1</v>
      </c>
      <c r="AI338" s="24">
        <v>0</v>
      </c>
      <c r="AJ338" s="24">
        <v>1</v>
      </c>
      <c r="AK338" s="24">
        <v>0</v>
      </c>
      <c r="AL338" s="24"/>
    </row>
    <row r="339" spans="1:38" ht="31.2" x14ac:dyDescent="0.3">
      <c r="A339" s="53">
        <v>332</v>
      </c>
      <c r="B339" s="24" t="s">
        <v>544</v>
      </c>
      <c r="C339" s="24" t="s">
        <v>555</v>
      </c>
      <c r="D339" s="82" t="s">
        <v>968</v>
      </c>
      <c r="E339" s="24">
        <v>7</v>
      </c>
      <c r="F339" s="24" t="s">
        <v>207</v>
      </c>
      <c r="G339" s="24"/>
      <c r="H339" s="24" t="s">
        <v>977</v>
      </c>
      <c r="I339" s="30" t="s">
        <v>548</v>
      </c>
      <c r="J339" s="24"/>
      <c r="K339" s="24" t="s">
        <v>549</v>
      </c>
      <c r="L339" s="24" t="s">
        <v>549</v>
      </c>
      <c r="M339" s="24">
        <v>1891</v>
      </c>
      <c r="N339" s="24" t="s">
        <v>550</v>
      </c>
      <c r="O339" s="24">
        <v>3</v>
      </c>
      <c r="P339" s="24">
        <v>0</v>
      </c>
      <c r="Q339" s="24">
        <v>1</v>
      </c>
      <c r="R339" s="24">
        <v>5</v>
      </c>
      <c r="S339" s="24">
        <v>614.6</v>
      </c>
      <c r="T339" s="24">
        <v>614.6</v>
      </c>
      <c r="U339" s="24">
        <v>518.1</v>
      </c>
      <c r="V339" s="24">
        <v>96.5</v>
      </c>
      <c r="W339" s="24" t="s">
        <v>528</v>
      </c>
      <c r="X339" s="24" t="s">
        <v>528</v>
      </c>
      <c r="Y339" s="24" t="s">
        <v>529</v>
      </c>
      <c r="Z339" s="102" t="s">
        <v>528</v>
      </c>
      <c r="AA339" s="24" t="s">
        <v>528</v>
      </c>
      <c r="AB339" s="24" t="s">
        <v>528</v>
      </c>
      <c r="AC339" s="24" t="s">
        <v>528</v>
      </c>
      <c r="AD339" s="24" t="s">
        <v>528</v>
      </c>
      <c r="AE339" s="24" t="s">
        <v>529</v>
      </c>
      <c r="AF339" s="24">
        <v>0</v>
      </c>
      <c r="AG339" s="24">
        <v>0</v>
      </c>
      <c r="AH339" s="24">
        <v>1</v>
      </c>
      <c r="AI339" s="24">
        <v>0</v>
      </c>
      <c r="AJ339" s="24">
        <v>1</v>
      </c>
      <c r="AK339" s="24">
        <v>0</v>
      </c>
      <c r="AL339" s="24"/>
    </row>
    <row r="340" spans="1:38" ht="31.2" x14ac:dyDescent="0.3">
      <c r="A340" s="53">
        <v>333</v>
      </c>
      <c r="B340" s="24" t="s">
        <v>544</v>
      </c>
      <c r="C340" s="24" t="s">
        <v>555</v>
      </c>
      <c r="D340" s="82" t="s">
        <v>968</v>
      </c>
      <c r="E340" s="24">
        <v>9</v>
      </c>
      <c r="F340" s="24" t="s">
        <v>200</v>
      </c>
      <c r="G340" s="24"/>
      <c r="H340" s="24" t="s">
        <v>196</v>
      </c>
      <c r="I340" s="30" t="s">
        <v>548</v>
      </c>
      <c r="J340" s="24"/>
      <c r="K340" s="24" t="s">
        <v>549</v>
      </c>
      <c r="L340" s="24" t="s">
        <v>549</v>
      </c>
      <c r="M340" s="24">
        <v>1911</v>
      </c>
      <c r="N340" s="24" t="s">
        <v>550</v>
      </c>
      <c r="O340" s="24">
        <v>6</v>
      </c>
      <c r="P340" s="24">
        <v>0</v>
      </c>
      <c r="Q340" s="24">
        <v>3</v>
      </c>
      <c r="R340" s="24">
        <v>29</v>
      </c>
      <c r="S340" s="24">
        <v>2721.86</v>
      </c>
      <c r="T340" s="24">
        <v>2721.86</v>
      </c>
      <c r="U340" s="24">
        <v>2674.86</v>
      </c>
      <c r="V340" s="24">
        <v>47</v>
      </c>
      <c r="W340" s="24" t="s">
        <v>528</v>
      </c>
      <c r="X340" s="24" t="s">
        <v>528</v>
      </c>
      <c r="Y340" s="24" t="s">
        <v>529</v>
      </c>
      <c r="Z340" s="102" t="s">
        <v>528</v>
      </c>
      <c r="AA340" s="24" t="s">
        <v>528</v>
      </c>
      <c r="AB340" s="24" t="s">
        <v>528</v>
      </c>
      <c r="AC340" s="24" t="s">
        <v>528</v>
      </c>
      <c r="AD340" s="24" t="s">
        <v>528</v>
      </c>
      <c r="AE340" s="24" t="s">
        <v>529</v>
      </c>
      <c r="AF340" s="24">
        <v>2</v>
      </c>
      <c r="AG340" s="24">
        <v>0</v>
      </c>
      <c r="AH340" s="24">
        <v>1</v>
      </c>
      <c r="AI340" s="24">
        <v>0</v>
      </c>
      <c r="AJ340" s="24">
        <v>1</v>
      </c>
      <c r="AK340" s="24">
        <v>0</v>
      </c>
      <c r="AL340" s="24"/>
    </row>
    <row r="341" spans="1:38" ht="31.2" x14ac:dyDescent="0.3">
      <c r="A341" s="53">
        <v>334</v>
      </c>
      <c r="B341" s="24" t="s">
        <v>544</v>
      </c>
      <c r="C341" s="24" t="s">
        <v>555</v>
      </c>
      <c r="D341" s="82" t="s">
        <v>968</v>
      </c>
      <c r="E341" s="24">
        <v>10</v>
      </c>
      <c r="F341" s="24" t="s">
        <v>200</v>
      </c>
      <c r="G341" s="24"/>
      <c r="H341" s="24" t="s">
        <v>978</v>
      </c>
      <c r="I341" s="30" t="s">
        <v>548</v>
      </c>
      <c r="J341" s="24" t="s">
        <v>558</v>
      </c>
      <c r="K341" s="24" t="s">
        <v>549</v>
      </c>
      <c r="L341" s="24" t="s">
        <v>549</v>
      </c>
      <c r="M341" s="24">
        <v>1902</v>
      </c>
      <c r="N341" s="24" t="s">
        <v>550</v>
      </c>
      <c r="O341" s="24">
        <v>6</v>
      </c>
      <c r="P341" s="24">
        <v>0</v>
      </c>
      <c r="Q341" s="24">
        <v>6</v>
      </c>
      <c r="R341" s="24">
        <v>58</v>
      </c>
      <c r="S341" s="24">
        <v>7607.2000000000007</v>
      </c>
      <c r="T341" s="24">
        <v>7607.2000000000007</v>
      </c>
      <c r="U341" s="24">
        <v>6189.6</v>
      </c>
      <c r="V341" s="24">
        <v>1417.6</v>
      </c>
      <c r="W341" s="24" t="s">
        <v>528</v>
      </c>
      <c r="X341" s="24" t="s">
        <v>528</v>
      </c>
      <c r="Y341" s="24" t="s">
        <v>529</v>
      </c>
      <c r="Z341" s="102" t="s">
        <v>528</v>
      </c>
      <c r="AA341" s="24" t="s">
        <v>528</v>
      </c>
      <c r="AB341" s="24" t="s">
        <v>528</v>
      </c>
      <c r="AC341" s="24" t="s">
        <v>528</v>
      </c>
      <c r="AD341" s="24" t="s">
        <v>528</v>
      </c>
      <c r="AE341" s="24" t="s">
        <v>529</v>
      </c>
      <c r="AF341" s="24">
        <v>5</v>
      </c>
      <c r="AG341" s="24">
        <v>0</v>
      </c>
      <c r="AH341" s="24">
        <v>1</v>
      </c>
      <c r="AI341" s="24">
        <v>0</v>
      </c>
      <c r="AJ341" s="24">
        <v>1</v>
      </c>
      <c r="AK341" s="24">
        <v>0</v>
      </c>
      <c r="AL341" s="24"/>
    </row>
    <row r="342" spans="1:38" ht="31.2" x14ac:dyDescent="0.3">
      <c r="A342" s="53">
        <v>335</v>
      </c>
      <c r="B342" s="24" t="s">
        <v>544</v>
      </c>
      <c r="C342" s="24" t="s">
        <v>584</v>
      </c>
      <c r="D342" s="82" t="s">
        <v>968</v>
      </c>
      <c r="E342" s="24">
        <v>23</v>
      </c>
      <c r="F342" s="24" t="s">
        <v>200</v>
      </c>
      <c r="G342" s="24"/>
      <c r="H342" s="24" t="s">
        <v>979</v>
      </c>
      <c r="I342" s="30" t="s">
        <v>548</v>
      </c>
      <c r="J342" s="24"/>
      <c r="K342" s="24" t="s">
        <v>549</v>
      </c>
      <c r="L342" s="24" t="s">
        <v>549</v>
      </c>
      <c r="M342" s="24">
        <v>1912</v>
      </c>
      <c r="N342" s="24" t="s">
        <v>550</v>
      </c>
      <c r="O342" s="24">
        <v>5</v>
      </c>
      <c r="P342" s="24">
        <v>0</v>
      </c>
      <c r="Q342" s="24">
        <v>1</v>
      </c>
      <c r="R342" s="24">
        <v>20</v>
      </c>
      <c r="S342" s="24">
        <v>1503.19</v>
      </c>
      <c r="T342" s="24">
        <v>1503.19</v>
      </c>
      <c r="U342" s="24">
        <v>1480.19</v>
      </c>
      <c r="V342" s="24">
        <v>23</v>
      </c>
      <c r="W342" s="24" t="s">
        <v>528</v>
      </c>
      <c r="X342" s="24" t="s">
        <v>528</v>
      </c>
      <c r="Y342" s="24" t="s">
        <v>529</v>
      </c>
      <c r="Z342" s="102" t="s">
        <v>528</v>
      </c>
      <c r="AA342" s="24" t="s">
        <v>528</v>
      </c>
      <c r="AB342" s="24" t="s">
        <v>528</v>
      </c>
      <c r="AC342" s="24" t="s">
        <v>528</v>
      </c>
      <c r="AD342" s="24" t="s">
        <v>528</v>
      </c>
      <c r="AE342" s="24" t="s">
        <v>529</v>
      </c>
      <c r="AF342" s="24">
        <v>1</v>
      </c>
      <c r="AG342" s="24">
        <v>0</v>
      </c>
      <c r="AH342" s="24">
        <v>1</v>
      </c>
      <c r="AI342" s="24">
        <v>0</v>
      </c>
      <c r="AJ342" s="24">
        <v>1</v>
      </c>
      <c r="AK342" s="24">
        <v>0</v>
      </c>
      <c r="AL342" s="24"/>
    </row>
    <row r="343" spans="1:38" ht="31.2" x14ac:dyDescent="0.3">
      <c r="A343" s="53">
        <v>336</v>
      </c>
      <c r="B343" s="24" t="s">
        <v>544</v>
      </c>
      <c r="C343" s="24" t="s">
        <v>584</v>
      </c>
      <c r="D343" s="82" t="s">
        <v>968</v>
      </c>
      <c r="E343" s="24">
        <v>23</v>
      </c>
      <c r="F343" s="24" t="s">
        <v>205</v>
      </c>
      <c r="G343" s="24"/>
      <c r="H343" s="24" t="s">
        <v>198</v>
      </c>
      <c r="I343" s="30" t="s">
        <v>548</v>
      </c>
      <c r="J343" s="24"/>
      <c r="K343" s="24" t="s">
        <v>549</v>
      </c>
      <c r="L343" s="24" t="s">
        <v>549</v>
      </c>
      <c r="M343" s="24">
        <v>1912</v>
      </c>
      <c r="N343" s="24" t="s">
        <v>550</v>
      </c>
      <c r="O343" s="24">
        <v>6</v>
      </c>
      <c r="P343" s="24">
        <v>0</v>
      </c>
      <c r="Q343" s="24">
        <v>1</v>
      </c>
      <c r="R343" s="24">
        <v>20</v>
      </c>
      <c r="S343" s="24">
        <v>1598.3</v>
      </c>
      <c r="T343" s="24">
        <v>1598.3</v>
      </c>
      <c r="U343" s="24">
        <v>1551.3</v>
      </c>
      <c r="V343" s="24">
        <v>47</v>
      </c>
      <c r="W343" s="24" t="s">
        <v>528</v>
      </c>
      <c r="X343" s="24" t="s">
        <v>528</v>
      </c>
      <c r="Y343" s="24" t="s">
        <v>529</v>
      </c>
      <c r="Z343" s="102" t="s">
        <v>528</v>
      </c>
      <c r="AA343" s="24" t="s">
        <v>528</v>
      </c>
      <c r="AB343" s="24" t="s">
        <v>528</v>
      </c>
      <c r="AC343" s="24" t="s">
        <v>528</v>
      </c>
      <c r="AD343" s="24" t="s">
        <v>528</v>
      </c>
      <c r="AE343" s="24" t="s">
        <v>529</v>
      </c>
      <c r="AF343" s="24">
        <v>0</v>
      </c>
      <c r="AG343" s="24">
        <v>0</v>
      </c>
      <c r="AH343" s="24">
        <v>1</v>
      </c>
      <c r="AI343" s="24">
        <v>0</v>
      </c>
      <c r="AJ343" s="24">
        <v>1</v>
      </c>
      <c r="AK343" s="24">
        <v>0</v>
      </c>
      <c r="AL343" s="24"/>
    </row>
    <row r="344" spans="1:38" ht="31.2" x14ac:dyDescent="0.3">
      <c r="A344" s="53">
        <v>337</v>
      </c>
      <c r="B344" s="24" t="s">
        <v>544</v>
      </c>
      <c r="C344" s="24" t="s">
        <v>584</v>
      </c>
      <c r="D344" s="82" t="s">
        <v>968</v>
      </c>
      <c r="E344" s="24">
        <v>24</v>
      </c>
      <c r="F344" s="24" t="s">
        <v>200</v>
      </c>
      <c r="G344" s="24"/>
      <c r="H344" s="24" t="s">
        <v>980</v>
      </c>
      <c r="I344" s="30" t="s">
        <v>548</v>
      </c>
      <c r="J344" s="24"/>
      <c r="K344" s="24" t="s">
        <v>549</v>
      </c>
      <c r="L344" s="24" t="s">
        <v>549</v>
      </c>
      <c r="M344" s="24">
        <v>1910</v>
      </c>
      <c r="N344" s="24" t="s">
        <v>550</v>
      </c>
      <c r="O344" s="24">
        <v>6</v>
      </c>
      <c r="P344" s="24">
        <v>0</v>
      </c>
      <c r="Q344" s="24">
        <v>4</v>
      </c>
      <c r="R344" s="24">
        <v>35</v>
      </c>
      <c r="S344" s="24">
        <v>2092.12</v>
      </c>
      <c r="T344" s="24">
        <v>2092.12</v>
      </c>
      <c r="U344" s="24">
        <v>2013.22</v>
      </c>
      <c r="V344" s="24">
        <v>78.900000000000006</v>
      </c>
      <c r="W344" s="24" t="s">
        <v>528</v>
      </c>
      <c r="X344" s="24" t="s">
        <v>528</v>
      </c>
      <c r="Y344" s="24" t="s">
        <v>529</v>
      </c>
      <c r="Z344" s="102" t="s">
        <v>528</v>
      </c>
      <c r="AA344" s="24" t="s">
        <v>528</v>
      </c>
      <c r="AB344" s="24" t="s">
        <v>528</v>
      </c>
      <c r="AC344" s="24" t="s">
        <v>528</v>
      </c>
      <c r="AD344" s="24" t="s">
        <v>528</v>
      </c>
      <c r="AE344" s="24" t="s">
        <v>529</v>
      </c>
      <c r="AF344" s="24">
        <v>1</v>
      </c>
      <c r="AG344" s="24">
        <v>0</v>
      </c>
      <c r="AH344" s="24">
        <v>1</v>
      </c>
      <c r="AI344" s="24">
        <v>0</v>
      </c>
      <c r="AJ344" s="24">
        <v>1</v>
      </c>
      <c r="AK344" s="24">
        <v>0</v>
      </c>
      <c r="AL344" s="24"/>
    </row>
    <row r="345" spans="1:38" ht="31.2" x14ac:dyDescent="0.3">
      <c r="A345" s="53">
        <v>338</v>
      </c>
      <c r="B345" s="24" t="s">
        <v>544</v>
      </c>
      <c r="C345" s="24" t="s">
        <v>584</v>
      </c>
      <c r="D345" s="82" t="s">
        <v>968</v>
      </c>
      <c r="E345" s="24">
        <v>25</v>
      </c>
      <c r="F345" s="24" t="s">
        <v>200</v>
      </c>
      <c r="G345" s="24"/>
      <c r="H345" s="24" t="s">
        <v>981</v>
      </c>
      <c r="I345" s="30" t="s">
        <v>548</v>
      </c>
      <c r="J345" s="24"/>
      <c r="K345" s="24" t="s">
        <v>549</v>
      </c>
      <c r="L345" s="24" t="s">
        <v>549</v>
      </c>
      <c r="M345" s="24">
        <v>1912</v>
      </c>
      <c r="N345" s="24" t="s">
        <v>550</v>
      </c>
      <c r="O345" s="24">
        <v>6</v>
      </c>
      <c r="P345" s="24">
        <v>0</v>
      </c>
      <c r="Q345" s="24">
        <v>2</v>
      </c>
      <c r="R345" s="24">
        <v>28</v>
      </c>
      <c r="S345" s="24">
        <v>2034.31</v>
      </c>
      <c r="T345" s="24">
        <v>2034.31</v>
      </c>
      <c r="U345" s="24">
        <v>1947.01</v>
      </c>
      <c r="V345" s="24">
        <v>87.3</v>
      </c>
      <c r="W345" s="24" t="s">
        <v>528</v>
      </c>
      <c r="X345" s="24" t="s">
        <v>528</v>
      </c>
      <c r="Y345" s="24" t="s">
        <v>529</v>
      </c>
      <c r="Z345" s="102" t="s">
        <v>528</v>
      </c>
      <c r="AA345" s="24" t="s">
        <v>528</v>
      </c>
      <c r="AB345" s="24" t="s">
        <v>528</v>
      </c>
      <c r="AC345" s="24" t="s">
        <v>528</v>
      </c>
      <c r="AD345" s="24" t="s">
        <v>528</v>
      </c>
      <c r="AE345" s="24" t="s">
        <v>529</v>
      </c>
      <c r="AF345" s="24">
        <v>0</v>
      </c>
      <c r="AG345" s="24">
        <v>0</v>
      </c>
      <c r="AH345" s="24">
        <v>1</v>
      </c>
      <c r="AI345" s="24">
        <v>0</v>
      </c>
      <c r="AJ345" s="24">
        <v>1</v>
      </c>
      <c r="AK345" s="24">
        <v>0</v>
      </c>
      <c r="AL345" s="24"/>
    </row>
    <row r="346" spans="1:38" ht="31.2" x14ac:dyDescent="0.3">
      <c r="A346" s="53">
        <v>339</v>
      </c>
      <c r="B346" s="24" t="s">
        <v>544</v>
      </c>
      <c r="C346" s="24" t="s">
        <v>584</v>
      </c>
      <c r="D346" s="82" t="s">
        <v>968</v>
      </c>
      <c r="E346" s="24">
        <v>28</v>
      </c>
      <c r="F346" s="24" t="s">
        <v>200</v>
      </c>
      <c r="G346" s="24"/>
      <c r="H346" s="24" t="s">
        <v>982</v>
      </c>
      <c r="I346" s="30" t="s">
        <v>548</v>
      </c>
      <c r="J346" s="24"/>
      <c r="K346" s="24" t="s">
        <v>549</v>
      </c>
      <c r="L346" s="24" t="s">
        <v>549</v>
      </c>
      <c r="M346" s="24">
        <v>1988</v>
      </c>
      <c r="N346" s="24" t="s">
        <v>550</v>
      </c>
      <c r="O346" s="24">
        <v>8</v>
      </c>
      <c r="P346" s="24">
        <v>0</v>
      </c>
      <c r="Q346" s="24">
        <v>2</v>
      </c>
      <c r="R346" s="24">
        <v>126</v>
      </c>
      <c r="S346" s="24">
        <v>8196.9</v>
      </c>
      <c r="T346" s="24">
        <v>8196.9</v>
      </c>
      <c r="U346" s="24">
        <v>7306.9</v>
      </c>
      <c r="V346" s="24">
        <v>890</v>
      </c>
      <c r="W346" s="24" t="s">
        <v>528</v>
      </c>
      <c r="X346" s="24" t="s">
        <v>528</v>
      </c>
      <c r="Y346" s="24" t="s">
        <v>529</v>
      </c>
      <c r="Z346" s="102" t="s">
        <v>528</v>
      </c>
      <c r="AA346" s="24" t="s">
        <v>528</v>
      </c>
      <c r="AB346" s="24" t="s">
        <v>528</v>
      </c>
      <c r="AC346" s="24" t="s">
        <v>528</v>
      </c>
      <c r="AD346" s="24" t="s">
        <v>528</v>
      </c>
      <c r="AE346" s="24" t="s">
        <v>529</v>
      </c>
      <c r="AF346" s="24">
        <v>2</v>
      </c>
      <c r="AG346" s="24">
        <v>0</v>
      </c>
      <c r="AH346" s="24">
        <v>1</v>
      </c>
      <c r="AI346" s="24">
        <v>0</v>
      </c>
      <c r="AJ346" s="24">
        <v>1</v>
      </c>
      <c r="AK346" s="24">
        <v>0</v>
      </c>
      <c r="AL346" s="24"/>
    </row>
    <row r="347" spans="1:38" ht="31.2" x14ac:dyDescent="0.3">
      <c r="A347" s="53">
        <v>340</v>
      </c>
      <c r="B347" s="24" t="s">
        <v>544</v>
      </c>
      <c r="C347" s="24" t="s">
        <v>584</v>
      </c>
      <c r="D347" s="82" t="s">
        <v>968</v>
      </c>
      <c r="E347" s="24">
        <v>29</v>
      </c>
      <c r="F347" s="24" t="s">
        <v>205</v>
      </c>
      <c r="G347" s="24"/>
      <c r="H347" s="24" t="s">
        <v>983</v>
      </c>
      <c r="I347" s="30" t="s">
        <v>548</v>
      </c>
      <c r="J347" s="24"/>
      <c r="K347" s="24" t="s">
        <v>549</v>
      </c>
      <c r="L347" s="24" t="s">
        <v>549</v>
      </c>
      <c r="M347" s="24">
        <v>1913</v>
      </c>
      <c r="N347" s="24" t="s">
        <v>550</v>
      </c>
      <c r="O347" s="24">
        <v>6</v>
      </c>
      <c r="P347" s="24">
        <v>0</v>
      </c>
      <c r="Q347" s="24">
        <v>1</v>
      </c>
      <c r="R347" s="24">
        <v>24</v>
      </c>
      <c r="S347" s="24">
        <v>1529</v>
      </c>
      <c r="T347" s="24">
        <v>1529</v>
      </c>
      <c r="U347" s="24">
        <v>1523</v>
      </c>
      <c r="V347" s="24">
        <v>6</v>
      </c>
      <c r="W347" s="24" t="s">
        <v>528</v>
      </c>
      <c r="X347" s="24" t="s">
        <v>528</v>
      </c>
      <c r="Y347" s="24" t="s">
        <v>529</v>
      </c>
      <c r="Z347" s="102" t="s">
        <v>528</v>
      </c>
      <c r="AA347" s="24" t="s">
        <v>528</v>
      </c>
      <c r="AB347" s="24" t="s">
        <v>528</v>
      </c>
      <c r="AC347" s="24" t="s">
        <v>528</v>
      </c>
      <c r="AD347" s="24" t="s">
        <v>528</v>
      </c>
      <c r="AE347" s="24" t="s">
        <v>529</v>
      </c>
      <c r="AF347" s="24">
        <v>1</v>
      </c>
      <c r="AG347" s="24">
        <v>0</v>
      </c>
      <c r="AH347" s="24">
        <v>1</v>
      </c>
      <c r="AI347" s="24">
        <v>0</v>
      </c>
      <c r="AJ347" s="24">
        <v>0</v>
      </c>
      <c r="AK347" s="24">
        <v>0</v>
      </c>
      <c r="AL347" s="24"/>
    </row>
    <row r="348" spans="1:38" ht="31.2" x14ac:dyDescent="0.3">
      <c r="A348" s="53">
        <v>341</v>
      </c>
      <c r="B348" s="24" t="s">
        <v>544</v>
      </c>
      <c r="C348" s="24" t="s">
        <v>584</v>
      </c>
      <c r="D348" s="82" t="s">
        <v>968</v>
      </c>
      <c r="E348" s="24">
        <v>31</v>
      </c>
      <c r="F348" s="24" t="s">
        <v>200</v>
      </c>
      <c r="G348" s="24"/>
      <c r="H348" s="24" t="s">
        <v>984</v>
      </c>
      <c r="I348" s="30" t="s">
        <v>548</v>
      </c>
      <c r="J348" s="24"/>
      <c r="K348" s="24" t="s">
        <v>549</v>
      </c>
      <c r="L348" s="24" t="s">
        <v>549</v>
      </c>
      <c r="M348" s="24">
        <v>1913</v>
      </c>
      <c r="N348" s="24" t="s">
        <v>550</v>
      </c>
      <c r="O348" s="24">
        <v>6</v>
      </c>
      <c r="P348" s="24">
        <v>0</v>
      </c>
      <c r="Q348" s="24">
        <v>3</v>
      </c>
      <c r="R348" s="24">
        <v>58</v>
      </c>
      <c r="S348" s="24">
        <v>3701.56</v>
      </c>
      <c r="T348" s="24">
        <v>3701.56</v>
      </c>
      <c r="U348" s="24">
        <v>3629.56</v>
      </c>
      <c r="V348" s="24">
        <v>72</v>
      </c>
      <c r="W348" s="24" t="s">
        <v>528</v>
      </c>
      <c r="X348" s="24" t="s">
        <v>528</v>
      </c>
      <c r="Y348" s="24" t="s">
        <v>529</v>
      </c>
      <c r="Z348" s="102" t="s">
        <v>528</v>
      </c>
      <c r="AA348" s="24" t="s">
        <v>528</v>
      </c>
      <c r="AB348" s="24" t="s">
        <v>528</v>
      </c>
      <c r="AC348" s="24" t="s">
        <v>528</v>
      </c>
      <c r="AD348" s="24" t="s">
        <v>528</v>
      </c>
      <c r="AE348" s="24" t="s">
        <v>529</v>
      </c>
      <c r="AF348" s="24">
        <v>3</v>
      </c>
      <c r="AG348" s="24">
        <v>0</v>
      </c>
      <c r="AH348" s="24">
        <v>1</v>
      </c>
      <c r="AI348" s="24">
        <v>0</v>
      </c>
      <c r="AJ348" s="24">
        <v>1</v>
      </c>
      <c r="AK348" s="24">
        <v>0</v>
      </c>
      <c r="AL348" s="24"/>
    </row>
    <row r="349" spans="1:38" ht="31.2" x14ac:dyDescent="0.3">
      <c r="A349" s="53">
        <v>342</v>
      </c>
      <c r="B349" s="24" t="s">
        <v>544</v>
      </c>
      <c r="C349" s="24" t="s">
        <v>584</v>
      </c>
      <c r="D349" s="82" t="s">
        <v>968</v>
      </c>
      <c r="E349" s="24">
        <v>32</v>
      </c>
      <c r="F349" s="24" t="s">
        <v>205</v>
      </c>
      <c r="G349" s="24"/>
      <c r="H349" s="24" t="s">
        <v>985</v>
      </c>
      <c r="I349" s="30" t="s">
        <v>548</v>
      </c>
      <c r="J349" s="24"/>
      <c r="K349" s="24" t="s">
        <v>549</v>
      </c>
      <c r="L349" s="24" t="s">
        <v>549</v>
      </c>
      <c r="M349" s="24">
        <v>1912</v>
      </c>
      <c r="N349" s="24" t="s">
        <v>550</v>
      </c>
      <c r="O349" s="24">
        <v>6</v>
      </c>
      <c r="P349" s="24">
        <v>0</v>
      </c>
      <c r="Q349" s="24">
        <v>2</v>
      </c>
      <c r="R349" s="24">
        <v>32</v>
      </c>
      <c r="S349" s="24">
        <v>1539.35</v>
      </c>
      <c r="T349" s="24">
        <v>1539.35</v>
      </c>
      <c r="U349" s="24">
        <v>1353.35</v>
      </c>
      <c r="V349" s="24">
        <v>186</v>
      </c>
      <c r="W349" s="24" t="s">
        <v>528</v>
      </c>
      <c r="X349" s="24" t="s">
        <v>528</v>
      </c>
      <c r="Y349" s="24" t="s">
        <v>529</v>
      </c>
      <c r="Z349" s="102" t="s">
        <v>528</v>
      </c>
      <c r="AA349" s="24" t="s">
        <v>528</v>
      </c>
      <c r="AB349" s="24" t="s">
        <v>528</v>
      </c>
      <c r="AC349" s="24" t="s">
        <v>528</v>
      </c>
      <c r="AD349" s="24" t="s">
        <v>528</v>
      </c>
      <c r="AE349" s="24" t="s">
        <v>529</v>
      </c>
      <c r="AF349" s="24">
        <v>0</v>
      </c>
      <c r="AG349" s="24">
        <v>0</v>
      </c>
      <c r="AH349" s="24">
        <v>1</v>
      </c>
      <c r="AI349" s="24">
        <v>0</v>
      </c>
      <c r="AJ349" s="24">
        <v>1</v>
      </c>
      <c r="AK349" s="24">
        <v>0</v>
      </c>
      <c r="AL349" s="24"/>
    </row>
    <row r="350" spans="1:38" ht="31.2" x14ac:dyDescent="0.3">
      <c r="A350" s="53">
        <v>343</v>
      </c>
      <c r="B350" s="24" t="s">
        <v>544</v>
      </c>
      <c r="C350" s="24" t="s">
        <v>584</v>
      </c>
      <c r="D350" s="82" t="s">
        <v>968</v>
      </c>
      <c r="E350" s="24">
        <v>35</v>
      </c>
      <c r="F350" s="24" t="s">
        <v>200</v>
      </c>
      <c r="G350" s="24"/>
      <c r="H350" s="24" t="s">
        <v>986</v>
      </c>
      <c r="I350" s="30" t="s">
        <v>548</v>
      </c>
      <c r="J350" s="24"/>
      <c r="K350" s="24" t="s">
        <v>549</v>
      </c>
      <c r="L350" s="24" t="s">
        <v>549</v>
      </c>
      <c r="M350" s="24">
        <v>1910</v>
      </c>
      <c r="N350" s="24" t="s">
        <v>550</v>
      </c>
      <c r="O350" s="24">
        <v>7</v>
      </c>
      <c r="P350" s="24">
        <v>0</v>
      </c>
      <c r="Q350" s="24">
        <v>3</v>
      </c>
      <c r="R350" s="24">
        <v>53</v>
      </c>
      <c r="S350" s="24">
        <v>3446.7</v>
      </c>
      <c r="T350" s="24">
        <v>3446.7</v>
      </c>
      <c r="U350" s="24">
        <v>3163.7</v>
      </c>
      <c r="V350" s="24">
        <v>283</v>
      </c>
      <c r="W350" s="24" t="s">
        <v>528</v>
      </c>
      <c r="X350" s="24" t="s">
        <v>528</v>
      </c>
      <c r="Y350" s="24" t="s">
        <v>529</v>
      </c>
      <c r="Z350" s="102" t="s">
        <v>528</v>
      </c>
      <c r="AA350" s="24" t="s">
        <v>528</v>
      </c>
      <c r="AB350" s="24" t="s">
        <v>528</v>
      </c>
      <c r="AC350" s="24" t="s">
        <v>528</v>
      </c>
      <c r="AD350" s="24" t="s">
        <v>528</v>
      </c>
      <c r="AE350" s="24" t="s">
        <v>529</v>
      </c>
      <c r="AF350" s="24">
        <v>2</v>
      </c>
      <c r="AG350" s="24">
        <v>0</v>
      </c>
      <c r="AH350" s="24">
        <v>1</v>
      </c>
      <c r="AI350" s="24">
        <v>0</v>
      </c>
      <c r="AJ350" s="24">
        <v>1</v>
      </c>
      <c r="AK350" s="24">
        <v>0</v>
      </c>
      <c r="AL350" s="24"/>
    </row>
    <row r="351" spans="1:38" ht="31.2" x14ac:dyDescent="0.3">
      <c r="A351" s="53">
        <v>344</v>
      </c>
      <c r="B351" s="24" t="s">
        <v>544</v>
      </c>
      <c r="C351" s="24" t="s">
        <v>555</v>
      </c>
      <c r="D351" s="82" t="s">
        <v>968</v>
      </c>
      <c r="E351" s="24">
        <v>35</v>
      </c>
      <c r="F351" s="24" t="s">
        <v>205</v>
      </c>
      <c r="G351" s="24"/>
      <c r="H351" s="24" t="s">
        <v>987</v>
      </c>
      <c r="I351" s="30" t="s">
        <v>548</v>
      </c>
      <c r="J351" s="24"/>
      <c r="K351" s="24" t="s">
        <v>549</v>
      </c>
      <c r="L351" s="24" t="s">
        <v>549</v>
      </c>
      <c r="M351" s="24">
        <v>1912</v>
      </c>
      <c r="N351" s="24" t="s">
        <v>550</v>
      </c>
      <c r="O351" s="24">
        <v>3</v>
      </c>
      <c r="P351" s="24">
        <v>0</v>
      </c>
      <c r="Q351" s="24">
        <v>1</v>
      </c>
      <c r="R351" s="24">
        <v>2</v>
      </c>
      <c r="S351" s="24">
        <v>146.19999999999999</v>
      </c>
      <c r="T351" s="24">
        <v>146.19999999999999</v>
      </c>
      <c r="U351" s="24">
        <v>80.2</v>
      </c>
      <c r="V351" s="24">
        <v>66</v>
      </c>
      <c r="W351" s="24" t="s">
        <v>528</v>
      </c>
      <c r="X351" s="24" t="s">
        <v>528</v>
      </c>
      <c r="Y351" s="24" t="s">
        <v>529</v>
      </c>
      <c r="Z351" s="102" t="s">
        <v>528</v>
      </c>
      <c r="AA351" s="24" t="s">
        <v>528</v>
      </c>
      <c r="AB351" s="24" t="s">
        <v>529</v>
      </c>
      <c r="AC351" s="24" t="s">
        <v>528</v>
      </c>
      <c r="AD351" s="24" t="s">
        <v>529</v>
      </c>
      <c r="AE351" s="24" t="s">
        <v>528</v>
      </c>
      <c r="AF351" s="24">
        <v>0</v>
      </c>
      <c r="AG351" s="24">
        <v>0</v>
      </c>
      <c r="AH351" s="24">
        <v>1</v>
      </c>
      <c r="AI351" s="24">
        <v>0</v>
      </c>
      <c r="AJ351" s="24">
        <v>0</v>
      </c>
      <c r="AK351" s="24">
        <v>0</v>
      </c>
      <c r="AL351" s="24"/>
    </row>
    <row r="352" spans="1:38" ht="31.2" x14ac:dyDescent="0.3">
      <c r="A352" s="53">
        <v>345</v>
      </c>
      <c r="B352" s="24" t="s">
        <v>544</v>
      </c>
      <c r="C352" s="24" t="s">
        <v>584</v>
      </c>
      <c r="D352" s="82" t="s">
        <v>988</v>
      </c>
      <c r="E352" s="24">
        <v>7</v>
      </c>
      <c r="F352" s="24" t="s">
        <v>205</v>
      </c>
      <c r="G352" s="24"/>
      <c r="H352" s="24" t="s">
        <v>989</v>
      </c>
      <c r="I352" s="30" t="s">
        <v>548</v>
      </c>
      <c r="J352" s="24"/>
      <c r="K352" s="24" t="s">
        <v>549</v>
      </c>
      <c r="L352" s="24" t="s">
        <v>549</v>
      </c>
      <c r="M352" s="24">
        <v>1911</v>
      </c>
      <c r="N352" s="24" t="s">
        <v>550</v>
      </c>
      <c r="O352" s="24">
        <v>6</v>
      </c>
      <c r="P352" s="24">
        <v>0</v>
      </c>
      <c r="Q352" s="24">
        <v>1</v>
      </c>
      <c r="R352" s="24">
        <v>13</v>
      </c>
      <c r="S352" s="24">
        <v>1655.1</v>
      </c>
      <c r="T352" s="24">
        <v>1655.1</v>
      </c>
      <c r="U352" s="24">
        <v>1609.8</v>
      </c>
      <c r="V352" s="24">
        <v>45.3</v>
      </c>
      <c r="W352" s="24" t="s">
        <v>528</v>
      </c>
      <c r="X352" s="24" t="s">
        <v>528</v>
      </c>
      <c r="Y352" s="24" t="s">
        <v>529</v>
      </c>
      <c r="Z352" s="102" t="s">
        <v>528</v>
      </c>
      <c r="AA352" s="24" t="s">
        <v>528</v>
      </c>
      <c r="AB352" s="24" t="s">
        <v>528</v>
      </c>
      <c r="AC352" s="24" t="s">
        <v>528</v>
      </c>
      <c r="AD352" s="24" t="s">
        <v>528</v>
      </c>
      <c r="AE352" s="24" t="s">
        <v>529</v>
      </c>
      <c r="AF352" s="24">
        <v>2</v>
      </c>
      <c r="AG352" s="24">
        <v>0</v>
      </c>
      <c r="AH352" s="24">
        <v>1</v>
      </c>
      <c r="AI352" s="24">
        <v>0</v>
      </c>
      <c r="AJ352" s="24">
        <v>1</v>
      </c>
      <c r="AK352" s="24">
        <v>0</v>
      </c>
      <c r="AL352" s="24"/>
    </row>
    <row r="353" spans="1:38" ht="31.2" x14ac:dyDescent="0.3">
      <c r="A353" s="53">
        <v>346</v>
      </c>
      <c r="B353" s="24" t="s">
        <v>544</v>
      </c>
      <c r="C353" s="24" t="s">
        <v>584</v>
      </c>
      <c r="D353" s="82" t="s">
        <v>988</v>
      </c>
      <c r="E353" s="24">
        <v>7</v>
      </c>
      <c r="F353" s="24" t="s">
        <v>206</v>
      </c>
      <c r="G353" s="24"/>
      <c r="H353" s="24" t="s">
        <v>990</v>
      </c>
      <c r="I353" s="30" t="s">
        <v>548</v>
      </c>
      <c r="J353" s="24"/>
      <c r="K353" s="24" t="s">
        <v>549</v>
      </c>
      <c r="L353" s="24" t="s">
        <v>549</v>
      </c>
      <c r="M353" s="24">
        <v>1910</v>
      </c>
      <c r="N353" s="24" t="s">
        <v>550</v>
      </c>
      <c r="O353" s="24">
        <v>5</v>
      </c>
      <c r="P353" s="24">
        <v>0</v>
      </c>
      <c r="Q353" s="24">
        <v>3</v>
      </c>
      <c r="R353" s="24">
        <v>20</v>
      </c>
      <c r="S353" s="24">
        <v>1458.14</v>
      </c>
      <c r="T353" s="24">
        <v>1458.14</v>
      </c>
      <c r="U353" s="24">
        <v>1458.14</v>
      </c>
      <c r="V353" s="24">
        <v>0</v>
      </c>
      <c r="W353" s="24" t="s">
        <v>528</v>
      </c>
      <c r="X353" s="24" t="s">
        <v>528</v>
      </c>
      <c r="Y353" s="24" t="s">
        <v>529</v>
      </c>
      <c r="Z353" s="102" t="s">
        <v>528</v>
      </c>
      <c r="AA353" s="24" t="s">
        <v>528</v>
      </c>
      <c r="AB353" s="24" t="s">
        <v>528</v>
      </c>
      <c r="AC353" s="24" t="s">
        <v>528</v>
      </c>
      <c r="AD353" s="24" t="s">
        <v>528</v>
      </c>
      <c r="AE353" s="24" t="s">
        <v>529</v>
      </c>
      <c r="AF353" s="24">
        <v>1</v>
      </c>
      <c r="AG353" s="24">
        <v>0</v>
      </c>
      <c r="AH353" s="24">
        <v>1</v>
      </c>
      <c r="AI353" s="24">
        <v>0</v>
      </c>
      <c r="AJ353" s="24">
        <v>0</v>
      </c>
      <c r="AK353" s="24">
        <v>0</v>
      </c>
      <c r="AL353" s="24"/>
    </row>
    <row r="354" spans="1:38" ht="31.2" x14ac:dyDescent="0.3">
      <c r="A354" s="53">
        <v>347</v>
      </c>
      <c r="B354" s="24" t="s">
        <v>544</v>
      </c>
      <c r="C354" s="24" t="s">
        <v>584</v>
      </c>
      <c r="D354" s="82" t="s">
        <v>988</v>
      </c>
      <c r="E354" s="24" t="s">
        <v>991</v>
      </c>
      <c r="F354" s="24" t="s">
        <v>200</v>
      </c>
      <c r="G354" s="24"/>
      <c r="H354" s="24" t="s">
        <v>992</v>
      </c>
      <c r="I354" s="30" t="s">
        <v>548</v>
      </c>
      <c r="J354" s="24"/>
      <c r="K354" s="24" t="s">
        <v>549</v>
      </c>
      <c r="L354" s="24" t="s">
        <v>549</v>
      </c>
      <c r="M354" s="24">
        <v>1901</v>
      </c>
      <c r="N354" s="24" t="s">
        <v>550</v>
      </c>
      <c r="O354" s="24">
        <v>5</v>
      </c>
      <c r="P354" s="24">
        <v>0</v>
      </c>
      <c r="Q354" s="24">
        <v>6</v>
      </c>
      <c r="R354" s="24">
        <v>44</v>
      </c>
      <c r="S354" s="24">
        <v>4001</v>
      </c>
      <c r="T354" s="24">
        <v>4001</v>
      </c>
      <c r="U354" s="24">
        <v>3276.8</v>
      </c>
      <c r="V354" s="24">
        <v>724.2</v>
      </c>
      <c r="W354" s="24" t="s">
        <v>528</v>
      </c>
      <c r="X354" s="24" t="s">
        <v>528</v>
      </c>
      <c r="Y354" s="24" t="s">
        <v>529</v>
      </c>
      <c r="Z354" s="102" t="s">
        <v>528</v>
      </c>
      <c r="AA354" s="24" t="s">
        <v>528</v>
      </c>
      <c r="AB354" s="24" t="s">
        <v>528</v>
      </c>
      <c r="AC354" s="24" t="s">
        <v>528</v>
      </c>
      <c r="AD354" s="24" t="s">
        <v>528</v>
      </c>
      <c r="AE354" s="24" t="s">
        <v>529</v>
      </c>
      <c r="AF354" s="24">
        <v>3</v>
      </c>
      <c r="AG354" s="24">
        <v>0</v>
      </c>
      <c r="AH354" s="24">
        <v>1</v>
      </c>
      <c r="AI354" s="24">
        <v>0</v>
      </c>
      <c r="AJ354" s="24">
        <v>1</v>
      </c>
      <c r="AK354" s="24">
        <v>0</v>
      </c>
      <c r="AL354" s="24"/>
    </row>
    <row r="355" spans="1:38" ht="31.2" x14ac:dyDescent="0.3">
      <c r="A355" s="53">
        <v>348</v>
      </c>
      <c r="B355" s="24" t="s">
        <v>544</v>
      </c>
      <c r="C355" s="24" t="s">
        <v>584</v>
      </c>
      <c r="D355" s="82" t="s">
        <v>988</v>
      </c>
      <c r="E355" s="24" t="s">
        <v>993</v>
      </c>
      <c r="F355" s="24" t="s">
        <v>200</v>
      </c>
      <c r="G355" s="24"/>
      <c r="H355" s="24" t="s">
        <v>994</v>
      </c>
      <c r="I355" s="30" t="s">
        <v>548</v>
      </c>
      <c r="J355" s="24"/>
      <c r="K355" s="24" t="s">
        <v>549</v>
      </c>
      <c r="L355" s="24" t="s">
        <v>549</v>
      </c>
      <c r="M355" s="24">
        <v>1880</v>
      </c>
      <c r="N355" s="24" t="s">
        <v>550</v>
      </c>
      <c r="O355" s="24">
        <v>5</v>
      </c>
      <c r="P355" s="24">
        <v>0</v>
      </c>
      <c r="Q355" s="24">
        <v>2</v>
      </c>
      <c r="R355" s="24">
        <v>23</v>
      </c>
      <c r="S355" s="24">
        <v>1839.49</v>
      </c>
      <c r="T355" s="24">
        <v>1839.49</v>
      </c>
      <c r="U355" s="24">
        <v>1511.49</v>
      </c>
      <c r="V355" s="24">
        <v>328</v>
      </c>
      <c r="W355" s="24" t="s">
        <v>528</v>
      </c>
      <c r="X355" s="24" t="s">
        <v>528</v>
      </c>
      <c r="Y355" s="24" t="s">
        <v>529</v>
      </c>
      <c r="Z355" s="102" t="s">
        <v>528</v>
      </c>
      <c r="AA355" s="24" t="s">
        <v>528</v>
      </c>
      <c r="AB355" s="24" t="s">
        <v>528</v>
      </c>
      <c r="AC355" s="24" t="s">
        <v>528</v>
      </c>
      <c r="AD355" s="24" t="s">
        <v>528</v>
      </c>
      <c r="AE355" s="24" t="s">
        <v>529</v>
      </c>
      <c r="AF355" s="24">
        <v>2</v>
      </c>
      <c r="AG355" s="24">
        <v>0</v>
      </c>
      <c r="AH355" s="24">
        <v>1</v>
      </c>
      <c r="AI355" s="24">
        <v>0</v>
      </c>
      <c r="AJ355" s="24">
        <v>0</v>
      </c>
      <c r="AK355" s="24">
        <v>0</v>
      </c>
      <c r="AL355" s="24"/>
    </row>
    <row r="356" spans="1:38" ht="31.2" x14ac:dyDescent="0.3">
      <c r="A356" s="53">
        <v>349</v>
      </c>
      <c r="B356" s="24" t="s">
        <v>544</v>
      </c>
      <c r="C356" s="24" t="s">
        <v>584</v>
      </c>
      <c r="D356" s="82" t="s">
        <v>988</v>
      </c>
      <c r="E356" s="24">
        <v>12</v>
      </c>
      <c r="F356" s="24" t="s">
        <v>200</v>
      </c>
      <c r="G356" s="24"/>
      <c r="H356" s="24" t="s">
        <v>995</v>
      </c>
      <c r="I356" s="30" t="s">
        <v>548</v>
      </c>
      <c r="J356" s="24"/>
      <c r="K356" s="24" t="s">
        <v>549</v>
      </c>
      <c r="L356" s="24" t="s">
        <v>549</v>
      </c>
      <c r="M356" s="24">
        <v>1903</v>
      </c>
      <c r="N356" s="24" t="s">
        <v>550</v>
      </c>
      <c r="O356" s="24">
        <v>4</v>
      </c>
      <c r="P356" s="24">
        <v>0</v>
      </c>
      <c r="Q356" s="24">
        <v>4</v>
      </c>
      <c r="R356" s="24">
        <v>20</v>
      </c>
      <c r="S356" s="24">
        <v>3598.8999999999996</v>
      </c>
      <c r="T356" s="24">
        <v>3598.8999999999996</v>
      </c>
      <c r="U356" s="24">
        <v>2640.1</v>
      </c>
      <c r="V356" s="24">
        <v>958.8</v>
      </c>
      <c r="W356" s="24" t="s">
        <v>528</v>
      </c>
      <c r="X356" s="24" t="s">
        <v>528</v>
      </c>
      <c r="Y356" s="24" t="s">
        <v>529</v>
      </c>
      <c r="Z356" s="102" t="s">
        <v>528</v>
      </c>
      <c r="AA356" s="24" t="s">
        <v>528</v>
      </c>
      <c r="AB356" s="24" t="s">
        <v>528</v>
      </c>
      <c r="AC356" s="24" t="s">
        <v>528</v>
      </c>
      <c r="AD356" s="24" t="s">
        <v>528</v>
      </c>
      <c r="AE356" s="24" t="s">
        <v>529</v>
      </c>
      <c r="AF356" s="24">
        <v>0</v>
      </c>
      <c r="AG356" s="24">
        <v>0</v>
      </c>
      <c r="AH356" s="24">
        <v>1</v>
      </c>
      <c r="AI356" s="24">
        <v>0</v>
      </c>
      <c r="AJ356" s="24">
        <v>1</v>
      </c>
      <c r="AK356" s="24">
        <v>0</v>
      </c>
      <c r="AL356" s="24"/>
    </row>
    <row r="357" spans="1:38" ht="31.2" x14ac:dyDescent="0.3">
      <c r="A357" s="53">
        <v>350</v>
      </c>
      <c r="B357" s="24" t="s">
        <v>544</v>
      </c>
      <c r="C357" s="24" t="s">
        <v>584</v>
      </c>
      <c r="D357" s="82" t="s">
        <v>988</v>
      </c>
      <c r="E357" s="24">
        <v>13</v>
      </c>
      <c r="F357" s="24" t="s">
        <v>205</v>
      </c>
      <c r="G357" s="24"/>
      <c r="H357" s="24" t="s">
        <v>996</v>
      </c>
      <c r="I357" s="30" t="s">
        <v>548</v>
      </c>
      <c r="J357" s="24"/>
      <c r="K357" s="24" t="s">
        <v>549</v>
      </c>
      <c r="L357" s="24" t="s">
        <v>549</v>
      </c>
      <c r="M357" s="24">
        <v>1905</v>
      </c>
      <c r="N357" s="24" t="s">
        <v>550</v>
      </c>
      <c r="O357" s="24">
        <v>5</v>
      </c>
      <c r="P357" s="24">
        <v>0</v>
      </c>
      <c r="Q357" s="24">
        <v>1</v>
      </c>
      <c r="R357" s="24">
        <v>10</v>
      </c>
      <c r="S357" s="24">
        <v>462.61</v>
      </c>
      <c r="T357" s="24">
        <v>462.61</v>
      </c>
      <c r="U357" s="24">
        <v>462.61</v>
      </c>
      <c r="V357" s="24">
        <v>0</v>
      </c>
      <c r="W357" s="24" t="s">
        <v>528</v>
      </c>
      <c r="X357" s="24" t="s">
        <v>528</v>
      </c>
      <c r="Y357" s="24" t="s">
        <v>529</v>
      </c>
      <c r="Z357" s="102" t="s">
        <v>528</v>
      </c>
      <c r="AA357" s="24" t="s">
        <v>528</v>
      </c>
      <c r="AB357" s="24" t="s">
        <v>528</v>
      </c>
      <c r="AC357" s="24" t="s">
        <v>528</v>
      </c>
      <c r="AD357" s="24" t="s">
        <v>528</v>
      </c>
      <c r="AE357" s="24" t="s">
        <v>529</v>
      </c>
      <c r="AF357" s="24">
        <v>0</v>
      </c>
      <c r="AG357" s="24">
        <v>0</v>
      </c>
      <c r="AH357" s="24">
        <v>1</v>
      </c>
      <c r="AI357" s="24">
        <v>0</v>
      </c>
      <c r="AJ357" s="24">
        <v>1</v>
      </c>
      <c r="AK357" s="24">
        <v>0</v>
      </c>
      <c r="AL357" s="24"/>
    </row>
    <row r="358" spans="1:38" ht="31.2" x14ac:dyDescent="0.3">
      <c r="A358" s="53">
        <v>351</v>
      </c>
      <c r="B358" s="24" t="s">
        <v>544</v>
      </c>
      <c r="C358" s="24" t="s">
        <v>584</v>
      </c>
      <c r="D358" s="82" t="s">
        <v>988</v>
      </c>
      <c r="E358" s="24">
        <v>13</v>
      </c>
      <c r="F358" s="24" t="s">
        <v>206</v>
      </c>
      <c r="G358" s="24"/>
      <c r="H358" s="24" t="s">
        <v>997</v>
      </c>
      <c r="I358" s="30" t="s">
        <v>548</v>
      </c>
      <c r="J358" s="24"/>
      <c r="K358" s="24" t="s">
        <v>549</v>
      </c>
      <c r="L358" s="24" t="s">
        <v>549</v>
      </c>
      <c r="M358" s="24">
        <v>1908</v>
      </c>
      <c r="N358" s="24" t="s">
        <v>550</v>
      </c>
      <c r="O358" s="24">
        <v>5</v>
      </c>
      <c r="P358" s="24">
        <v>0</v>
      </c>
      <c r="Q358" s="24">
        <v>1</v>
      </c>
      <c r="R358" s="24">
        <v>10</v>
      </c>
      <c r="S358" s="24">
        <v>584.75</v>
      </c>
      <c r="T358" s="24">
        <v>584.75</v>
      </c>
      <c r="U358" s="24">
        <v>584.75</v>
      </c>
      <c r="V358" s="24">
        <v>0</v>
      </c>
      <c r="W358" s="24" t="s">
        <v>528</v>
      </c>
      <c r="X358" s="24" t="s">
        <v>528</v>
      </c>
      <c r="Y358" s="24" t="s">
        <v>529</v>
      </c>
      <c r="Z358" s="102" t="s">
        <v>528</v>
      </c>
      <c r="AA358" s="24" t="s">
        <v>528</v>
      </c>
      <c r="AB358" s="24" t="s">
        <v>528</v>
      </c>
      <c r="AC358" s="24" t="s">
        <v>528</v>
      </c>
      <c r="AD358" s="24" t="s">
        <v>528</v>
      </c>
      <c r="AE358" s="24" t="s">
        <v>529</v>
      </c>
      <c r="AF358" s="24">
        <v>0</v>
      </c>
      <c r="AG358" s="24">
        <v>0</v>
      </c>
      <c r="AH358" s="24">
        <v>1</v>
      </c>
      <c r="AI358" s="24">
        <v>0</v>
      </c>
      <c r="AJ358" s="24">
        <v>0</v>
      </c>
      <c r="AK358" s="24">
        <v>0</v>
      </c>
      <c r="AL358" s="24"/>
    </row>
    <row r="359" spans="1:38" ht="31.2" x14ac:dyDescent="0.3">
      <c r="A359" s="53">
        <v>352</v>
      </c>
      <c r="B359" s="24" t="s">
        <v>544</v>
      </c>
      <c r="C359" s="24" t="s">
        <v>584</v>
      </c>
      <c r="D359" s="82" t="s">
        <v>988</v>
      </c>
      <c r="E359" s="24" t="s">
        <v>998</v>
      </c>
      <c r="F359" s="24" t="s">
        <v>200</v>
      </c>
      <c r="G359" s="24"/>
      <c r="H359" s="24" t="s">
        <v>999</v>
      </c>
      <c r="I359" s="30" t="s">
        <v>548</v>
      </c>
      <c r="J359" s="24" t="s">
        <v>558</v>
      </c>
      <c r="K359" s="24" t="s">
        <v>549</v>
      </c>
      <c r="L359" s="24" t="s">
        <v>549</v>
      </c>
      <c r="M359" s="24">
        <v>1912</v>
      </c>
      <c r="N359" s="24" t="s">
        <v>550</v>
      </c>
      <c r="O359" s="24">
        <v>8</v>
      </c>
      <c r="P359" s="24">
        <v>0</v>
      </c>
      <c r="Q359" s="24">
        <v>5</v>
      </c>
      <c r="R359" s="24">
        <v>31</v>
      </c>
      <c r="S359" s="24">
        <v>3466.7</v>
      </c>
      <c r="T359" s="24">
        <v>3466.7</v>
      </c>
      <c r="U359" s="24">
        <v>3018.7</v>
      </c>
      <c r="V359" s="24">
        <v>448</v>
      </c>
      <c r="W359" s="24" t="s">
        <v>528</v>
      </c>
      <c r="X359" s="24" t="s">
        <v>528</v>
      </c>
      <c r="Y359" s="24" t="s">
        <v>529</v>
      </c>
      <c r="Z359" s="102" t="s">
        <v>528</v>
      </c>
      <c r="AA359" s="24" t="s">
        <v>528</v>
      </c>
      <c r="AB359" s="24" t="s">
        <v>528</v>
      </c>
      <c r="AC359" s="24" t="s">
        <v>528</v>
      </c>
      <c r="AD359" s="24" t="s">
        <v>528</v>
      </c>
      <c r="AE359" s="24" t="s">
        <v>529</v>
      </c>
      <c r="AF359" s="24">
        <v>2</v>
      </c>
      <c r="AG359" s="24">
        <v>0</v>
      </c>
      <c r="AH359" s="24">
        <v>1</v>
      </c>
      <c r="AI359" s="24">
        <v>0</v>
      </c>
      <c r="AJ359" s="24">
        <v>1</v>
      </c>
      <c r="AK359" s="24">
        <v>0</v>
      </c>
      <c r="AL359" s="24"/>
    </row>
    <row r="360" spans="1:38" ht="31.2" x14ac:dyDescent="0.3">
      <c r="A360" s="53">
        <v>353</v>
      </c>
      <c r="B360" s="24" t="s">
        <v>544</v>
      </c>
      <c r="C360" s="24" t="s">
        <v>545</v>
      </c>
      <c r="D360" s="82" t="s">
        <v>1000</v>
      </c>
      <c r="E360" s="24">
        <v>3</v>
      </c>
      <c r="F360" s="24" t="s">
        <v>1001</v>
      </c>
      <c r="G360" s="24"/>
      <c r="H360" s="24" t="s">
        <v>1002</v>
      </c>
      <c r="I360" s="30" t="s">
        <v>548</v>
      </c>
      <c r="J360" s="24"/>
      <c r="K360" s="24" t="s">
        <v>549</v>
      </c>
      <c r="L360" s="24" t="s">
        <v>549</v>
      </c>
      <c r="M360" s="24">
        <v>1894</v>
      </c>
      <c r="N360" s="24" t="s">
        <v>550</v>
      </c>
      <c r="O360" s="24">
        <v>5</v>
      </c>
      <c r="P360" s="24">
        <v>0</v>
      </c>
      <c r="Q360" s="24">
        <v>2</v>
      </c>
      <c r="R360" s="24">
        <v>28</v>
      </c>
      <c r="S360" s="24">
        <v>1891.25</v>
      </c>
      <c r="T360" s="24">
        <v>1891.25</v>
      </c>
      <c r="U360" s="24">
        <v>1816.25</v>
      </c>
      <c r="V360" s="24">
        <v>75</v>
      </c>
      <c r="W360" s="24" t="s">
        <v>528</v>
      </c>
      <c r="X360" s="24" t="s">
        <v>528</v>
      </c>
      <c r="Y360" s="24" t="s">
        <v>529</v>
      </c>
      <c r="Z360" s="102" t="s">
        <v>528</v>
      </c>
      <c r="AA360" s="24" t="s">
        <v>528</v>
      </c>
      <c r="AB360" s="24" t="s">
        <v>528</v>
      </c>
      <c r="AC360" s="24" t="s">
        <v>528</v>
      </c>
      <c r="AD360" s="24" t="s">
        <v>528</v>
      </c>
      <c r="AE360" s="24" t="s">
        <v>529</v>
      </c>
      <c r="AF360" s="24">
        <v>0</v>
      </c>
      <c r="AG360" s="24">
        <v>0</v>
      </c>
      <c r="AH360" s="24">
        <v>1</v>
      </c>
      <c r="AI360" s="24">
        <v>0</v>
      </c>
      <c r="AJ360" s="24">
        <v>1</v>
      </c>
      <c r="AK360" s="24">
        <v>0</v>
      </c>
      <c r="AL360" s="24"/>
    </row>
    <row r="361" spans="1:38" ht="31.2" x14ac:dyDescent="0.3">
      <c r="A361" s="53">
        <v>354</v>
      </c>
      <c r="B361" s="24" t="s">
        <v>544</v>
      </c>
      <c r="C361" s="24" t="s">
        <v>545</v>
      </c>
      <c r="D361" s="82" t="s">
        <v>1000</v>
      </c>
      <c r="E361" s="24" t="s">
        <v>466</v>
      </c>
      <c r="F361" s="24" t="s">
        <v>200</v>
      </c>
      <c r="G361" s="24"/>
      <c r="H361" s="24" t="s">
        <v>1003</v>
      </c>
      <c r="I361" s="30" t="s">
        <v>548</v>
      </c>
      <c r="J361" s="24"/>
      <c r="K361" s="24" t="s">
        <v>549</v>
      </c>
      <c r="L361" s="24" t="s">
        <v>549</v>
      </c>
      <c r="M361" s="24">
        <v>1894</v>
      </c>
      <c r="N361" s="24" t="s">
        <v>550</v>
      </c>
      <c r="O361" s="24">
        <v>4</v>
      </c>
      <c r="P361" s="24">
        <v>0</v>
      </c>
      <c r="Q361" s="24">
        <v>2</v>
      </c>
      <c r="R361" s="24">
        <v>16</v>
      </c>
      <c r="S361" s="24">
        <v>2157.6999999999998</v>
      </c>
      <c r="T361" s="24">
        <v>2157.6999999999998</v>
      </c>
      <c r="U361" s="24">
        <v>1734.7</v>
      </c>
      <c r="V361" s="24">
        <v>423</v>
      </c>
      <c r="W361" s="24" t="s">
        <v>528</v>
      </c>
      <c r="X361" s="24" t="s">
        <v>528</v>
      </c>
      <c r="Y361" s="24" t="s">
        <v>529</v>
      </c>
      <c r="Z361" s="102" t="s">
        <v>528</v>
      </c>
      <c r="AA361" s="24" t="s">
        <v>528</v>
      </c>
      <c r="AB361" s="24" t="s">
        <v>528</v>
      </c>
      <c r="AC361" s="24" t="s">
        <v>528</v>
      </c>
      <c r="AD361" s="24" t="s">
        <v>528</v>
      </c>
      <c r="AE361" s="24" t="s">
        <v>529</v>
      </c>
      <c r="AF361" s="24">
        <v>0</v>
      </c>
      <c r="AG361" s="24">
        <v>0</v>
      </c>
      <c r="AH361" s="24">
        <v>1</v>
      </c>
      <c r="AI361" s="24">
        <v>0</v>
      </c>
      <c r="AJ361" s="24">
        <v>0</v>
      </c>
      <c r="AK361" s="24">
        <v>0</v>
      </c>
      <c r="AL361" s="24"/>
    </row>
    <row r="362" spans="1:38" ht="31.2" x14ac:dyDescent="0.3">
      <c r="A362" s="53">
        <v>355</v>
      </c>
      <c r="B362" s="24" t="s">
        <v>544</v>
      </c>
      <c r="C362" s="24" t="s">
        <v>545</v>
      </c>
      <c r="D362" s="82" t="s">
        <v>1000</v>
      </c>
      <c r="E362" s="24">
        <v>5</v>
      </c>
      <c r="F362" s="24" t="s">
        <v>200</v>
      </c>
      <c r="G362" s="24"/>
      <c r="H362" s="24" t="s">
        <v>1004</v>
      </c>
      <c r="I362" s="30" t="s">
        <v>548</v>
      </c>
      <c r="J362" s="24"/>
      <c r="K362" s="24" t="s">
        <v>549</v>
      </c>
      <c r="L362" s="24" t="s">
        <v>549</v>
      </c>
      <c r="M362" s="24">
        <v>1911</v>
      </c>
      <c r="N362" s="24" t="s">
        <v>550</v>
      </c>
      <c r="O362" s="24">
        <v>4</v>
      </c>
      <c r="P362" s="24">
        <v>0</v>
      </c>
      <c r="Q362" s="24">
        <v>3</v>
      </c>
      <c r="R362" s="24">
        <v>34</v>
      </c>
      <c r="S362" s="24">
        <v>3332.7</v>
      </c>
      <c r="T362" s="24">
        <v>3332.7</v>
      </c>
      <c r="U362" s="24">
        <v>2818.7</v>
      </c>
      <c r="V362" s="24">
        <v>514</v>
      </c>
      <c r="W362" s="24" t="s">
        <v>528</v>
      </c>
      <c r="X362" s="24" t="s">
        <v>528</v>
      </c>
      <c r="Y362" s="24" t="s">
        <v>529</v>
      </c>
      <c r="Z362" s="102" t="s">
        <v>528</v>
      </c>
      <c r="AA362" s="24" t="s">
        <v>528</v>
      </c>
      <c r="AB362" s="24" t="s">
        <v>528</v>
      </c>
      <c r="AC362" s="24" t="s">
        <v>528</v>
      </c>
      <c r="AD362" s="24" t="s">
        <v>528</v>
      </c>
      <c r="AE362" s="24" t="s">
        <v>529</v>
      </c>
      <c r="AF362" s="24">
        <v>1</v>
      </c>
      <c r="AG362" s="24">
        <v>0</v>
      </c>
      <c r="AH362" s="24">
        <v>1</v>
      </c>
      <c r="AI362" s="24">
        <v>0</v>
      </c>
      <c r="AJ362" s="24">
        <v>1</v>
      </c>
      <c r="AK362" s="24">
        <v>0</v>
      </c>
      <c r="AL362" s="24"/>
    </row>
    <row r="363" spans="1:38" ht="31.2" x14ac:dyDescent="0.3">
      <c r="A363" s="53">
        <v>356</v>
      </c>
      <c r="B363" s="24" t="s">
        <v>544</v>
      </c>
      <c r="C363" s="24" t="s">
        <v>545</v>
      </c>
      <c r="D363" s="82" t="s">
        <v>1000</v>
      </c>
      <c r="E363" s="24">
        <v>6</v>
      </c>
      <c r="F363" s="24" t="s">
        <v>205</v>
      </c>
      <c r="G363" s="24"/>
      <c r="H363" s="24" t="s">
        <v>1005</v>
      </c>
      <c r="I363" s="30" t="s">
        <v>548</v>
      </c>
      <c r="J363" s="24"/>
      <c r="K363" s="24" t="s">
        <v>549</v>
      </c>
      <c r="L363" s="24" t="s">
        <v>549</v>
      </c>
      <c r="M363" s="24">
        <v>1908</v>
      </c>
      <c r="N363" s="24" t="s">
        <v>550</v>
      </c>
      <c r="O363" s="24">
        <v>6</v>
      </c>
      <c r="P363" s="24">
        <v>0</v>
      </c>
      <c r="Q363" s="24">
        <v>1</v>
      </c>
      <c r="R363" s="24">
        <v>23</v>
      </c>
      <c r="S363" s="24">
        <v>1693.3</v>
      </c>
      <c r="T363" s="24">
        <v>1693.3</v>
      </c>
      <c r="U363" s="24">
        <v>1545.3</v>
      </c>
      <c r="V363" s="24">
        <v>148</v>
      </c>
      <c r="W363" s="24" t="s">
        <v>528</v>
      </c>
      <c r="X363" s="24" t="s">
        <v>528</v>
      </c>
      <c r="Y363" s="24" t="s">
        <v>529</v>
      </c>
      <c r="Z363" s="102" t="s">
        <v>528</v>
      </c>
      <c r="AA363" s="24" t="s">
        <v>528</v>
      </c>
      <c r="AB363" s="24" t="s">
        <v>528</v>
      </c>
      <c r="AC363" s="24" t="s">
        <v>528</v>
      </c>
      <c r="AD363" s="24" t="s">
        <v>528</v>
      </c>
      <c r="AE363" s="24" t="s">
        <v>529</v>
      </c>
      <c r="AF363" s="24">
        <v>1</v>
      </c>
      <c r="AG363" s="24">
        <v>0</v>
      </c>
      <c r="AH363" s="24">
        <v>1</v>
      </c>
      <c r="AI363" s="24">
        <v>0</v>
      </c>
      <c r="AJ363" s="24">
        <v>1</v>
      </c>
      <c r="AK363" s="24">
        <v>0</v>
      </c>
      <c r="AL363" s="24"/>
    </row>
    <row r="364" spans="1:38" ht="31.2" x14ac:dyDescent="0.3">
      <c r="A364" s="53">
        <v>357</v>
      </c>
      <c r="B364" s="24" t="s">
        <v>544</v>
      </c>
      <c r="C364" s="24" t="s">
        <v>545</v>
      </c>
      <c r="D364" s="82" t="s">
        <v>1000</v>
      </c>
      <c r="E364" s="24">
        <v>6</v>
      </c>
      <c r="F364" s="24" t="s">
        <v>206</v>
      </c>
      <c r="G364" s="24"/>
      <c r="H364" s="24" t="s">
        <v>1006</v>
      </c>
      <c r="I364" s="30" t="s">
        <v>548</v>
      </c>
      <c r="J364" s="24"/>
      <c r="K364" s="24" t="s">
        <v>549</v>
      </c>
      <c r="L364" s="24" t="s">
        <v>549</v>
      </c>
      <c r="M364" s="24">
        <v>1908</v>
      </c>
      <c r="N364" s="24" t="s">
        <v>550</v>
      </c>
      <c r="O364" s="24">
        <v>5</v>
      </c>
      <c r="P364" s="24">
        <v>0</v>
      </c>
      <c r="Q364" s="24">
        <v>1</v>
      </c>
      <c r="R364" s="24">
        <v>20</v>
      </c>
      <c r="S364" s="24">
        <v>1474.9</v>
      </c>
      <c r="T364" s="24">
        <v>1474.9</v>
      </c>
      <c r="U364" s="24">
        <v>1374.9</v>
      </c>
      <c r="V364" s="24">
        <v>100</v>
      </c>
      <c r="W364" s="24" t="s">
        <v>528</v>
      </c>
      <c r="X364" s="24" t="s">
        <v>528</v>
      </c>
      <c r="Y364" s="24" t="s">
        <v>529</v>
      </c>
      <c r="Z364" s="102" t="s">
        <v>528</v>
      </c>
      <c r="AA364" s="24" t="s">
        <v>528</v>
      </c>
      <c r="AB364" s="24" t="s">
        <v>528</v>
      </c>
      <c r="AC364" s="24" t="s">
        <v>528</v>
      </c>
      <c r="AD364" s="24" t="s">
        <v>528</v>
      </c>
      <c r="AE364" s="24" t="s">
        <v>529</v>
      </c>
      <c r="AF364" s="24">
        <v>0</v>
      </c>
      <c r="AG364" s="24">
        <v>0</v>
      </c>
      <c r="AH364" s="24">
        <v>1</v>
      </c>
      <c r="AI364" s="24">
        <v>0</v>
      </c>
      <c r="AJ364" s="24">
        <v>1</v>
      </c>
      <c r="AK364" s="24">
        <v>0</v>
      </c>
      <c r="AL364" s="24"/>
    </row>
    <row r="365" spans="1:38" ht="31.2" x14ac:dyDescent="0.3">
      <c r="A365" s="53">
        <v>358</v>
      </c>
      <c r="B365" s="24" t="s">
        <v>544</v>
      </c>
      <c r="C365" s="24" t="s">
        <v>545</v>
      </c>
      <c r="D365" s="82" t="s">
        <v>1000</v>
      </c>
      <c r="E365" s="24">
        <v>7</v>
      </c>
      <c r="F365" s="24" t="s">
        <v>200</v>
      </c>
      <c r="G365" s="24"/>
      <c r="H365" s="24" t="s">
        <v>1007</v>
      </c>
      <c r="I365" s="30" t="s">
        <v>548</v>
      </c>
      <c r="J365" s="24"/>
      <c r="K365" s="24" t="s">
        <v>549</v>
      </c>
      <c r="L365" s="24" t="s">
        <v>549</v>
      </c>
      <c r="M365" s="24">
        <v>1907</v>
      </c>
      <c r="N365" s="24" t="s">
        <v>550</v>
      </c>
      <c r="O365" s="24">
        <v>4</v>
      </c>
      <c r="P365" s="24">
        <v>0</v>
      </c>
      <c r="Q365" s="24">
        <v>1</v>
      </c>
      <c r="R365" s="24">
        <v>4</v>
      </c>
      <c r="S365" s="24">
        <v>479.2</v>
      </c>
      <c r="T365" s="24">
        <v>479.2</v>
      </c>
      <c r="U365" s="24">
        <v>479.2</v>
      </c>
      <c r="V365" s="24">
        <v>0</v>
      </c>
      <c r="W365" s="24" t="s">
        <v>528</v>
      </c>
      <c r="X365" s="24" t="s">
        <v>528</v>
      </c>
      <c r="Y365" s="24" t="s">
        <v>529</v>
      </c>
      <c r="Z365" s="102" t="s">
        <v>528</v>
      </c>
      <c r="AA365" s="24" t="s">
        <v>528</v>
      </c>
      <c r="AB365" s="24" t="s">
        <v>528</v>
      </c>
      <c r="AC365" s="24" t="s">
        <v>528</v>
      </c>
      <c r="AD365" s="24" t="s">
        <v>528</v>
      </c>
      <c r="AE365" s="24" t="s">
        <v>529</v>
      </c>
      <c r="AF365" s="24">
        <v>1</v>
      </c>
      <c r="AG365" s="24">
        <v>0</v>
      </c>
      <c r="AH365" s="24">
        <v>1</v>
      </c>
      <c r="AI365" s="24">
        <v>0</v>
      </c>
      <c r="AJ365" s="24">
        <v>0</v>
      </c>
      <c r="AK365" s="24">
        <v>0</v>
      </c>
      <c r="AL365" s="24"/>
    </row>
    <row r="366" spans="1:38" ht="31.2" x14ac:dyDescent="0.3">
      <c r="A366" s="53">
        <v>359</v>
      </c>
      <c r="B366" s="24" t="s">
        <v>544</v>
      </c>
      <c r="C366" s="24" t="s">
        <v>545</v>
      </c>
      <c r="D366" s="82" t="s">
        <v>1000</v>
      </c>
      <c r="E366" s="24">
        <v>7</v>
      </c>
      <c r="F366" s="24" t="s">
        <v>205</v>
      </c>
      <c r="G366" s="24"/>
      <c r="H366" s="24" t="s">
        <v>1008</v>
      </c>
      <c r="I366" s="30" t="s">
        <v>548</v>
      </c>
      <c r="J366" s="24"/>
      <c r="K366" s="24" t="s">
        <v>549</v>
      </c>
      <c r="L366" s="24" t="s">
        <v>549</v>
      </c>
      <c r="M366" s="24">
        <v>1907</v>
      </c>
      <c r="N366" s="24" t="s">
        <v>550</v>
      </c>
      <c r="O366" s="24">
        <v>5</v>
      </c>
      <c r="P366" s="24">
        <v>0</v>
      </c>
      <c r="Q366" s="24">
        <v>1</v>
      </c>
      <c r="R366" s="24">
        <v>9</v>
      </c>
      <c r="S366" s="24">
        <v>648</v>
      </c>
      <c r="T366" s="24">
        <v>648</v>
      </c>
      <c r="U366" s="24">
        <v>560</v>
      </c>
      <c r="V366" s="24">
        <v>88</v>
      </c>
      <c r="W366" s="24" t="s">
        <v>528</v>
      </c>
      <c r="X366" s="24" t="s">
        <v>528</v>
      </c>
      <c r="Y366" s="24" t="s">
        <v>529</v>
      </c>
      <c r="Z366" s="102" t="s">
        <v>528</v>
      </c>
      <c r="AA366" s="24" t="s">
        <v>528</v>
      </c>
      <c r="AB366" s="24" t="s">
        <v>528</v>
      </c>
      <c r="AC366" s="24" t="s">
        <v>528</v>
      </c>
      <c r="AD366" s="24" t="s">
        <v>528</v>
      </c>
      <c r="AE366" s="24" t="s">
        <v>529</v>
      </c>
      <c r="AF366" s="24">
        <v>0</v>
      </c>
      <c r="AG366" s="24">
        <v>0</v>
      </c>
      <c r="AH366" s="24">
        <v>1</v>
      </c>
      <c r="AI366" s="24">
        <v>0</v>
      </c>
      <c r="AJ366" s="24">
        <v>0</v>
      </c>
      <c r="AK366" s="24">
        <v>0</v>
      </c>
      <c r="AL366" s="24"/>
    </row>
    <row r="367" spans="1:38" ht="31.2" x14ac:dyDescent="0.3">
      <c r="A367" s="53">
        <v>360</v>
      </c>
      <c r="B367" s="24" t="s">
        <v>544</v>
      </c>
      <c r="C367" s="24" t="s">
        <v>545</v>
      </c>
      <c r="D367" s="82" t="s">
        <v>1000</v>
      </c>
      <c r="E367" s="24">
        <v>8</v>
      </c>
      <c r="F367" s="24" t="s">
        <v>200</v>
      </c>
      <c r="G367" s="24"/>
      <c r="H367" s="24" t="s">
        <v>1009</v>
      </c>
      <c r="I367" s="30" t="s">
        <v>548</v>
      </c>
      <c r="J367" s="24"/>
      <c r="K367" s="24" t="s">
        <v>549</v>
      </c>
      <c r="L367" s="24" t="s">
        <v>549</v>
      </c>
      <c r="M367" s="24">
        <v>1948</v>
      </c>
      <c r="N367" s="24" t="s">
        <v>550</v>
      </c>
      <c r="O367" s="24">
        <v>4</v>
      </c>
      <c r="P367" s="24">
        <v>0</v>
      </c>
      <c r="Q367" s="24">
        <v>2</v>
      </c>
      <c r="R367" s="24">
        <v>11</v>
      </c>
      <c r="S367" s="24">
        <v>950.8</v>
      </c>
      <c r="T367" s="24">
        <v>950.8</v>
      </c>
      <c r="U367" s="24">
        <v>744.8</v>
      </c>
      <c r="V367" s="24">
        <v>206</v>
      </c>
      <c r="W367" s="24" t="s">
        <v>528</v>
      </c>
      <c r="X367" s="24" t="s">
        <v>528</v>
      </c>
      <c r="Y367" s="24" t="s">
        <v>529</v>
      </c>
      <c r="Z367" s="102" t="s">
        <v>528</v>
      </c>
      <c r="AA367" s="24" t="s">
        <v>528</v>
      </c>
      <c r="AB367" s="24" t="s">
        <v>528</v>
      </c>
      <c r="AC367" s="24" t="s">
        <v>528</v>
      </c>
      <c r="AD367" s="24" t="s">
        <v>528</v>
      </c>
      <c r="AE367" s="24" t="s">
        <v>529</v>
      </c>
      <c r="AF367" s="24">
        <v>0</v>
      </c>
      <c r="AG367" s="24">
        <v>0</v>
      </c>
      <c r="AH367" s="24">
        <v>1</v>
      </c>
      <c r="AI367" s="24">
        <v>0</v>
      </c>
      <c r="AJ367" s="24">
        <v>0</v>
      </c>
      <c r="AK367" s="24">
        <v>0</v>
      </c>
      <c r="AL367" s="24"/>
    </row>
    <row r="368" spans="1:38" ht="31.2" x14ac:dyDescent="0.3">
      <c r="A368" s="53">
        <v>361</v>
      </c>
      <c r="B368" s="24" t="s">
        <v>544</v>
      </c>
      <c r="C368" s="24" t="s">
        <v>545</v>
      </c>
      <c r="D368" s="82" t="s">
        <v>1000</v>
      </c>
      <c r="E368" s="24">
        <v>10</v>
      </c>
      <c r="F368" s="24" t="s">
        <v>200</v>
      </c>
      <c r="G368" s="24"/>
      <c r="H368" s="24" t="s">
        <v>1010</v>
      </c>
      <c r="I368" s="30" t="s">
        <v>548</v>
      </c>
      <c r="J368" s="24"/>
      <c r="K368" s="24" t="s">
        <v>549</v>
      </c>
      <c r="L368" s="24" t="s">
        <v>549</v>
      </c>
      <c r="M368" s="24">
        <v>1905</v>
      </c>
      <c r="N368" s="24" t="s">
        <v>550</v>
      </c>
      <c r="O368" s="24">
        <v>6</v>
      </c>
      <c r="P368" s="24">
        <v>0</v>
      </c>
      <c r="Q368" s="24">
        <v>3</v>
      </c>
      <c r="R368" s="24">
        <v>10</v>
      </c>
      <c r="S368" s="24">
        <v>1593.5</v>
      </c>
      <c r="T368" s="24">
        <v>1593.5</v>
      </c>
      <c r="U368" s="24">
        <v>1418.5</v>
      </c>
      <c r="V368" s="24">
        <v>175</v>
      </c>
      <c r="W368" s="24" t="s">
        <v>528</v>
      </c>
      <c r="X368" s="24" t="s">
        <v>528</v>
      </c>
      <c r="Y368" s="24" t="s">
        <v>529</v>
      </c>
      <c r="Z368" s="102" t="s">
        <v>528</v>
      </c>
      <c r="AA368" s="24" t="s">
        <v>528</v>
      </c>
      <c r="AB368" s="24" t="s">
        <v>528</v>
      </c>
      <c r="AC368" s="24" t="s">
        <v>528</v>
      </c>
      <c r="AD368" s="24" t="s">
        <v>528</v>
      </c>
      <c r="AE368" s="24" t="s">
        <v>529</v>
      </c>
      <c r="AF368" s="24">
        <v>1</v>
      </c>
      <c r="AG368" s="24">
        <v>0</v>
      </c>
      <c r="AH368" s="24">
        <v>1</v>
      </c>
      <c r="AI368" s="24">
        <v>0</v>
      </c>
      <c r="AJ368" s="24">
        <v>1</v>
      </c>
      <c r="AK368" s="24">
        <v>0</v>
      </c>
      <c r="AL368" s="24"/>
    </row>
    <row r="369" spans="1:38" ht="31.2" x14ac:dyDescent="0.3">
      <c r="A369" s="53">
        <v>362</v>
      </c>
      <c r="B369" s="24" t="s">
        <v>544</v>
      </c>
      <c r="C369" s="24" t="s">
        <v>545</v>
      </c>
      <c r="D369" s="82" t="s">
        <v>1000</v>
      </c>
      <c r="E369" s="24">
        <v>12</v>
      </c>
      <c r="F369" s="24" t="s">
        <v>200</v>
      </c>
      <c r="G369" s="24"/>
      <c r="H369" s="24" t="s">
        <v>1011</v>
      </c>
      <c r="I369" s="30" t="s">
        <v>548</v>
      </c>
      <c r="J369" s="24"/>
      <c r="K369" s="24" t="s">
        <v>549</v>
      </c>
      <c r="L369" s="24" t="s">
        <v>549</v>
      </c>
      <c r="M369" s="24">
        <v>1956</v>
      </c>
      <c r="N369" s="24" t="s">
        <v>550</v>
      </c>
      <c r="O369" s="24">
        <v>6</v>
      </c>
      <c r="P369" s="24">
        <v>0</v>
      </c>
      <c r="Q369" s="24">
        <v>3</v>
      </c>
      <c r="R369" s="24">
        <v>47</v>
      </c>
      <c r="S369" s="24">
        <v>3366.8</v>
      </c>
      <c r="T369" s="24">
        <v>3366.8</v>
      </c>
      <c r="U369" s="24">
        <v>2763.8</v>
      </c>
      <c r="V369" s="24">
        <v>603</v>
      </c>
      <c r="W369" s="24" t="s">
        <v>528</v>
      </c>
      <c r="X369" s="24" t="s">
        <v>528</v>
      </c>
      <c r="Y369" s="24" t="s">
        <v>529</v>
      </c>
      <c r="Z369" s="102" t="s">
        <v>528</v>
      </c>
      <c r="AA369" s="24" t="s">
        <v>528</v>
      </c>
      <c r="AB369" s="24" t="s">
        <v>528</v>
      </c>
      <c r="AC369" s="24" t="s">
        <v>528</v>
      </c>
      <c r="AD369" s="24" t="s">
        <v>528</v>
      </c>
      <c r="AE369" s="24" t="s">
        <v>529</v>
      </c>
      <c r="AF369" s="24">
        <v>3</v>
      </c>
      <c r="AG369" s="24">
        <v>0</v>
      </c>
      <c r="AH369" s="24">
        <v>1</v>
      </c>
      <c r="AI369" s="24">
        <v>0</v>
      </c>
      <c r="AJ369" s="24">
        <v>1</v>
      </c>
      <c r="AK369" s="24">
        <v>0</v>
      </c>
      <c r="AL369" s="24"/>
    </row>
    <row r="370" spans="1:38" ht="31.2" x14ac:dyDescent="0.3">
      <c r="A370" s="53">
        <v>363</v>
      </c>
      <c r="B370" s="24" t="s">
        <v>544</v>
      </c>
      <c r="C370" s="24" t="s">
        <v>545</v>
      </c>
      <c r="D370" s="82" t="s">
        <v>1000</v>
      </c>
      <c r="E370" s="24">
        <v>18</v>
      </c>
      <c r="F370" s="24" t="s">
        <v>200</v>
      </c>
      <c r="G370" s="24"/>
      <c r="H370" s="24" t="s">
        <v>1012</v>
      </c>
      <c r="I370" s="30" t="s">
        <v>548</v>
      </c>
      <c r="J370" s="24"/>
      <c r="K370" s="24" t="s">
        <v>549</v>
      </c>
      <c r="L370" s="24" t="s">
        <v>549</v>
      </c>
      <c r="M370" s="24">
        <v>1953</v>
      </c>
      <c r="N370" s="24" t="s">
        <v>550</v>
      </c>
      <c r="O370" s="24">
        <v>6</v>
      </c>
      <c r="P370" s="24">
        <v>0</v>
      </c>
      <c r="Q370" s="24">
        <v>3</v>
      </c>
      <c r="R370" s="24">
        <v>41</v>
      </c>
      <c r="S370" s="24">
        <v>3264.8</v>
      </c>
      <c r="T370" s="24">
        <v>3264.8</v>
      </c>
      <c r="U370" s="24">
        <v>2883.8</v>
      </c>
      <c r="V370" s="24">
        <v>381</v>
      </c>
      <c r="W370" s="24" t="s">
        <v>528</v>
      </c>
      <c r="X370" s="24" t="s">
        <v>528</v>
      </c>
      <c r="Y370" s="24" t="s">
        <v>529</v>
      </c>
      <c r="Z370" s="102" t="s">
        <v>528</v>
      </c>
      <c r="AA370" s="24" t="s">
        <v>528</v>
      </c>
      <c r="AB370" s="24" t="s">
        <v>528</v>
      </c>
      <c r="AC370" s="24" t="s">
        <v>528</v>
      </c>
      <c r="AD370" s="24" t="s">
        <v>528</v>
      </c>
      <c r="AE370" s="24" t="s">
        <v>529</v>
      </c>
      <c r="AF370" s="24">
        <v>3</v>
      </c>
      <c r="AG370" s="24">
        <v>0</v>
      </c>
      <c r="AH370" s="24">
        <v>1</v>
      </c>
      <c r="AI370" s="24">
        <v>0</v>
      </c>
      <c r="AJ370" s="24">
        <v>1</v>
      </c>
      <c r="AK370" s="24">
        <v>0</v>
      </c>
      <c r="AL370" s="24"/>
    </row>
    <row r="371" spans="1:38" ht="31.2" x14ac:dyDescent="0.3">
      <c r="A371" s="53">
        <v>364</v>
      </c>
      <c r="B371" s="24" t="s">
        <v>544</v>
      </c>
      <c r="C371" s="24" t="s">
        <v>545</v>
      </c>
      <c r="D371" s="82" t="s">
        <v>1000</v>
      </c>
      <c r="E371" s="24">
        <v>19</v>
      </c>
      <c r="F371" s="24" t="s">
        <v>200</v>
      </c>
      <c r="G371" s="24"/>
      <c r="H371" s="24" t="s">
        <v>1013</v>
      </c>
      <c r="I371" s="30" t="s">
        <v>548</v>
      </c>
      <c r="J371" s="24"/>
      <c r="K371" s="24" t="s">
        <v>549</v>
      </c>
      <c r="L371" s="24" t="s">
        <v>549</v>
      </c>
      <c r="M371" s="24">
        <v>1955</v>
      </c>
      <c r="N371" s="24" t="s">
        <v>550</v>
      </c>
      <c r="O371" s="24">
        <v>5</v>
      </c>
      <c r="P371" s="24">
        <v>0</v>
      </c>
      <c r="Q371" s="24">
        <v>5</v>
      </c>
      <c r="R371" s="24">
        <v>59</v>
      </c>
      <c r="S371" s="24">
        <v>5073</v>
      </c>
      <c r="T371" s="24">
        <v>5073</v>
      </c>
      <c r="U371" s="24">
        <v>4046</v>
      </c>
      <c r="V371" s="24">
        <v>1027</v>
      </c>
      <c r="W371" s="24" t="s">
        <v>528</v>
      </c>
      <c r="X371" s="24" t="s">
        <v>528</v>
      </c>
      <c r="Y371" s="24" t="s">
        <v>529</v>
      </c>
      <c r="Z371" s="102" t="s">
        <v>528</v>
      </c>
      <c r="AA371" s="24" t="s">
        <v>528</v>
      </c>
      <c r="AB371" s="24" t="s">
        <v>528</v>
      </c>
      <c r="AC371" s="24" t="s">
        <v>528</v>
      </c>
      <c r="AD371" s="24" t="s">
        <v>528</v>
      </c>
      <c r="AE371" s="24" t="s">
        <v>529</v>
      </c>
      <c r="AF371" s="24">
        <v>5</v>
      </c>
      <c r="AG371" s="24">
        <v>0</v>
      </c>
      <c r="AH371" s="24">
        <v>1</v>
      </c>
      <c r="AI371" s="24">
        <v>0</v>
      </c>
      <c r="AJ371" s="24">
        <v>1</v>
      </c>
      <c r="AK371" s="24">
        <v>0</v>
      </c>
      <c r="AL371" s="24"/>
    </row>
    <row r="372" spans="1:38" ht="31.2" x14ac:dyDescent="0.3">
      <c r="A372" s="53">
        <v>365</v>
      </c>
      <c r="B372" s="24" t="s">
        <v>544</v>
      </c>
      <c r="C372" s="24" t="s">
        <v>545</v>
      </c>
      <c r="D372" s="82" t="s">
        <v>1000</v>
      </c>
      <c r="E372" s="24">
        <v>20</v>
      </c>
      <c r="F372" s="24" t="s">
        <v>200</v>
      </c>
      <c r="G372" s="24"/>
      <c r="H372" s="24" t="s">
        <v>1014</v>
      </c>
      <c r="I372" s="30" t="s">
        <v>548</v>
      </c>
      <c r="J372" s="24"/>
      <c r="K372" s="24" t="s">
        <v>549</v>
      </c>
      <c r="L372" s="24" t="s">
        <v>549</v>
      </c>
      <c r="M372" s="24">
        <v>1959</v>
      </c>
      <c r="N372" s="24" t="s">
        <v>550</v>
      </c>
      <c r="O372" s="24">
        <v>6</v>
      </c>
      <c r="P372" s="24">
        <v>0</v>
      </c>
      <c r="Q372" s="24">
        <v>7</v>
      </c>
      <c r="R372" s="24">
        <v>146</v>
      </c>
      <c r="S372" s="24">
        <v>11931.6</v>
      </c>
      <c r="T372" s="24">
        <v>11931.6</v>
      </c>
      <c r="U372" s="24">
        <v>9723</v>
      </c>
      <c r="V372" s="24">
        <v>2208.6</v>
      </c>
      <c r="W372" s="24" t="s">
        <v>528</v>
      </c>
      <c r="X372" s="24" t="s">
        <v>528</v>
      </c>
      <c r="Y372" s="24" t="s">
        <v>529</v>
      </c>
      <c r="Z372" s="102" t="s">
        <v>528</v>
      </c>
      <c r="AA372" s="24" t="s">
        <v>528</v>
      </c>
      <c r="AB372" s="24" t="s">
        <v>528</v>
      </c>
      <c r="AC372" s="24" t="s">
        <v>528</v>
      </c>
      <c r="AD372" s="24" t="s">
        <v>528</v>
      </c>
      <c r="AE372" s="24" t="s">
        <v>529</v>
      </c>
      <c r="AF372" s="24">
        <v>7</v>
      </c>
      <c r="AG372" s="24">
        <v>0</v>
      </c>
      <c r="AH372" s="24">
        <v>1</v>
      </c>
      <c r="AI372" s="24">
        <v>0</v>
      </c>
      <c r="AJ372" s="24">
        <v>4</v>
      </c>
      <c r="AK372" s="24">
        <v>0</v>
      </c>
      <c r="AL372" s="24"/>
    </row>
    <row r="373" spans="1:38" ht="31.2" x14ac:dyDescent="0.3">
      <c r="A373" s="53">
        <v>366</v>
      </c>
      <c r="B373" s="24" t="s">
        <v>544</v>
      </c>
      <c r="C373" s="24" t="s">
        <v>545</v>
      </c>
      <c r="D373" s="82" t="s">
        <v>1000</v>
      </c>
      <c r="E373" s="24">
        <v>21</v>
      </c>
      <c r="F373" s="24" t="s">
        <v>200</v>
      </c>
      <c r="G373" s="24"/>
      <c r="H373" s="24" t="s">
        <v>1015</v>
      </c>
      <c r="I373" s="30" t="s">
        <v>548</v>
      </c>
      <c r="J373" s="24"/>
      <c r="K373" s="24" t="s">
        <v>549</v>
      </c>
      <c r="L373" s="24" t="s">
        <v>549</v>
      </c>
      <c r="M373" s="24">
        <v>1973</v>
      </c>
      <c r="N373" s="24" t="s">
        <v>550</v>
      </c>
      <c r="O373" s="24">
        <v>8</v>
      </c>
      <c r="P373" s="24">
        <v>0</v>
      </c>
      <c r="Q373" s="24">
        <v>7</v>
      </c>
      <c r="R373" s="24">
        <v>229</v>
      </c>
      <c r="S373" s="24">
        <v>13678.14</v>
      </c>
      <c r="T373" s="24">
        <v>13678.14</v>
      </c>
      <c r="U373" s="24">
        <v>12303.14</v>
      </c>
      <c r="V373" s="24">
        <v>1375</v>
      </c>
      <c r="W373" s="24" t="s">
        <v>528</v>
      </c>
      <c r="X373" s="24" t="s">
        <v>528</v>
      </c>
      <c r="Y373" s="24" t="s">
        <v>528</v>
      </c>
      <c r="Z373" s="102" t="s">
        <v>528</v>
      </c>
      <c r="AA373" s="24" t="s">
        <v>528</v>
      </c>
      <c r="AB373" s="24" t="s">
        <v>528</v>
      </c>
      <c r="AC373" s="24" t="s">
        <v>529</v>
      </c>
      <c r="AD373" s="24" t="s">
        <v>528</v>
      </c>
      <c r="AE373" s="24" t="s">
        <v>529</v>
      </c>
      <c r="AF373" s="24">
        <v>7</v>
      </c>
      <c r="AG373" s="24">
        <v>0</v>
      </c>
      <c r="AH373" s="24">
        <v>1</v>
      </c>
      <c r="AI373" s="24">
        <v>1</v>
      </c>
      <c r="AJ373" s="24">
        <v>2</v>
      </c>
      <c r="AK373" s="24">
        <v>0</v>
      </c>
      <c r="AL373" s="24"/>
    </row>
    <row r="374" spans="1:38" ht="31.2" x14ac:dyDescent="0.3">
      <c r="A374" s="53">
        <v>367</v>
      </c>
      <c r="B374" s="24" t="s">
        <v>544</v>
      </c>
      <c r="C374" s="24" t="s">
        <v>584</v>
      </c>
      <c r="D374" s="82" t="s">
        <v>1016</v>
      </c>
      <c r="E374" s="24">
        <v>2</v>
      </c>
      <c r="F374" s="24" t="s">
        <v>1017</v>
      </c>
      <c r="G374" s="24"/>
      <c r="H374" s="24" t="s">
        <v>1018</v>
      </c>
      <c r="I374" s="30" t="s">
        <v>548</v>
      </c>
      <c r="J374" s="24"/>
      <c r="K374" s="24" t="s">
        <v>549</v>
      </c>
      <c r="L374" s="24" t="s">
        <v>549</v>
      </c>
      <c r="M374" s="24">
        <v>1911</v>
      </c>
      <c r="N374" s="24" t="s">
        <v>550</v>
      </c>
      <c r="O374" s="24">
        <v>7</v>
      </c>
      <c r="P374" s="24">
        <v>0</v>
      </c>
      <c r="Q374" s="24">
        <v>3</v>
      </c>
      <c r="R374" s="24">
        <v>27</v>
      </c>
      <c r="S374" s="24">
        <v>3567.19</v>
      </c>
      <c r="T374" s="24">
        <v>3567.19</v>
      </c>
      <c r="U374" s="24">
        <v>2665.34</v>
      </c>
      <c r="V374" s="24">
        <v>901.85</v>
      </c>
      <c r="W374" s="24" t="s">
        <v>528</v>
      </c>
      <c r="X374" s="24" t="s">
        <v>528</v>
      </c>
      <c r="Y374" s="24" t="s">
        <v>529</v>
      </c>
      <c r="Z374" s="102" t="s">
        <v>528</v>
      </c>
      <c r="AA374" s="24" t="s">
        <v>528</v>
      </c>
      <c r="AB374" s="24" t="s">
        <v>528</v>
      </c>
      <c r="AC374" s="24" t="s">
        <v>528</v>
      </c>
      <c r="AD374" s="24" t="s">
        <v>528</v>
      </c>
      <c r="AE374" s="24" t="s">
        <v>529</v>
      </c>
      <c r="AF374" s="24">
        <v>2</v>
      </c>
      <c r="AG374" s="24">
        <v>0</v>
      </c>
      <c r="AH374" s="24">
        <v>1</v>
      </c>
      <c r="AI374" s="24">
        <v>0</v>
      </c>
      <c r="AJ374" s="24">
        <v>1</v>
      </c>
      <c r="AK374" s="24">
        <v>0</v>
      </c>
      <c r="AL374" s="24"/>
    </row>
    <row r="375" spans="1:38" ht="31.2" x14ac:dyDescent="0.3">
      <c r="A375" s="53">
        <v>368</v>
      </c>
      <c r="B375" s="24" t="s">
        <v>544</v>
      </c>
      <c r="C375" s="24" t="s">
        <v>584</v>
      </c>
      <c r="D375" s="82" t="s">
        <v>1019</v>
      </c>
      <c r="E375" s="24" t="s">
        <v>1020</v>
      </c>
      <c r="F375" s="24" t="s">
        <v>200</v>
      </c>
      <c r="G375" s="24"/>
      <c r="H375" s="24" t="s">
        <v>1021</v>
      </c>
      <c r="I375" s="30" t="s">
        <v>548</v>
      </c>
      <c r="J375" s="24" t="s">
        <v>558</v>
      </c>
      <c r="K375" s="24" t="s">
        <v>549</v>
      </c>
      <c r="L375" s="24" t="s">
        <v>549</v>
      </c>
      <c r="M375" s="24">
        <v>1896</v>
      </c>
      <c r="N375" s="24" t="s">
        <v>550</v>
      </c>
      <c r="O375" s="24">
        <v>5</v>
      </c>
      <c r="P375" s="24">
        <v>0</v>
      </c>
      <c r="Q375" s="24">
        <v>4</v>
      </c>
      <c r="R375" s="24">
        <v>58</v>
      </c>
      <c r="S375" s="24">
        <v>4728.6200000000008</v>
      </c>
      <c r="T375" s="24">
        <v>4728.6200000000008</v>
      </c>
      <c r="U375" s="24">
        <v>4523.5200000000004</v>
      </c>
      <c r="V375" s="24">
        <v>205.1</v>
      </c>
      <c r="W375" s="24" t="s">
        <v>528</v>
      </c>
      <c r="X375" s="24" t="s">
        <v>528</v>
      </c>
      <c r="Y375" s="24" t="s">
        <v>529</v>
      </c>
      <c r="Z375" s="102" t="s">
        <v>528</v>
      </c>
      <c r="AA375" s="24" t="s">
        <v>528</v>
      </c>
      <c r="AB375" s="24" t="s">
        <v>528</v>
      </c>
      <c r="AC375" s="24" t="s">
        <v>528</v>
      </c>
      <c r="AD375" s="24" t="s">
        <v>528</v>
      </c>
      <c r="AE375" s="24" t="s">
        <v>529</v>
      </c>
      <c r="AF375" s="24">
        <v>0</v>
      </c>
      <c r="AG375" s="24">
        <v>0</v>
      </c>
      <c r="AH375" s="24">
        <v>1</v>
      </c>
      <c r="AI375" s="24">
        <v>0</v>
      </c>
      <c r="AJ375" s="24">
        <v>1</v>
      </c>
      <c r="AK375" s="24">
        <v>0</v>
      </c>
      <c r="AL375" s="24"/>
    </row>
    <row r="376" spans="1:38" ht="31.2" x14ac:dyDescent="0.3">
      <c r="A376" s="53">
        <v>369</v>
      </c>
      <c r="B376" s="24" t="s">
        <v>544</v>
      </c>
      <c r="C376" s="24" t="s">
        <v>584</v>
      </c>
      <c r="D376" s="82" t="s">
        <v>1019</v>
      </c>
      <c r="E376" s="24" t="s">
        <v>1020</v>
      </c>
      <c r="F376" s="24" t="s">
        <v>1022</v>
      </c>
      <c r="G376" s="24"/>
      <c r="H376" s="24" t="s">
        <v>1023</v>
      </c>
      <c r="I376" s="30" t="s">
        <v>548</v>
      </c>
      <c r="J376" s="24" t="s">
        <v>558</v>
      </c>
      <c r="K376" s="24" t="s">
        <v>549</v>
      </c>
      <c r="L376" s="24" t="s">
        <v>549</v>
      </c>
      <c r="M376" s="24">
        <v>1916</v>
      </c>
      <c r="N376" s="24" t="s">
        <v>550</v>
      </c>
      <c r="O376" s="24">
        <v>5</v>
      </c>
      <c r="P376" s="24">
        <v>0</v>
      </c>
      <c r="Q376" s="24">
        <v>3</v>
      </c>
      <c r="R376" s="24">
        <v>13</v>
      </c>
      <c r="S376" s="24">
        <v>1396.29</v>
      </c>
      <c r="T376" s="24">
        <v>1396.29</v>
      </c>
      <c r="U376" s="24">
        <v>1350.29</v>
      </c>
      <c r="V376" s="24">
        <v>46</v>
      </c>
      <c r="W376" s="24" t="s">
        <v>528</v>
      </c>
      <c r="X376" s="24" t="s">
        <v>528</v>
      </c>
      <c r="Y376" s="24" t="s">
        <v>529</v>
      </c>
      <c r="Z376" s="102" t="s">
        <v>528</v>
      </c>
      <c r="AA376" s="24" t="s">
        <v>528</v>
      </c>
      <c r="AB376" s="24" t="s">
        <v>528</v>
      </c>
      <c r="AC376" s="24" t="s">
        <v>528</v>
      </c>
      <c r="AD376" s="24" t="s">
        <v>528</v>
      </c>
      <c r="AE376" s="24" t="s">
        <v>529</v>
      </c>
      <c r="AF376" s="24">
        <v>0</v>
      </c>
      <c r="AG376" s="24">
        <v>0</v>
      </c>
      <c r="AH376" s="24">
        <v>1</v>
      </c>
      <c r="AI376" s="24">
        <v>0</v>
      </c>
      <c r="AJ376" s="24">
        <v>0</v>
      </c>
      <c r="AK376" s="24">
        <v>0</v>
      </c>
      <c r="AL376" s="24"/>
    </row>
    <row r="377" spans="1:38" ht="31.2" x14ac:dyDescent="0.3">
      <c r="A377" s="53">
        <v>370</v>
      </c>
      <c r="B377" s="24" t="s">
        <v>544</v>
      </c>
      <c r="C377" s="24" t="s">
        <v>545</v>
      </c>
      <c r="D377" s="82" t="s">
        <v>1024</v>
      </c>
      <c r="E377" s="24">
        <v>6</v>
      </c>
      <c r="F377" s="24" t="s">
        <v>200</v>
      </c>
      <c r="G377" s="24"/>
      <c r="H377" s="24" t="s">
        <v>1025</v>
      </c>
      <c r="I377" s="30" t="s">
        <v>548</v>
      </c>
      <c r="J377" s="24" t="s">
        <v>558</v>
      </c>
      <c r="K377" s="24" t="s">
        <v>549</v>
      </c>
      <c r="L377" s="24" t="s">
        <v>549</v>
      </c>
      <c r="M377" s="24">
        <v>1910</v>
      </c>
      <c r="N377" s="24" t="s">
        <v>550</v>
      </c>
      <c r="O377" s="24">
        <v>7</v>
      </c>
      <c r="P377" s="24">
        <v>0</v>
      </c>
      <c r="Q377" s="24">
        <v>6</v>
      </c>
      <c r="R377" s="24">
        <v>40</v>
      </c>
      <c r="S377" s="24">
        <v>6118.8</v>
      </c>
      <c r="T377" s="24">
        <v>6118.8</v>
      </c>
      <c r="U377" s="24">
        <v>5244.8</v>
      </c>
      <c r="V377" s="24">
        <v>874</v>
      </c>
      <c r="W377" s="24" t="s">
        <v>528</v>
      </c>
      <c r="X377" s="24" t="s">
        <v>528</v>
      </c>
      <c r="Y377" s="24" t="s">
        <v>528</v>
      </c>
      <c r="Z377" s="102" t="s">
        <v>528</v>
      </c>
      <c r="AA377" s="24" t="s">
        <v>528</v>
      </c>
      <c r="AB377" s="24" t="s">
        <v>528</v>
      </c>
      <c r="AC377" s="24" t="s">
        <v>529</v>
      </c>
      <c r="AD377" s="24" t="s">
        <v>528</v>
      </c>
      <c r="AE377" s="24" t="s">
        <v>529</v>
      </c>
      <c r="AF377" s="24">
        <v>3</v>
      </c>
      <c r="AG377" s="24">
        <v>0</v>
      </c>
      <c r="AH377" s="24">
        <v>1</v>
      </c>
      <c r="AI377" s="24">
        <v>1</v>
      </c>
      <c r="AJ377" s="24">
        <v>1</v>
      </c>
      <c r="AK377" s="24">
        <v>0</v>
      </c>
      <c r="AL377" s="24"/>
    </row>
    <row r="378" spans="1:38" ht="31.2" x14ac:dyDescent="0.3">
      <c r="A378" s="53">
        <v>371</v>
      </c>
      <c r="B378" s="24" t="s">
        <v>544</v>
      </c>
      <c r="C378" s="24" t="s">
        <v>545</v>
      </c>
      <c r="D378" s="82" t="s">
        <v>1024</v>
      </c>
      <c r="E378" s="24">
        <v>8</v>
      </c>
      <c r="F378" s="24" t="s">
        <v>200</v>
      </c>
      <c r="G378" s="24"/>
      <c r="H378" s="24" t="s">
        <v>1026</v>
      </c>
      <c r="I378" s="30" t="s">
        <v>548</v>
      </c>
      <c r="J378" s="24" t="s">
        <v>558</v>
      </c>
      <c r="K378" s="24" t="s">
        <v>549</v>
      </c>
      <c r="L378" s="24" t="s">
        <v>549</v>
      </c>
      <c r="M378" s="24">
        <v>1911</v>
      </c>
      <c r="N378" s="24" t="s">
        <v>550</v>
      </c>
      <c r="O378" s="24">
        <v>7</v>
      </c>
      <c r="P378" s="24">
        <v>0</v>
      </c>
      <c r="Q378" s="24">
        <v>8</v>
      </c>
      <c r="R378" s="24">
        <v>74</v>
      </c>
      <c r="S378" s="24">
        <v>11459.32</v>
      </c>
      <c r="T378" s="24">
        <v>11459.32</v>
      </c>
      <c r="U378" s="24">
        <v>9776.73</v>
      </c>
      <c r="V378" s="24">
        <v>1682.59</v>
      </c>
      <c r="W378" s="24" t="s">
        <v>528</v>
      </c>
      <c r="X378" s="24" t="s">
        <v>528</v>
      </c>
      <c r="Y378" s="24" t="s">
        <v>528</v>
      </c>
      <c r="Z378" s="102" t="s">
        <v>528</v>
      </c>
      <c r="AA378" s="24" t="s">
        <v>528</v>
      </c>
      <c r="AB378" s="24" t="s">
        <v>528</v>
      </c>
      <c r="AC378" s="24" t="s">
        <v>529</v>
      </c>
      <c r="AD378" s="24" t="s">
        <v>528</v>
      </c>
      <c r="AE378" s="24" t="s">
        <v>529</v>
      </c>
      <c r="AF378" s="24">
        <v>4</v>
      </c>
      <c r="AG378" s="24">
        <v>0</v>
      </c>
      <c r="AH378" s="24">
        <v>1</v>
      </c>
      <c r="AI378" s="24">
        <v>1</v>
      </c>
      <c r="AJ378" s="24">
        <v>1</v>
      </c>
      <c r="AK378" s="24">
        <v>0</v>
      </c>
      <c r="AL378" s="24"/>
    </row>
    <row r="379" spans="1:38" ht="31.2" x14ac:dyDescent="0.3">
      <c r="A379" s="53">
        <v>372</v>
      </c>
      <c r="B379" s="24" t="s">
        <v>544</v>
      </c>
      <c r="C379" s="24" t="s">
        <v>545</v>
      </c>
      <c r="D379" s="82" t="s">
        <v>1027</v>
      </c>
      <c r="E379" s="24">
        <v>8</v>
      </c>
      <c r="F379" s="24" t="s">
        <v>200</v>
      </c>
      <c r="G379" s="24"/>
      <c r="H379" s="24" t="s">
        <v>1028</v>
      </c>
      <c r="I379" s="30" t="s">
        <v>548</v>
      </c>
      <c r="J379" s="24"/>
      <c r="K379" s="24" t="s">
        <v>549</v>
      </c>
      <c r="L379" s="24" t="s">
        <v>549</v>
      </c>
      <c r="M379" s="24">
        <v>1937</v>
      </c>
      <c r="N379" s="24" t="s">
        <v>550</v>
      </c>
      <c r="O379" s="24">
        <v>4</v>
      </c>
      <c r="P379" s="24">
        <v>0</v>
      </c>
      <c r="Q379" s="24">
        <v>2</v>
      </c>
      <c r="R379" s="24">
        <v>5</v>
      </c>
      <c r="S379" s="24">
        <v>1619.8</v>
      </c>
      <c r="T379" s="24">
        <v>1619.8</v>
      </c>
      <c r="U379" s="24">
        <v>421.8</v>
      </c>
      <c r="V379" s="24">
        <v>1198</v>
      </c>
      <c r="W379" s="24" t="s">
        <v>528</v>
      </c>
      <c r="X379" s="24" t="s">
        <v>528</v>
      </c>
      <c r="Y379" s="24" t="s">
        <v>529</v>
      </c>
      <c r="Z379" s="102" t="s">
        <v>528</v>
      </c>
      <c r="AA379" s="24" t="s">
        <v>528</v>
      </c>
      <c r="AB379" s="24" t="s">
        <v>528</v>
      </c>
      <c r="AC379" s="24" t="s">
        <v>528</v>
      </c>
      <c r="AD379" s="24" t="s">
        <v>528</v>
      </c>
      <c r="AE379" s="24" t="s">
        <v>529</v>
      </c>
      <c r="AF379" s="24">
        <v>0</v>
      </c>
      <c r="AG379" s="24">
        <v>0</v>
      </c>
      <c r="AH379" s="24">
        <v>1</v>
      </c>
      <c r="AI379" s="24">
        <v>0</v>
      </c>
      <c r="AJ379" s="24">
        <v>0</v>
      </c>
      <c r="AK379" s="24">
        <v>0</v>
      </c>
      <c r="AL379" s="24"/>
    </row>
    <row r="380" spans="1:38" ht="31.2" x14ac:dyDescent="0.3">
      <c r="A380" s="53">
        <v>373</v>
      </c>
      <c r="B380" s="24" t="s">
        <v>544</v>
      </c>
      <c r="C380" s="24" t="s">
        <v>545</v>
      </c>
      <c r="D380" s="82" t="s">
        <v>1027</v>
      </c>
      <c r="E380" s="24">
        <v>10</v>
      </c>
      <c r="F380" s="24" t="s">
        <v>200</v>
      </c>
      <c r="G380" s="24"/>
      <c r="H380" s="24" t="s">
        <v>1029</v>
      </c>
      <c r="I380" s="30" t="s">
        <v>548</v>
      </c>
      <c r="J380" s="24"/>
      <c r="K380" s="24" t="s">
        <v>549</v>
      </c>
      <c r="L380" s="24" t="s">
        <v>549</v>
      </c>
      <c r="M380" s="24">
        <v>1916</v>
      </c>
      <c r="N380" s="24" t="s">
        <v>550</v>
      </c>
      <c r="O380" s="24">
        <v>4</v>
      </c>
      <c r="P380" s="24">
        <v>0</v>
      </c>
      <c r="Q380" s="24">
        <v>1</v>
      </c>
      <c r="R380" s="24">
        <v>12</v>
      </c>
      <c r="S380" s="24">
        <v>767.11</v>
      </c>
      <c r="T380" s="24">
        <v>767.11</v>
      </c>
      <c r="U380" s="24">
        <v>767.11</v>
      </c>
      <c r="V380" s="24">
        <v>0</v>
      </c>
      <c r="W380" s="24" t="s">
        <v>528</v>
      </c>
      <c r="X380" s="24" t="s">
        <v>528</v>
      </c>
      <c r="Y380" s="24" t="s">
        <v>529</v>
      </c>
      <c r="Z380" s="102" t="s">
        <v>528</v>
      </c>
      <c r="AA380" s="24" t="s">
        <v>528</v>
      </c>
      <c r="AB380" s="24" t="s">
        <v>528</v>
      </c>
      <c r="AC380" s="24" t="s">
        <v>528</v>
      </c>
      <c r="AD380" s="24" t="s">
        <v>528</v>
      </c>
      <c r="AE380" s="24" t="s">
        <v>529</v>
      </c>
      <c r="AF380" s="24">
        <v>0</v>
      </c>
      <c r="AG380" s="24">
        <v>0</v>
      </c>
      <c r="AH380" s="24">
        <v>1</v>
      </c>
      <c r="AI380" s="24">
        <v>0</v>
      </c>
      <c r="AJ380" s="24">
        <v>0</v>
      </c>
      <c r="AK380" s="24">
        <v>0</v>
      </c>
      <c r="AL380" s="24"/>
    </row>
    <row r="381" spans="1:38" ht="31.2" x14ac:dyDescent="0.3">
      <c r="A381" s="53">
        <v>374</v>
      </c>
      <c r="B381" s="24" t="s">
        <v>544</v>
      </c>
      <c r="C381" s="24" t="s">
        <v>545</v>
      </c>
      <c r="D381" s="82" t="s">
        <v>1027</v>
      </c>
      <c r="E381" s="24">
        <v>13</v>
      </c>
      <c r="F381" s="24" t="s">
        <v>200</v>
      </c>
      <c r="G381" s="24"/>
      <c r="H381" s="24" t="s">
        <v>1030</v>
      </c>
      <c r="I381" s="30" t="s">
        <v>548</v>
      </c>
      <c r="J381" s="24"/>
      <c r="K381" s="24" t="s">
        <v>549</v>
      </c>
      <c r="L381" s="24" t="s">
        <v>549</v>
      </c>
      <c r="M381" s="24">
        <v>1916</v>
      </c>
      <c r="N381" s="24" t="s">
        <v>550</v>
      </c>
      <c r="O381" s="24">
        <v>3</v>
      </c>
      <c r="P381" s="24">
        <v>0</v>
      </c>
      <c r="Q381" s="24">
        <v>2</v>
      </c>
      <c r="R381" s="24">
        <v>21</v>
      </c>
      <c r="S381" s="24">
        <v>869.5</v>
      </c>
      <c r="T381" s="24">
        <v>869.5</v>
      </c>
      <c r="U381" s="24">
        <v>774.8</v>
      </c>
      <c r="V381" s="24">
        <v>94.7</v>
      </c>
      <c r="W381" s="24" t="s">
        <v>528</v>
      </c>
      <c r="X381" s="24" t="s">
        <v>528</v>
      </c>
      <c r="Y381" s="24" t="s">
        <v>529</v>
      </c>
      <c r="Z381" s="102" t="s">
        <v>528</v>
      </c>
      <c r="AA381" s="24" t="s">
        <v>528</v>
      </c>
      <c r="AB381" s="24" t="s">
        <v>528</v>
      </c>
      <c r="AC381" s="24" t="s">
        <v>528</v>
      </c>
      <c r="AD381" s="24" t="s">
        <v>528</v>
      </c>
      <c r="AE381" s="24" t="s">
        <v>529</v>
      </c>
      <c r="AF381" s="24">
        <v>0</v>
      </c>
      <c r="AG381" s="24">
        <v>0</v>
      </c>
      <c r="AH381" s="24">
        <v>1</v>
      </c>
      <c r="AI381" s="24">
        <v>0</v>
      </c>
      <c r="AJ381" s="24">
        <v>0</v>
      </c>
      <c r="AK381" s="24">
        <v>0</v>
      </c>
      <c r="AL381" s="24"/>
    </row>
    <row r="382" spans="1:38" ht="31.2" x14ac:dyDescent="0.3">
      <c r="A382" s="53">
        <v>375</v>
      </c>
      <c r="B382" s="24" t="s">
        <v>544</v>
      </c>
      <c r="C382" s="24" t="s">
        <v>545</v>
      </c>
      <c r="D382" s="82" t="s">
        <v>1027</v>
      </c>
      <c r="E382" s="24">
        <v>13</v>
      </c>
      <c r="F382" s="24" t="s">
        <v>205</v>
      </c>
      <c r="G382" s="24"/>
      <c r="H382" s="24" t="s">
        <v>1031</v>
      </c>
      <c r="I382" s="30" t="s">
        <v>548</v>
      </c>
      <c r="J382" s="24"/>
      <c r="K382" s="24" t="s">
        <v>549</v>
      </c>
      <c r="L382" s="24" t="s">
        <v>549</v>
      </c>
      <c r="M382" s="24">
        <v>1916</v>
      </c>
      <c r="N382" s="24" t="s">
        <v>550</v>
      </c>
      <c r="O382" s="24">
        <v>4</v>
      </c>
      <c r="P382" s="24">
        <v>0</v>
      </c>
      <c r="Q382" s="24">
        <v>1</v>
      </c>
      <c r="R382" s="24">
        <v>5</v>
      </c>
      <c r="S382" s="24">
        <v>343.8</v>
      </c>
      <c r="T382" s="24">
        <v>343.8</v>
      </c>
      <c r="U382" s="24">
        <v>217.8</v>
      </c>
      <c r="V382" s="24">
        <v>126</v>
      </c>
      <c r="W382" s="24" t="s">
        <v>528</v>
      </c>
      <c r="X382" s="24" t="s">
        <v>528</v>
      </c>
      <c r="Y382" s="24" t="s">
        <v>529</v>
      </c>
      <c r="Z382" s="102" t="s">
        <v>528</v>
      </c>
      <c r="AA382" s="24" t="s">
        <v>528</v>
      </c>
      <c r="AB382" s="24" t="s">
        <v>528</v>
      </c>
      <c r="AC382" s="24" t="s">
        <v>528</v>
      </c>
      <c r="AD382" s="24" t="s">
        <v>528</v>
      </c>
      <c r="AE382" s="24" t="s">
        <v>529</v>
      </c>
      <c r="AF382" s="24">
        <v>0</v>
      </c>
      <c r="AG382" s="24">
        <v>0</v>
      </c>
      <c r="AH382" s="24">
        <v>1</v>
      </c>
      <c r="AI382" s="24">
        <v>0</v>
      </c>
      <c r="AJ382" s="24">
        <v>1</v>
      </c>
      <c r="AK382" s="24">
        <v>0</v>
      </c>
      <c r="AL382" s="24"/>
    </row>
    <row r="383" spans="1:38" ht="31.2" x14ac:dyDescent="0.3">
      <c r="A383" s="53">
        <v>376</v>
      </c>
      <c r="B383" s="24" t="s">
        <v>544</v>
      </c>
      <c r="C383" s="24" t="s">
        <v>545</v>
      </c>
      <c r="D383" s="82" t="s">
        <v>1027</v>
      </c>
      <c r="E383" s="24">
        <v>15</v>
      </c>
      <c r="F383" s="24" t="s">
        <v>200</v>
      </c>
      <c r="G383" s="24"/>
      <c r="H383" s="24" t="s">
        <v>1032</v>
      </c>
      <c r="I383" s="30" t="s">
        <v>548</v>
      </c>
      <c r="J383" s="24"/>
      <c r="K383" s="24" t="s">
        <v>549</v>
      </c>
      <c r="L383" s="24" t="s">
        <v>549</v>
      </c>
      <c r="M383" s="24">
        <v>1878</v>
      </c>
      <c r="N383" s="24" t="s">
        <v>550</v>
      </c>
      <c r="O383" s="24">
        <v>3</v>
      </c>
      <c r="P383" s="24">
        <v>0</v>
      </c>
      <c r="Q383" s="24">
        <v>1</v>
      </c>
      <c r="R383" s="24">
        <v>9</v>
      </c>
      <c r="S383" s="24">
        <v>413.7</v>
      </c>
      <c r="T383" s="24">
        <v>413.7</v>
      </c>
      <c r="U383" s="24">
        <v>413.7</v>
      </c>
      <c r="V383" s="24">
        <v>0</v>
      </c>
      <c r="W383" s="24" t="s">
        <v>528</v>
      </c>
      <c r="X383" s="24" t="s">
        <v>528</v>
      </c>
      <c r="Y383" s="24" t="s">
        <v>529</v>
      </c>
      <c r="Z383" s="102" t="s">
        <v>528</v>
      </c>
      <c r="AA383" s="24" t="s">
        <v>528</v>
      </c>
      <c r="AB383" s="24" t="s">
        <v>528</v>
      </c>
      <c r="AC383" s="24" t="s">
        <v>528</v>
      </c>
      <c r="AD383" s="24" t="s">
        <v>528</v>
      </c>
      <c r="AE383" s="24" t="s">
        <v>529</v>
      </c>
      <c r="AF383" s="24">
        <v>0</v>
      </c>
      <c r="AG383" s="24">
        <v>0</v>
      </c>
      <c r="AH383" s="24">
        <v>1</v>
      </c>
      <c r="AI383" s="24">
        <v>0</v>
      </c>
      <c r="AJ383" s="24">
        <v>0</v>
      </c>
      <c r="AK383" s="24">
        <v>0</v>
      </c>
      <c r="AL383" s="24"/>
    </row>
    <row r="384" spans="1:38" ht="31.2" x14ac:dyDescent="0.3">
      <c r="A384" s="53">
        <v>377</v>
      </c>
      <c r="B384" s="24" t="s">
        <v>544</v>
      </c>
      <c r="C384" s="24" t="s">
        <v>545</v>
      </c>
      <c r="D384" s="82" t="s">
        <v>1027</v>
      </c>
      <c r="E384" s="24">
        <v>18</v>
      </c>
      <c r="F384" s="24" t="s">
        <v>205</v>
      </c>
      <c r="G384" s="24"/>
      <c r="H384" s="24" t="s">
        <v>1033</v>
      </c>
      <c r="I384" s="30" t="s">
        <v>548</v>
      </c>
      <c r="J384" s="24"/>
      <c r="K384" s="24" t="s">
        <v>549</v>
      </c>
      <c r="L384" s="24" t="s">
        <v>549</v>
      </c>
      <c r="M384" s="24">
        <v>1960</v>
      </c>
      <c r="N384" s="24" t="s">
        <v>550</v>
      </c>
      <c r="O384" s="24">
        <v>6</v>
      </c>
      <c r="P384" s="24">
        <v>0</v>
      </c>
      <c r="Q384" s="24">
        <v>2</v>
      </c>
      <c r="R384" s="24">
        <v>29</v>
      </c>
      <c r="S384" s="24">
        <v>2199.3000000000002</v>
      </c>
      <c r="T384" s="24">
        <v>2199.3000000000002</v>
      </c>
      <c r="U384" s="24">
        <v>1911.3</v>
      </c>
      <c r="V384" s="24">
        <v>288</v>
      </c>
      <c r="W384" s="24" t="s">
        <v>528</v>
      </c>
      <c r="X384" s="24" t="s">
        <v>528</v>
      </c>
      <c r="Y384" s="24" t="s">
        <v>529</v>
      </c>
      <c r="Z384" s="102" t="s">
        <v>528</v>
      </c>
      <c r="AA384" s="24" t="s">
        <v>528</v>
      </c>
      <c r="AB384" s="24" t="s">
        <v>528</v>
      </c>
      <c r="AC384" s="24" t="s">
        <v>528</v>
      </c>
      <c r="AD384" s="24" t="s">
        <v>528</v>
      </c>
      <c r="AE384" s="24" t="s">
        <v>529</v>
      </c>
      <c r="AF384" s="24">
        <v>2</v>
      </c>
      <c r="AG384" s="24">
        <v>0</v>
      </c>
      <c r="AH384" s="24">
        <v>1</v>
      </c>
      <c r="AI384" s="24">
        <v>0</v>
      </c>
      <c r="AJ384" s="24">
        <v>1</v>
      </c>
      <c r="AK384" s="24">
        <v>0</v>
      </c>
      <c r="AL384" s="24"/>
    </row>
    <row r="385" spans="1:38" ht="31.2" x14ac:dyDescent="0.3">
      <c r="A385" s="53">
        <v>378</v>
      </c>
      <c r="B385" s="24" t="s">
        <v>544</v>
      </c>
      <c r="C385" s="24" t="s">
        <v>545</v>
      </c>
      <c r="D385" s="82" t="s">
        <v>1027</v>
      </c>
      <c r="E385" s="24">
        <v>20</v>
      </c>
      <c r="F385" s="24" t="s">
        <v>200</v>
      </c>
      <c r="G385" s="24"/>
      <c r="H385" s="24" t="s">
        <v>1034</v>
      </c>
      <c r="I385" s="30" t="s">
        <v>548</v>
      </c>
      <c r="J385" s="24"/>
      <c r="K385" s="24" t="s">
        <v>549</v>
      </c>
      <c r="L385" s="24" t="s">
        <v>549</v>
      </c>
      <c r="M385" s="24">
        <v>1909</v>
      </c>
      <c r="N385" s="24" t="s">
        <v>550</v>
      </c>
      <c r="O385" s="24">
        <v>5</v>
      </c>
      <c r="P385" s="24">
        <v>0</v>
      </c>
      <c r="Q385" s="24">
        <v>3</v>
      </c>
      <c r="R385" s="24">
        <v>24</v>
      </c>
      <c r="S385" s="24">
        <v>2058.8000000000002</v>
      </c>
      <c r="T385" s="24">
        <v>2058.8000000000002</v>
      </c>
      <c r="U385" s="24">
        <v>1584.8</v>
      </c>
      <c r="V385" s="24">
        <v>474</v>
      </c>
      <c r="W385" s="24" t="s">
        <v>528</v>
      </c>
      <c r="X385" s="24" t="s">
        <v>528</v>
      </c>
      <c r="Y385" s="24" t="s">
        <v>529</v>
      </c>
      <c r="Z385" s="102" t="s">
        <v>528</v>
      </c>
      <c r="AA385" s="24" t="s">
        <v>528</v>
      </c>
      <c r="AB385" s="24" t="s">
        <v>528</v>
      </c>
      <c r="AC385" s="24" t="s">
        <v>528</v>
      </c>
      <c r="AD385" s="24" t="s">
        <v>528</v>
      </c>
      <c r="AE385" s="24" t="s">
        <v>529</v>
      </c>
      <c r="AF385" s="24">
        <v>0</v>
      </c>
      <c r="AG385" s="24">
        <v>0</v>
      </c>
      <c r="AH385" s="24">
        <v>1</v>
      </c>
      <c r="AI385" s="24">
        <v>0</v>
      </c>
      <c r="AJ385" s="24">
        <v>1</v>
      </c>
      <c r="AK385" s="24">
        <v>0</v>
      </c>
      <c r="AL385" s="24"/>
    </row>
    <row r="386" spans="1:38" ht="31.2" x14ac:dyDescent="0.3">
      <c r="A386" s="53">
        <v>379</v>
      </c>
      <c r="B386" s="24" t="s">
        <v>544</v>
      </c>
      <c r="C386" s="24" t="s">
        <v>545</v>
      </c>
      <c r="D386" s="82" t="s">
        <v>1027</v>
      </c>
      <c r="E386" s="24">
        <v>22</v>
      </c>
      <c r="F386" s="24" t="s">
        <v>200</v>
      </c>
      <c r="G386" s="24"/>
      <c r="H386" s="24" t="s">
        <v>1035</v>
      </c>
      <c r="I386" s="30" t="s">
        <v>548</v>
      </c>
      <c r="J386" s="24"/>
      <c r="K386" s="24" t="s">
        <v>549</v>
      </c>
      <c r="L386" s="24" t="s">
        <v>549</v>
      </c>
      <c r="M386" s="24">
        <v>1929</v>
      </c>
      <c r="N386" s="24" t="s">
        <v>550</v>
      </c>
      <c r="O386" s="24">
        <v>4</v>
      </c>
      <c r="P386" s="24">
        <v>0</v>
      </c>
      <c r="Q386" s="24">
        <v>1</v>
      </c>
      <c r="R386" s="24">
        <v>14</v>
      </c>
      <c r="S386" s="24">
        <v>1186.0999999999999</v>
      </c>
      <c r="T386" s="24">
        <v>1186.0999999999999</v>
      </c>
      <c r="U386" s="24">
        <v>1079.0999999999999</v>
      </c>
      <c r="V386" s="24">
        <v>107</v>
      </c>
      <c r="W386" s="24" t="s">
        <v>528</v>
      </c>
      <c r="X386" s="24" t="s">
        <v>528</v>
      </c>
      <c r="Y386" s="24" t="s">
        <v>529</v>
      </c>
      <c r="Z386" s="102" t="s">
        <v>528</v>
      </c>
      <c r="AA386" s="24" t="s">
        <v>528</v>
      </c>
      <c r="AB386" s="24" t="s">
        <v>528</v>
      </c>
      <c r="AC386" s="24" t="s">
        <v>528</v>
      </c>
      <c r="AD386" s="24" t="s">
        <v>528</v>
      </c>
      <c r="AE386" s="24" t="s">
        <v>529</v>
      </c>
      <c r="AF386" s="24">
        <v>0</v>
      </c>
      <c r="AG386" s="24">
        <v>0</v>
      </c>
      <c r="AH386" s="24">
        <v>1</v>
      </c>
      <c r="AI386" s="24">
        <v>0</v>
      </c>
      <c r="AJ386" s="24">
        <v>1</v>
      </c>
      <c r="AK386" s="24">
        <v>0</v>
      </c>
      <c r="AL386" s="24"/>
    </row>
    <row r="387" spans="1:38" ht="31.2" x14ac:dyDescent="0.3">
      <c r="A387" s="53">
        <v>380</v>
      </c>
      <c r="B387" s="24" t="s">
        <v>544</v>
      </c>
      <c r="C387" s="24" t="s">
        <v>545</v>
      </c>
      <c r="D387" s="82" t="s">
        <v>1036</v>
      </c>
      <c r="E387" s="24">
        <v>4</v>
      </c>
      <c r="F387" s="24" t="s">
        <v>205</v>
      </c>
      <c r="G387" s="24"/>
      <c r="H387" s="24" t="s">
        <v>1037</v>
      </c>
      <c r="I387" s="30" t="s">
        <v>548</v>
      </c>
      <c r="J387" s="24"/>
      <c r="K387" s="24" t="s">
        <v>549</v>
      </c>
      <c r="L387" s="24" t="s">
        <v>549</v>
      </c>
      <c r="M387" s="24">
        <v>1911</v>
      </c>
      <c r="N387" s="24" t="s">
        <v>550</v>
      </c>
      <c r="O387" s="24">
        <v>5</v>
      </c>
      <c r="P387" s="24">
        <v>0</v>
      </c>
      <c r="Q387" s="24">
        <v>2</v>
      </c>
      <c r="R387" s="24">
        <v>17</v>
      </c>
      <c r="S387" s="24">
        <v>1217.4000000000001</v>
      </c>
      <c r="T387" s="24">
        <v>1217.4000000000001</v>
      </c>
      <c r="U387" s="24">
        <v>1205.4000000000001</v>
      </c>
      <c r="V387" s="24">
        <v>12</v>
      </c>
      <c r="W387" s="24" t="s">
        <v>528</v>
      </c>
      <c r="X387" s="24" t="s">
        <v>528</v>
      </c>
      <c r="Y387" s="24" t="s">
        <v>529</v>
      </c>
      <c r="Z387" s="102" t="s">
        <v>528</v>
      </c>
      <c r="AA387" s="24" t="s">
        <v>528</v>
      </c>
      <c r="AB387" s="24" t="s">
        <v>528</v>
      </c>
      <c r="AC387" s="24" t="s">
        <v>528</v>
      </c>
      <c r="AD387" s="24" t="s">
        <v>528</v>
      </c>
      <c r="AE387" s="24" t="s">
        <v>529</v>
      </c>
      <c r="AF387" s="24">
        <v>0</v>
      </c>
      <c r="AG387" s="24">
        <v>0</v>
      </c>
      <c r="AH387" s="24">
        <v>1</v>
      </c>
      <c r="AI387" s="24">
        <v>0</v>
      </c>
      <c r="AJ387" s="24">
        <v>0</v>
      </c>
      <c r="AK387" s="24">
        <v>0</v>
      </c>
      <c r="AL387" s="24"/>
    </row>
    <row r="388" spans="1:38" ht="31.2" x14ac:dyDescent="0.3">
      <c r="A388" s="53">
        <v>381</v>
      </c>
      <c r="B388" s="24" t="s">
        <v>544</v>
      </c>
      <c r="C388" s="24" t="s">
        <v>545</v>
      </c>
      <c r="D388" s="82" t="s">
        <v>1036</v>
      </c>
      <c r="E388" s="24">
        <v>7</v>
      </c>
      <c r="F388" s="24" t="s">
        <v>200</v>
      </c>
      <c r="G388" s="24"/>
      <c r="H388" s="24" t="s">
        <v>1038</v>
      </c>
      <c r="I388" s="30" t="s">
        <v>548</v>
      </c>
      <c r="J388" s="24"/>
      <c r="K388" s="24" t="s">
        <v>549</v>
      </c>
      <c r="L388" s="24" t="s">
        <v>549</v>
      </c>
      <c r="M388" s="24">
        <v>1914</v>
      </c>
      <c r="N388" s="24" t="s">
        <v>550</v>
      </c>
      <c r="O388" s="24">
        <v>6</v>
      </c>
      <c r="P388" s="24">
        <v>0</v>
      </c>
      <c r="Q388" s="24">
        <v>1</v>
      </c>
      <c r="R388" s="24">
        <v>16</v>
      </c>
      <c r="S388" s="24">
        <v>1699.2</v>
      </c>
      <c r="T388" s="24">
        <v>1699.2</v>
      </c>
      <c r="U388" s="24">
        <v>1348.2</v>
      </c>
      <c r="V388" s="24">
        <v>351</v>
      </c>
      <c r="W388" s="24" t="s">
        <v>528</v>
      </c>
      <c r="X388" s="24" t="s">
        <v>528</v>
      </c>
      <c r="Y388" s="24" t="s">
        <v>529</v>
      </c>
      <c r="Z388" s="102" t="s">
        <v>528</v>
      </c>
      <c r="AA388" s="24" t="s">
        <v>528</v>
      </c>
      <c r="AB388" s="24" t="s">
        <v>528</v>
      </c>
      <c r="AC388" s="24" t="s">
        <v>528</v>
      </c>
      <c r="AD388" s="24" t="s">
        <v>528</v>
      </c>
      <c r="AE388" s="24" t="s">
        <v>529</v>
      </c>
      <c r="AF388" s="24">
        <v>1</v>
      </c>
      <c r="AG388" s="24">
        <v>0</v>
      </c>
      <c r="AH388" s="24">
        <v>1</v>
      </c>
      <c r="AI388" s="24">
        <v>0</v>
      </c>
      <c r="AJ388" s="24">
        <v>0</v>
      </c>
      <c r="AK388" s="24">
        <v>0</v>
      </c>
      <c r="AL388" s="24"/>
    </row>
    <row r="389" spans="1:38" ht="31.2" x14ac:dyDescent="0.3">
      <c r="A389" s="53">
        <v>382</v>
      </c>
      <c r="B389" s="24" t="s">
        <v>544</v>
      </c>
      <c r="C389" s="24" t="s">
        <v>545</v>
      </c>
      <c r="D389" s="82" t="s">
        <v>1036</v>
      </c>
      <c r="E389" s="24">
        <v>8</v>
      </c>
      <c r="F389" s="24" t="s">
        <v>200</v>
      </c>
      <c r="G389" s="24"/>
      <c r="H389" s="24" t="s">
        <v>1039</v>
      </c>
      <c r="I389" s="30" t="s">
        <v>548</v>
      </c>
      <c r="J389" s="24"/>
      <c r="K389" s="24" t="s">
        <v>549</v>
      </c>
      <c r="L389" s="24" t="s">
        <v>549</v>
      </c>
      <c r="M389" s="24">
        <v>1903</v>
      </c>
      <c r="N389" s="24" t="s">
        <v>550</v>
      </c>
      <c r="O389" s="24">
        <v>4</v>
      </c>
      <c r="P389" s="24">
        <v>0</v>
      </c>
      <c r="Q389" s="24">
        <v>1</v>
      </c>
      <c r="R389" s="24">
        <v>7</v>
      </c>
      <c r="S389" s="24">
        <v>381.6</v>
      </c>
      <c r="T389" s="24">
        <v>381.6</v>
      </c>
      <c r="U389" s="24">
        <v>331.6</v>
      </c>
      <c r="V389" s="24">
        <v>50</v>
      </c>
      <c r="W389" s="24" t="s">
        <v>528</v>
      </c>
      <c r="X389" s="24" t="s">
        <v>528</v>
      </c>
      <c r="Y389" s="24" t="s">
        <v>529</v>
      </c>
      <c r="Z389" s="102" t="s">
        <v>528</v>
      </c>
      <c r="AA389" s="24" t="s">
        <v>528</v>
      </c>
      <c r="AB389" s="24" t="s">
        <v>528</v>
      </c>
      <c r="AC389" s="24" t="s">
        <v>528</v>
      </c>
      <c r="AD389" s="24" t="s">
        <v>528</v>
      </c>
      <c r="AE389" s="24" t="s">
        <v>529</v>
      </c>
      <c r="AF389" s="24">
        <v>0</v>
      </c>
      <c r="AG389" s="24">
        <v>0</v>
      </c>
      <c r="AH389" s="24">
        <v>1</v>
      </c>
      <c r="AI389" s="24">
        <v>0</v>
      </c>
      <c r="AJ389" s="24">
        <v>0</v>
      </c>
      <c r="AK389" s="24">
        <v>0</v>
      </c>
      <c r="AL389" s="24"/>
    </row>
    <row r="390" spans="1:38" ht="31.2" x14ac:dyDescent="0.3">
      <c r="A390" s="53">
        <v>383</v>
      </c>
      <c r="B390" s="24" t="s">
        <v>544</v>
      </c>
      <c r="C390" s="24" t="s">
        <v>545</v>
      </c>
      <c r="D390" s="82" t="s">
        <v>1036</v>
      </c>
      <c r="E390" s="24">
        <v>9</v>
      </c>
      <c r="F390" s="24" t="s">
        <v>200</v>
      </c>
      <c r="G390" s="24"/>
      <c r="H390" s="24" t="s">
        <v>1040</v>
      </c>
      <c r="I390" s="30" t="s">
        <v>548</v>
      </c>
      <c r="J390" s="24"/>
      <c r="K390" s="24" t="s">
        <v>549</v>
      </c>
      <c r="L390" s="24" t="s">
        <v>549</v>
      </c>
      <c r="M390" s="24">
        <v>1911</v>
      </c>
      <c r="N390" s="24" t="s">
        <v>550</v>
      </c>
      <c r="O390" s="24">
        <v>4</v>
      </c>
      <c r="P390" s="24">
        <v>0</v>
      </c>
      <c r="Q390" s="24">
        <v>1</v>
      </c>
      <c r="R390" s="24">
        <v>7</v>
      </c>
      <c r="S390" s="24">
        <v>498.3</v>
      </c>
      <c r="T390" s="24">
        <v>498.3</v>
      </c>
      <c r="U390" s="24">
        <v>498.3</v>
      </c>
      <c r="V390" s="24">
        <v>0</v>
      </c>
      <c r="W390" s="24" t="s">
        <v>528</v>
      </c>
      <c r="X390" s="24" t="s">
        <v>528</v>
      </c>
      <c r="Y390" s="24" t="s">
        <v>529</v>
      </c>
      <c r="Z390" s="102" t="s">
        <v>528</v>
      </c>
      <c r="AA390" s="24" t="s">
        <v>528</v>
      </c>
      <c r="AB390" s="24" t="s">
        <v>528</v>
      </c>
      <c r="AC390" s="24" t="s">
        <v>528</v>
      </c>
      <c r="AD390" s="24" t="s">
        <v>528</v>
      </c>
      <c r="AE390" s="24" t="s">
        <v>529</v>
      </c>
      <c r="AF390" s="24">
        <v>0</v>
      </c>
      <c r="AG390" s="24">
        <v>0</v>
      </c>
      <c r="AH390" s="24">
        <v>1</v>
      </c>
      <c r="AI390" s="24">
        <v>0</v>
      </c>
      <c r="AJ390" s="24">
        <v>0</v>
      </c>
      <c r="AK390" s="24">
        <v>0</v>
      </c>
      <c r="AL390" s="24"/>
    </row>
    <row r="391" spans="1:38" ht="31.2" x14ac:dyDescent="0.3">
      <c r="A391" s="53">
        <v>384</v>
      </c>
      <c r="B391" s="24" t="s">
        <v>544</v>
      </c>
      <c r="C391" s="24" t="s">
        <v>545</v>
      </c>
      <c r="D391" s="82" t="s">
        <v>1036</v>
      </c>
      <c r="E391" s="24">
        <v>10</v>
      </c>
      <c r="F391" s="24" t="s">
        <v>200</v>
      </c>
      <c r="G391" s="24"/>
      <c r="H391" s="24" t="s">
        <v>1041</v>
      </c>
      <c r="I391" s="30" t="s">
        <v>548</v>
      </c>
      <c r="J391" s="24"/>
      <c r="K391" s="24" t="s">
        <v>549</v>
      </c>
      <c r="L391" s="24" t="s">
        <v>549</v>
      </c>
      <c r="M391" s="24">
        <v>1903</v>
      </c>
      <c r="N391" s="24" t="s">
        <v>550</v>
      </c>
      <c r="O391" s="24">
        <v>4</v>
      </c>
      <c r="P391" s="24">
        <v>0</v>
      </c>
      <c r="Q391" s="24">
        <v>2</v>
      </c>
      <c r="R391" s="24">
        <v>13</v>
      </c>
      <c r="S391" s="24">
        <v>1526.5</v>
      </c>
      <c r="T391" s="24">
        <v>1526.5</v>
      </c>
      <c r="U391" s="24">
        <v>1272.2</v>
      </c>
      <c r="V391" s="24">
        <v>254.3</v>
      </c>
      <c r="W391" s="24" t="s">
        <v>528</v>
      </c>
      <c r="X391" s="24" t="s">
        <v>528</v>
      </c>
      <c r="Y391" s="24" t="s">
        <v>529</v>
      </c>
      <c r="Z391" s="102" t="s">
        <v>528</v>
      </c>
      <c r="AA391" s="24" t="s">
        <v>528</v>
      </c>
      <c r="AB391" s="24" t="s">
        <v>528</v>
      </c>
      <c r="AC391" s="24" t="s">
        <v>528</v>
      </c>
      <c r="AD391" s="24" t="s">
        <v>528</v>
      </c>
      <c r="AE391" s="24" t="s">
        <v>529</v>
      </c>
      <c r="AF391" s="24">
        <v>0</v>
      </c>
      <c r="AG391" s="24">
        <v>0</v>
      </c>
      <c r="AH391" s="24">
        <v>1</v>
      </c>
      <c r="AI391" s="24">
        <v>0</v>
      </c>
      <c r="AJ391" s="24">
        <v>1</v>
      </c>
      <c r="AK391" s="24">
        <v>0</v>
      </c>
      <c r="AL391" s="24"/>
    </row>
    <row r="392" spans="1:38" ht="31.2" x14ac:dyDescent="0.3">
      <c r="A392" s="53">
        <v>385</v>
      </c>
      <c r="B392" s="24" t="s">
        <v>544</v>
      </c>
      <c r="C392" s="24" t="s">
        <v>545</v>
      </c>
      <c r="D392" s="82" t="s">
        <v>1036</v>
      </c>
      <c r="E392" s="24" t="s">
        <v>1042</v>
      </c>
      <c r="F392" s="24" t="s">
        <v>200</v>
      </c>
      <c r="G392" s="24"/>
      <c r="H392" s="24" t="s">
        <v>1043</v>
      </c>
      <c r="I392" s="30" t="s">
        <v>548</v>
      </c>
      <c r="J392" s="24"/>
      <c r="K392" s="24" t="s">
        <v>549</v>
      </c>
      <c r="L392" s="24" t="s">
        <v>549</v>
      </c>
      <c r="M392" s="24">
        <v>1911</v>
      </c>
      <c r="N392" s="24" t="s">
        <v>550</v>
      </c>
      <c r="O392" s="24">
        <v>3</v>
      </c>
      <c r="P392" s="24">
        <v>0</v>
      </c>
      <c r="Q392" s="24">
        <v>6</v>
      </c>
      <c r="R392" s="24">
        <v>18</v>
      </c>
      <c r="S392" s="24">
        <v>1313.9</v>
      </c>
      <c r="T392" s="24">
        <v>1313.9</v>
      </c>
      <c r="U392" s="24">
        <v>1313.9</v>
      </c>
      <c r="V392" s="24">
        <v>0</v>
      </c>
      <c r="W392" s="24" t="s">
        <v>528</v>
      </c>
      <c r="X392" s="24" t="s">
        <v>528</v>
      </c>
      <c r="Y392" s="24" t="s">
        <v>529</v>
      </c>
      <c r="Z392" s="102" t="s">
        <v>528</v>
      </c>
      <c r="AA392" s="24" t="s">
        <v>528</v>
      </c>
      <c r="AB392" s="24" t="s">
        <v>528</v>
      </c>
      <c r="AC392" s="24" t="s">
        <v>528</v>
      </c>
      <c r="AD392" s="24" t="s">
        <v>528</v>
      </c>
      <c r="AE392" s="24" t="s">
        <v>529</v>
      </c>
      <c r="AF392" s="24">
        <v>0</v>
      </c>
      <c r="AG392" s="24">
        <v>0</v>
      </c>
      <c r="AH392" s="24">
        <v>1</v>
      </c>
      <c r="AI392" s="24">
        <v>0</v>
      </c>
      <c r="AJ392" s="24">
        <v>0</v>
      </c>
      <c r="AK392" s="24">
        <v>0</v>
      </c>
      <c r="AL392" s="24"/>
    </row>
    <row r="393" spans="1:38" ht="31.2" x14ac:dyDescent="0.3">
      <c r="A393" s="53">
        <v>386</v>
      </c>
      <c r="B393" s="24" t="s">
        <v>544</v>
      </c>
      <c r="C393" s="24" t="s">
        <v>545</v>
      </c>
      <c r="D393" s="82" t="s">
        <v>1036</v>
      </c>
      <c r="E393" s="24">
        <v>14</v>
      </c>
      <c r="F393" s="24" t="s">
        <v>200</v>
      </c>
      <c r="G393" s="24"/>
      <c r="H393" s="24" t="s">
        <v>1044</v>
      </c>
      <c r="I393" s="30" t="s">
        <v>548</v>
      </c>
      <c r="J393" s="24"/>
      <c r="K393" s="24" t="s">
        <v>549</v>
      </c>
      <c r="L393" s="24" t="s">
        <v>549</v>
      </c>
      <c r="M393" s="24">
        <v>1906</v>
      </c>
      <c r="N393" s="24" t="s">
        <v>550</v>
      </c>
      <c r="O393" s="24">
        <v>4</v>
      </c>
      <c r="P393" s="24">
        <v>0</v>
      </c>
      <c r="Q393" s="24">
        <v>1</v>
      </c>
      <c r="R393" s="24">
        <v>11</v>
      </c>
      <c r="S393" s="24">
        <v>1249.3</v>
      </c>
      <c r="T393" s="24">
        <v>1249.3</v>
      </c>
      <c r="U393" s="24">
        <v>1156.5999999999999</v>
      </c>
      <c r="V393" s="24">
        <v>92.7</v>
      </c>
      <c r="W393" s="24" t="s">
        <v>528</v>
      </c>
      <c r="X393" s="24" t="s">
        <v>528</v>
      </c>
      <c r="Y393" s="24" t="s">
        <v>529</v>
      </c>
      <c r="Z393" s="102" t="s">
        <v>528</v>
      </c>
      <c r="AA393" s="24" t="s">
        <v>528</v>
      </c>
      <c r="AB393" s="24" t="s">
        <v>528</v>
      </c>
      <c r="AC393" s="24" t="s">
        <v>528</v>
      </c>
      <c r="AD393" s="24" t="s">
        <v>528</v>
      </c>
      <c r="AE393" s="24" t="s">
        <v>529</v>
      </c>
      <c r="AF393" s="24">
        <v>0</v>
      </c>
      <c r="AG393" s="24">
        <v>0</v>
      </c>
      <c r="AH393" s="24">
        <v>1</v>
      </c>
      <c r="AI393" s="24">
        <v>0</v>
      </c>
      <c r="AJ393" s="24">
        <v>1</v>
      </c>
      <c r="AK393" s="24">
        <v>0</v>
      </c>
      <c r="AL393" s="24"/>
    </row>
    <row r="394" spans="1:38" ht="31.2" x14ac:dyDescent="0.3">
      <c r="A394" s="53">
        <v>387</v>
      </c>
      <c r="B394" s="24" t="s">
        <v>544</v>
      </c>
      <c r="C394" s="24" t="s">
        <v>545</v>
      </c>
      <c r="D394" s="82" t="s">
        <v>1036</v>
      </c>
      <c r="E394" s="24" t="s">
        <v>707</v>
      </c>
      <c r="F394" s="24" t="s">
        <v>200</v>
      </c>
      <c r="G394" s="24"/>
      <c r="H394" s="24" t="s">
        <v>1045</v>
      </c>
      <c r="I394" s="30" t="s">
        <v>548</v>
      </c>
      <c r="J394" s="24"/>
      <c r="K394" s="24" t="s">
        <v>549</v>
      </c>
      <c r="L394" s="24" t="s">
        <v>549</v>
      </c>
      <c r="M394" s="24">
        <v>1901</v>
      </c>
      <c r="N394" s="24" t="s">
        <v>550</v>
      </c>
      <c r="O394" s="24">
        <v>4</v>
      </c>
      <c r="P394" s="24">
        <v>0</v>
      </c>
      <c r="Q394" s="24">
        <v>1</v>
      </c>
      <c r="R394" s="24">
        <v>16</v>
      </c>
      <c r="S394" s="24">
        <v>1196.4000000000001</v>
      </c>
      <c r="T394" s="24">
        <v>1196.4000000000001</v>
      </c>
      <c r="U394" s="24">
        <v>1196.4000000000001</v>
      </c>
      <c r="V394" s="24">
        <v>0</v>
      </c>
      <c r="W394" s="24" t="s">
        <v>528</v>
      </c>
      <c r="X394" s="24" t="s">
        <v>528</v>
      </c>
      <c r="Y394" s="24" t="s">
        <v>529</v>
      </c>
      <c r="Z394" s="102" t="s">
        <v>528</v>
      </c>
      <c r="AA394" s="24" t="s">
        <v>528</v>
      </c>
      <c r="AB394" s="24" t="s">
        <v>528</v>
      </c>
      <c r="AC394" s="24" t="s">
        <v>528</v>
      </c>
      <c r="AD394" s="24" t="s">
        <v>528</v>
      </c>
      <c r="AE394" s="24" t="s">
        <v>529</v>
      </c>
      <c r="AF394" s="24">
        <v>0</v>
      </c>
      <c r="AG394" s="24">
        <v>0</v>
      </c>
      <c r="AH394" s="24">
        <v>1</v>
      </c>
      <c r="AI394" s="24">
        <v>0</v>
      </c>
      <c r="AJ394" s="24">
        <v>1</v>
      </c>
      <c r="AK394" s="24">
        <v>0</v>
      </c>
      <c r="AL394" s="24"/>
    </row>
    <row r="395" spans="1:38" ht="31.2" x14ac:dyDescent="0.3">
      <c r="A395" s="53">
        <v>388</v>
      </c>
      <c r="B395" s="24" t="s">
        <v>544</v>
      </c>
      <c r="C395" s="24" t="s">
        <v>545</v>
      </c>
      <c r="D395" s="82" t="s">
        <v>1036</v>
      </c>
      <c r="E395" s="24">
        <v>20</v>
      </c>
      <c r="F395" s="24" t="s">
        <v>200</v>
      </c>
      <c r="G395" s="24"/>
      <c r="H395" s="24" t="s">
        <v>1046</v>
      </c>
      <c r="I395" s="30" t="s">
        <v>548</v>
      </c>
      <c r="J395" s="24"/>
      <c r="K395" s="24" t="s">
        <v>549</v>
      </c>
      <c r="L395" s="24" t="s">
        <v>549</v>
      </c>
      <c r="M395" s="24">
        <v>1897</v>
      </c>
      <c r="N395" s="24" t="s">
        <v>550</v>
      </c>
      <c r="O395" s="24">
        <v>4</v>
      </c>
      <c r="P395" s="24">
        <v>0</v>
      </c>
      <c r="Q395" s="24">
        <v>2</v>
      </c>
      <c r="R395" s="24">
        <v>12</v>
      </c>
      <c r="S395" s="24">
        <v>1113.0999999999999</v>
      </c>
      <c r="T395" s="24">
        <v>1113.0999999999999</v>
      </c>
      <c r="U395" s="24">
        <v>847.1</v>
      </c>
      <c r="V395" s="24">
        <v>266</v>
      </c>
      <c r="W395" s="24" t="s">
        <v>528</v>
      </c>
      <c r="X395" s="24" t="s">
        <v>528</v>
      </c>
      <c r="Y395" s="24" t="s">
        <v>529</v>
      </c>
      <c r="Z395" s="102" t="s">
        <v>528</v>
      </c>
      <c r="AA395" s="24" t="s">
        <v>528</v>
      </c>
      <c r="AB395" s="24" t="s">
        <v>528</v>
      </c>
      <c r="AC395" s="24" t="s">
        <v>528</v>
      </c>
      <c r="AD395" s="24" t="s">
        <v>528</v>
      </c>
      <c r="AE395" s="24" t="s">
        <v>529</v>
      </c>
      <c r="AF395" s="24">
        <v>0</v>
      </c>
      <c r="AG395" s="24">
        <v>0</v>
      </c>
      <c r="AH395" s="24">
        <v>1</v>
      </c>
      <c r="AI395" s="24">
        <v>0</v>
      </c>
      <c r="AJ395" s="24">
        <v>0</v>
      </c>
      <c r="AK395" s="24">
        <v>0</v>
      </c>
      <c r="AL395" s="24"/>
    </row>
    <row r="396" spans="1:38" ht="31.2" x14ac:dyDescent="0.3">
      <c r="A396" s="53">
        <v>389</v>
      </c>
      <c r="B396" s="24" t="s">
        <v>544</v>
      </c>
      <c r="C396" s="24" t="s">
        <v>545</v>
      </c>
      <c r="D396" s="82" t="s">
        <v>1036</v>
      </c>
      <c r="E396" s="24">
        <v>22</v>
      </c>
      <c r="F396" s="24" t="s">
        <v>200</v>
      </c>
      <c r="G396" s="24"/>
      <c r="H396" s="24" t="s">
        <v>1047</v>
      </c>
      <c r="I396" s="30" t="s">
        <v>548</v>
      </c>
      <c r="J396" s="24"/>
      <c r="K396" s="24" t="s">
        <v>549</v>
      </c>
      <c r="L396" s="24" t="s">
        <v>549</v>
      </c>
      <c r="M396" s="24">
        <v>1913</v>
      </c>
      <c r="N396" s="24" t="s">
        <v>550</v>
      </c>
      <c r="O396" s="24">
        <v>5</v>
      </c>
      <c r="P396" s="24">
        <v>0</v>
      </c>
      <c r="Q396" s="24">
        <v>1</v>
      </c>
      <c r="R396" s="24">
        <v>20</v>
      </c>
      <c r="S396" s="24">
        <v>1575.9</v>
      </c>
      <c r="T396" s="24">
        <v>1575.9</v>
      </c>
      <c r="U396" s="24">
        <v>1415.9</v>
      </c>
      <c r="V396" s="24">
        <v>160</v>
      </c>
      <c r="W396" s="24" t="s">
        <v>528</v>
      </c>
      <c r="X396" s="24" t="s">
        <v>528</v>
      </c>
      <c r="Y396" s="24" t="s">
        <v>529</v>
      </c>
      <c r="Z396" s="102" t="s">
        <v>528</v>
      </c>
      <c r="AA396" s="24" t="s">
        <v>528</v>
      </c>
      <c r="AB396" s="24" t="s">
        <v>528</v>
      </c>
      <c r="AC396" s="24" t="s">
        <v>528</v>
      </c>
      <c r="AD396" s="24" t="s">
        <v>528</v>
      </c>
      <c r="AE396" s="24" t="s">
        <v>529</v>
      </c>
      <c r="AF396" s="24">
        <v>0</v>
      </c>
      <c r="AG396" s="24">
        <v>0</v>
      </c>
      <c r="AH396" s="24">
        <v>1</v>
      </c>
      <c r="AI396" s="24">
        <v>0</v>
      </c>
      <c r="AJ396" s="24">
        <v>0</v>
      </c>
      <c r="AK396" s="24">
        <v>0</v>
      </c>
      <c r="AL396" s="24"/>
    </row>
    <row r="397" spans="1:38" ht="31.2" x14ac:dyDescent="0.3">
      <c r="A397" s="53">
        <v>390</v>
      </c>
      <c r="B397" s="24" t="s">
        <v>544</v>
      </c>
      <c r="C397" s="24" t="s">
        <v>545</v>
      </c>
      <c r="D397" s="82" t="s">
        <v>1036</v>
      </c>
      <c r="E397" s="24">
        <v>25</v>
      </c>
      <c r="F397" s="24" t="s">
        <v>200</v>
      </c>
      <c r="G397" s="24"/>
      <c r="H397" s="24" t="s">
        <v>1048</v>
      </c>
      <c r="I397" s="30" t="s">
        <v>548</v>
      </c>
      <c r="J397" s="24"/>
      <c r="K397" s="24" t="s">
        <v>549</v>
      </c>
      <c r="L397" s="24" t="s">
        <v>549</v>
      </c>
      <c r="M397" s="24">
        <v>1910</v>
      </c>
      <c r="N397" s="24" t="s">
        <v>550</v>
      </c>
      <c r="O397" s="24">
        <v>5</v>
      </c>
      <c r="P397" s="24">
        <v>0</v>
      </c>
      <c r="Q397" s="24">
        <v>3</v>
      </c>
      <c r="R397" s="24">
        <v>17</v>
      </c>
      <c r="S397" s="24">
        <v>1882.6</v>
      </c>
      <c r="T397" s="24">
        <v>1882.6</v>
      </c>
      <c r="U397" s="24">
        <v>1609.1</v>
      </c>
      <c r="V397" s="24">
        <v>273.5</v>
      </c>
      <c r="W397" s="24" t="s">
        <v>528</v>
      </c>
      <c r="X397" s="24" t="s">
        <v>528</v>
      </c>
      <c r="Y397" s="24" t="s">
        <v>529</v>
      </c>
      <c r="Z397" s="102" t="s">
        <v>528</v>
      </c>
      <c r="AA397" s="24" t="s">
        <v>528</v>
      </c>
      <c r="AB397" s="24" t="s">
        <v>528</v>
      </c>
      <c r="AC397" s="24" t="s">
        <v>528</v>
      </c>
      <c r="AD397" s="24" t="s">
        <v>528</v>
      </c>
      <c r="AE397" s="24" t="s">
        <v>529</v>
      </c>
      <c r="AF397" s="24">
        <v>0</v>
      </c>
      <c r="AG397" s="24">
        <v>0</v>
      </c>
      <c r="AH397" s="24">
        <v>1</v>
      </c>
      <c r="AI397" s="24">
        <v>0</v>
      </c>
      <c r="AJ397" s="24">
        <v>0</v>
      </c>
      <c r="AK397" s="24">
        <v>0</v>
      </c>
      <c r="AL397" s="24"/>
    </row>
    <row r="398" spans="1:38" ht="31.2" x14ac:dyDescent="0.3">
      <c r="A398" s="53">
        <v>391</v>
      </c>
      <c r="B398" s="24" t="s">
        <v>544</v>
      </c>
      <c r="C398" s="24" t="s">
        <v>545</v>
      </c>
      <c r="D398" s="82" t="s">
        <v>1036</v>
      </c>
      <c r="E398" s="24">
        <v>31</v>
      </c>
      <c r="F398" s="24" t="s">
        <v>1049</v>
      </c>
      <c r="G398" s="24"/>
      <c r="H398" s="24" t="s">
        <v>1050</v>
      </c>
      <c r="I398" s="30" t="s">
        <v>548</v>
      </c>
      <c r="J398" s="24"/>
      <c r="K398" s="24" t="s">
        <v>549</v>
      </c>
      <c r="L398" s="24" t="s">
        <v>549</v>
      </c>
      <c r="M398" s="24">
        <v>1912</v>
      </c>
      <c r="N398" s="24" t="s">
        <v>550</v>
      </c>
      <c r="O398" s="24">
        <v>5</v>
      </c>
      <c r="P398" s="24">
        <v>0</v>
      </c>
      <c r="Q398" s="24">
        <v>1</v>
      </c>
      <c r="R398" s="24">
        <v>10</v>
      </c>
      <c r="S398" s="24">
        <v>925.7</v>
      </c>
      <c r="T398" s="24">
        <v>925.7</v>
      </c>
      <c r="U398" s="24">
        <v>813.7</v>
      </c>
      <c r="V398" s="24">
        <v>112</v>
      </c>
      <c r="W398" s="24" t="s">
        <v>528</v>
      </c>
      <c r="X398" s="24" t="s">
        <v>528</v>
      </c>
      <c r="Y398" s="24" t="s">
        <v>529</v>
      </c>
      <c r="Z398" s="102" t="s">
        <v>528</v>
      </c>
      <c r="AA398" s="24" t="s">
        <v>528</v>
      </c>
      <c r="AB398" s="24" t="s">
        <v>528</v>
      </c>
      <c r="AC398" s="24" t="s">
        <v>528</v>
      </c>
      <c r="AD398" s="24" t="s">
        <v>528</v>
      </c>
      <c r="AE398" s="24" t="s">
        <v>529</v>
      </c>
      <c r="AF398" s="24">
        <v>0</v>
      </c>
      <c r="AG398" s="24">
        <v>0</v>
      </c>
      <c r="AH398" s="24">
        <v>1</v>
      </c>
      <c r="AI398" s="24">
        <v>0</v>
      </c>
      <c r="AJ398" s="24">
        <v>1</v>
      </c>
      <c r="AK398" s="24">
        <v>0</v>
      </c>
      <c r="AL398" s="24"/>
    </row>
    <row r="399" spans="1:38" ht="31.2" x14ac:dyDescent="0.3">
      <c r="A399" s="53">
        <v>392</v>
      </c>
      <c r="B399" s="24" t="s">
        <v>544</v>
      </c>
      <c r="C399" s="24" t="s">
        <v>545</v>
      </c>
      <c r="D399" s="82" t="s">
        <v>1036</v>
      </c>
      <c r="E399" s="24">
        <v>33</v>
      </c>
      <c r="F399" s="24" t="s">
        <v>217</v>
      </c>
      <c r="G399" s="24"/>
      <c r="H399" s="24" t="s">
        <v>1051</v>
      </c>
      <c r="I399" s="30" t="s">
        <v>548</v>
      </c>
      <c r="J399" s="24"/>
      <c r="K399" s="24" t="s">
        <v>549</v>
      </c>
      <c r="L399" s="24" t="s">
        <v>549</v>
      </c>
      <c r="M399" s="24">
        <v>1917</v>
      </c>
      <c r="N399" s="24" t="s">
        <v>550</v>
      </c>
      <c r="O399" s="24">
        <v>4</v>
      </c>
      <c r="P399" s="24">
        <v>0</v>
      </c>
      <c r="Q399" s="24">
        <v>1</v>
      </c>
      <c r="R399" s="24">
        <v>7</v>
      </c>
      <c r="S399" s="24">
        <v>383</v>
      </c>
      <c r="T399" s="24">
        <v>383</v>
      </c>
      <c r="U399" s="24">
        <v>327</v>
      </c>
      <c r="V399" s="24">
        <v>56</v>
      </c>
      <c r="W399" s="24" t="s">
        <v>528</v>
      </c>
      <c r="X399" s="24" t="s">
        <v>528</v>
      </c>
      <c r="Y399" s="24" t="s">
        <v>529</v>
      </c>
      <c r="Z399" s="102" t="s">
        <v>528</v>
      </c>
      <c r="AA399" s="24" t="s">
        <v>528</v>
      </c>
      <c r="AB399" s="24" t="s">
        <v>528</v>
      </c>
      <c r="AC399" s="24" t="s">
        <v>528</v>
      </c>
      <c r="AD399" s="24" t="s">
        <v>528</v>
      </c>
      <c r="AE399" s="24" t="s">
        <v>529</v>
      </c>
      <c r="AF399" s="24">
        <v>0</v>
      </c>
      <c r="AG399" s="24">
        <v>0</v>
      </c>
      <c r="AH399" s="24">
        <v>1</v>
      </c>
      <c r="AI399" s="24">
        <v>0</v>
      </c>
      <c r="AJ399" s="24">
        <v>1</v>
      </c>
      <c r="AK399" s="24">
        <v>0</v>
      </c>
      <c r="AL399" s="24"/>
    </row>
    <row r="400" spans="1:38" ht="31.2" x14ac:dyDescent="0.3">
      <c r="A400" s="53">
        <v>393</v>
      </c>
      <c r="B400" s="24" t="s">
        <v>544</v>
      </c>
      <c r="C400" s="24" t="s">
        <v>545</v>
      </c>
      <c r="D400" s="82" t="s">
        <v>1036</v>
      </c>
      <c r="E400" s="24" t="s">
        <v>1052</v>
      </c>
      <c r="F400" s="24" t="s">
        <v>200</v>
      </c>
      <c r="G400" s="24"/>
      <c r="H400" s="24" t="s">
        <v>1053</v>
      </c>
      <c r="I400" s="30" t="s">
        <v>548</v>
      </c>
      <c r="J400" s="24"/>
      <c r="K400" s="24" t="s">
        <v>549</v>
      </c>
      <c r="L400" s="24" t="s">
        <v>549</v>
      </c>
      <c r="M400" s="24">
        <v>1932</v>
      </c>
      <c r="N400" s="24" t="s">
        <v>550</v>
      </c>
      <c r="O400" s="24">
        <v>4</v>
      </c>
      <c r="P400" s="24">
        <v>0</v>
      </c>
      <c r="Q400" s="24">
        <v>1</v>
      </c>
      <c r="R400" s="24">
        <v>19</v>
      </c>
      <c r="S400" s="24">
        <v>1326.9</v>
      </c>
      <c r="T400" s="24">
        <v>1326.9</v>
      </c>
      <c r="U400" s="24">
        <v>1232.9000000000001</v>
      </c>
      <c r="V400" s="24">
        <v>94</v>
      </c>
      <c r="W400" s="24" t="s">
        <v>528</v>
      </c>
      <c r="X400" s="24" t="s">
        <v>528</v>
      </c>
      <c r="Y400" s="24" t="s">
        <v>529</v>
      </c>
      <c r="Z400" s="102" t="s">
        <v>528</v>
      </c>
      <c r="AA400" s="24" t="s">
        <v>528</v>
      </c>
      <c r="AB400" s="24" t="s">
        <v>528</v>
      </c>
      <c r="AC400" s="24" t="s">
        <v>528</v>
      </c>
      <c r="AD400" s="24" t="s">
        <v>528</v>
      </c>
      <c r="AE400" s="24" t="s">
        <v>529</v>
      </c>
      <c r="AF400" s="24">
        <v>0</v>
      </c>
      <c r="AG400" s="24">
        <v>0</v>
      </c>
      <c r="AH400" s="24">
        <v>1</v>
      </c>
      <c r="AI400" s="24">
        <v>0</v>
      </c>
      <c r="AJ400" s="24">
        <v>1</v>
      </c>
      <c r="AK400" s="24">
        <v>0</v>
      </c>
      <c r="AL400" s="24"/>
    </row>
    <row r="401" spans="1:38" ht="31.2" x14ac:dyDescent="0.3">
      <c r="A401" s="53">
        <v>394</v>
      </c>
      <c r="B401" s="24" t="s">
        <v>544</v>
      </c>
      <c r="C401" s="24" t="s">
        <v>545</v>
      </c>
      <c r="D401" s="82" t="s">
        <v>1054</v>
      </c>
      <c r="E401" s="24">
        <v>4</v>
      </c>
      <c r="F401" s="24" t="s">
        <v>200</v>
      </c>
      <c r="G401" s="24"/>
      <c r="H401" s="24" t="s">
        <v>1055</v>
      </c>
      <c r="I401" s="30" t="s">
        <v>548</v>
      </c>
      <c r="J401" s="24"/>
      <c r="K401" s="24" t="s">
        <v>549</v>
      </c>
      <c r="L401" s="24" t="s">
        <v>549</v>
      </c>
      <c r="M401" s="24">
        <v>1901</v>
      </c>
      <c r="N401" s="24" t="s">
        <v>550</v>
      </c>
      <c r="O401" s="24">
        <v>4</v>
      </c>
      <c r="P401" s="24">
        <v>0</v>
      </c>
      <c r="Q401" s="24">
        <v>1</v>
      </c>
      <c r="R401" s="24">
        <v>7</v>
      </c>
      <c r="S401" s="24">
        <v>468.4</v>
      </c>
      <c r="T401" s="24">
        <v>468.4</v>
      </c>
      <c r="U401" s="24">
        <v>451.4</v>
      </c>
      <c r="V401" s="24">
        <v>17</v>
      </c>
      <c r="W401" s="24" t="s">
        <v>528</v>
      </c>
      <c r="X401" s="24" t="s">
        <v>528</v>
      </c>
      <c r="Y401" s="24" t="s">
        <v>529</v>
      </c>
      <c r="Z401" s="102" t="s">
        <v>528</v>
      </c>
      <c r="AA401" s="24" t="s">
        <v>528</v>
      </c>
      <c r="AB401" s="24" t="s">
        <v>528</v>
      </c>
      <c r="AC401" s="24" t="s">
        <v>528</v>
      </c>
      <c r="AD401" s="24" t="s">
        <v>528</v>
      </c>
      <c r="AE401" s="24" t="s">
        <v>529</v>
      </c>
      <c r="AF401" s="24">
        <v>0</v>
      </c>
      <c r="AG401" s="24">
        <v>0</v>
      </c>
      <c r="AH401" s="24">
        <v>1</v>
      </c>
      <c r="AI401" s="24">
        <v>0</v>
      </c>
      <c r="AJ401" s="24">
        <v>0</v>
      </c>
      <c r="AK401" s="24">
        <v>0</v>
      </c>
      <c r="AL401" s="24"/>
    </row>
    <row r="402" spans="1:38" ht="31.2" x14ac:dyDescent="0.3">
      <c r="A402" s="53">
        <v>395</v>
      </c>
      <c r="B402" s="24" t="s">
        <v>544</v>
      </c>
      <c r="C402" s="24" t="s">
        <v>545</v>
      </c>
      <c r="D402" s="82" t="s">
        <v>1054</v>
      </c>
      <c r="E402" s="24">
        <v>5</v>
      </c>
      <c r="F402" s="24" t="s">
        <v>200</v>
      </c>
      <c r="G402" s="24"/>
      <c r="H402" s="24" t="s">
        <v>1056</v>
      </c>
      <c r="I402" s="30" t="s">
        <v>548</v>
      </c>
      <c r="J402" s="24"/>
      <c r="K402" s="24" t="s">
        <v>549</v>
      </c>
      <c r="L402" s="24" t="s">
        <v>549</v>
      </c>
      <c r="M402" s="24">
        <v>1912</v>
      </c>
      <c r="N402" s="24" t="s">
        <v>550</v>
      </c>
      <c r="O402" s="24">
        <v>6</v>
      </c>
      <c r="P402" s="24">
        <v>0</v>
      </c>
      <c r="Q402" s="24">
        <v>2</v>
      </c>
      <c r="R402" s="24">
        <v>37</v>
      </c>
      <c r="S402" s="24">
        <v>2188.1999999999998</v>
      </c>
      <c r="T402" s="24">
        <v>2188.1999999999998</v>
      </c>
      <c r="U402" s="24">
        <v>2146.1999999999998</v>
      </c>
      <c r="V402" s="24">
        <v>42</v>
      </c>
      <c r="W402" s="24" t="s">
        <v>528</v>
      </c>
      <c r="X402" s="24" t="s">
        <v>528</v>
      </c>
      <c r="Y402" s="24" t="s">
        <v>529</v>
      </c>
      <c r="Z402" s="102" t="s">
        <v>528</v>
      </c>
      <c r="AA402" s="24" t="s">
        <v>528</v>
      </c>
      <c r="AB402" s="24" t="s">
        <v>528</v>
      </c>
      <c r="AC402" s="24" t="s">
        <v>528</v>
      </c>
      <c r="AD402" s="24" t="s">
        <v>528</v>
      </c>
      <c r="AE402" s="24" t="s">
        <v>529</v>
      </c>
      <c r="AF402" s="24">
        <v>2</v>
      </c>
      <c r="AG402" s="24">
        <v>0</v>
      </c>
      <c r="AH402" s="24">
        <v>1</v>
      </c>
      <c r="AI402" s="24">
        <v>0</v>
      </c>
      <c r="AJ402" s="24">
        <v>0</v>
      </c>
      <c r="AK402" s="24">
        <v>0</v>
      </c>
      <c r="AL402" s="24"/>
    </row>
    <row r="403" spans="1:38" ht="31.2" x14ac:dyDescent="0.3">
      <c r="A403" s="53">
        <v>396</v>
      </c>
      <c r="B403" s="24" t="s">
        <v>544</v>
      </c>
      <c r="C403" s="24" t="s">
        <v>545</v>
      </c>
      <c r="D403" s="82" t="s">
        <v>1054</v>
      </c>
      <c r="E403" s="24">
        <v>6</v>
      </c>
      <c r="F403" s="24" t="s">
        <v>200</v>
      </c>
      <c r="G403" s="24"/>
      <c r="H403" s="24" t="s">
        <v>1057</v>
      </c>
      <c r="I403" s="30" t="s">
        <v>548</v>
      </c>
      <c r="J403" s="24"/>
      <c r="K403" s="24" t="s">
        <v>549</v>
      </c>
      <c r="L403" s="24" t="s">
        <v>549</v>
      </c>
      <c r="M403" s="24">
        <v>1911</v>
      </c>
      <c r="N403" s="24" t="s">
        <v>550</v>
      </c>
      <c r="O403" s="24">
        <v>5</v>
      </c>
      <c r="P403" s="24">
        <v>0</v>
      </c>
      <c r="Q403" s="24">
        <v>1</v>
      </c>
      <c r="R403" s="24">
        <v>18</v>
      </c>
      <c r="S403" s="24">
        <v>1029</v>
      </c>
      <c r="T403" s="24">
        <v>1029</v>
      </c>
      <c r="U403" s="24">
        <v>975</v>
      </c>
      <c r="V403" s="24">
        <v>54</v>
      </c>
      <c r="W403" s="24" t="s">
        <v>528</v>
      </c>
      <c r="X403" s="24" t="s">
        <v>528</v>
      </c>
      <c r="Y403" s="24" t="s">
        <v>529</v>
      </c>
      <c r="Z403" s="102" t="s">
        <v>528</v>
      </c>
      <c r="AA403" s="24" t="s">
        <v>528</v>
      </c>
      <c r="AB403" s="24" t="s">
        <v>528</v>
      </c>
      <c r="AC403" s="24" t="s">
        <v>528</v>
      </c>
      <c r="AD403" s="24" t="s">
        <v>528</v>
      </c>
      <c r="AE403" s="24" t="s">
        <v>529</v>
      </c>
      <c r="AF403" s="24">
        <v>0</v>
      </c>
      <c r="AG403" s="24">
        <v>0</v>
      </c>
      <c r="AH403" s="24">
        <v>1</v>
      </c>
      <c r="AI403" s="24">
        <v>0</v>
      </c>
      <c r="AJ403" s="24">
        <v>1</v>
      </c>
      <c r="AK403" s="24">
        <v>0</v>
      </c>
      <c r="AL403" s="24"/>
    </row>
    <row r="404" spans="1:38" ht="31.2" x14ac:dyDescent="0.3">
      <c r="A404" s="53">
        <v>397</v>
      </c>
      <c r="B404" s="24" t="s">
        <v>544</v>
      </c>
      <c r="C404" s="24" t="s">
        <v>545</v>
      </c>
      <c r="D404" s="82" t="s">
        <v>1054</v>
      </c>
      <c r="E404" s="24">
        <v>7</v>
      </c>
      <c r="F404" s="24" t="s">
        <v>200</v>
      </c>
      <c r="G404" s="24"/>
      <c r="H404" s="24" t="s">
        <v>1058</v>
      </c>
      <c r="I404" s="30" t="s">
        <v>548</v>
      </c>
      <c r="J404" s="24"/>
      <c r="K404" s="24" t="s">
        <v>549</v>
      </c>
      <c r="L404" s="24" t="s">
        <v>549</v>
      </c>
      <c r="M404" s="24">
        <v>1912</v>
      </c>
      <c r="N404" s="24" t="s">
        <v>550</v>
      </c>
      <c r="O404" s="24">
        <v>5</v>
      </c>
      <c r="P404" s="24">
        <v>0</v>
      </c>
      <c r="Q404" s="24">
        <v>1</v>
      </c>
      <c r="R404" s="24">
        <v>15</v>
      </c>
      <c r="S404" s="24">
        <v>1079.3</v>
      </c>
      <c r="T404" s="24">
        <v>1079.3</v>
      </c>
      <c r="U404" s="24">
        <v>1079.3</v>
      </c>
      <c r="V404" s="24">
        <v>0</v>
      </c>
      <c r="W404" s="24" t="s">
        <v>528</v>
      </c>
      <c r="X404" s="24" t="s">
        <v>528</v>
      </c>
      <c r="Y404" s="24" t="s">
        <v>529</v>
      </c>
      <c r="Z404" s="102" t="s">
        <v>528</v>
      </c>
      <c r="AA404" s="24" t="s">
        <v>528</v>
      </c>
      <c r="AB404" s="24" t="s">
        <v>528</v>
      </c>
      <c r="AC404" s="24" t="s">
        <v>528</v>
      </c>
      <c r="AD404" s="24" t="s">
        <v>528</v>
      </c>
      <c r="AE404" s="24" t="s">
        <v>529</v>
      </c>
      <c r="AF404" s="24">
        <v>0</v>
      </c>
      <c r="AG404" s="24">
        <v>0</v>
      </c>
      <c r="AH404" s="24">
        <v>1</v>
      </c>
      <c r="AI404" s="24">
        <v>0</v>
      </c>
      <c r="AJ404" s="24">
        <v>0</v>
      </c>
      <c r="AK404" s="24">
        <v>0</v>
      </c>
      <c r="AL404" s="24"/>
    </row>
    <row r="405" spans="1:38" ht="31.2" x14ac:dyDescent="0.3">
      <c r="A405" s="53">
        <v>398</v>
      </c>
      <c r="B405" s="24" t="s">
        <v>544</v>
      </c>
      <c r="C405" s="24" t="s">
        <v>545</v>
      </c>
      <c r="D405" s="82" t="s">
        <v>1054</v>
      </c>
      <c r="E405" s="24">
        <v>10</v>
      </c>
      <c r="F405" s="24" t="s">
        <v>200</v>
      </c>
      <c r="G405" s="24"/>
      <c r="H405" s="24" t="s">
        <v>1059</v>
      </c>
      <c r="I405" s="30" t="s">
        <v>548</v>
      </c>
      <c r="J405" s="24"/>
      <c r="K405" s="24" t="s">
        <v>549</v>
      </c>
      <c r="L405" s="24" t="s">
        <v>549</v>
      </c>
      <c r="M405" s="24">
        <v>1913</v>
      </c>
      <c r="N405" s="24" t="s">
        <v>550</v>
      </c>
      <c r="O405" s="24">
        <v>6</v>
      </c>
      <c r="P405" s="24">
        <v>0</v>
      </c>
      <c r="Q405" s="24">
        <v>3</v>
      </c>
      <c r="R405" s="24">
        <v>22</v>
      </c>
      <c r="S405" s="24">
        <v>1597.4</v>
      </c>
      <c r="T405" s="24">
        <v>1597.4</v>
      </c>
      <c r="U405" s="24">
        <v>1456.4</v>
      </c>
      <c r="V405" s="24">
        <v>141</v>
      </c>
      <c r="W405" s="24" t="s">
        <v>528</v>
      </c>
      <c r="X405" s="24" t="s">
        <v>528</v>
      </c>
      <c r="Y405" s="24" t="s">
        <v>529</v>
      </c>
      <c r="Z405" s="102" t="s">
        <v>528</v>
      </c>
      <c r="AA405" s="24" t="s">
        <v>528</v>
      </c>
      <c r="AB405" s="24" t="s">
        <v>528</v>
      </c>
      <c r="AC405" s="24" t="s">
        <v>528</v>
      </c>
      <c r="AD405" s="24" t="s">
        <v>528</v>
      </c>
      <c r="AE405" s="24" t="s">
        <v>529</v>
      </c>
      <c r="AF405" s="24">
        <v>1</v>
      </c>
      <c r="AG405" s="24">
        <v>0</v>
      </c>
      <c r="AH405" s="24">
        <v>1</v>
      </c>
      <c r="AI405" s="24">
        <v>0</v>
      </c>
      <c r="AJ405" s="24">
        <v>0</v>
      </c>
      <c r="AK405" s="24">
        <v>0</v>
      </c>
      <c r="AL405" s="24"/>
    </row>
    <row r="406" spans="1:38" ht="31.2" x14ac:dyDescent="0.3">
      <c r="A406" s="53">
        <v>399</v>
      </c>
      <c r="B406" s="24" t="s">
        <v>544</v>
      </c>
      <c r="C406" s="24" t="s">
        <v>545</v>
      </c>
      <c r="D406" s="82" t="s">
        <v>1054</v>
      </c>
      <c r="E406" s="24">
        <v>12</v>
      </c>
      <c r="F406" s="24" t="s">
        <v>200</v>
      </c>
      <c r="G406" s="24"/>
      <c r="H406" s="24" t="s">
        <v>1060</v>
      </c>
      <c r="I406" s="30" t="s">
        <v>548</v>
      </c>
      <c r="J406" s="24"/>
      <c r="K406" s="24" t="s">
        <v>549</v>
      </c>
      <c r="L406" s="24" t="s">
        <v>549</v>
      </c>
      <c r="M406" s="24">
        <v>1912</v>
      </c>
      <c r="N406" s="24" t="s">
        <v>550</v>
      </c>
      <c r="O406" s="24">
        <v>5</v>
      </c>
      <c r="P406" s="24">
        <v>0</v>
      </c>
      <c r="Q406" s="24">
        <v>1</v>
      </c>
      <c r="R406" s="24">
        <v>13</v>
      </c>
      <c r="S406" s="24">
        <v>1464.4</v>
      </c>
      <c r="T406" s="24">
        <v>1464.4</v>
      </c>
      <c r="U406" s="24">
        <v>1261.4000000000001</v>
      </c>
      <c r="V406" s="24">
        <v>203</v>
      </c>
      <c r="W406" s="24" t="s">
        <v>528</v>
      </c>
      <c r="X406" s="24" t="s">
        <v>528</v>
      </c>
      <c r="Y406" s="24" t="s">
        <v>529</v>
      </c>
      <c r="Z406" s="102" t="s">
        <v>528</v>
      </c>
      <c r="AA406" s="24" t="s">
        <v>528</v>
      </c>
      <c r="AB406" s="24" t="s">
        <v>528</v>
      </c>
      <c r="AC406" s="24" t="s">
        <v>528</v>
      </c>
      <c r="AD406" s="24" t="s">
        <v>528</v>
      </c>
      <c r="AE406" s="24" t="s">
        <v>529</v>
      </c>
      <c r="AF406" s="24">
        <v>0</v>
      </c>
      <c r="AG406" s="24">
        <v>0</v>
      </c>
      <c r="AH406" s="24">
        <v>1</v>
      </c>
      <c r="AI406" s="24">
        <v>0</v>
      </c>
      <c r="AJ406" s="24">
        <v>1</v>
      </c>
      <c r="AK406" s="24">
        <v>0</v>
      </c>
      <c r="AL406" s="24"/>
    </row>
    <row r="407" spans="1:38" ht="31.2" x14ac:dyDescent="0.3">
      <c r="A407" s="53">
        <v>400</v>
      </c>
      <c r="B407" s="24" t="s">
        <v>544</v>
      </c>
      <c r="C407" s="24" t="s">
        <v>545</v>
      </c>
      <c r="D407" s="82" t="s">
        <v>1054</v>
      </c>
      <c r="E407" s="24" t="s">
        <v>1061</v>
      </c>
      <c r="F407" s="24" t="s">
        <v>200</v>
      </c>
      <c r="G407" s="24"/>
      <c r="H407" s="24" t="s">
        <v>1062</v>
      </c>
      <c r="I407" s="30" t="s">
        <v>548</v>
      </c>
      <c r="J407" s="24"/>
      <c r="K407" s="24" t="s">
        <v>549</v>
      </c>
      <c r="L407" s="24" t="s">
        <v>549</v>
      </c>
      <c r="M407" s="24">
        <v>1916</v>
      </c>
      <c r="N407" s="24" t="s">
        <v>550</v>
      </c>
      <c r="O407" s="24">
        <v>5</v>
      </c>
      <c r="P407" s="24">
        <v>0</v>
      </c>
      <c r="Q407" s="24">
        <v>1</v>
      </c>
      <c r="R407" s="24">
        <v>5</v>
      </c>
      <c r="S407" s="24">
        <v>2426.7000000000003</v>
      </c>
      <c r="T407" s="24">
        <v>2426.7000000000003</v>
      </c>
      <c r="U407" s="24">
        <v>363.9</v>
      </c>
      <c r="V407" s="24">
        <v>2062.8000000000002</v>
      </c>
      <c r="W407" s="24" t="s">
        <v>528</v>
      </c>
      <c r="X407" s="24" t="s">
        <v>528</v>
      </c>
      <c r="Y407" s="24" t="s">
        <v>529</v>
      </c>
      <c r="Z407" s="102" t="s">
        <v>528</v>
      </c>
      <c r="AA407" s="24" t="s">
        <v>528</v>
      </c>
      <c r="AB407" s="24" t="s">
        <v>528</v>
      </c>
      <c r="AC407" s="24" t="s">
        <v>528</v>
      </c>
      <c r="AD407" s="24" t="s">
        <v>528</v>
      </c>
      <c r="AE407" s="24" t="s">
        <v>529</v>
      </c>
      <c r="AF407" s="24">
        <v>0</v>
      </c>
      <c r="AG407" s="24">
        <v>0</v>
      </c>
      <c r="AH407" s="24">
        <v>1</v>
      </c>
      <c r="AI407" s="24">
        <v>0</v>
      </c>
      <c r="AJ407" s="24">
        <v>0</v>
      </c>
      <c r="AK407" s="24">
        <v>0</v>
      </c>
      <c r="AL407" s="24"/>
    </row>
    <row r="408" spans="1:38" ht="31.2" x14ac:dyDescent="0.3">
      <c r="A408" s="53">
        <v>401</v>
      </c>
      <c r="B408" s="24" t="s">
        <v>544</v>
      </c>
      <c r="C408" s="24" t="s">
        <v>545</v>
      </c>
      <c r="D408" s="82" t="s">
        <v>1054</v>
      </c>
      <c r="E408" s="24">
        <v>16</v>
      </c>
      <c r="F408" s="24" t="s">
        <v>1063</v>
      </c>
      <c r="G408" s="24"/>
      <c r="H408" s="24" t="s">
        <v>1064</v>
      </c>
      <c r="I408" s="30" t="s">
        <v>548</v>
      </c>
      <c r="J408" s="24"/>
      <c r="K408" s="24" t="s">
        <v>549</v>
      </c>
      <c r="L408" s="24" t="s">
        <v>549</v>
      </c>
      <c r="M408" s="24">
        <v>1909</v>
      </c>
      <c r="N408" s="24" t="s">
        <v>550</v>
      </c>
      <c r="O408" s="24">
        <v>5</v>
      </c>
      <c r="P408" s="24">
        <v>0</v>
      </c>
      <c r="Q408" s="24">
        <v>1</v>
      </c>
      <c r="R408" s="24">
        <v>20</v>
      </c>
      <c r="S408" s="24">
        <v>1160.17</v>
      </c>
      <c r="T408" s="24">
        <v>1160.17</v>
      </c>
      <c r="U408" s="24">
        <v>1160.17</v>
      </c>
      <c r="V408" s="24">
        <v>0</v>
      </c>
      <c r="W408" s="24" t="s">
        <v>528</v>
      </c>
      <c r="X408" s="24" t="s">
        <v>528</v>
      </c>
      <c r="Y408" s="24" t="s">
        <v>529</v>
      </c>
      <c r="Z408" s="102" t="s">
        <v>528</v>
      </c>
      <c r="AA408" s="24" t="s">
        <v>528</v>
      </c>
      <c r="AB408" s="24" t="s">
        <v>528</v>
      </c>
      <c r="AC408" s="24" t="s">
        <v>528</v>
      </c>
      <c r="AD408" s="24" t="s">
        <v>528</v>
      </c>
      <c r="AE408" s="24" t="s">
        <v>529</v>
      </c>
      <c r="AF408" s="24">
        <v>0</v>
      </c>
      <c r="AG408" s="24">
        <v>0</v>
      </c>
      <c r="AH408" s="24">
        <v>1</v>
      </c>
      <c r="AI408" s="24">
        <v>0</v>
      </c>
      <c r="AJ408" s="24">
        <v>1</v>
      </c>
      <c r="AK408" s="24">
        <v>0</v>
      </c>
      <c r="AL408" s="24"/>
    </row>
    <row r="409" spans="1:38" ht="31.2" x14ac:dyDescent="0.3">
      <c r="A409" s="53">
        <v>402</v>
      </c>
      <c r="B409" s="24" t="s">
        <v>544</v>
      </c>
      <c r="C409" s="24" t="s">
        <v>545</v>
      </c>
      <c r="D409" s="82" t="s">
        <v>1054</v>
      </c>
      <c r="E409" s="24">
        <v>17</v>
      </c>
      <c r="F409" s="24" t="s">
        <v>200</v>
      </c>
      <c r="G409" s="24"/>
      <c r="H409" s="24" t="s">
        <v>1065</v>
      </c>
      <c r="I409" s="30" t="s">
        <v>548</v>
      </c>
      <c r="J409" s="24"/>
      <c r="K409" s="24" t="s">
        <v>549</v>
      </c>
      <c r="L409" s="24" t="s">
        <v>549</v>
      </c>
      <c r="M409" s="24">
        <v>1911</v>
      </c>
      <c r="N409" s="24" t="s">
        <v>550</v>
      </c>
      <c r="O409" s="24">
        <v>5</v>
      </c>
      <c r="P409" s="24">
        <v>0</v>
      </c>
      <c r="Q409" s="24">
        <v>3</v>
      </c>
      <c r="R409" s="24">
        <v>17</v>
      </c>
      <c r="S409" s="24">
        <v>1716.7</v>
      </c>
      <c r="T409" s="24">
        <v>1716.7</v>
      </c>
      <c r="U409" s="24">
        <v>1461.7</v>
      </c>
      <c r="V409" s="24">
        <v>255</v>
      </c>
      <c r="W409" s="24" t="s">
        <v>528</v>
      </c>
      <c r="X409" s="24" t="s">
        <v>528</v>
      </c>
      <c r="Y409" s="24" t="s">
        <v>529</v>
      </c>
      <c r="Z409" s="102" t="s">
        <v>528</v>
      </c>
      <c r="AA409" s="24" t="s">
        <v>528</v>
      </c>
      <c r="AB409" s="24" t="s">
        <v>528</v>
      </c>
      <c r="AC409" s="24" t="s">
        <v>528</v>
      </c>
      <c r="AD409" s="24" t="s">
        <v>528</v>
      </c>
      <c r="AE409" s="24" t="s">
        <v>529</v>
      </c>
      <c r="AF409" s="24">
        <v>0</v>
      </c>
      <c r="AG409" s="24">
        <v>0</v>
      </c>
      <c r="AH409" s="24">
        <v>1</v>
      </c>
      <c r="AI409" s="24">
        <v>0</v>
      </c>
      <c r="AJ409" s="24">
        <v>1</v>
      </c>
      <c r="AK409" s="24">
        <v>0</v>
      </c>
      <c r="AL409" s="24"/>
    </row>
    <row r="410" spans="1:38" ht="31.2" x14ac:dyDescent="0.3">
      <c r="A410" s="53">
        <v>403</v>
      </c>
      <c r="B410" s="24" t="s">
        <v>544</v>
      </c>
      <c r="C410" s="24" t="s">
        <v>545</v>
      </c>
      <c r="D410" s="82" t="s">
        <v>1054</v>
      </c>
      <c r="E410" s="24">
        <v>20</v>
      </c>
      <c r="F410" s="24" t="s">
        <v>200</v>
      </c>
      <c r="G410" s="24"/>
      <c r="H410" s="24" t="s">
        <v>1066</v>
      </c>
      <c r="I410" s="30" t="s">
        <v>548</v>
      </c>
      <c r="J410" s="24"/>
      <c r="K410" s="24" t="s">
        <v>549</v>
      </c>
      <c r="L410" s="24" t="s">
        <v>549</v>
      </c>
      <c r="M410" s="24">
        <v>1912</v>
      </c>
      <c r="N410" s="24" t="s">
        <v>550</v>
      </c>
      <c r="O410" s="24">
        <v>4</v>
      </c>
      <c r="P410" s="24">
        <v>0</v>
      </c>
      <c r="Q410" s="24">
        <v>1</v>
      </c>
      <c r="R410" s="24">
        <v>8</v>
      </c>
      <c r="S410" s="24">
        <v>728.9</v>
      </c>
      <c r="T410" s="24">
        <v>728.9</v>
      </c>
      <c r="U410" s="24">
        <v>728.9</v>
      </c>
      <c r="V410" s="24">
        <v>0</v>
      </c>
      <c r="W410" s="24" t="s">
        <v>528</v>
      </c>
      <c r="X410" s="24" t="s">
        <v>528</v>
      </c>
      <c r="Y410" s="24" t="s">
        <v>529</v>
      </c>
      <c r="Z410" s="102" t="s">
        <v>528</v>
      </c>
      <c r="AA410" s="24" t="s">
        <v>528</v>
      </c>
      <c r="AB410" s="24" t="s">
        <v>528</v>
      </c>
      <c r="AC410" s="24" t="s">
        <v>528</v>
      </c>
      <c r="AD410" s="24" t="s">
        <v>528</v>
      </c>
      <c r="AE410" s="24" t="s">
        <v>529</v>
      </c>
      <c r="AF410" s="24">
        <v>0</v>
      </c>
      <c r="AG410" s="24">
        <v>0</v>
      </c>
      <c r="AH410" s="24">
        <v>1</v>
      </c>
      <c r="AI410" s="24">
        <v>0</v>
      </c>
      <c r="AJ410" s="24">
        <v>1</v>
      </c>
      <c r="AK410" s="24">
        <v>0</v>
      </c>
      <c r="AL410" s="24"/>
    </row>
    <row r="411" spans="1:38" ht="31.2" x14ac:dyDescent="0.3">
      <c r="A411" s="53">
        <v>404</v>
      </c>
      <c r="B411" s="24" t="s">
        <v>544</v>
      </c>
      <c r="C411" s="24" t="s">
        <v>545</v>
      </c>
      <c r="D411" s="82" t="s">
        <v>1054</v>
      </c>
      <c r="E411" s="24" t="s">
        <v>1067</v>
      </c>
      <c r="F411" s="24" t="s">
        <v>200</v>
      </c>
      <c r="G411" s="24"/>
      <c r="H411" s="24" t="s">
        <v>1068</v>
      </c>
      <c r="I411" s="30" t="s">
        <v>548</v>
      </c>
      <c r="J411" s="24" t="s">
        <v>558</v>
      </c>
      <c r="K411" s="24" t="s">
        <v>549</v>
      </c>
      <c r="L411" s="24" t="s">
        <v>549</v>
      </c>
      <c r="M411" s="24">
        <v>1917</v>
      </c>
      <c r="N411" s="24" t="s">
        <v>550</v>
      </c>
      <c r="O411" s="24">
        <v>5</v>
      </c>
      <c r="P411" s="24">
        <v>0</v>
      </c>
      <c r="Q411" s="24">
        <v>1</v>
      </c>
      <c r="R411" s="24">
        <v>15</v>
      </c>
      <c r="S411" s="24">
        <v>2364.87</v>
      </c>
      <c r="T411" s="24">
        <v>2364.87</v>
      </c>
      <c r="U411" s="24">
        <v>1614.97</v>
      </c>
      <c r="V411" s="24">
        <v>749.9</v>
      </c>
      <c r="W411" s="24" t="s">
        <v>528</v>
      </c>
      <c r="X411" s="24" t="s">
        <v>528</v>
      </c>
      <c r="Y411" s="24" t="s">
        <v>529</v>
      </c>
      <c r="Z411" s="102" t="s">
        <v>528</v>
      </c>
      <c r="AA411" s="24" t="s">
        <v>528</v>
      </c>
      <c r="AB411" s="24" t="s">
        <v>528</v>
      </c>
      <c r="AC411" s="24" t="s">
        <v>528</v>
      </c>
      <c r="AD411" s="24" t="s">
        <v>528</v>
      </c>
      <c r="AE411" s="24" t="s">
        <v>529</v>
      </c>
      <c r="AF411" s="24">
        <v>0</v>
      </c>
      <c r="AG411" s="24">
        <v>0</v>
      </c>
      <c r="AH411" s="24">
        <v>1</v>
      </c>
      <c r="AI411" s="24">
        <v>0</v>
      </c>
      <c r="AJ411" s="24">
        <v>1</v>
      </c>
      <c r="AK411" s="24">
        <v>0</v>
      </c>
      <c r="AL411" s="24"/>
    </row>
    <row r="412" spans="1:38" ht="31.2" x14ac:dyDescent="0.3">
      <c r="A412" s="53">
        <v>405</v>
      </c>
      <c r="B412" s="24" t="s">
        <v>544</v>
      </c>
      <c r="C412" s="24" t="s">
        <v>545</v>
      </c>
      <c r="D412" s="82" t="s">
        <v>1054</v>
      </c>
      <c r="E412" s="24" t="s">
        <v>1067</v>
      </c>
      <c r="F412" s="24" t="s">
        <v>205</v>
      </c>
      <c r="G412" s="24"/>
      <c r="H412" s="24" t="s">
        <v>1069</v>
      </c>
      <c r="I412" s="30" t="s">
        <v>548</v>
      </c>
      <c r="J412" s="24" t="s">
        <v>558</v>
      </c>
      <c r="K412" s="24" t="s">
        <v>549</v>
      </c>
      <c r="L412" s="24" t="s">
        <v>549</v>
      </c>
      <c r="M412" s="24">
        <v>1911</v>
      </c>
      <c r="N412" s="24" t="s">
        <v>550</v>
      </c>
      <c r="O412" s="24">
        <v>5</v>
      </c>
      <c r="P412" s="24">
        <v>0</v>
      </c>
      <c r="Q412" s="24">
        <v>1</v>
      </c>
      <c r="R412" s="24">
        <v>15</v>
      </c>
      <c r="S412" s="24">
        <v>1701.7</v>
      </c>
      <c r="T412" s="24">
        <v>1701.7</v>
      </c>
      <c r="U412" s="24">
        <v>1600.7</v>
      </c>
      <c r="V412" s="24">
        <v>101</v>
      </c>
      <c r="W412" s="24" t="s">
        <v>528</v>
      </c>
      <c r="X412" s="24" t="s">
        <v>528</v>
      </c>
      <c r="Y412" s="24" t="s">
        <v>529</v>
      </c>
      <c r="Z412" s="102" t="s">
        <v>528</v>
      </c>
      <c r="AA412" s="24" t="s">
        <v>528</v>
      </c>
      <c r="AB412" s="24" t="s">
        <v>528</v>
      </c>
      <c r="AC412" s="24" t="s">
        <v>528</v>
      </c>
      <c r="AD412" s="24" t="s">
        <v>528</v>
      </c>
      <c r="AE412" s="24" t="s">
        <v>529</v>
      </c>
      <c r="AF412" s="24">
        <v>0</v>
      </c>
      <c r="AG412" s="24">
        <v>0</v>
      </c>
      <c r="AH412" s="24">
        <v>1</v>
      </c>
      <c r="AI412" s="24">
        <v>0</v>
      </c>
      <c r="AJ412" s="24">
        <v>1</v>
      </c>
      <c r="AK412" s="24">
        <v>0</v>
      </c>
      <c r="AL412" s="24"/>
    </row>
    <row r="413" spans="1:38" ht="31.2" x14ac:dyDescent="0.3">
      <c r="A413" s="53">
        <v>406</v>
      </c>
      <c r="B413" s="24" t="s">
        <v>544</v>
      </c>
      <c r="C413" s="24" t="s">
        <v>545</v>
      </c>
      <c r="D413" s="82" t="s">
        <v>1070</v>
      </c>
      <c r="E413" s="24">
        <v>3</v>
      </c>
      <c r="F413" s="24" t="s">
        <v>200</v>
      </c>
      <c r="G413" s="24"/>
      <c r="H413" s="24" t="s">
        <v>1071</v>
      </c>
      <c r="I413" s="30" t="s">
        <v>548</v>
      </c>
      <c r="J413" s="24"/>
      <c r="K413" s="24" t="s">
        <v>549</v>
      </c>
      <c r="L413" s="24" t="s">
        <v>549</v>
      </c>
      <c r="M413" s="24">
        <v>1913</v>
      </c>
      <c r="N413" s="24" t="s">
        <v>550</v>
      </c>
      <c r="O413" s="24">
        <v>5</v>
      </c>
      <c r="P413" s="24">
        <v>0</v>
      </c>
      <c r="Q413" s="24">
        <v>3</v>
      </c>
      <c r="R413" s="24">
        <v>27</v>
      </c>
      <c r="S413" s="24">
        <v>2037.6</v>
      </c>
      <c r="T413" s="24">
        <v>2037.6</v>
      </c>
      <c r="U413" s="24">
        <v>1791.6</v>
      </c>
      <c r="V413" s="24">
        <v>246</v>
      </c>
      <c r="W413" s="24" t="s">
        <v>528</v>
      </c>
      <c r="X413" s="24" t="s">
        <v>528</v>
      </c>
      <c r="Y413" s="24" t="s">
        <v>529</v>
      </c>
      <c r="Z413" s="102" t="s">
        <v>528</v>
      </c>
      <c r="AA413" s="24" t="s">
        <v>528</v>
      </c>
      <c r="AB413" s="24" t="s">
        <v>528</v>
      </c>
      <c r="AC413" s="24" t="s">
        <v>528</v>
      </c>
      <c r="AD413" s="24" t="s">
        <v>528</v>
      </c>
      <c r="AE413" s="24" t="s">
        <v>529</v>
      </c>
      <c r="AF413" s="24">
        <v>1</v>
      </c>
      <c r="AG413" s="24">
        <v>0</v>
      </c>
      <c r="AH413" s="24">
        <v>1</v>
      </c>
      <c r="AI413" s="24">
        <v>0</v>
      </c>
      <c r="AJ413" s="24">
        <v>0</v>
      </c>
      <c r="AK413" s="24">
        <v>0</v>
      </c>
      <c r="AL413" s="24"/>
    </row>
    <row r="414" spans="1:38" ht="31.2" x14ac:dyDescent="0.3">
      <c r="A414" s="53">
        <v>407</v>
      </c>
      <c r="B414" s="24" t="s">
        <v>544</v>
      </c>
      <c r="C414" s="24" t="s">
        <v>545</v>
      </c>
      <c r="D414" s="82" t="s">
        <v>1070</v>
      </c>
      <c r="E414" s="24">
        <v>4</v>
      </c>
      <c r="F414" s="24" t="s">
        <v>200</v>
      </c>
      <c r="G414" s="24"/>
      <c r="H414" s="24" t="s">
        <v>1072</v>
      </c>
      <c r="I414" s="30" t="s">
        <v>548</v>
      </c>
      <c r="J414" s="24"/>
      <c r="K414" s="24" t="s">
        <v>549</v>
      </c>
      <c r="L414" s="24" t="s">
        <v>549</v>
      </c>
      <c r="M414" s="24">
        <v>1910</v>
      </c>
      <c r="N414" s="24" t="s">
        <v>550</v>
      </c>
      <c r="O414" s="24">
        <v>5</v>
      </c>
      <c r="P414" s="24">
        <v>0</v>
      </c>
      <c r="Q414" s="24">
        <v>2</v>
      </c>
      <c r="R414" s="24">
        <v>28</v>
      </c>
      <c r="S414" s="24">
        <v>1565.8</v>
      </c>
      <c r="T414" s="24">
        <v>1565.8</v>
      </c>
      <c r="U414" s="24">
        <v>1473.8</v>
      </c>
      <c r="V414" s="24">
        <v>92</v>
      </c>
      <c r="W414" s="24" t="s">
        <v>528</v>
      </c>
      <c r="X414" s="24" t="s">
        <v>528</v>
      </c>
      <c r="Y414" s="24" t="s">
        <v>529</v>
      </c>
      <c r="Z414" s="102" t="s">
        <v>528</v>
      </c>
      <c r="AA414" s="24" t="s">
        <v>528</v>
      </c>
      <c r="AB414" s="24" t="s">
        <v>528</v>
      </c>
      <c r="AC414" s="24" t="s">
        <v>528</v>
      </c>
      <c r="AD414" s="24" t="s">
        <v>528</v>
      </c>
      <c r="AE414" s="24" t="s">
        <v>529</v>
      </c>
      <c r="AF414" s="24">
        <v>0</v>
      </c>
      <c r="AG414" s="24">
        <v>0</v>
      </c>
      <c r="AH414" s="24">
        <v>1</v>
      </c>
      <c r="AI414" s="24">
        <v>0</v>
      </c>
      <c r="AJ414" s="24">
        <v>1</v>
      </c>
      <c r="AK414" s="24">
        <v>0</v>
      </c>
      <c r="AL414" s="24"/>
    </row>
    <row r="415" spans="1:38" ht="31.2" x14ac:dyDescent="0.3">
      <c r="A415" s="53">
        <v>408</v>
      </c>
      <c r="B415" s="24" t="s">
        <v>544</v>
      </c>
      <c r="C415" s="24" t="s">
        <v>545</v>
      </c>
      <c r="D415" s="82" t="s">
        <v>1070</v>
      </c>
      <c r="E415" s="24">
        <v>5</v>
      </c>
      <c r="F415" s="24" t="s">
        <v>200</v>
      </c>
      <c r="G415" s="24"/>
      <c r="H415" s="24" t="s">
        <v>1073</v>
      </c>
      <c r="I415" s="30" t="s">
        <v>548</v>
      </c>
      <c r="J415" s="24"/>
      <c r="K415" s="24" t="s">
        <v>549</v>
      </c>
      <c r="L415" s="24" t="s">
        <v>549</v>
      </c>
      <c r="M415" s="24">
        <v>1907</v>
      </c>
      <c r="N415" s="24" t="s">
        <v>550</v>
      </c>
      <c r="O415" s="24">
        <v>5</v>
      </c>
      <c r="P415" s="24">
        <v>0</v>
      </c>
      <c r="Q415" s="24">
        <v>1</v>
      </c>
      <c r="R415" s="24">
        <v>9</v>
      </c>
      <c r="S415" s="24">
        <v>729.9</v>
      </c>
      <c r="T415" s="24">
        <v>729.9</v>
      </c>
      <c r="U415" s="24">
        <v>687.9</v>
      </c>
      <c r="V415" s="24">
        <v>42</v>
      </c>
      <c r="W415" s="24" t="s">
        <v>528</v>
      </c>
      <c r="X415" s="24" t="s">
        <v>528</v>
      </c>
      <c r="Y415" s="24" t="s">
        <v>529</v>
      </c>
      <c r="Z415" s="102" t="s">
        <v>528</v>
      </c>
      <c r="AA415" s="24" t="s">
        <v>528</v>
      </c>
      <c r="AB415" s="24" t="s">
        <v>528</v>
      </c>
      <c r="AC415" s="24" t="s">
        <v>528</v>
      </c>
      <c r="AD415" s="24" t="s">
        <v>528</v>
      </c>
      <c r="AE415" s="24" t="s">
        <v>529</v>
      </c>
      <c r="AF415" s="24">
        <v>0</v>
      </c>
      <c r="AG415" s="24">
        <v>0</v>
      </c>
      <c r="AH415" s="24">
        <v>1</v>
      </c>
      <c r="AI415" s="24">
        <v>0</v>
      </c>
      <c r="AJ415" s="24">
        <v>0</v>
      </c>
      <c r="AK415" s="24">
        <v>0</v>
      </c>
      <c r="AL415" s="24"/>
    </row>
    <row r="416" spans="1:38" ht="31.2" x14ac:dyDescent="0.3">
      <c r="A416" s="53">
        <v>409</v>
      </c>
      <c r="B416" s="24" t="s">
        <v>544</v>
      </c>
      <c r="C416" s="24" t="s">
        <v>545</v>
      </c>
      <c r="D416" s="82" t="s">
        <v>1070</v>
      </c>
      <c r="E416" s="24">
        <v>9</v>
      </c>
      <c r="F416" s="24" t="s">
        <v>200</v>
      </c>
      <c r="G416" s="24"/>
      <c r="H416" s="24" t="s">
        <v>1074</v>
      </c>
      <c r="I416" s="30" t="s">
        <v>548</v>
      </c>
      <c r="J416" s="24" t="s">
        <v>763</v>
      </c>
      <c r="K416" s="24" t="s">
        <v>549</v>
      </c>
      <c r="L416" s="24" t="s">
        <v>549</v>
      </c>
      <c r="M416" s="24">
        <v>1904</v>
      </c>
      <c r="N416" s="24" t="s">
        <v>550</v>
      </c>
      <c r="O416" s="24">
        <v>3</v>
      </c>
      <c r="P416" s="24">
        <v>0</v>
      </c>
      <c r="Q416" s="24">
        <v>1</v>
      </c>
      <c r="R416" s="24">
        <v>12</v>
      </c>
      <c r="S416" s="24">
        <v>973.8</v>
      </c>
      <c r="T416" s="24">
        <v>973.8</v>
      </c>
      <c r="U416" s="24">
        <v>900.9</v>
      </c>
      <c r="V416" s="24">
        <v>72.900000000000006</v>
      </c>
      <c r="W416" s="24" t="s">
        <v>529</v>
      </c>
      <c r="X416" s="24" t="s">
        <v>529</v>
      </c>
      <c r="Y416" s="24" t="s">
        <v>529</v>
      </c>
      <c r="Z416" s="102" t="s">
        <v>529</v>
      </c>
      <c r="AA416" s="24" t="s">
        <v>529</v>
      </c>
      <c r="AB416" s="24" t="s">
        <v>528</v>
      </c>
      <c r="AC416" s="24" t="s">
        <v>528</v>
      </c>
      <c r="AD416" s="24" t="s">
        <v>528</v>
      </c>
      <c r="AE416" s="24" t="s">
        <v>529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24">
        <v>0</v>
      </c>
      <c r="AL416" s="24"/>
    </row>
    <row r="417" spans="1:38" ht="31.2" x14ac:dyDescent="0.3">
      <c r="A417" s="53">
        <v>410</v>
      </c>
      <c r="B417" s="24" t="s">
        <v>544</v>
      </c>
      <c r="C417" s="24" t="s">
        <v>545</v>
      </c>
      <c r="D417" s="82" t="s">
        <v>1070</v>
      </c>
      <c r="E417" s="24" t="s">
        <v>1075</v>
      </c>
      <c r="F417" s="24" t="s">
        <v>200</v>
      </c>
      <c r="G417" s="24"/>
      <c r="H417" s="24" t="s">
        <v>1076</v>
      </c>
      <c r="I417" s="30" t="s">
        <v>548</v>
      </c>
      <c r="J417" s="24"/>
      <c r="K417" s="24" t="s">
        <v>549</v>
      </c>
      <c r="L417" s="24" t="s">
        <v>549</v>
      </c>
      <c r="M417" s="24">
        <v>1910</v>
      </c>
      <c r="N417" s="24" t="s">
        <v>550</v>
      </c>
      <c r="O417" s="24">
        <v>6</v>
      </c>
      <c r="P417" s="24">
        <v>0</v>
      </c>
      <c r="Q417" s="24">
        <v>4</v>
      </c>
      <c r="R417" s="24">
        <v>39</v>
      </c>
      <c r="S417" s="24">
        <v>3410.6</v>
      </c>
      <c r="T417" s="24">
        <v>3410.6</v>
      </c>
      <c r="U417" s="24">
        <v>2941.58</v>
      </c>
      <c r="V417" s="24">
        <v>469.02</v>
      </c>
      <c r="W417" s="24" t="s">
        <v>528</v>
      </c>
      <c r="X417" s="24" t="s">
        <v>528</v>
      </c>
      <c r="Y417" s="24" t="s">
        <v>529</v>
      </c>
      <c r="Z417" s="102" t="s">
        <v>528</v>
      </c>
      <c r="AA417" s="24" t="s">
        <v>528</v>
      </c>
      <c r="AB417" s="24" t="s">
        <v>528</v>
      </c>
      <c r="AC417" s="24" t="s">
        <v>528</v>
      </c>
      <c r="AD417" s="24" t="s">
        <v>528</v>
      </c>
      <c r="AE417" s="24" t="s">
        <v>529</v>
      </c>
      <c r="AF417" s="24">
        <v>0</v>
      </c>
      <c r="AG417" s="24">
        <v>0</v>
      </c>
      <c r="AH417" s="24">
        <v>1</v>
      </c>
      <c r="AI417" s="24">
        <v>0</v>
      </c>
      <c r="AJ417" s="24">
        <v>1</v>
      </c>
      <c r="AK417" s="24">
        <v>0</v>
      </c>
      <c r="AL417" s="24"/>
    </row>
    <row r="418" spans="1:38" ht="31.2" x14ac:dyDescent="0.3">
      <c r="A418" s="53">
        <v>411</v>
      </c>
      <c r="B418" s="24" t="s">
        <v>544</v>
      </c>
      <c r="C418" s="24" t="s">
        <v>545</v>
      </c>
      <c r="D418" s="82" t="s">
        <v>1070</v>
      </c>
      <c r="E418" s="24">
        <v>7</v>
      </c>
      <c r="F418" s="24" t="s">
        <v>200</v>
      </c>
      <c r="G418" s="24"/>
      <c r="H418" s="24" t="s">
        <v>1077</v>
      </c>
      <c r="I418" s="30" t="s">
        <v>548</v>
      </c>
      <c r="J418" s="24"/>
      <c r="K418" s="24" t="s">
        <v>549</v>
      </c>
      <c r="L418" s="24" t="s">
        <v>549</v>
      </c>
      <c r="M418" s="24">
        <v>1913</v>
      </c>
      <c r="N418" s="24" t="s">
        <v>550</v>
      </c>
      <c r="O418" s="24">
        <v>5</v>
      </c>
      <c r="P418" s="24">
        <v>0</v>
      </c>
      <c r="Q418" s="24">
        <v>1</v>
      </c>
      <c r="R418" s="24">
        <v>13</v>
      </c>
      <c r="S418" s="24">
        <v>905.5</v>
      </c>
      <c r="T418" s="24">
        <v>905.5</v>
      </c>
      <c r="U418" s="24">
        <v>818.5</v>
      </c>
      <c r="V418" s="24">
        <v>87</v>
      </c>
      <c r="W418" s="24" t="s">
        <v>528</v>
      </c>
      <c r="X418" s="24" t="s">
        <v>528</v>
      </c>
      <c r="Y418" s="24" t="s">
        <v>529</v>
      </c>
      <c r="Z418" s="102" t="s">
        <v>528</v>
      </c>
      <c r="AA418" s="24" t="s">
        <v>528</v>
      </c>
      <c r="AB418" s="24" t="s">
        <v>528</v>
      </c>
      <c r="AC418" s="24" t="s">
        <v>528</v>
      </c>
      <c r="AD418" s="24" t="s">
        <v>528</v>
      </c>
      <c r="AE418" s="24" t="s">
        <v>529</v>
      </c>
      <c r="AF418" s="24">
        <v>0</v>
      </c>
      <c r="AG418" s="24">
        <v>0</v>
      </c>
      <c r="AH418" s="24">
        <v>1</v>
      </c>
      <c r="AI418" s="24">
        <v>0</v>
      </c>
      <c r="AJ418" s="24">
        <v>0</v>
      </c>
      <c r="AK418" s="24">
        <v>0</v>
      </c>
      <c r="AL418" s="24"/>
    </row>
    <row r="419" spans="1:38" ht="31.2" x14ac:dyDescent="0.3">
      <c r="A419" s="53">
        <v>412</v>
      </c>
      <c r="B419" s="24" t="s">
        <v>544</v>
      </c>
      <c r="C419" s="24" t="s">
        <v>545</v>
      </c>
      <c r="D419" s="82" t="s">
        <v>1070</v>
      </c>
      <c r="E419" s="24">
        <v>8</v>
      </c>
      <c r="F419" s="24" t="s">
        <v>200</v>
      </c>
      <c r="G419" s="24"/>
      <c r="H419" s="24" t="s">
        <v>1078</v>
      </c>
      <c r="I419" s="30" t="s">
        <v>548</v>
      </c>
      <c r="J419" s="24"/>
      <c r="K419" s="24" t="s">
        <v>549</v>
      </c>
      <c r="L419" s="24" t="s">
        <v>549</v>
      </c>
      <c r="M419" s="24">
        <v>1895</v>
      </c>
      <c r="N419" s="24" t="s">
        <v>550</v>
      </c>
      <c r="O419" s="24">
        <v>4</v>
      </c>
      <c r="P419" s="24">
        <v>0</v>
      </c>
      <c r="Q419" s="24">
        <v>1</v>
      </c>
      <c r="R419" s="24">
        <v>11</v>
      </c>
      <c r="S419" s="24">
        <v>629.6</v>
      </c>
      <c r="T419" s="24">
        <v>629.6</v>
      </c>
      <c r="U419" s="24">
        <v>522.6</v>
      </c>
      <c r="V419" s="24">
        <v>107</v>
      </c>
      <c r="W419" s="24" t="s">
        <v>528</v>
      </c>
      <c r="X419" s="24" t="s">
        <v>528</v>
      </c>
      <c r="Y419" s="24" t="s">
        <v>529</v>
      </c>
      <c r="Z419" s="102" t="s">
        <v>528</v>
      </c>
      <c r="AA419" s="24" t="s">
        <v>528</v>
      </c>
      <c r="AB419" s="24" t="s">
        <v>528</v>
      </c>
      <c r="AC419" s="24" t="s">
        <v>528</v>
      </c>
      <c r="AD419" s="24" t="s">
        <v>528</v>
      </c>
      <c r="AE419" s="24" t="s">
        <v>529</v>
      </c>
      <c r="AF419" s="24">
        <v>0</v>
      </c>
      <c r="AG419" s="24">
        <v>0</v>
      </c>
      <c r="AH419" s="24">
        <v>1</v>
      </c>
      <c r="AI419" s="24">
        <v>0</v>
      </c>
      <c r="AJ419" s="24">
        <v>0</v>
      </c>
      <c r="AK419" s="24">
        <v>0</v>
      </c>
      <c r="AL419" s="24"/>
    </row>
    <row r="420" spans="1:38" ht="31.2" x14ac:dyDescent="0.3">
      <c r="A420" s="53">
        <v>413</v>
      </c>
      <c r="B420" s="24" t="s">
        <v>544</v>
      </c>
      <c r="C420" s="24" t="s">
        <v>545</v>
      </c>
      <c r="D420" s="82" t="s">
        <v>1070</v>
      </c>
      <c r="E420" s="24">
        <v>10</v>
      </c>
      <c r="F420" s="24" t="s">
        <v>200</v>
      </c>
      <c r="G420" s="24"/>
      <c r="H420" s="24" t="s">
        <v>1079</v>
      </c>
      <c r="I420" s="30" t="s">
        <v>548</v>
      </c>
      <c r="J420" s="24"/>
      <c r="K420" s="24" t="s">
        <v>549</v>
      </c>
      <c r="L420" s="24" t="s">
        <v>549</v>
      </c>
      <c r="M420" s="24">
        <v>1911</v>
      </c>
      <c r="N420" s="24" t="s">
        <v>550</v>
      </c>
      <c r="O420" s="24">
        <v>5</v>
      </c>
      <c r="P420" s="24">
        <v>0</v>
      </c>
      <c r="Q420" s="24">
        <v>1</v>
      </c>
      <c r="R420" s="24">
        <v>15</v>
      </c>
      <c r="S420" s="24">
        <v>946.54</v>
      </c>
      <c r="T420" s="24">
        <v>946.54</v>
      </c>
      <c r="U420" s="24">
        <v>886.54</v>
      </c>
      <c r="V420" s="24">
        <v>60</v>
      </c>
      <c r="W420" s="24" t="s">
        <v>528</v>
      </c>
      <c r="X420" s="24" t="s">
        <v>528</v>
      </c>
      <c r="Y420" s="24" t="s">
        <v>529</v>
      </c>
      <c r="Z420" s="102" t="s">
        <v>528</v>
      </c>
      <c r="AA420" s="24" t="s">
        <v>528</v>
      </c>
      <c r="AB420" s="24" t="s">
        <v>528</v>
      </c>
      <c r="AC420" s="24" t="s">
        <v>528</v>
      </c>
      <c r="AD420" s="24" t="s">
        <v>528</v>
      </c>
      <c r="AE420" s="24" t="s">
        <v>529</v>
      </c>
      <c r="AF420" s="24">
        <v>0</v>
      </c>
      <c r="AG420" s="24">
        <v>0</v>
      </c>
      <c r="AH420" s="24">
        <v>1</v>
      </c>
      <c r="AI420" s="24">
        <v>0</v>
      </c>
      <c r="AJ420" s="24">
        <v>1</v>
      </c>
      <c r="AK420" s="24">
        <v>0</v>
      </c>
      <c r="AL420" s="24"/>
    </row>
    <row r="421" spans="1:38" ht="31.2" x14ac:dyDescent="0.3">
      <c r="A421" s="53">
        <v>414</v>
      </c>
      <c r="B421" s="24" t="s">
        <v>544</v>
      </c>
      <c r="C421" s="24" t="s">
        <v>545</v>
      </c>
      <c r="D421" s="82" t="s">
        <v>1070</v>
      </c>
      <c r="E421" s="24">
        <v>11</v>
      </c>
      <c r="F421" s="24" t="s">
        <v>200</v>
      </c>
      <c r="G421" s="24"/>
      <c r="H421" s="24" t="s">
        <v>1080</v>
      </c>
      <c r="I421" s="30" t="s">
        <v>548</v>
      </c>
      <c r="J421" s="24"/>
      <c r="K421" s="24" t="s">
        <v>549</v>
      </c>
      <c r="L421" s="24" t="s">
        <v>549</v>
      </c>
      <c r="M421" s="24">
        <v>1913</v>
      </c>
      <c r="N421" s="24" t="s">
        <v>550</v>
      </c>
      <c r="O421" s="24">
        <v>5</v>
      </c>
      <c r="P421" s="24">
        <v>0</v>
      </c>
      <c r="Q421" s="24">
        <v>2</v>
      </c>
      <c r="R421" s="24">
        <v>29</v>
      </c>
      <c r="S421" s="24">
        <v>2045.99</v>
      </c>
      <c r="T421" s="24">
        <v>2045.99</v>
      </c>
      <c r="U421" s="24">
        <v>1784.99</v>
      </c>
      <c r="V421" s="24">
        <v>261</v>
      </c>
      <c r="W421" s="24" t="s">
        <v>528</v>
      </c>
      <c r="X421" s="24" t="s">
        <v>528</v>
      </c>
      <c r="Y421" s="24" t="s">
        <v>529</v>
      </c>
      <c r="Z421" s="102" t="s">
        <v>528</v>
      </c>
      <c r="AA421" s="24" t="s">
        <v>528</v>
      </c>
      <c r="AB421" s="24" t="s">
        <v>528</v>
      </c>
      <c r="AC421" s="24" t="s">
        <v>528</v>
      </c>
      <c r="AD421" s="24" t="s">
        <v>528</v>
      </c>
      <c r="AE421" s="24" t="s">
        <v>529</v>
      </c>
      <c r="AF421" s="24">
        <v>0</v>
      </c>
      <c r="AG421" s="24">
        <v>0</v>
      </c>
      <c r="AH421" s="24">
        <v>1</v>
      </c>
      <c r="AI421" s="24">
        <v>0</v>
      </c>
      <c r="AJ421" s="24">
        <v>1</v>
      </c>
      <c r="AK421" s="24">
        <v>0</v>
      </c>
      <c r="AL421" s="24"/>
    </row>
    <row r="422" spans="1:38" ht="31.2" x14ac:dyDescent="0.3">
      <c r="A422" s="53">
        <v>415</v>
      </c>
      <c r="B422" s="24" t="s">
        <v>544</v>
      </c>
      <c r="C422" s="24" t="s">
        <v>545</v>
      </c>
      <c r="D422" s="82" t="s">
        <v>1070</v>
      </c>
      <c r="E422" s="24">
        <v>12</v>
      </c>
      <c r="F422" s="24" t="s">
        <v>200</v>
      </c>
      <c r="G422" s="24"/>
      <c r="H422" s="24" t="s">
        <v>1081</v>
      </c>
      <c r="I422" s="30" t="s">
        <v>548</v>
      </c>
      <c r="J422" s="24"/>
      <c r="K422" s="24" t="s">
        <v>549</v>
      </c>
      <c r="L422" s="24" t="s">
        <v>549</v>
      </c>
      <c r="M422" s="24">
        <v>1899</v>
      </c>
      <c r="N422" s="24" t="s">
        <v>550</v>
      </c>
      <c r="O422" s="24">
        <v>5</v>
      </c>
      <c r="P422" s="24">
        <v>0</v>
      </c>
      <c r="Q422" s="24">
        <v>1</v>
      </c>
      <c r="R422" s="24">
        <v>14</v>
      </c>
      <c r="S422" s="24">
        <v>869</v>
      </c>
      <c r="T422" s="24">
        <v>869</v>
      </c>
      <c r="U422" s="24">
        <v>764</v>
      </c>
      <c r="V422" s="24">
        <v>105</v>
      </c>
      <c r="W422" s="24" t="s">
        <v>528</v>
      </c>
      <c r="X422" s="24" t="s">
        <v>528</v>
      </c>
      <c r="Y422" s="24" t="s">
        <v>529</v>
      </c>
      <c r="Z422" s="102" t="s">
        <v>528</v>
      </c>
      <c r="AA422" s="24" t="s">
        <v>528</v>
      </c>
      <c r="AB422" s="24" t="s">
        <v>528</v>
      </c>
      <c r="AC422" s="24" t="s">
        <v>528</v>
      </c>
      <c r="AD422" s="24" t="s">
        <v>528</v>
      </c>
      <c r="AE422" s="24" t="s">
        <v>529</v>
      </c>
      <c r="AF422" s="24">
        <v>0</v>
      </c>
      <c r="AG422" s="24">
        <v>0</v>
      </c>
      <c r="AH422" s="24">
        <v>1</v>
      </c>
      <c r="AI422" s="24">
        <v>0</v>
      </c>
      <c r="AJ422" s="24">
        <v>1</v>
      </c>
      <c r="AK422" s="24">
        <v>0</v>
      </c>
      <c r="AL422" s="24"/>
    </row>
    <row r="423" spans="1:38" ht="31.2" x14ac:dyDescent="0.3">
      <c r="A423" s="53">
        <v>416</v>
      </c>
      <c r="B423" s="24" t="s">
        <v>544</v>
      </c>
      <c r="C423" s="24" t="s">
        <v>545</v>
      </c>
      <c r="D423" s="82" t="s">
        <v>1070</v>
      </c>
      <c r="E423" s="24" t="s">
        <v>1082</v>
      </c>
      <c r="F423" s="24" t="s">
        <v>200</v>
      </c>
      <c r="G423" s="24"/>
      <c r="H423" s="24" t="s">
        <v>1083</v>
      </c>
      <c r="I423" s="30" t="s">
        <v>548</v>
      </c>
      <c r="J423" s="24"/>
      <c r="K423" s="24" t="s">
        <v>549</v>
      </c>
      <c r="L423" s="24" t="s">
        <v>549</v>
      </c>
      <c r="M423" s="24">
        <v>1904</v>
      </c>
      <c r="N423" s="24" t="s">
        <v>550</v>
      </c>
      <c r="O423" s="24">
        <v>5</v>
      </c>
      <c r="P423" s="24">
        <v>0</v>
      </c>
      <c r="Q423" s="24">
        <v>2</v>
      </c>
      <c r="R423" s="24">
        <v>24</v>
      </c>
      <c r="S423" s="24">
        <v>2185.6999999999998</v>
      </c>
      <c r="T423" s="24">
        <v>2185.6999999999998</v>
      </c>
      <c r="U423" s="24">
        <v>1828.7</v>
      </c>
      <c r="V423" s="24">
        <v>357</v>
      </c>
      <c r="W423" s="24" t="s">
        <v>528</v>
      </c>
      <c r="X423" s="24" t="s">
        <v>528</v>
      </c>
      <c r="Y423" s="24" t="s">
        <v>529</v>
      </c>
      <c r="Z423" s="102" t="s">
        <v>528</v>
      </c>
      <c r="AA423" s="24" t="s">
        <v>528</v>
      </c>
      <c r="AB423" s="24" t="s">
        <v>528</v>
      </c>
      <c r="AC423" s="24" t="s">
        <v>528</v>
      </c>
      <c r="AD423" s="24" t="s">
        <v>528</v>
      </c>
      <c r="AE423" s="24" t="s">
        <v>529</v>
      </c>
      <c r="AF423" s="24">
        <v>0</v>
      </c>
      <c r="AG423" s="24">
        <v>0</v>
      </c>
      <c r="AH423" s="24">
        <v>1</v>
      </c>
      <c r="AI423" s="24">
        <v>0</v>
      </c>
      <c r="AJ423" s="24">
        <v>1</v>
      </c>
      <c r="AK423" s="24">
        <v>0</v>
      </c>
      <c r="AL423" s="24"/>
    </row>
    <row r="424" spans="1:38" ht="31.2" x14ac:dyDescent="0.3">
      <c r="A424" s="53">
        <v>417</v>
      </c>
      <c r="B424" s="24" t="s">
        <v>544</v>
      </c>
      <c r="C424" s="24" t="s">
        <v>545</v>
      </c>
      <c r="D424" s="82" t="s">
        <v>1070</v>
      </c>
      <c r="E424" s="24" t="s">
        <v>173</v>
      </c>
      <c r="F424" s="24" t="s">
        <v>200</v>
      </c>
      <c r="G424" s="24"/>
      <c r="H424" s="24" t="s">
        <v>1084</v>
      </c>
      <c r="I424" s="30" t="s">
        <v>548</v>
      </c>
      <c r="J424" s="24"/>
      <c r="K424" s="24" t="s">
        <v>549</v>
      </c>
      <c r="L424" s="24" t="s">
        <v>549</v>
      </c>
      <c r="M424" s="24">
        <v>1904</v>
      </c>
      <c r="N424" s="24" t="s">
        <v>550</v>
      </c>
      <c r="O424" s="24">
        <v>4</v>
      </c>
      <c r="P424" s="24">
        <v>0</v>
      </c>
      <c r="Q424" s="24">
        <v>2</v>
      </c>
      <c r="R424" s="24">
        <v>19</v>
      </c>
      <c r="S424" s="24">
        <v>1172.2</v>
      </c>
      <c r="T424" s="24">
        <v>1172.2</v>
      </c>
      <c r="U424" s="24">
        <v>1015.45</v>
      </c>
      <c r="V424" s="24">
        <v>156.75</v>
      </c>
      <c r="W424" s="24" t="s">
        <v>528</v>
      </c>
      <c r="X424" s="24" t="s">
        <v>528</v>
      </c>
      <c r="Y424" s="24" t="s">
        <v>529</v>
      </c>
      <c r="Z424" s="102" t="s">
        <v>528</v>
      </c>
      <c r="AA424" s="24" t="s">
        <v>528</v>
      </c>
      <c r="AB424" s="24" t="s">
        <v>528</v>
      </c>
      <c r="AC424" s="24" t="s">
        <v>528</v>
      </c>
      <c r="AD424" s="24" t="s">
        <v>528</v>
      </c>
      <c r="AE424" s="24" t="s">
        <v>529</v>
      </c>
      <c r="AF424" s="24">
        <v>0</v>
      </c>
      <c r="AG424" s="24">
        <v>0</v>
      </c>
      <c r="AH424" s="24">
        <v>1</v>
      </c>
      <c r="AI424" s="24">
        <v>0</v>
      </c>
      <c r="AJ424" s="24">
        <v>1</v>
      </c>
      <c r="AK424" s="24">
        <v>0</v>
      </c>
      <c r="AL424" s="24"/>
    </row>
    <row r="425" spans="1:38" ht="31.2" x14ac:dyDescent="0.3">
      <c r="A425" s="53">
        <v>418</v>
      </c>
      <c r="B425" s="24" t="s">
        <v>544</v>
      </c>
      <c r="C425" s="24" t="s">
        <v>545</v>
      </c>
      <c r="D425" s="82" t="s">
        <v>1070</v>
      </c>
      <c r="E425" s="24" t="s">
        <v>176</v>
      </c>
      <c r="F425" s="24" t="s">
        <v>205</v>
      </c>
      <c r="G425" s="24"/>
      <c r="H425" s="24" t="s">
        <v>1085</v>
      </c>
      <c r="I425" s="30" t="s">
        <v>548</v>
      </c>
      <c r="J425" s="24"/>
      <c r="K425" s="24" t="s">
        <v>549</v>
      </c>
      <c r="L425" s="24" t="s">
        <v>549</v>
      </c>
      <c r="M425" s="24">
        <v>1913</v>
      </c>
      <c r="N425" s="24" t="s">
        <v>550</v>
      </c>
      <c r="O425" s="24">
        <v>5</v>
      </c>
      <c r="P425" s="24">
        <v>0</v>
      </c>
      <c r="Q425" s="24">
        <v>1</v>
      </c>
      <c r="R425" s="24">
        <v>20</v>
      </c>
      <c r="S425" s="24">
        <v>1336.8</v>
      </c>
      <c r="T425" s="24">
        <v>1336.8</v>
      </c>
      <c r="U425" s="24">
        <v>1295.8</v>
      </c>
      <c r="V425" s="24">
        <v>41</v>
      </c>
      <c r="W425" s="24" t="s">
        <v>528</v>
      </c>
      <c r="X425" s="24" t="s">
        <v>528</v>
      </c>
      <c r="Y425" s="24" t="s">
        <v>529</v>
      </c>
      <c r="Z425" s="102" t="s">
        <v>528</v>
      </c>
      <c r="AA425" s="24" t="s">
        <v>528</v>
      </c>
      <c r="AB425" s="24" t="s">
        <v>528</v>
      </c>
      <c r="AC425" s="24" t="s">
        <v>528</v>
      </c>
      <c r="AD425" s="24" t="s">
        <v>528</v>
      </c>
      <c r="AE425" s="24" t="s">
        <v>529</v>
      </c>
      <c r="AF425" s="24">
        <v>0</v>
      </c>
      <c r="AG425" s="24">
        <v>0</v>
      </c>
      <c r="AH425" s="24">
        <v>1</v>
      </c>
      <c r="AI425" s="24">
        <v>0</v>
      </c>
      <c r="AJ425" s="24">
        <v>1</v>
      </c>
      <c r="AK425" s="24">
        <v>0</v>
      </c>
      <c r="AL425" s="24"/>
    </row>
    <row r="426" spans="1:38" ht="31.2" x14ac:dyDescent="0.3">
      <c r="A426" s="53">
        <v>419</v>
      </c>
      <c r="B426" s="24" t="s">
        <v>544</v>
      </c>
      <c r="C426" s="24" t="s">
        <v>545</v>
      </c>
      <c r="D426" s="82" t="s">
        <v>1070</v>
      </c>
      <c r="E426" s="24" t="s">
        <v>1086</v>
      </c>
      <c r="F426" s="24" t="s">
        <v>200</v>
      </c>
      <c r="G426" s="24"/>
      <c r="H426" s="24" t="s">
        <v>1087</v>
      </c>
      <c r="I426" s="30" t="s">
        <v>548</v>
      </c>
      <c r="J426" s="24"/>
      <c r="K426" s="24" t="s">
        <v>549</v>
      </c>
      <c r="L426" s="24" t="s">
        <v>549</v>
      </c>
      <c r="M426" s="24">
        <v>1909</v>
      </c>
      <c r="N426" s="24" t="s">
        <v>550</v>
      </c>
      <c r="O426" s="24">
        <v>4</v>
      </c>
      <c r="P426" s="24">
        <v>0</v>
      </c>
      <c r="Q426" s="24">
        <v>2</v>
      </c>
      <c r="R426" s="24">
        <v>20</v>
      </c>
      <c r="S426" s="24">
        <v>1424.6</v>
      </c>
      <c r="T426" s="24">
        <v>1424.6</v>
      </c>
      <c r="U426" s="24">
        <v>1424.6</v>
      </c>
      <c r="V426" s="24">
        <v>0</v>
      </c>
      <c r="W426" s="24" t="s">
        <v>528</v>
      </c>
      <c r="X426" s="24" t="s">
        <v>528</v>
      </c>
      <c r="Y426" s="24" t="s">
        <v>529</v>
      </c>
      <c r="Z426" s="102" t="s">
        <v>528</v>
      </c>
      <c r="AA426" s="24" t="s">
        <v>528</v>
      </c>
      <c r="AB426" s="24" t="s">
        <v>528</v>
      </c>
      <c r="AC426" s="24" t="s">
        <v>528</v>
      </c>
      <c r="AD426" s="24" t="s">
        <v>528</v>
      </c>
      <c r="AE426" s="24" t="s">
        <v>529</v>
      </c>
      <c r="AF426" s="24">
        <v>0</v>
      </c>
      <c r="AG426" s="24">
        <v>0</v>
      </c>
      <c r="AH426" s="24">
        <v>1</v>
      </c>
      <c r="AI426" s="24">
        <v>0</v>
      </c>
      <c r="AJ426" s="24">
        <v>1</v>
      </c>
      <c r="AK426" s="24">
        <v>0</v>
      </c>
      <c r="AL426" s="24"/>
    </row>
    <row r="427" spans="1:38" ht="31.2" x14ac:dyDescent="0.3">
      <c r="A427" s="53">
        <v>420</v>
      </c>
      <c r="B427" s="24" t="s">
        <v>544</v>
      </c>
      <c r="C427" s="24" t="s">
        <v>545</v>
      </c>
      <c r="D427" s="82" t="s">
        <v>1070</v>
      </c>
      <c r="E427" s="24">
        <v>23</v>
      </c>
      <c r="F427" s="24" t="s">
        <v>200</v>
      </c>
      <c r="G427" s="24"/>
      <c r="H427" s="24" t="s">
        <v>1088</v>
      </c>
      <c r="I427" s="30" t="s">
        <v>548</v>
      </c>
      <c r="J427" s="24"/>
      <c r="K427" s="24" t="s">
        <v>549</v>
      </c>
      <c r="L427" s="24" t="s">
        <v>549</v>
      </c>
      <c r="M427" s="24">
        <v>1912</v>
      </c>
      <c r="N427" s="24" t="s">
        <v>550</v>
      </c>
      <c r="O427" s="24">
        <v>5</v>
      </c>
      <c r="P427" s="24">
        <v>0</v>
      </c>
      <c r="Q427" s="24">
        <v>1</v>
      </c>
      <c r="R427" s="24">
        <v>18</v>
      </c>
      <c r="S427" s="24">
        <v>1321.6</v>
      </c>
      <c r="T427" s="24">
        <v>1321.6</v>
      </c>
      <c r="U427" s="24">
        <v>1173.5999999999999</v>
      </c>
      <c r="V427" s="24">
        <v>148</v>
      </c>
      <c r="W427" s="24" t="s">
        <v>528</v>
      </c>
      <c r="X427" s="24" t="s">
        <v>528</v>
      </c>
      <c r="Y427" s="24" t="s">
        <v>529</v>
      </c>
      <c r="Z427" s="102" t="s">
        <v>528</v>
      </c>
      <c r="AA427" s="24" t="s">
        <v>528</v>
      </c>
      <c r="AB427" s="24" t="s">
        <v>528</v>
      </c>
      <c r="AC427" s="24" t="s">
        <v>528</v>
      </c>
      <c r="AD427" s="24" t="s">
        <v>528</v>
      </c>
      <c r="AE427" s="24" t="s">
        <v>529</v>
      </c>
      <c r="AF427" s="24">
        <v>0</v>
      </c>
      <c r="AG427" s="24">
        <v>0</v>
      </c>
      <c r="AH427" s="24">
        <v>1</v>
      </c>
      <c r="AI427" s="24">
        <v>0</v>
      </c>
      <c r="AJ427" s="24">
        <v>1</v>
      </c>
      <c r="AK427" s="24">
        <v>0</v>
      </c>
      <c r="AL427" s="24"/>
    </row>
    <row r="428" spans="1:38" ht="31.2" x14ac:dyDescent="0.3">
      <c r="A428" s="53">
        <v>421</v>
      </c>
      <c r="B428" s="24" t="s">
        <v>544</v>
      </c>
      <c r="C428" s="24" t="s">
        <v>545</v>
      </c>
      <c r="D428" s="82" t="s">
        <v>1089</v>
      </c>
      <c r="E428" s="24">
        <v>12</v>
      </c>
      <c r="F428" s="24" t="s">
        <v>200</v>
      </c>
      <c r="G428" s="24"/>
      <c r="H428" s="24" t="s">
        <v>1090</v>
      </c>
      <c r="I428" s="30" t="s">
        <v>548</v>
      </c>
      <c r="J428" s="24"/>
      <c r="K428" s="24" t="s">
        <v>549</v>
      </c>
      <c r="L428" s="24" t="s">
        <v>549</v>
      </c>
      <c r="M428" s="24">
        <v>1908</v>
      </c>
      <c r="N428" s="24" t="s">
        <v>550</v>
      </c>
      <c r="O428" s="24">
        <v>6</v>
      </c>
      <c r="P428" s="24">
        <v>0</v>
      </c>
      <c r="Q428" s="24">
        <v>2</v>
      </c>
      <c r="R428" s="24">
        <v>44</v>
      </c>
      <c r="S428" s="24">
        <v>2906.41</v>
      </c>
      <c r="T428" s="24">
        <v>2906.41</v>
      </c>
      <c r="U428" s="24">
        <v>2839.41</v>
      </c>
      <c r="V428" s="24">
        <v>67</v>
      </c>
      <c r="W428" s="24" t="s">
        <v>528</v>
      </c>
      <c r="X428" s="24" t="s">
        <v>528</v>
      </c>
      <c r="Y428" s="24" t="s">
        <v>529</v>
      </c>
      <c r="Z428" s="102" t="s">
        <v>528</v>
      </c>
      <c r="AA428" s="24" t="s">
        <v>528</v>
      </c>
      <c r="AB428" s="24" t="s">
        <v>528</v>
      </c>
      <c r="AC428" s="24" t="s">
        <v>528</v>
      </c>
      <c r="AD428" s="24" t="s">
        <v>528</v>
      </c>
      <c r="AE428" s="24" t="s">
        <v>529</v>
      </c>
      <c r="AF428" s="24">
        <v>0</v>
      </c>
      <c r="AG428" s="24">
        <v>0</v>
      </c>
      <c r="AH428" s="24">
        <v>1</v>
      </c>
      <c r="AI428" s="24">
        <v>0</v>
      </c>
      <c r="AJ428" s="24">
        <v>1</v>
      </c>
      <c r="AK428" s="24">
        <v>0</v>
      </c>
      <c r="AL428" s="24"/>
    </row>
    <row r="429" spans="1:38" ht="31.2" x14ac:dyDescent="0.3">
      <c r="A429" s="53">
        <v>422</v>
      </c>
      <c r="B429" s="24" t="s">
        <v>544</v>
      </c>
      <c r="C429" s="24" t="s">
        <v>545</v>
      </c>
      <c r="D429" s="82" t="s">
        <v>1089</v>
      </c>
      <c r="E429" s="24">
        <v>12</v>
      </c>
      <c r="F429" s="24" t="s">
        <v>205</v>
      </c>
      <c r="G429" s="24"/>
      <c r="H429" s="24" t="s">
        <v>1091</v>
      </c>
      <c r="I429" s="30" t="s">
        <v>548</v>
      </c>
      <c r="J429" s="24"/>
      <c r="K429" s="24" t="s">
        <v>549</v>
      </c>
      <c r="L429" s="24" t="s">
        <v>549</v>
      </c>
      <c r="M429" s="24">
        <v>1908</v>
      </c>
      <c r="N429" s="24" t="s">
        <v>550</v>
      </c>
      <c r="O429" s="24">
        <v>2</v>
      </c>
      <c r="P429" s="24">
        <v>0</v>
      </c>
      <c r="Q429" s="24">
        <v>1</v>
      </c>
      <c r="R429" s="24">
        <v>4</v>
      </c>
      <c r="S429" s="24">
        <v>262.10000000000002</v>
      </c>
      <c r="T429" s="24">
        <v>262.10000000000002</v>
      </c>
      <c r="U429" s="24">
        <v>204.1</v>
      </c>
      <c r="V429" s="24">
        <v>58</v>
      </c>
      <c r="W429" s="24" t="s">
        <v>528</v>
      </c>
      <c r="X429" s="24" t="s">
        <v>528</v>
      </c>
      <c r="Y429" s="24" t="s">
        <v>529</v>
      </c>
      <c r="Z429" s="102" t="s">
        <v>528</v>
      </c>
      <c r="AA429" s="24" t="s">
        <v>528</v>
      </c>
      <c r="AB429" s="24" t="s">
        <v>528</v>
      </c>
      <c r="AC429" s="24" t="s">
        <v>528</v>
      </c>
      <c r="AD429" s="24" t="s">
        <v>528</v>
      </c>
      <c r="AE429" s="24" t="s">
        <v>529</v>
      </c>
      <c r="AF429" s="24">
        <v>0</v>
      </c>
      <c r="AG429" s="24">
        <v>0</v>
      </c>
      <c r="AH429" s="24">
        <v>1</v>
      </c>
      <c r="AI429" s="24">
        <v>0</v>
      </c>
      <c r="AJ429" s="24">
        <v>1</v>
      </c>
      <c r="AK429" s="24">
        <v>0</v>
      </c>
      <c r="AL429" s="24"/>
    </row>
    <row r="430" spans="1:38" ht="31.2" x14ac:dyDescent="0.3">
      <c r="A430" s="53">
        <v>423</v>
      </c>
      <c r="B430" s="24" t="s">
        <v>544</v>
      </c>
      <c r="C430" s="24" t="s">
        <v>584</v>
      </c>
      <c r="D430" s="82" t="s">
        <v>1092</v>
      </c>
      <c r="E430" s="24">
        <v>4</v>
      </c>
      <c r="F430" s="24" t="s">
        <v>200</v>
      </c>
      <c r="G430" s="24"/>
      <c r="H430" s="24" t="s">
        <v>1093</v>
      </c>
      <c r="I430" s="30" t="s">
        <v>548</v>
      </c>
      <c r="J430" s="24" t="s">
        <v>558</v>
      </c>
      <c r="K430" s="24" t="s">
        <v>549</v>
      </c>
      <c r="L430" s="24" t="s">
        <v>549</v>
      </c>
      <c r="M430" s="24">
        <v>1913</v>
      </c>
      <c r="N430" s="24" t="s">
        <v>550</v>
      </c>
      <c r="O430" s="24">
        <v>6</v>
      </c>
      <c r="P430" s="24">
        <v>0</v>
      </c>
      <c r="Q430" s="24">
        <v>5</v>
      </c>
      <c r="R430" s="24">
        <v>21</v>
      </c>
      <c r="S430" s="24">
        <v>7357.4000000000005</v>
      </c>
      <c r="T430" s="24">
        <v>7357.4000000000005</v>
      </c>
      <c r="U430" s="24">
        <v>5356.6</v>
      </c>
      <c r="V430" s="24">
        <v>2000.8</v>
      </c>
      <c r="W430" s="24" t="s">
        <v>528</v>
      </c>
      <c r="X430" s="24" t="s">
        <v>528</v>
      </c>
      <c r="Y430" s="24" t="s">
        <v>528</v>
      </c>
      <c r="Z430" s="102" t="s">
        <v>528</v>
      </c>
      <c r="AA430" s="24" t="s">
        <v>528</v>
      </c>
      <c r="AB430" s="24" t="s">
        <v>528</v>
      </c>
      <c r="AC430" s="24" t="s">
        <v>529</v>
      </c>
      <c r="AD430" s="24" t="s">
        <v>528</v>
      </c>
      <c r="AE430" s="24" t="s">
        <v>529</v>
      </c>
      <c r="AF430" s="24">
        <v>2</v>
      </c>
      <c r="AG430" s="24">
        <v>0</v>
      </c>
      <c r="AH430" s="24">
        <v>1</v>
      </c>
      <c r="AI430" s="24">
        <v>1</v>
      </c>
      <c r="AJ430" s="24">
        <v>1</v>
      </c>
      <c r="AK430" s="24">
        <v>0</v>
      </c>
      <c r="AL430" s="24"/>
    </row>
    <row r="431" spans="1:38" ht="31.2" x14ac:dyDescent="0.3">
      <c r="A431" s="53">
        <v>424</v>
      </c>
      <c r="B431" s="24" t="s">
        <v>544</v>
      </c>
      <c r="C431" s="24" t="s">
        <v>584</v>
      </c>
      <c r="D431" s="82" t="s">
        <v>1092</v>
      </c>
      <c r="E431" s="24">
        <v>6</v>
      </c>
      <c r="F431" s="24" t="s">
        <v>200</v>
      </c>
      <c r="G431" s="24"/>
      <c r="H431" s="24" t="s">
        <v>1094</v>
      </c>
      <c r="I431" s="30" t="s">
        <v>548</v>
      </c>
      <c r="J431" s="24"/>
      <c r="K431" s="24" t="s">
        <v>549</v>
      </c>
      <c r="L431" s="24" t="s">
        <v>549</v>
      </c>
      <c r="M431" s="24">
        <v>1954</v>
      </c>
      <c r="N431" s="24" t="s">
        <v>550</v>
      </c>
      <c r="O431" s="24">
        <v>6</v>
      </c>
      <c r="P431" s="24">
        <v>0</v>
      </c>
      <c r="Q431" s="24">
        <v>3</v>
      </c>
      <c r="R431" s="24">
        <v>57</v>
      </c>
      <c r="S431" s="24">
        <v>4907.3999999999996</v>
      </c>
      <c r="T431" s="24">
        <v>4907.3999999999996</v>
      </c>
      <c r="U431" s="24">
        <v>4100.3999999999996</v>
      </c>
      <c r="V431" s="24">
        <v>807</v>
      </c>
      <c r="W431" s="24" t="s">
        <v>528</v>
      </c>
      <c r="X431" s="24" t="s">
        <v>528</v>
      </c>
      <c r="Y431" s="24" t="s">
        <v>528</v>
      </c>
      <c r="Z431" s="102" t="s">
        <v>528</v>
      </c>
      <c r="AA431" s="24" t="s">
        <v>528</v>
      </c>
      <c r="AB431" s="24" t="s">
        <v>528</v>
      </c>
      <c r="AC431" s="24" t="s">
        <v>529</v>
      </c>
      <c r="AD431" s="24" t="s">
        <v>528</v>
      </c>
      <c r="AE431" s="24" t="s">
        <v>529</v>
      </c>
      <c r="AF431" s="24">
        <v>3</v>
      </c>
      <c r="AG431" s="24">
        <v>0</v>
      </c>
      <c r="AH431" s="24">
        <v>1</v>
      </c>
      <c r="AI431" s="24">
        <v>1</v>
      </c>
      <c r="AJ431" s="24">
        <v>1</v>
      </c>
      <c r="AK431" s="24">
        <v>0</v>
      </c>
      <c r="AL431" s="24"/>
    </row>
    <row r="432" spans="1:38" ht="31.2" x14ac:dyDescent="0.3">
      <c r="A432" s="53">
        <v>425</v>
      </c>
      <c r="B432" s="24" t="s">
        <v>544</v>
      </c>
      <c r="C432" s="24" t="s">
        <v>584</v>
      </c>
      <c r="D432" s="82" t="s">
        <v>1092</v>
      </c>
      <c r="E432" s="24">
        <v>11</v>
      </c>
      <c r="F432" s="24" t="s">
        <v>200</v>
      </c>
      <c r="G432" s="24"/>
      <c r="H432" s="24" t="s">
        <v>1095</v>
      </c>
      <c r="I432" s="30" t="s">
        <v>548</v>
      </c>
      <c r="J432" s="24"/>
      <c r="K432" s="24" t="s">
        <v>549</v>
      </c>
      <c r="L432" s="24" t="s">
        <v>549</v>
      </c>
      <c r="M432" s="24">
        <v>1953</v>
      </c>
      <c r="N432" s="24" t="s">
        <v>550</v>
      </c>
      <c r="O432" s="24">
        <v>6</v>
      </c>
      <c r="P432" s="24">
        <v>0</v>
      </c>
      <c r="Q432" s="24">
        <v>2</v>
      </c>
      <c r="R432" s="24">
        <v>17</v>
      </c>
      <c r="S432" s="24">
        <v>1685.3</v>
      </c>
      <c r="T432" s="24">
        <v>1685.3</v>
      </c>
      <c r="U432" s="24">
        <v>1446.6</v>
      </c>
      <c r="V432" s="24">
        <v>238.7</v>
      </c>
      <c r="W432" s="24" t="s">
        <v>528</v>
      </c>
      <c r="X432" s="24" t="s">
        <v>528</v>
      </c>
      <c r="Y432" s="24" t="s">
        <v>529</v>
      </c>
      <c r="Z432" s="102" t="s">
        <v>528</v>
      </c>
      <c r="AA432" s="24" t="s">
        <v>528</v>
      </c>
      <c r="AB432" s="24" t="s">
        <v>528</v>
      </c>
      <c r="AC432" s="24" t="s">
        <v>528</v>
      </c>
      <c r="AD432" s="24" t="s">
        <v>528</v>
      </c>
      <c r="AE432" s="24" t="s">
        <v>529</v>
      </c>
      <c r="AF432" s="24">
        <v>1</v>
      </c>
      <c r="AG432" s="24">
        <v>0</v>
      </c>
      <c r="AH432" s="24">
        <v>1</v>
      </c>
      <c r="AI432" s="24">
        <v>0</v>
      </c>
      <c r="AJ432" s="24">
        <v>1</v>
      </c>
      <c r="AK432" s="24">
        <v>0</v>
      </c>
      <c r="AL432" s="24"/>
    </row>
    <row r="433" spans="1:38" ht="31.2" x14ac:dyDescent="0.3">
      <c r="A433" s="53">
        <v>426</v>
      </c>
      <c r="B433" s="24" t="s">
        <v>544</v>
      </c>
      <c r="C433" s="24" t="s">
        <v>584</v>
      </c>
      <c r="D433" s="82" t="s">
        <v>1092</v>
      </c>
      <c r="E433" s="24">
        <v>13</v>
      </c>
      <c r="F433" s="24" t="s">
        <v>205</v>
      </c>
      <c r="G433" s="24"/>
      <c r="H433" s="24" t="s">
        <v>1096</v>
      </c>
      <c r="I433" s="30" t="s">
        <v>548</v>
      </c>
      <c r="J433" s="24"/>
      <c r="K433" s="24" t="s">
        <v>549</v>
      </c>
      <c r="L433" s="24" t="s">
        <v>549</v>
      </c>
      <c r="M433" s="24">
        <v>1901</v>
      </c>
      <c r="N433" s="24" t="s">
        <v>550</v>
      </c>
      <c r="O433" s="24">
        <v>5</v>
      </c>
      <c r="P433" s="24">
        <v>0</v>
      </c>
      <c r="Q433" s="24">
        <v>1</v>
      </c>
      <c r="R433" s="24">
        <v>9</v>
      </c>
      <c r="S433" s="24">
        <v>895.9</v>
      </c>
      <c r="T433" s="24">
        <v>895.9</v>
      </c>
      <c r="U433" s="24">
        <v>728.9</v>
      </c>
      <c r="V433" s="24">
        <v>167</v>
      </c>
      <c r="W433" s="24" t="s">
        <v>528</v>
      </c>
      <c r="X433" s="24" t="s">
        <v>528</v>
      </c>
      <c r="Y433" s="24" t="s">
        <v>529</v>
      </c>
      <c r="Z433" s="102" t="s">
        <v>528</v>
      </c>
      <c r="AA433" s="24" t="s">
        <v>528</v>
      </c>
      <c r="AB433" s="24" t="s">
        <v>528</v>
      </c>
      <c r="AC433" s="24" t="s">
        <v>528</v>
      </c>
      <c r="AD433" s="24" t="s">
        <v>528</v>
      </c>
      <c r="AE433" s="24" t="s">
        <v>529</v>
      </c>
      <c r="AF433" s="24">
        <v>0</v>
      </c>
      <c r="AG433" s="24">
        <v>0</v>
      </c>
      <c r="AH433" s="24">
        <v>1</v>
      </c>
      <c r="AI433" s="24">
        <v>0</v>
      </c>
      <c r="AJ433" s="24">
        <v>1</v>
      </c>
      <c r="AK433" s="24">
        <v>0</v>
      </c>
      <c r="AL433" s="24"/>
    </row>
    <row r="434" spans="1:38" ht="31.2" x14ac:dyDescent="0.3">
      <c r="A434" s="53">
        <v>427</v>
      </c>
      <c r="B434" s="24" t="s">
        <v>544</v>
      </c>
      <c r="C434" s="24" t="s">
        <v>584</v>
      </c>
      <c r="D434" s="82" t="s">
        <v>1092</v>
      </c>
      <c r="E434" s="24">
        <v>13</v>
      </c>
      <c r="F434" s="24" t="s">
        <v>207</v>
      </c>
      <c r="G434" s="24"/>
      <c r="H434" s="24" t="s">
        <v>1097</v>
      </c>
      <c r="I434" s="30" t="s">
        <v>548</v>
      </c>
      <c r="J434" s="24"/>
      <c r="K434" s="24" t="s">
        <v>549</v>
      </c>
      <c r="L434" s="24" t="s">
        <v>549</v>
      </c>
      <c r="M434" s="24">
        <v>1901</v>
      </c>
      <c r="N434" s="24" t="s">
        <v>550</v>
      </c>
      <c r="O434" s="24">
        <v>5</v>
      </c>
      <c r="P434" s="24">
        <v>0</v>
      </c>
      <c r="Q434" s="24">
        <v>1</v>
      </c>
      <c r="R434" s="24">
        <v>8</v>
      </c>
      <c r="S434" s="24">
        <v>1127</v>
      </c>
      <c r="T434" s="24">
        <v>1127</v>
      </c>
      <c r="U434" s="24">
        <v>959.2</v>
      </c>
      <c r="V434" s="24">
        <v>167.8</v>
      </c>
      <c r="W434" s="24" t="s">
        <v>528</v>
      </c>
      <c r="X434" s="24" t="s">
        <v>528</v>
      </c>
      <c r="Y434" s="24" t="s">
        <v>529</v>
      </c>
      <c r="Z434" s="102" t="s">
        <v>528</v>
      </c>
      <c r="AA434" s="24" t="s">
        <v>528</v>
      </c>
      <c r="AB434" s="24" t="s">
        <v>528</v>
      </c>
      <c r="AC434" s="24" t="s">
        <v>528</v>
      </c>
      <c r="AD434" s="24" t="s">
        <v>528</v>
      </c>
      <c r="AE434" s="24" t="s">
        <v>529</v>
      </c>
      <c r="AF434" s="24">
        <v>0</v>
      </c>
      <c r="AG434" s="24">
        <v>0</v>
      </c>
      <c r="AH434" s="24">
        <v>1</v>
      </c>
      <c r="AI434" s="24">
        <v>0</v>
      </c>
      <c r="AJ434" s="24">
        <v>1</v>
      </c>
      <c r="AK434" s="24">
        <v>0</v>
      </c>
      <c r="AL434" s="24"/>
    </row>
    <row r="435" spans="1:38" ht="31.2" x14ac:dyDescent="0.3">
      <c r="A435" s="53">
        <v>428</v>
      </c>
      <c r="B435" s="24" t="s">
        <v>544</v>
      </c>
      <c r="C435" s="24" t="s">
        <v>584</v>
      </c>
      <c r="D435" s="82" t="s">
        <v>1092</v>
      </c>
      <c r="E435" s="24" t="s">
        <v>1098</v>
      </c>
      <c r="F435" s="24" t="s">
        <v>200</v>
      </c>
      <c r="G435" s="24"/>
      <c r="H435" s="24" t="s">
        <v>1099</v>
      </c>
      <c r="I435" s="30" t="s">
        <v>548</v>
      </c>
      <c r="J435" s="24"/>
      <c r="K435" s="24" t="s">
        <v>549</v>
      </c>
      <c r="L435" s="24" t="s">
        <v>549</v>
      </c>
      <c r="M435" s="24">
        <v>1958</v>
      </c>
      <c r="N435" s="24" t="s">
        <v>550</v>
      </c>
      <c r="O435" s="24">
        <v>5</v>
      </c>
      <c r="P435" s="24">
        <v>0</v>
      </c>
      <c r="Q435" s="24">
        <v>7</v>
      </c>
      <c r="R435" s="24">
        <v>78</v>
      </c>
      <c r="S435" s="24">
        <v>7626.2999999999993</v>
      </c>
      <c r="T435" s="24">
        <v>7626.2999999999993</v>
      </c>
      <c r="U435" s="24">
        <v>5666.9</v>
      </c>
      <c r="V435" s="24">
        <v>1959.4</v>
      </c>
      <c r="W435" s="24" t="s">
        <v>528</v>
      </c>
      <c r="X435" s="24" t="s">
        <v>528</v>
      </c>
      <c r="Y435" s="24" t="s">
        <v>529</v>
      </c>
      <c r="Z435" s="102" t="s">
        <v>528</v>
      </c>
      <c r="AA435" s="24" t="s">
        <v>528</v>
      </c>
      <c r="AB435" s="24" t="s">
        <v>528</v>
      </c>
      <c r="AC435" s="24" t="s">
        <v>528</v>
      </c>
      <c r="AD435" s="24" t="s">
        <v>528</v>
      </c>
      <c r="AE435" s="24" t="s">
        <v>529</v>
      </c>
      <c r="AF435" s="24">
        <v>0</v>
      </c>
      <c r="AG435" s="24">
        <v>0</v>
      </c>
      <c r="AH435" s="24">
        <v>1</v>
      </c>
      <c r="AI435" s="24">
        <v>0</v>
      </c>
      <c r="AJ435" s="24">
        <v>1</v>
      </c>
      <c r="AK435" s="24">
        <v>0</v>
      </c>
      <c r="AL435" s="24"/>
    </row>
    <row r="436" spans="1:38" ht="31.2" x14ac:dyDescent="0.3">
      <c r="A436" s="53">
        <v>429</v>
      </c>
      <c r="B436" s="24" t="s">
        <v>544</v>
      </c>
      <c r="C436" s="24" t="s">
        <v>584</v>
      </c>
      <c r="D436" s="82" t="s">
        <v>1092</v>
      </c>
      <c r="E436" s="24">
        <v>23</v>
      </c>
      <c r="F436" s="24" t="s">
        <v>200</v>
      </c>
      <c r="G436" s="24"/>
      <c r="H436" s="24" t="s">
        <v>1100</v>
      </c>
      <c r="I436" s="30" t="s">
        <v>548</v>
      </c>
      <c r="J436" s="24"/>
      <c r="K436" s="24" t="s">
        <v>549</v>
      </c>
      <c r="L436" s="24" t="s">
        <v>549</v>
      </c>
      <c r="M436" s="24">
        <v>1960</v>
      </c>
      <c r="N436" s="24" t="s">
        <v>550</v>
      </c>
      <c r="O436" s="24">
        <v>5</v>
      </c>
      <c r="P436" s="24">
        <v>0</v>
      </c>
      <c r="Q436" s="24">
        <v>5</v>
      </c>
      <c r="R436" s="24">
        <v>65</v>
      </c>
      <c r="S436" s="24">
        <v>6300.0999999999995</v>
      </c>
      <c r="T436" s="24">
        <v>6300.0999999999995</v>
      </c>
      <c r="U436" s="24">
        <v>4176.8999999999996</v>
      </c>
      <c r="V436" s="24">
        <v>2123.1999999999998</v>
      </c>
      <c r="W436" s="24" t="s">
        <v>528</v>
      </c>
      <c r="X436" s="24" t="s">
        <v>528</v>
      </c>
      <c r="Y436" s="24" t="s">
        <v>529</v>
      </c>
      <c r="Z436" s="102" t="s">
        <v>528</v>
      </c>
      <c r="AA436" s="24" t="s">
        <v>528</v>
      </c>
      <c r="AB436" s="24" t="s">
        <v>528</v>
      </c>
      <c r="AC436" s="24" t="s">
        <v>528</v>
      </c>
      <c r="AD436" s="24" t="s">
        <v>528</v>
      </c>
      <c r="AE436" s="24" t="s">
        <v>529</v>
      </c>
      <c r="AF436" s="24">
        <v>0</v>
      </c>
      <c r="AG436" s="24">
        <v>0</v>
      </c>
      <c r="AH436" s="24">
        <v>1</v>
      </c>
      <c r="AI436" s="24">
        <v>0</v>
      </c>
      <c r="AJ436" s="24">
        <v>1</v>
      </c>
      <c r="AK436" s="24">
        <v>0</v>
      </c>
      <c r="AL436" s="24"/>
    </row>
    <row r="437" spans="1:38" ht="31.2" x14ac:dyDescent="0.3">
      <c r="A437" s="53">
        <v>430</v>
      </c>
      <c r="B437" s="24" t="s">
        <v>544</v>
      </c>
      <c r="C437" s="24" t="s">
        <v>555</v>
      </c>
      <c r="D437" s="82" t="s">
        <v>1101</v>
      </c>
      <c r="E437" s="24" t="s">
        <v>204</v>
      </c>
      <c r="F437" s="24" t="s">
        <v>200</v>
      </c>
      <c r="G437" s="24"/>
      <c r="H437" s="24" t="s">
        <v>1102</v>
      </c>
      <c r="I437" s="30" t="s">
        <v>548</v>
      </c>
      <c r="J437" s="24"/>
      <c r="K437" s="24" t="s">
        <v>549</v>
      </c>
      <c r="L437" s="24" t="s">
        <v>549</v>
      </c>
      <c r="M437" s="24">
        <v>1902</v>
      </c>
      <c r="N437" s="24" t="s">
        <v>550</v>
      </c>
      <c r="O437" s="24">
        <v>5</v>
      </c>
      <c r="P437" s="24">
        <v>0</v>
      </c>
      <c r="Q437" s="24">
        <v>8</v>
      </c>
      <c r="R437" s="24">
        <v>122</v>
      </c>
      <c r="S437" s="24">
        <v>9576.76</v>
      </c>
      <c r="T437" s="24">
        <v>9576.76</v>
      </c>
      <c r="U437" s="24">
        <v>8122.76</v>
      </c>
      <c r="V437" s="24">
        <v>1454</v>
      </c>
      <c r="W437" s="24" t="s">
        <v>528</v>
      </c>
      <c r="X437" s="24" t="s">
        <v>528</v>
      </c>
      <c r="Y437" s="24" t="s">
        <v>529</v>
      </c>
      <c r="Z437" s="102" t="s">
        <v>528</v>
      </c>
      <c r="AA437" s="24" t="s">
        <v>528</v>
      </c>
      <c r="AB437" s="24" t="s">
        <v>528</v>
      </c>
      <c r="AC437" s="24" t="s">
        <v>528</v>
      </c>
      <c r="AD437" s="24" t="s">
        <v>528</v>
      </c>
      <c r="AE437" s="24" t="s">
        <v>529</v>
      </c>
      <c r="AF437" s="24">
        <v>0</v>
      </c>
      <c r="AG437" s="24">
        <v>0</v>
      </c>
      <c r="AH437" s="24">
        <v>2</v>
      </c>
      <c r="AI437" s="24">
        <v>0</v>
      </c>
      <c r="AJ437" s="24">
        <v>1</v>
      </c>
      <c r="AK437" s="24">
        <v>0</v>
      </c>
      <c r="AL437" s="24"/>
    </row>
    <row r="438" spans="1:38" ht="31.2" x14ac:dyDescent="0.3">
      <c r="A438" s="53">
        <v>431</v>
      </c>
      <c r="B438" s="24" t="s">
        <v>544</v>
      </c>
      <c r="C438" s="24" t="s">
        <v>555</v>
      </c>
      <c r="D438" s="82" t="s">
        <v>1101</v>
      </c>
      <c r="E438" s="24">
        <v>3</v>
      </c>
      <c r="F438" s="24" t="s">
        <v>200</v>
      </c>
      <c r="G438" s="24"/>
      <c r="H438" s="24" t="s">
        <v>1103</v>
      </c>
      <c r="I438" s="30" t="s">
        <v>548</v>
      </c>
      <c r="J438" s="24"/>
      <c r="K438" s="24" t="s">
        <v>549</v>
      </c>
      <c r="L438" s="24" t="s">
        <v>549</v>
      </c>
      <c r="M438" s="24">
        <v>1896</v>
      </c>
      <c r="N438" s="24" t="s">
        <v>550</v>
      </c>
      <c r="O438" s="24">
        <v>5</v>
      </c>
      <c r="P438" s="24">
        <v>0</v>
      </c>
      <c r="Q438" s="24">
        <v>2</v>
      </c>
      <c r="R438" s="24">
        <v>24</v>
      </c>
      <c r="S438" s="24">
        <v>1812.4</v>
      </c>
      <c r="T438" s="24">
        <v>1812.4</v>
      </c>
      <c r="U438" s="24">
        <v>1599.4</v>
      </c>
      <c r="V438" s="24">
        <v>213</v>
      </c>
      <c r="W438" s="24" t="s">
        <v>528</v>
      </c>
      <c r="X438" s="24" t="s">
        <v>528</v>
      </c>
      <c r="Y438" s="24" t="s">
        <v>529</v>
      </c>
      <c r="Z438" s="102" t="s">
        <v>528</v>
      </c>
      <c r="AA438" s="24" t="s">
        <v>528</v>
      </c>
      <c r="AB438" s="24" t="s">
        <v>528</v>
      </c>
      <c r="AC438" s="24" t="s">
        <v>528</v>
      </c>
      <c r="AD438" s="24" t="s">
        <v>528</v>
      </c>
      <c r="AE438" s="24" t="s">
        <v>529</v>
      </c>
      <c r="AF438" s="24">
        <v>0</v>
      </c>
      <c r="AG438" s="24">
        <v>0</v>
      </c>
      <c r="AH438" s="24">
        <v>1</v>
      </c>
      <c r="AI438" s="24">
        <v>0</v>
      </c>
      <c r="AJ438" s="24">
        <v>0</v>
      </c>
      <c r="AK438" s="24">
        <v>0</v>
      </c>
      <c r="AL438" s="24"/>
    </row>
    <row r="439" spans="1:38" ht="31.2" x14ac:dyDescent="0.3">
      <c r="A439" s="53">
        <v>432</v>
      </c>
      <c r="B439" s="24" t="s">
        <v>544</v>
      </c>
      <c r="C439" s="24" t="s">
        <v>555</v>
      </c>
      <c r="D439" s="82" t="s">
        <v>1101</v>
      </c>
      <c r="E439" s="24" t="s">
        <v>1104</v>
      </c>
      <c r="F439" s="24" t="s">
        <v>200</v>
      </c>
      <c r="G439" s="24"/>
      <c r="H439" s="24" t="s">
        <v>1105</v>
      </c>
      <c r="I439" s="30" t="s">
        <v>548</v>
      </c>
      <c r="J439" s="24"/>
      <c r="K439" s="24" t="s">
        <v>549</v>
      </c>
      <c r="L439" s="24" t="s">
        <v>549</v>
      </c>
      <c r="M439" s="24">
        <v>1900</v>
      </c>
      <c r="N439" s="24" t="s">
        <v>550</v>
      </c>
      <c r="O439" s="24">
        <v>4</v>
      </c>
      <c r="P439" s="24">
        <v>0</v>
      </c>
      <c r="Q439" s="24">
        <v>2</v>
      </c>
      <c r="R439" s="24">
        <v>40</v>
      </c>
      <c r="S439" s="24">
        <v>1963.94</v>
      </c>
      <c r="T439" s="24">
        <v>1963.94</v>
      </c>
      <c r="U439" s="24">
        <v>1845.94</v>
      </c>
      <c r="V439" s="24">
        <v>118</v>
      </c>
      <c r="W439" s="24" t="s">
        <v>528</v>
      </c>
      <c r="X439" s="24" t="s">
        <v>528</v>
      </c>
      <c r="Y439" s="24" t="s">
        <v>529</v>
      </c>
      <c r="Z439" s="102" t="s">
        <v>528</v>
      </c>
      <c r="AA439" s="24" t="s">
        <v>528</v>
      </c>
      <c r="AB439" s="24" t="s">
        <v>528</v>
      </c>
      <c r="AC439" s="24" t="s">
        <v>528</v>
      </c>
      <c r="AD439" s="24" t="s">
        <v>528</v>
      </c>
      <c r="AE439" s="24" t="s">
        <v>529</v>
      </c>
      <c r="AF439" s="24">
        <v>0</v>
      </c>
      <c r="AG439" s="24">
        <v>0</v>
      </c>
      <c r="AH439" s="24">
        <v>1</v>
      </c>
      <c r="AI439" s="24">
        <v>0</v>
      </c>
      <c r="AJ439" s="24">
        <v>0</v>
      </c>
      <c r="AK439" s="24">
        <v>0</v>
      </c>
      <c r="AL439" s="24"/>
    </row>
    <row r="440" spans="1:38" ht="31.2" x14ac:dyDescent="0.3">
      <c r="A440" s="53">
        <v>433</v>
      </c>
      <c r="B440" s="24" t="s">
        <v>544</v>
      </c>
      <c r="C440" s="24" t="s">
        <v>555</v>
      </c>
      <c r="D440" s="82" t="s">
        <v>1106</v>
      </c>
      <c r="E440" s="24">
        <v>3</v>
      </c>
      <c r="F440" s="24" t="s">
        <v>200</v>
      </c>
      <c r="G440" s="24"/>
      <c r="H440" s="24" t="s">
        <v>1107</v>
      </c>
      <c r="I440" s="30" t="s">
        <v>548</v>
      </c>
      <c r="J440" s="24"/>
      <c r="K440" s="24" t="s">
        <v>549</v>
      </c>
      <c r="L440" s="24" t="s">
        <v>549</v>
      </c>
      <c r="M440" s="24">
        <v>1877</v>
      </c>
      <c r="N440" s="24" t="s">
        <v>550</v>
      </c>
      <c r="O440" s="24">
        <v>5</v>
      </c>
      <c r="P440" s="24">
        <v>0</v>
      </c>
      <c r="Q440" s="24">
        <v>2</v>
      </c>
      <c r="R440" s="24">
        <v>20</v>
      </c>
      <c r="S440" s="24">
        <v>2118</v>
      </c>
      <c r="T440" s="24">
        <v>2118</v>
      </c>
      <c r="U440" s="24">
        <v>1659.57</v>
      </c>
      <c r="V440" s="24">
        <v>458.43</v>
      </c>
      <c r="W440" s="24" t="s">
        <v>528</v>
      </c>
      <c r="X440" s="24" t="s">
        <v>528</v>
      </c>
      <c r="Y440" s="24" t="s">
        <v>529</v>
      </c>
      <c r="Z440" s="102" t="s">
        <v>528</v>
      </c>
      <c r="AA440" s="24" t="s">
        <v>528</v>
      </c>
      <c r="AB440" s="24" t="s">
        <v>528</v>
      </c>
      <c r="AC440" s="24" t="s">
        <v>528</v>
      </c>
      <c r="AD440" s="24" t="s">
        <v>528</v>
      </c>
      <c r="AE440" s="24" t="s">
        <v>529</v>
      </c>
      <c r="AF440" s="24">
        <v>0</v>
      </c>
      <c r="AG440" s="24">
        <v>0</v>
      </c>
      <c r="AH440" s="24">
        <v>1</v>
      </c>
      <c r="AI440" s="24">
        <v>0</v>
      </c>
      <c r="AJ440" s="24">
        <v>1</v>
      </c>
      <c r="AK440" s="24">
        <v>0</v>
      </c>
      <c r="AL440" s="24"/>
    </row>
    <row r="441" spans="1:38" ht="31.2" x14ac:dyDescent="0.3">
      <c r="A441" s="53">
        <v>434</v>
      </c>
      <c r="B441" s="24" t="s">
        <v>544</v>
      </c>
      <c r="C441" s="24" t="s">
        <v>555</v>
      </c>
      <c r="D441" s="82" t="s">
        <v>1106</v>
      </c>
      <c r="E441" s="24">
        <v>3</v>
      </c>
      <c r="F441" s="24" t="s">
        <v>205</v>
      </c>
      <c r="G441" s="24"/>
      <c r="H441" s="24" t="s">
        <v>1108</v>
      </c>
      <c r="I441" s="30" t="s">
        <v>548</v>
      </c>
      <c r="J441" s="24"/>
      <c r="K441" s="24" t="s">
        <v>549</v>
      </c>
      <c r="L441" s="24" t="s">
        <v>549</v>
      </c>
      <c r="M441" s="24">
        <v>1901</v>
      </c>
      <c r="N441" s="24" t="s">
        <v>550</v>
      </c>
      <c r="O441" s="24">
        <v>4</v>
      </c>
      <c r="P441" s="24">
        <v>0</v>
      </c>
      <c r="Q441" s="24">
        <v>2</v>
      </c>
      <c r="R441" s="24">
        <v>23</v>
      </c>
      <c r="S441" s="24">
        <v>1589</v>
      </c>
      <c r="T441" s="24">
        <v>1589</v>
      </c>
      <c r="U441" s="24">
        <v>1447.18</v>
      </c>
      <c r="V441" s="24">
        <v>141.82</v>
      </c>
      <c r="W441" s="24" t="s">
        <v>528</v>
      </c>
      <c r="X441" s="24" t="s">
        <v>528</v>
      </c>
      <c r="Y441" s="24" t="s">
        <v>529</v>
      </c>
      <c r="Z441" s="102" t="s">
        <v>528</v>
      </c>
      <c r="AA441" s="24" t="s">
        <v>528</v>
      </c>
      <c r="AB441" s="24" t="s">
        <v>528</v>
      </c>
      <c r="AC441" s="24" t="s">
        <v>528</v>
      </c>
      <c r="AD441" s="24" t="s">
        <v>528</v>
      </c>
      <c r="AE441" s="24" t="s">
        <v>529</v>
      </c>
      <c r="AF441" s="24">
        <v>0</v>
      </c>
      <c r="AG441" s="24">
        <v>0</v>
      </c>
      <c r="AH441" s="24">
        <v>1</v>
      </c>
      <c r="AI441" s="24">
        <v>0</v>
      </c>
      <c r="AJ441" s="24">
        <v>1</v>
      </c>
      <c r="AK441" s="24">
        <v>0</v>
      </c>
      <c r="AL441" s="24"/>
    </row>
    <row r="442" spans="1:38" ht="31.2" x14ac:dyDescent="0.3">
      <c r="A442" s="53">
        <v>435</v>
      </c>
      <c r="B442" s="24" t="s">
        <v>544</v>
      </c>
      <c r="C442" s="24" t="s">
        <v>555</v>
      </c>
      <c r="D442" s="82" t="s">
        <v>1106</v>
      </c>
      <c r="E442" s="24">
        <v>12</v>
      </c>
      <c r="F442" s="24" t="s">
        <v>200</v>
      </c>
      <c r="G442" s="24"/>
      <c r="H442" s="24" t="s">
        <v>1109</v>
      </c>
      <c r="I442" s="30" t="s">
        <v>548</v>
      </c>
      <c r="J442" s="24"/>
      <c r="K442" s="24" t="s">
        <v>549</v>
      </c>
      <c r="L442" s="24" t="s">
        <v>549</v>
      </c>
      <c r="M442" s="24">
        <v>1960</v>
      </c>
      <c r="N442" s="24" t="s">
        <v>550</v>
      </c>
      <c r="O442" s="24">
        <v>5</v>
      </c>
      <c r="P442" s="24">
        <v>0</v>
      </c>
      <c r="Q442" s="24">
        <v>2</v>
      </c>
      <c r="R442" s="24">
        <v>26</v>
      </c>
      <c r="S442" s="24">
        <v>2016.67</v>
      </c>
      <c r="T442" s="24">
        <v>2016.67</v>
      </c>
      <c r="U442" s="24">
        <v>1480.23</v>
      </c>
      <c r="V442" s="24">
        <v>536.44000000000005</v>
      </c>
      <c r="W442" s="24" t="s">
        <v>528</v>
      </c>
      <c r="X442" s="24" t="s">
        <v>528</v>
      </c>
      <c r="Y442" s="24" t="s">
        <v>529</v>
      </c>
      <c r="Z442" s="102" t="s">
        <v>528</v>
      </c>
      <c r="AA442" s="24" t="s">
        <v>528</v>
      </c>
      <c r="AB442" s="24" t="s">
        <v>528</v>
      </c>
      <c r="AC442" s="24" t="s">
        <v>528</v>
      </c>
      <c r="AD442" s="24" t="s">
        <v>528</v>
      </c>
      <c r="AE442" s="24" t="s">
        <v>529</v>
      </c>
      <c r="AF442" s="24">
        <v>0</v>
      </c>
      <c r="AG442" s="24">
        <v>0</v>
      </c>
      <c r="AH442" s="24">
        <v>1</v>
      </c>
      <c r="AI442" s="24">
        <v>0</v>
      </c>
      <c r="AJ442" s="24">
        <v>0</v>
      </c>
      <c r="AK442" s="24">
        <v>0</v>
      </c>
      <c r="AL442" s="24"/>
    </row>
    <row r="443" spans="1:38" ht="31.2" x14ac:dyDescent="0.3">
      <c r="A443" s="53">
        <v>436</v>
      </c>
      <c r="B443" s="24" t="s">
        <v>544</v>
      </c>
      <c r="C443" s="24" t="s">
        <v>555</v>
      </c>
      <c r="D443" s="82" t="s">
        <v>1106</v>
      </c>
      <c r="E443" s="24">
        <v>14</v>
      </c>
      <c r="F443" s="24" t="s">
        <v>200</v>
      </c>
      <c r="G443" s="24"/>
      <c r="H443" s="24" t="s">
        <v>1110</v>
      </c>
      <c r="I443" s="30" t="s">
        <v>548</v>
      </c>
      <c r="J443" s="24"/>
      <c r="K443" s="24" t="s">
        <v>549</v>
      </c>
      <c r="L443" s="24" t="s">
        <v>549</v>
      </c>
      <c r="M443" s="24">
        <v>1902</v>
      </c>
      <c r="N443" s="24" t="s">
        <v>550</v>
      </c>
      <c r="O443" s="24">
        <v>5</v>
      </c>
      <c r="P443" s="24">
        <v>0</v>
      </c>
      <c r="Q443" s="24">
        <v>4</v>
      </c>
      <c r="R443" s="24">
        <v>28</v>
      </c>
      <c r="S443" s="24">
        <v>2948</v>
      </c>
      <c r="T443" s="24">
        <v>2948</v>
      </c>
      <c r="U443" s="24">
        <v>2362</v>
      </c>
      <c r="V443" s="24">
        <v>586</v>
      </c>
      <c r="W443" s="24" t="s">
        <v>528</v>
      </c>
      <c r="X443" s="24" t="s">
        <v>528</v>
      </c>
      <c r="Y443" s="24" t="s">
        <v>529</v>
      </c>
      <c r="Z443" s="102" t="s">
        <v>528</v>
      </c>
      <c r="AA443" s="24" t="s">
        <v>528</v>
      </c>
      <c r="AB443" s="24" t="s">
        <v>528</v>
      </c>
      <c r="AC443" s="24" t="s">
        <v>528</v>
      </c>
      <c r="AD443" s="24" t="s">
        <v>528</v>
      </c>
      <c r="AE443" s="24" t="s">
        <v>529</v>
      </c>
      <c r="AF443" s="24">
        <v>0</v>
      </c>
      <c r="AG443" s="24">
        <v>0</v>
      </c>
      <c r="AH443" s="24">
        <v>1</v>
      </c>
      <c r="AI443" s="24">
        <v>0</v>
      </c>
      <c r="AJ443" s="24">
        <v>1</v>
      </c>
      <c r="AK443" s="24">
        <v>0</v>
      </c>
      <c r="AL443" s="24"/>
    </row>
    <row r="444" spans="1:38" ht="31.2" x14ac:dyDescent="0.3">
      <c r="A444" s="53">
        <v>437</v>
      </c>
      <c r="B444" s="24" t="s">
        <v>544</v>
      </c>
      <c r="C444" s="24" t="s">
        <v>555</v>
      </c>
      <c r="D444" s="82" t="s">
        <v>1106</v>
      </c>
      <c r="E444" s="24">
        <v>16</v>
      </c>
      <c r="F444" s="24" t="s">
        <v>200</v>
      </c>
      <c r="G444" s="24"/>
      <c r="H444" s="24" t="s">
        <v>1111</v>
      </c>
      <c r="I444" s="30" t="s">
        <v>548</v>
      </c>
      <c r="J444" s="24"/>
      <c r="K444" s="24" t="s">
        <v>549</v>
      </c>
      <c r="L444" s="24" t="s">
        <v>549</v>
      </c>
      <c r="M444" s="24">
        <v>1914</v>
      </c>
      <c r="N444" s="24" t="s">
        <v>550</v>
      </c>
      <c r="O444" s="24">
        <v>6</v>
      </c>
      <c r="P444" s="24">
        <v>0</v>
      </c>
      <c r="Q444" s="24">
        <v>4</v>
      </c>
      <c r="R444" s="24">
        <v>47</v>
      </c>
      <c r="S444" s="24">
        <v>3272.4</v>
      </c>
      <c r="T444" s="24">
        <v>3272.4</v>
      </c>
      <c r="U444" s="24">
        <v>3038</v>
      </c>
      <c r="V444" s="24">
        <v>234.4</v>
      </c>
      <c r="W444" s="24" t="s">
        <v>528</v>
      </c>
      <c r="X444" s="24" t="s">
        <v>528</v>
      </c>
      <c r="Y444" s="24" t="s">
        <v>529</v>
      </c>
      <c r="Z444" s="102" t="s">
        <v>528</v>
      </c>
      <c r="AA444" s="24" t="s">
        <v>528</v>
      </c>
      <c r="AB444" s="24" t="s">
        <v>528</v>
      </c>
      <c r="AC444" s="24" t="s">
        <v>528</v>
      </c>
      <c r="AD444" s="24" t="s">
        <v>528</v>
      </c>
      <c r="AE444" s="24" t="s">
        <v>529</v>
      </c>
      <c r="AF444" s="24">
        <v>1</v>
      </c>
      <c r="AG444" s="24">
        <v>0</v>
      </c>
      <c r="AH444" s="24">
        <v>1</v>
      </c>
      <c r="AI444" s="24">
        <v>0</v>
      </c>
      <c r="AJ444" s="24">
        <v>1</v>
      </c>
      <c r="AK444" s="24">
        <v>0</v>
      </c>
      <c r="AL444" s="24"/>
    </row>
    <row r="445" spans="1:38" ht="31.2" x14ac:dyDescent="0.3">
      <c r="A445" s="53">
        <v>438</v>
      </c>
      <c r="B445" s="24" t="s">
        <v>544</v>
      </c>
      <c r="C445" s="24" t="s">
        <v>584</v>
      </c>
      <c r="D445" s="82" t="s">
        <v>1112</v>
      </c>
      <c r="E445" s="24">
        <v>1</v>
      </c>
      <c r="F445" s="24" t="s">
        <v>200</v>
      </c>
      <c r="G445" s="24"/>
      <c r="H445" s="24" t="s">
        <v>1113</v>
      </c>
      <c r="I445" s="30" t="s">
        <v>548</v>
      </c>
      <c r="J445" s="24" t="s">
        <v>558</v>
      </c>
      <c r="K445" s="24" t="s">
        <v>549</v>
      </c>
      <c r="L445" s="24" t="s">
        <v>549</v>
      </c>
      <c r="M445" s="24">
        <v>1933</v>
      </c>
      <c r="N445" s="24" t="s">
        <v>550</v>
      </c>
      <c r="O445" s="24">
        <v>8</v>
      </c>
      <c r="P445" s="24">
        <v>0</v>
      </c>
      <c r="Q445" s="24">
        <v>9</v>
      </c>
      <c r="R445" s="24">
        <v>134</v>
      </c>
      <c r="S445" s="24">
        <v>12877.21</v>
      </c>
      <c r="T445" s="24">
        <v>12877.21</v>
      </c>
      <c r="U445" s="24">
        <v>7446.21</v>
      </c>
      <c r="V445" s="24">
        <v>5431</v>
      </c>
      <c r="W445" s="24" t="s">
        <v>528</v>
      </c>
      <c r="X445" s="24" t="s">
        <v>528</v>
      </c>
      <c r="Y445" s="24" t="s">
        <v>528</v>
      </c>
      <c r="Z445" s="102" t="s">
        <v>528</v>
      </c>
      <c r="AA445" s="24" t="s">
        <v>528</v>
      </c>
      <c r="AB445" s="24" t="s">
        <v>528</v>
      </c>
      <c r="AC445" s="24" t="s">
        <v>529</v>
      </c>
      <c r="AD445" s="24" t="s">
        <v>528</v>
      </c>
      <c r="AE445" s="24" t="s">
        <v>529</v>
      </c>
      <c r="AF445" s="24">
        <v>6</v>
      </c>
      <c r="AG445" s="24">
        <v>0</v>
      </c>
      <c r="AH445" s="24">
        <v>1</v>
      </c>
      <c r="AI445" s="24">
        <v>1</v>
      </c>
      <c r="AJ445" s="24">
        <v>1</v>
      </c>
      <c r="AK445" s="24">
        <v>0</v>
      </c>
      <c r="AL445" s="24"/>
    </row>
    <row r="446" spans="1:38" ht="31.2" x14ac:dyDescent="0.3">
      <c r="A446" s="53">
        <v>439</v>
      </c>
      <c r="B446" s="24" t="s">
        <v>544</v>
      </c>
      <c r="C446" s="24" t="s">
        <v>584</v>
      </c>
      <c r="D446" s="82" t="s">
        <v>1114</v>
      </c>
      <c r="E446" s="24">
        <v>2</v>
      </c>
      <c r="F446" s="24" t="s">
        <v>205</v>
      </c>
      <c r="G446" s="24"/>
      <c r="H446" s="24" t="s">
        <v>1115</v>
      </c>
      <c r="I446" s="30" t="s">
        <v>548</v>
      </c>
      <c r="J446" s="24"/>
      <c r="K446" s="24" t="s">
        <v>549</v>
      </c>
      <c r="L446" s="24" t="s">
        <v>549</v>
      </c>
      <c r="M446" s="24">
        <v>1912</v>
      </c>
      <c r="N446" s="24" t="s">
        <v>550</v>
      </c>
      <c r="O446" s="24">
        <v>7</v>
      </c>
      <c r="P446" s="24">
        <v>0</v>
      </c>
      <c r="Q446" s="24">
        <v>6</v>
      </c>
      <c r="R446" s="24">
        <v>79</v>
      </c>
      <c r="S446" s="24">
        <v>8558.64</v>
      </c>
      <c r="T446" s="24">
        <v>8558.64</v>
      </c>
      <c r="U446" s="24">
        <v>7720.24</v>
      </c>
      <c r="V446" s="24">
        <v>838.4</v>
      </c>
      <c r="W446" s="24" t="s">
        <v>528</v>
      </c>
      <c r="X446" s="24" t="s">
        <v>528</v>
      </c>
      <c r="Y446" s="24" t="s">
        <v>529</v>
      </c>
      <c r="Z446" s="102" t="s">
        <v>528</v>
      </c>
      <c r="AA446" s="24" t="s">
        <v>528</v>
      </c>
      <c r="AB446" s="24" t="s">
        <v>528</v>
      </c>
      <c r="AC446" s="24" t="s">
        <v>528</v>
      </c>
      <c r="AD446" s="24" t="s">
        <v>528</v>
      </c>
      <c r="AE446" s="24" t="s">
        <v>529</v>
      </c>
      <c r="AF446" s="24">
        <v>4</v>
      </c>
      <c r="AG446" s="24">
        <v>0</v>
      </c>
      <c r="AH446" s="24">
        <v>1</v>
      </c>
      <c r="AI446" s="24">
        <v>0</v>
      </c>
      <c r="AJ446" s="24">
        <v>1</v>
      </c>
      <c r="AK446" s="24">
        <v>0</v>
      </c>
      <c r="AL446" s="24"/>
    </row>
    <row r="447" spans="1:38" ht="31.2" x14ac:dyDescent="0.3">
      <c r="A447" s="53">
        <v>440</v>
      </c>
      <c r="B447" s="24" t="s">
        <v>544</v>
      </c>
      <c r="C447" s="24" t="s">
        <v>584</v>
      </c>
      <c r="D447" s="82" t="s">
        <v>1114</v>
      </c>
      <c r="E447" s="24" t="s">
        <v>1116</v>
      </c>
      <c r="F447" s="24" t="s">
        <v>200</v>
      </c>
      <c r="G447" s="24"/>
      <c r="H447" s="24" t="s">
        <v>1117</v>
      </c>
      <c r="I447" s="30" t="s">
        <v>548</v>
      </c>
      <c r="J447" s="24"/>
      <c r="K447" s="24" t="s">
        <v>549</v>
      </c>
      <c r="L447" s="24" t="s">
        <v>549</v>
      </c>
      <c r="M447" s="24">
        <v>1910</v>
      </c>
      <c r="N447" s="24" t="s">
        <v>550</v>
      </c>
      <c r="O447" s="24">
        <v>6</v>
      </c>
      <c r="P447" s="24">
        <v>0</v>
      </c>
      <c r="Q447" s="24">
        <v>16</v>
      </c>
      <c r="R447" s="24">
        <v>168</v>
      </c>
      <c r="S447" s="24">
        <v>15905.3</v>
      </c>
      <c r="T447" s="24">
        <v>15905.3</v>
      </c>
      <c r="U447" s="24">
        <v>11260.5</v>
      </c>
      <c r="V447" s="24">
        <v>4644.8</v>
      </c>
      <c r="W447" s="24" t="s">
        <v>528</v>
      </c>
      <c r="X447" s="24" t="s">
        <v>528</v>
      </c>
      <c r="Y447" s="24" t="s">
        <v>529</v>
      </c>
      <c r="Z447" s="102" t="s">
        <v>528</v>
      </c>
      <c r="AA447" s="24" t="s">
        <v>528</v>
      </c>
      <c r="AB447" s="24" t="s">
        <v>528</v>
      </c>
      <c r="AC447" s="24" t="s">
        <v>528</v>
      </c>
      <c r="AD447" s="24" t="s">
        <v>528</v>
      </c>
      <c r="AE447" s="24" t="s">
        <v>529</v>
      </c>
      <c r="AF447" s="24">
        <v>1</v>
      </c>
      <c r="AG447" s="24">
        <v>0</v>
      </c>
      <c r="AH447" s="24">
        <v>1</v>
      </c>
      <c r="AI447" s="24">
        <v>0</v>
      </c>
      <c r="AJ447" s="24">
        <v>2</v>
      </c>
      <c r="AK447" s="24">
        <v>0</v>
      </c>
      <c r="AL447" s="24"/>
    </row>
    <row r="448" spans="1:38" ht="31.2" x14ac:dyDescent="0.3">
      <c r="A448" s="53">
        <v>441</v>
      </c>
      <c r="B448" s="24" t="s">
        <v>544</v>
      </c>
      <c r="C448" s="24" t="s">
        <v>584</v>
      </c>
      <c r="D448" s="82" t="s">
        <v>1114</v>
      </c>
      <c r="E448" s="24">
        <v>19</v>
      </c>
      <c r="F448" s="24" t="s">
        <v>200</v>
      </c>
      <c r="G448" s="24"/>
      <c r="H448" s="24" t="s">
        <v>1118</v>
      </c>
      <c r="I448" s="30" t="s">
        <v>548</v>
      </c>
      <c r="J448" s="24"/>
      <c r="K448" s="24" t="s">
        <v>549</v>
      </c>
      <c r="L448" s="24" t="s">
        <v>549</v>
      </c>
      <c r="M448" s="24">
        <v>1903</v>
      </c>
      <c r="N448" s="24" t="s">
        <v>550</v>
      </c>
      <c r="O448" s="24">
        <v>4</v>
      </c>
      <c r="P448" s="24">
        <v>0</v>
      </c>
      <c r="Q448" s="24">
        <v>1</v>
      </c>
      <c r="R448" s="24">
        <v>15</v>
      </c>
      <c r="S448" s="24">
        <v>1274.7</v>
      </c>
      <c r="T448" s="24">
        <v>1274.7</v>
      </c>
      <c r="U448" s="24">
        <v>1268.7</v>
      </c>
      <c r="V448" s="24">
        <v>6</v>
      </c>
      <c r="W448" s="24" t="s">
        <v>528</v>
      </c>
      <c r="X448" s="24" t="s">
        <v>528</v>
      </c>
      <c r="Y448" s="24" t="s">
        <v>529</v>
      </c>
      <c r="Z448" s="102" t="s">
        <v>528</v>
      </c>
      <c r="AA448" s="24" t="s">
        <v>528</v>
      </c>
      <c r="AB448" s="24" t="s">
        <v>528</v>
      </c>
      <c r="AC448" s="24" t="s">
        <v>528</v>
      </c>
      <c r="AD448" s="24" t="s">
        <v>528</v>
      </c>
      <c r="AE448" s="24" t="s">
        <v>529</v>
      </c>
      <c r="AF448" s="24">
        <v>1</v>
      </c>
      <c r="AG448" s="24">
        <v>0</v>
      </c>
      <c r="AH448" s="24">
        <v>1</v>
      </c>
      <c r="AI448" s="24">
        <v>0</v>
      </c>
      <c r="AJ448" s="24">
        <v>1</v>
      </c>
      <c r="AK448" s="24">
        <v>0</v>
      </c>
      <c r="AL448" s="24"/>
    </row>
    <row r="449" spans="1:38" ht="31.2" x14ac:dyDescent="0.3">
      <c r="A449" s="53">
        <v>442</v>
      </c>
      <c r="B449" s="24" t="s">
        <v>544</v>
      </c>
      <c r="C449" s="24" t="s">
        <v>584</v>
      </c>
      <c r="D449" s="82" t="s">
        <v>1114</v>
      </c>
      <c r="E449" s="24">
        <v>19</v>
      </c>
      <c r="F449" s="24" t="s">
        <v>205</v>
      </c>
      <c r="G449" s="24"/>
      <c r="H449" s="24" t="s">
        <v>1119</v>
      </c>
      <c r="I449" s="30" t="s">
        <v>548</v>
      </c>
      <c r="J449" s="24"/>
      <c r="K449" s="24" t="s">
        <v>549</v>
      </c>
      <c r="L449" s="24" t="s">
        <v>549</v>
      </c>
      <c r="M449" s="24">
        <v>1913</v>
      </c>
      <c r="N449" s="24" t="s">
        <v>550</v>
      </c>
      <c r="O449" s="24">
        <v>5</v>
      </c>
      <c r="P449" s="24">
        <v>0</v>
      </c>
      <c r="Q449" s="24">
        <v>2</v>
      </c>
      <c r="R449" s="24">
        <v>38</v>
      </c>
      <c r="S449" s="24">
        <v>1398.5</v>
      </c>
      <c r="T449" s="24">
        <v>1398.5</v>
      </c>
      <c r="U449" s="24">
        <v>1398.5</v>
      </c>
      <c r="V449" s="24">
        <v>0</v>
      </c>
      <c r="W449" s="24" t="s">
        <v>528</v>
      </c>
      <c r="X449" s="24" t="s">
        <v>528</v>
      </c>
      <c r="Y449" s="24" t="s">
        <v>529</v>
      </c>
      <c r="Z449" s="102" t="s">
        <v>528</v>
      </c>
      <c r="AA449" s="24" t="s">
        <v>528</v>
      </c>
      <c r="AB449" s="24" t="s">
        <v>528</v>
      </c>
      <c r="AC449" s="24" t="s">
        <v>528</v>
      </c>
      <c r="AD449" s="24" t="s">
        <v>528</v>
      </c>
      <c r="AE449" s="24" t="s">
        <v>529</v>
      </c>
      <c r="AF449" s="24">
        <v>0</v>
      </c>
      <c r="AG449" s="24">
        <v>0</v>
      </c>
      <c r="AH449" s="24">
        <v>1</v>
      </c>
      <c r="AI449" s="24">
        <v>0</v>
      </c>
      <c r="AJ449" s="24">
        <v>1</v>
      </c>
      <c r="AK449" s="24">
        <v>0</v>
      </c>
      <c r="AL449" s="24"/>
    </row>
    <row r="450" spans="1:38" ht="31.2" x14ac:dyDescent="0.3">
      <c r="A450" s="53">
        <v>443</v>
      </c>
      <c r="B450" s="24" t="s">
        <v>544</v>
      </c>
      <c r="C450" s="24" t="s">
        <v>584</v>
      </c>
      <c r="D450" s="82" t="s">
        <v>1114</v>
      </c>
      <c r="E450" s="24">
        <v>21</v>
      </c>
      <c r="F450" s="24" t="s">
        <v>200</v>
      </c>
      <c r="G450" s="24"/>
      <c r="H450" s="24" t="s">
        <v>1120</v>
      </c>
      <c r="I450" s="30" t="s">
        <v>548</v>
      </c>
      <c r="J450" s="24"/>
      <c r="K450" s="24" t="s">
        <v>549</v>
      </c>
      <c r="L450" s="24" t="s">
        <v>549</v>
      </c>
      <c r="M450" s="24">
        <v>1871</v>
      </c>
      <c r="N450" s="24" t="s">
        <v>550</v>
      </c>
      <c r="O450" s="24">
        <v>5</v>
      </c>
      <c r="P450" s="24">
        <v>0</v>
      </c>
      <c r="Q450" s="24">
        <v>3</v>
      </c>
      <c r="R450" s="24">
        <v>33</v>
      </c>
      <c r="S450" s="24">
        <v>2092.87</v>
      </c>
      <c r="T450" s="24">
        <v>2092.87</v>
      </c>
      <c r="U450" s="24">
        <v>1768.37</v>
      </c>
      <c r="V450" s="24">
        <v>324.5</v>
      </c>
      <c r="W450" s="24" t="s">
        <v>528</v>
      </c>
      <c r="X450" s="24" t="s">
        <v>528</v>
      </c>
      <c r="Y450" s="24" t="s">
        <v>529</v>
      </c>
      <c r="Z450" s="102" t="s">
        <v>528</v>
      </c>
      <c r="AA450" s="24" t="s">
        <v>528</v>
      </c>
      <c r="AB450" s="24" t="s">
        <v>528</v>
      </c>
      <c r="AC450" s="24" t="s">
        <v>528</v>
      </c>
      <c r="AD450" s="24" t="s">
        <v>528</v>
      </c>
      <c r="AE450" s="24" t="s">
        <v>529</v>
      </c>
      <c r="AF450" s="24">
        <v>0</v>
      </c>
      <c r="AG450" s="24">
        <v>0</v>
      </c>
      <c r="AH450" s="24">
        <v>1</v>
      </c>
      <c r="AI450" s="24">
        <v>0</v>
      </c>
      <c r="AJ450" s="24">
        <v>1</v>
      </c>
      <c r="AK450" s="24">
        <v>0</v>
      </c>
      <c r="AL450" s="24"/>
    </row>
    <row r="451" spans="1:38" ht="31.2" x14ac:dyDescent="0.3">
      <c r="A451" s="53">
        <v>444</v>
      </c>
      <c r="B451" s="24" t="s">
        <v>544</v>
      </c>
      <c r="C451" s="24" t="s">
        <v>584</v>
      </c>
      <c r="D451" s="82" t="s">
        <v>1114</v>
      </c>
      <c r="E451" s="24">
        <v>23</v>
      </c>
      <c r="F451" s="24" t="s">
        <v>200</v>
      </c>
      <c r="G451" s="24"/>
      <c r="H451" s="24" t="s">
        <v>1121</v>
      </c>
      <c r="I451" s="30" t="s">
        <v>548</v>
      </c>
      <c r="J451" s="24"/>
      <c r="K451" s="24" t="s">
        <v>549</v>
      </c>
      <c r="L451" s="24" t="s">
        <v>549</v>
      </c>
      <c r="M451" s="24">
        <v>1914</v>
      </c>
      <c r="N451" s="24" t="s">
        <v>550</v>
      </c>
      <c r="O451" s="24">
        <v>8</v>
      </c>
      <c r="P451" s="24">
        <v>0</v>
      </c>
      <c r="Q451" s="24">
        <v>6</v>
      </c>
      <c r="R451" s="24">
        <v>52</v>
      </c>
      <c r="S451" s="24">
        <v>3018.67</v>
      </c>
      <c r="T451" s="24">
        <v>3018.67</v>
      </c>
      <c r="U451" s="24">
        <v>2822.37</v>
      </c>
      <c r="V451" s="24">
        <v>196.3</v>
      </c>
      <c r="W451" s="24" t="s">
        <v>528</v>
      </c>
      <c r="X451" s="24" t="s">
        <v>528</v>
      </c>
      <c r="Y451" s="24" t="s">
        <v>529</v>
      </c>
      <c r="Z451" s="102" t="s">
        <v>528</v>
      </c>
      <c r="AA451" s="24" t="s">
        <v>528</v>
      </c>
      <c r="AB451" s="24" t="s">
        <v>528</v>
      </c>
      <c r="AC451" s="24" t="s">
        <v>528</v>
      </c>
      <c r="AD451" s="24" t="s">
        <v>528</v>
      </c>
      <c r="AE451" s="24" t="s">
        <v>529</v>
      </c>
      <c r="AF451" s="24">
        <v>1</v>
      </c>
      <c r="AG451" s="24">
        <v>0</v>
      </c>
      <c r="AH451" s="24">
        <v>1</v>
      </c>
      <c r="AI451" s="24">
        <v>0</v>
      </c>
      <c r="AJ451" s="24">
        <v>2</v>
      </c>
      <c r="AK451" s="24">
        <v>0</v>
      </c>
      <c r="AL451" s="24"/>
    </row>
    <row r="452" spans="1:38" ht="31.2" x14ac:dyDescent="0.3">
      <c r="A452" s="53">
        <v>445</v>
      </c>
      <c r="B452" s="24" t="s">
        <v>544</v>
      </c>
      <c r="C452" s="24" t="s">
        <v>584</v>
      </c>
      <c r="D452" s="82" t="s">
        <v>1122</v>
      </c>
      <c r="E452" s="24">
        <v>5</v>
      </c>
      <c r="F452" s="24" t="s">
        <v>200</v>
      </c>
      <c r="G452" s="24"/>
      <c r="H452" s="24" t="s">
        <v>1123</v>
      </c>
      <c r="I452" s="30" t="s">
        <v>548</v>
      </c>
      <c r="J452" s="24" t="s">
        <v>558</v>
      </c>
      <c r="K452" s="24" t="s">
        <v>549</v>
      </c>
      <c r="L452" s="24" t="s">
        <v>549</v>
      </c>
      <c r="M452" s="24">
        <v>1983</v>
      </c>
      <c r="N452" s="24" t="s">
        <v>550</v>
      </c>
      <c r="O452" s="24">
        <v>7</v>
      </c>
      <c r="P452" s="24">
        <v>0</v>
      </c>
      <c r="Q452" s="24">
        <v>7</v>
      </c>
      <c r="R452" s="24">
        <v>72</v>
      </c>
      <c r="S452" s="24">
        <v>4685.1000000000004</v>
      </c>
      <c r="T452" s="24">
        <v>4685.1000000000004</v>
      </c>
      <c r="U452" s="24">
        <v>4626.8500000000004</v>
      </c>
      <c r="V452" s="24">
        <v>58.25</v>
      </c>
      <c r="W452" s="24" t="s">
        <v>528</v>
      </c>
      <c r="X452" s="24" t="s">
        <v>528</v>
      </c>
      <c r="Y452" s="24" t="s">
        <v>528</v>
      </c>
      <c r="Z452" s="102" t="s">
        <v>528</v>
      </c>
      <c r="AA452" s="24" t="s">
        <v>528</v>
      </c>
      <c r="AB452" s="24" t="s">
        <v>528</v>
      </c>
      <c r="AC452" s="24" t="s">
        <v>529</v>
      </c>
      <c r="AD452" s="24" t="s">
        <v>528</v>
      </c>
      <c r="AE452" s="24" t="s">
        <v>529</v>
      </c>
      <c r="AF452" s="24">
        <v>7</v>
      </c>
      <c r="AG452" s="24">
        <v>0</v>
      </c>
      <c r="AH452" s="24">
        <v>2</v>
      </c>
      <c r="AI452" s="24">
        <v>1</v>
      </c>
      <c r="AJ452" s="24">
        <v>1</v>
      </c>
      <c r="AK452" s="24">
        <v>0</v>
      </c>
      <c r="AL452" s="24"/>
    </row>
    <row r="453" spans="1:38" ht="31.2" x14ac:dyDescent="0.3">
      <c r="A453" s="53">
        <v>446</v>
      </c>
      <c r="B453" s="24" t="s">
        <v>544</v>
      </c>
      <c r="C453" s="24" t="s">
        <v>584</v>
      </c>
      <c r="D453" s="82" t="s">
        <v>1122</v>
      </c>
      <c r="E453" s="24">
        <v>5</v>
      </c>
      <c r="F453" s="24" t="s">
        <v>205</v>
      </c>
      <c r="G453" s="24"/>
      <c r="H453" s="24" t="s">
        <v>1124</v>
      </c>
      <c r="I453" s="30" t="s">
        <v>548</v>
      </c>
      <c r="J453" s="24" t="s">
        <v>558</v>
      </c>
      <c r="K453" s="24" t="s">
        <v>549</v>
      </c>
      <c r="L453" s="24" t="s">
        <v>549</v>
      </c>
      <c r="M453" s="24">
        <v>1936</v>
      </c>
      <c r="N453" s="24" t="s">
        <v>550</v>
      </c>
      <c r="O453" s="24">
        <v>6</v>
      </c>
      <c r="P453" s="24">
        <v>0</v>
      </c>
      <c r="Q453" s="24">
        <v>7</v>
      </c>
      <c r="R453" s="24">
        <v>67</v>
      </c>
      <c r="S453" s="24">
        <v>4740.62</v>
      </c>
      <c r="T453" s="24">
        <v>4740.62</v>
      </c>
      <c r="U453" s="24">
        <v>4510.8</v>
      </c>
      <c r="V453" s="24">
        <v>229.82</v>
      </c>
      <c r="W453" s="24" t="s">
        <v>528</v>
      </c>
      <c r="X453" s="24" t="s">
        <v>528</v>
      </c>
      <c r="Y453" s="24" t="s">
        <v>528</v>
      </c>
      <c r="Z453" s="102" t="s">
        <v>528</v>
      </c>
      <c r="AA453" s="24" t="s">
        <v>528</v>
      </c>
      <c r="AB453" s="24" t="s">
        <v>528</v>
      </c>
      <c r="AC453" s="24" t="s">
        <v>529</v>
      </c>
      <c r="AD453" s="24" t="s">
        <v>528</v>
      </c>
      <c r="AE453" s="24" t="s">
        <v>529</v>
      </c>
      <c r="AF453" s="24">
        <v>7</v>
      </c>
      <c r="AG453" s="24">
        <v>0</v>
      </c>
      <c r="AH453" s="24">
        <v>0</v>
      </c>
      <c r="AI453" s="24">
        <v>1</v>
      </c>
      <c r="AJ453" s="24">
        <v>1</v>
      </c>
      <c r="AK453" s="24">
        <v>0</v>
      </c>
      <c r="AL453" s="24"/>
    </row>
    <row r="454" spans="1:38" ht="31.2" x14ac:dyDescent="0.3">
      <c r="A454" s="53">
        <v>447</v>
      </c>
      <c r="B454" s="24" t="s">
        <v>544</v>
      </c>
      <c r="C454" s="24" t="s">
        <v>584</v>
      </c>
      <c r="D454" s="82" t="s">
        <v>1122</v>
      </c>
      <c r="E454" s="24">
        <v>5</v>
      </c>
      <c r="F454" s="24" t="s">
        <v>207</v>
      </c>
      <c r="G454" s="24"/>
      <c r="H454" s="24" t="s">
        <v>1125</v>
      </c>
      <c r="I454" s="30" t="s">
        <v>548</v>
      </c>
      <c r="J454" s="24" t="s">
        <v>558</v>
      </c>
      <c r="K454" s="24" t="s">
        <v>549</v>
      </c>
      <c r="L454" s="24" t="s">
        <v>549</v>
      </c>
      <c r="M454" s="24">
        <v>1983</v>
      </c>
      <c r="N454" s="24" t="s">
        <v>550</v>
      </c>
      <c r="O454" s="24">
        <v>7</v>
      </c>
      <c r="P454" s="24">
        <v>0</v>
      </c>
      <c r="Q454" s="24">
        <v>2</v>
      </c>
      <c r="R454" s="24">
        <v>82</v>
      </c>
      <c r="S454" s="24">
        <v>4796.7</v>
      </c>
      <c r="T454" s="24">
        <v>4796.7</v>
      </c>
      <c r="U454" s="24">
        <v>3981.6</v>
      </c>
      <c r="V454" s="24">
        <v>815.1</v>
      </c>
      <c r="W454" s="24" t="s">
        <v>528</v>
      </c>
      <c r="X454" s="24" t="s">
        <v>528</v>
      </c>
      <c r="Y454" s="24" t="s">
        <v>528</v>
      </c>
      <c r="Z454" s="102" t="s">
        <v>528</v>
      </c>
      <c r="AA454" s="24" t="s">
        <v>528</v>
      </c>
      <c r="AB454" s="24" t="s">
        <v>528</v>
      </c>
      <c r="AC454" s="24" t="s">
        <v>529</v>
      </c>
      <c r="AD454" s="24" t="s">
        <v>528</v>
      </c>
      <c r="AE454" s="24" t="s">
        <v>529</v>
      </c>
      <c r="AF454" s="24">
        <v>2</v>
      </c>
      <c r="AG454" s="24">
        <v>0</v>
      </c>
      <c r="AH454" s="24">
        <v>0</v>
      </c>
      <c r="AI454" s="24">
        <v>1</v>
      </c>
      <c r="AJ454" s="24">
        <v>1</v>
      </c>
      <c r="AK454" s="24">
        <v>0</v>
      </c>
      <c r="AL454" s="24"/>
    </row>
    <row r="455" spans="1:38" ht="31.2" x14ac:dyDescent="0.3">
      <c r="A455" s="53">
        <v>448</v>
      </c>
      <c r="B455" s="24" t="s">
        <v>544</v>
      </c>
      <c r="C455" s="24" t="s">
        <v>584</v>
      </c>
      <c r="D455" s="82" t="s">
        <v>1122</v>
      </c>
      <c r="E455" s="24">
        <v>11</v>
      </c>
      <c r="F455" s="24" t="s">
        <v>200</v>
      </c>
      <c r="G455" s="24"/>
      <c r="H455" s="24" t="s">
        <v>1126</v>
      </c>
      <c r="I455" s="30" t="s">
        <v>548</v>
      </c>
      <c r="J455" s="24"/>
      <c r="K455" s="24" t="s">
        <v>549</v>
      </c>
      <c r="L455" s="24" t="s">
        <v>549</v>
      </c>
      <c r="M455" s="24">
        <v>1914</v>
      </c>
      <c r="N455" s="24" t="s">
        <v>550</v>
      </c>
      <c r="O455" s="24">
        <v>7</v>
      </c>
      <c r="P455" s="24">
        <v>0</v>
      </c>
      <c r="Q455" s="24">
        <v>2</v>
      </c>
      <c r="R455" s="24">
        <v>6</v>
      </c>
      <c r="S455" s="24">
        <v>1908.8000000000002</v>
      </c>
      <c r="T455" s="24">
        <v>1908.8000000000002</v>
      </c>
      <c r="U455" s="24">
        <v>1463.4</v>
      </c>
      <c r="V455" s="24">
        <v>445.4</v>
      </c>
      <c r="W455" s="24" t="s">
        <v>528</v>
      </c>
      <c r="X455" s="24" t="s">
        <v>528</v>
      </c>
      <c r="Y455" s="24" t="s">
        <v>529</v>
      </c>
      <c r="Z455" s="102" t="s">
        <v>528</v>
      </c>
      <c r="AA455" s="24" t="s">
        <v>528</v>
      </c>
      <c r="AB455" s="24" t="s">
        <v>528</v>
      </c>
      <c r="AC455" s="24" t="s">
        <v>528</v>
      </c>
      <c r="AD455" s="24" t="s">
        <v>528</v>
      </c>
      <c r="AE455" s="24" t="s">
        <v>529</v>
      </c>
      <c r="AF455" s="24">
        <v>1</v>
      </c>
      <c r="AG455" s="24">
        <v>0</v>
      </c>
      <c r="AH455" s="24">
        <v>1</v>
      </c>
      <c r="AI455" s="24">
        <v>0</v>
      </c>
      <c r="AJ455" s="24">
        <v>1</v>
      </c>
      <c r="AK455" s="24">
        <v>0</v>
      </c>
      <c r="AL455" s="24"/>
    </row>
    <row r="456" spans="1:38" s="2" customFormat="1" ht="31.2" x14ac:dyDescent="0.3">
      <c r="A456" s="53">
        <v>449</v>
      </c>
      <c r="B456" s="24" t="s">
        <v>544</v>
      </c>
      <c r="C456" s="24" t="s">
        <v>521</v>
      </c>
      <c r="D456" s="82" t="s">
        <v>522</v>
      </c>
      <c r="E456" s="24" t="s">
        <v>523</v>
      </c>
      <c r="F456" s="24" t="s">
        <v>200</v>
      </c>
      <c r="G456" s="24"/>
      <c r="H456" s="24" t="s">
        <v>524</v>
      </c>
      <c r="I456" s="30" t="s">
        <v>525</v>
      </c>
      <c r="J456" s="24" t="s">
        <v>526</v>
      </c>
      <c r="K456" s="24" t="s">
        <v>199</v>
      </c>
      <c r="L456" s="24" t="s">
        <v>199</v>
      </c>
      <c r="M456" s="24">
        <v>1901</v>
      </c>
      <c r="N456" s="24" t="s">
        <v>527</v>
      </c>
      <c r="O456" s="24">
        <v>5</v>
      </c>
      <c r="P456" s="24">
        <v>0</v>
      </c>
      <c r="Q456" s="24">
        <v>7</v>
      </c>
      <c r="R456" s="24">
        <v>32</v>
      </c>
      <c r="S456" s="24">
        <v>4352.1000000000004</v>
      </c>
      <c r="T456" s="24">
        <v>4352.1000000000004</v>
      </c>
      <c r="U456" s="24">
        <v>3702.2</v>
      </c>
      <c r="V456" s="24">
        <v>649.9</v>
      </c>
      <c r="W456" s="24" t="s">
        <v>528</v>
      </c>
      <c r="X456" s="24" t="s">
        <v>528</v>
      </c>
      <c r="Y456" s="24" t="s">
        <v>529</v>
      </c>
      <c r="Z456" s="102" t="s">
        <v>528</v>
      </c>
      <c r="AA456" s="24" t="s">
        <v>528</v>
      </c>
      <c r="AB456" s="24" t="s">
        <v>528</v>
      </c>
      <c r="AC456" s="24" t="s">
        <v>528</v>
      </c>
      <c r="AD456" s="24" t="s">
        <v>528</v>
      </c>
      <c r="AE456" s="24" t="s">
        <v>529</v>
      </c>
      <c r="AF456" s="24">
        <v>2</v>
      </c>
      <c r="AG456" s="24" t="s">
        <v>529</v>
      </c>
      <c r="AH456" s="24">
        <v>1</v>
      </c>
      <c r="AI456" s="24" t="s">
        <v>529</v>
      </c>
      <c r="AJ456" s="24">
        <v>1</v>
      </c>
      <c r="AK456" s="24" t="s">
        <v>530</v>
      </c>
      <c r="AL456" s="24"/>
    </row>
    <row r="457" spans="1:38" ht="31.2" x14ac:dyDescent="0.3">
      <c r="A457" s="53">
        <v>450</v>
      </c>
      <c r="B457" s="24" t="s">
        <v>544</v>
      </c>
      <c r="C457" s="24" t="s">
        <v>521</v>
      </c>
      <c r="D457" s="82" t="s">
        <v>219</v>
      </c>
      <c r="E457" s="24" t="s">
        <v>531</v>
      </c>
      <c r="F457" s="24" t="s">
        <v>200</v>
      </c>
      <c r="G457" s="24"/>
      <c r="H457" s="24" t="s">
        <v>532</v>
      </c>
      <c r="I457" s="30" t="s">
        <v>525</v>
      </c>
      <c r="J457" s="24"/>
      <c r="K457" s="24" t="s">
        <v>199</v>
      </c>
      <c r="L457" s="24" t="s">
        <v>199</v>
      </c>
      <c r="M457" s="24">
        <v>1911</v>
      </c>
      <c r="N457" s="24" t="s">
        <v>527</v>
      </c>
      <c r="O457" s="24">
        <v>1</v>
      </c>
      <c r="P457" s="24">
        <v>0</v>
      </c>
      <c r="Q457" s="24">
        <v>6</v>
      </c>
      <c r="R457" s="24">
        <v>43</v>
      </c>
      <c r="S457" s="24">
        <v>8567.5</v>
      </c>
      <c r="T457" s="24">
        <v>8567.5</v>
      </c>
      <c r="U457" s="24">
        <v>7286.1</v>
      </c>
      <c r="V457" s="24">
        <v>1281.4000000000001</v>
      </c>
      <c r="W457" s="24" t="s">
        <v>528</v>
      </c>
      <c r="X457" s="24" t="s">
        <v>528</v>
      </c>
      <c r="Y457" s="24" t="s">
        <v>529</v>
      </c>
      <c r="Z457" s="102" t="s">
        <v>528</v>
      </c>
      <c r="AA457" s="24" t="s">
        <v>528</v>
      </c>
      <c r="AB457" s="24" t="s">
        <v>528</v>
      </c>
      <c r="AC457" s="24" t="s">
        <v>528</v>
      </c>
      <c r="AD457" s="24" t="s">
        <v>528</v>
      </c>
      <c r="AE457" s="24" t="s">
        <v>529</v>
      </c>
      <c r="AF457" s="24">
        <v>4</v>
      </c>
      <c r="AG457" s="24" t="s">
        <v>529</v>
      </c>
      <c r="AH457" s="24">
        <v>1</v>
      </c>
      <c r="AI457" s="24" t="s">
        <v>529</v>
      </c>
      <c r="AJ457" s="24">
        <v>1</v>
      </c>
      <c r="AK457" s="24" t="s">
        <v>530</v>
      </c>
      <c r="AL457" s="24"/>
    </row>
    <row r="458" spans="1:38" ht="31.2" x14ac:dyDescent="0.3">
      <c r="A458" s="53">
        <v>451</v>
      </c>
      <c r="B458" s="24" t="s">
        <v>544</v>
      </c>
      <c r="C458" s="24" t="s">
        <v>521</v>
      </c>
      <c r="D458" s="82" t="s">
        <v>293</v>
      </c>
      <c r="E458" s="24" t="s">
        <v>533</v>
      </c>
      <c r="F458" s="24" t="s">
        <v>205</v>
      </c>
      <c r="G458" s="24"/>
      <c r="H458" s="24" t="s">
        <v>534</v>
      </c>
      <c r="I458" s="30" t="s">
        <v>525</v>
      </c>
      <c r="J458" s="24" t="s">
        <v>535</v>
      </c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102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</row>
    <row r="459" spans="1:38" ht="31.2" x14ac:dyDescent="0.3">
      <c r="A459" s="53">
        <v>452</v>
      </c>
      <c r="B459" s="24" t="s">
        <v>544</v>
      </c>
      <c r="C459" s="24" t="s">
        <v>521</v>
      </c>
      <c r="D459" s="82" t="s">
        <v>293</v>
      </c>
      <c r="E459" s="24" t="s">
        <v>536</v>
      </c>
      <c r="F459" s="24" t="s">
        <v>200</v>
      </c>
      <c r="G459" s="24"/>
      <c r="H459" s="24" t="s">
        <v>537</v>
      </c>
      <c r="I459" s="30" t="s">
        <v>525</v>
      </c>
      <c r="J459" s="24" t="s">
        <v>535</v>
      </c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102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</row>
    <row r="460" spans="1:38" ht="31.2" x14ac:dyDescent="0.3">
      <c r="A460" s="53">
        <v>453</v>
      </c>
      <c r="B460" s="24" t="s">
        <v>544</v>
      </c>
      <c r="C460" s="24" t="s">
        <v>521</v>
      </c>
      <c r="D460" s="82" t="s">
        <v>538</v>
      </c>
      <c r="E460" s="24" t="s">
        <v>539</v>
      </c>
      <c r="F460" s="24" t="s">
        <v>200</v>
      </c>
      <c r="G460" s="24"/>
      <c r="H460" s="24" t="s">
        <v>540</v>
      </c>
      <c r="I460" s="30" t="s">
        <v>525</v>
      </c>
      <c r="J460" s="24" t="s">
        <v>535</v>
      </c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102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</row>
    <row r="461" spans="1:38" ht="31.2" x14ac:dyDescent="0.3">
      <c r="A461" s="53">
        <v>454</v>
      </c>
      <c r="B461" s="24" t="s">
        <v>544</v>
      </c>
      <c r="C461" s="24" t="s">
        <v>521</v>
      </c>
      <c r="D461" s="82" t="s">
        <v>541</v>
      </c>
      <c r="E461" s="24" t="s">
        <v>170</v>
      </c>
      <c r="F461" s="24" t="s">
        <v>200</v>
      </c>
      <c r="G461" s="24"/>
      <c r="H461" s="24" t="s">
        <v>542</v>
      </c>
      <c r="I461" s="30" t="s">
        <v>525</v>
      </c>
      <c r="J461" s="24"/>
      <c r="K461" s="24" t="s">
        <v>199</v>
      </c>
      <c r="L461" s="24" t="s">
        <v>199</v>
      </c>
      <c r="M461" s="24">
        <v>1883</v>
      </c>
      <c r="N461" s="24" t="s">
        <v>527</v>
      </c>
      <c r="O461" s="24">
        <v>6</v>
      </c>
      <c r="P461" s="24">
        <v>0</v>
      </c>
      <c r="Q461" s="24">
        <v>2</v>
      </c>
      <c r="R461" s="24">
        <v>35</v>
      </c>
      <c r="S461" s="24">
        <v>3664</v>
      </c>
      <c r="T461" s="24">
        <v>3664</v>
      </c>
      <c r="U461" s="24">
        <v>3444.6</v>
      </c>
      <c r="V461" s="24">
        <v>219.4</v>
      </c>
      <c r="W461" s="24" t="s">
        <v>528</v>
      </c>
      <c r="X461" s="24" t="s">
        <v>528</v>
      </c>
      <c r="Y461" s="24" t="s">
        <v>529</v>
      </c>
      <c r="Z461" s="102" t="s">
        <v>528</v>
      </c>
      <c r="AA461" s="24" t="s">
        <v>528</v>
      </c>
      <c r="AB461" s="24" t="s">
        <v>528</v>
      </c>
      <c r="AC461" s="24" t="s">
        <v>528</v>
      </c>
      <c r="AD461" s="24" t="s">
        <v>528</v>
      </c>
      <c r="AE461" s="24" t="s">
        <v>529</v>
      </c>
      <c r="AF461" s="24">
        <v>2</v>
      </c>
      <c r="AG461" s="24" t="s">
        <v>529</v>
      </c>
      <c r="AH461" s="24">
        <v>1</v>
      </c>
      <c r="AI461" s="24" t="s">
        <v>529</v>
      </c>
      <c r="AJ461" s="24">
        <v>1</v>
      </c>
      <c r="AK461" s="24" t="s">
        <v>530</v>
      </c>
      <c r="AL461" s="24"/>
    </row>
    <row r="462" spans="1:38" ht="31.2" x14ac:dyDescent="0.3">
      <c r="A462" s="53">
        <v>455</v>
      </c>
      <c r="B462" s="24" t="s">
        <v>544</v>
      </c>
      <c r="C462" s="24" t="s">
        <v>521</v>
      </c>
      <c r="D462" s="82" t="s">
        <v>541</v>
      </c>
      <c r="E462" s="24" t="s">
        <v>536</v>
      </c>
      <c r="F462" s="24" t="s">
        <v>200</v>
      </c>
      <c r="G462" s="24"/>
      <c r="H462" s="24" t="s">
        <v>543</v>
      </c>
      <c r="I462" s="30" t="s">
        <v>525</v>
      </c>
      <c r="J462" s="24" t="s">
        <v>535</v>
      </c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102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</row>
    <row r="463" spans="1:38" ht="31.2" x14ac:dyDescent="0.3">
      <c r="A463" s="53">
        <v>456</v>
      </c>
      <c r="B463" s="24" t="s">
        <v>544</v>
      </c>
      <c r="C463" s="24" t="s">
        <v>521</v>
      </c>
      <c r="D463" s="82" t="s">
        <v>541</v>
      </c>
      <c r="E463" s="24" t="s">
        <v>1127</v>
      </c>
      <c r="F463" s="24" t="s">
        <v>200</v>
      </c>
      <c r="G463" s="24"/>
      <c r="H463" s="24" t="s">
        <v>1128</v>
      </c>
      <c r="I463" s="30" t="s">
        <v>525</v>
      </c>
      <c r="J463" s="24"/>
      <c r="K463" s="24" t="s">
        <v>199</v>
      </c>
      <c r="L463" s="24" t="s">
        <v>199</v>
      </c>
      <c r="M463" s="24">
        <v>1916</v>
      </c>
      <c r="N463" s="24" t="s">
        <v>527</v>
      </c>
      <c r="O463" s="24">
        <v>7</v>
      </c>
      <c r="P463" s="24">
        <v>0</v>
      </c>
      <c r="Q463" s="24">
        <v>3</v>
      </c>
      <c r="R463" s="24">
        <v>65</v>
      </c>
      <c r="S463" s="24">
        <v>5505.39</v>
      </c>
      <c r="T463" s="24">
        <v>5505.39</v>
      </c>
      <c r="U463" s="24">
        <v>4413.3900000000003</v>
      </c>
      <c r="V463" s="24">
        <v>1092</v>
      </c>
      <c r="W463" s="24" t="s">
        <v>528</v>
      </c>
      <c r="X463" s="24" t="s">
        <v>528</v>
      </c>
      <c r="Y463" s="24" t="s">
        <v>529</v>
      </c>
      <c r="Z463" s="102" t="s">
        <v>528</v>
      </c>
      <c r="AA463" s="24" t="s">
        <v>528</v>
      </c>
      <c r="AB463" s="24" t="s">
        <v>528</v>
      </c>
      <c r="AC463" s="24" t="s">
        <v>528</v>
      </c>
      <c r="AD463" s="24" t="s">
        <v>528</v>
      </c>
      <c r="AE463" s="24" t="s">
        <v>529</v>
      </c>
      <c r="AF463" s="24">
        <v>3</v>
      </c>
      <c r="AG463" s="24" t="s">
        <v>529</v>
      </c>
      <c r="AH463" s="24">
        <v>1</v>
      </c>
      <c r="AI463" s="24" t="s">
        <v>529</v>
      </c>
      <c r="AJ463" s="24">
        <v>1</v>
      </c>
      <c r="AK463" s="24" t="s">
        <v>530</v>
      </c>
      <c r="AL463" s="24"/>
    </row>
    <row r="464" spans="1:38" ht="31.2" x14ac:dyDescent="0.3">
      <c r="A464" s="53">
        <v>457</v>
      </c>
      <c r="B464" s="24" t="s">
        <v>544</v>
      </c>
      <c r="C464" s="24" t="s">
        <v>521</v>
      </c>
      <c r="D464" s="82" t="s">
        <v>541</v>
      </c>
      <c r="E464" s="24" t="s">
        <v>1129</v>
      </c>
      <c r="F464" s="24" t="s">
        <v>200</v>
      </c>
      <c r="G464" s="24"/>
      <c r="H464" s="24" t="s">
        <v>1130</v>
      </c>
      <c r="I464" s="30" t="s">
        <v>525</v>
      </c>
      <c r="J464" s="24"/>
      <c r="K464" s="24" t="s">
        <v>199</v>
      </c>
      <c r="L464" s="24" t="s">
        <v>199</v>
      </c>
      <c r="M464" s="24">
        <v>1883</v>
      </c>
      <c r="N464" s="24" t="s">
        <v>527</v>
      </c>
      <c r="O464" s="24">
        <v>4</v>
      </c>
      <c r="P464" s="24">
        <v>0</v>
      </c>
      <c r="Q464" s="24">
        <v>1</v>
      </c>
      <c r="R464" s="24">
        <v>20</v>
      </c>
      <c r="S464" s="24">
        <v>1540.8</v>
      </c>
      <c r="T464" s="24">
        <v>1540.8</v>
      </c>
      <c r="U464" s="24">
        <v>1540.8</v>
      </c>
      <c r="V464" s="24">
        <v>0</v>
      </c>
      <c r="W464" s="24" t="s">
        <v>528</v>
      </c>
      <c r="X464" s="24" t="s">
        <v>528</v>
      </c>
      <c r="Y464" s="24" t="s">
        <v>529</v>
      </c>
      <c r="Z464" s="102" t="s">
        <v>528</v>
      </c>
      <c r="AA464" s="24" t="s">
        <v>528</v>
      </c>
      <c r="AB464" s="24" t="s">
        <v>528</v>
      </c>
      <c r="AC464" s="24" t="s">
        <v>528</v>
      </c>
      <c r="AD464" s="24" t="s">
        <v>528</v>
      </c>
      <c r="AE464" s="24" t="s">
        <v>529</v>
      </c>
      <c r="AF464" s="24">
        <v>1</v>
      </c>
      <c r="AG464" s="24" t="s">
        <v>529</v>
      </c>
      <c r="AH464" s="24">
        <v>1</v>
      </c>
      <c r="AI464" s="24" t="s">
        <v>529</v>
      </c>
      <c r="AJ464" s="24" t="s">
        <v>529</v>
      </c>
      <c r="AK464" s="24" t="s">
        <v>530</v>
      </c>
      <c r="AL464" s="24"/>
    </row>
    <row r="465" spans="1:38" ht="31.2" x14ac:dyDescent="0.3">
      <c r="A465" s="53">
        <v>458</v>
      </c>
      <c r="B465" s="24" t="s">
        <v>544</v>
      </c>
      <c r="C465" s="24" t="s">
        <v>521</v>
      </c>
      <c r="D465" s="82" t="s">
        <v>1131</v>
      </c>
      <c r="E465" s="24" t="s">
        <v>1132</v>
      </c>
      <c r="F465" s="24" t="s">
        <v>200</v>
      </c>
      <c r="G465" s="24"/>
      <c r="H465" s="24" t="s">
        <v>1133</v>
      </c>
      <c r="I465" s="30" t="s">
        <v>525</v>
      </c>
      <c r="J465" s="24"/>
      <c r="K465" s="24" t="s">
        <v>199</v>
      </c>
      <c r="L465" s="24" t="s">
        <v>199</v>
      </c>
      <c r="M465" s="24">
        <v>1892</v>
      </c>
      <c r="N465" s="24" t="s">
        <v>527</v>
      </c>
      <c r="O465" s="24">
        <v>4</v>
      </c>
      <c r="P465" s="24">
        <v>0</v>
      </c>
      <c r="Q465" s="24">
        <v>1</v>
      </c>
      <c r="R465" s="24">
        <v>16</v>
      </c>
      <c r="S465" s="24">
        <v>1112.0999999999999</v>
      </c>
      <c r="T465" s="24">
        <v>1112.0999999999999</v>
      </c>
      <c r="U465" s="24">
        <v>1112.0999999999999</v>
      </c>
      <c r="V465" s="24">
        <v>0</v>
      </c>
      <c r="W465" s="24" t="s">
        <v>528</v>
      </c>
      <c r="X465" s="24" t="s">
        <v>528</v>
      </c>
      <c r="Y465" s="24" t="s">
        <v>529</v>
      </c>
      <c r="Z465" s="102" t="s">
        <v>528</v>
      </c>
      <c r="AA465" s="24" t="s">
        <v>528</v>
      </c>
      <c r="AB465" s="24" t="s">
        <v>528</v>
      </c>
      <c r="AC465" s="24" t="s">
        <v>528</v>
      </c>
      <c r="AD465" s="24" t="s">
        <v>528</v>
      </c>
      <c r="AE465" s="24" t="s">
        <v>529</v>
      </c>
      <c r="AF465" s="24">
        <v>0</v>
      </c>
      <c r="AG465" s="24" t="s">
        <v>529</v>
      </c>
      <c r="AH465" s="24">
        <v>1</v>
      </c>
      <c r="AI465" s="24" t="s">
        <v>529</v>
      </c>
      <c r="AJ465" s="24">
        <v>1</v>
      </c>
      <c r="AK465" s="24" t="s">
        <v>530</v>
      </c>
      <c r="AL465" s="24"/>
    </row>
    <row r="466" spans="1:38" ht="31.2" x14ac:dyDescent="0.3">
      <c r="A466" s="53">
        <v>459</v>
      </c>
      <c r="B466" s="24" t="s">
        <v>544</v>
      </c>
      <c r="C466" s="24" t="s">
        <v>521</v>
      </c>
      <c r="D466" s="82" t="s">
        <v>478</v>
      </c>
      <c r="E466" s="24" t="s">
        <v>1134</v>
      </c>
      <c r="F466" s="24" t="s">
        <v>200</v>
      </c>
      <c r="G466" s="24"/>
      <c r="H466" s="24" t="s">
        <v>1135</v>
      </c>
      <c r="I466" s="30" t="s">
        <v>525</v>
      </c>
      <c r="J466" s="24"/>
      <c r="K466" s="24" t="s">
        <v>199</v>
      </c>
      <c r="L466" s="24" t="s">
        <v>199</v>
      </c>
      <c r="M466" s="24">
        <v>1902</v>
      </c>
      <c r="N466" s="24" t="s">
        <v>527</v>
      </c>
      <c r="O466" s="24">
        <v>5</v>
      </c>
      <c r="P466" s="24">
        <v>0</v>
      </c>
      <c r="Q466" s="24">
        <v>3</v>
      </c>
      <c r="R466" s="24">
        <v>35</v>
      </c>
      <c r="S466" s="24">
        <v>3492.77</v>
      </c>
      <c r="T466" s="24">
        <v>3492.77</v>
      </c>
      <c r="U466" s="24">
        <v>2757.77</v>
      </c>
      <c r="V466" s="24">
        <v>735</v>
      </c>
      <c r="W466" s="24" t="s">
        <v>528</v>
      </c>
      <c r="X466" s="24" t="s">
        <v>528</v>
      </c>
      <c r="Y466" s="24" t="s">
        <v>529</v>
      </c>
      <c r="Z466" s="102" t="s">
        <v>528</v>
      </c>
      <c r="AA466" s="24" t="s">
        <v>528</v>
      </c>
      <c r="AB466" s="24" t="s">
        <v>528</v>
      </c>
      <c r="AC466" s="24" t="s">
        <v>528</v>
      </c>
      <c r="AD466" s="24" t="s">
        <v>528</v>
      </c>
      <c r="AE466" s="24" t="s">
        <v>529</v>
      </c>
      <c r="AF466" s="24">
        <v>0</v>
      </c>
      <c r="AG466" s="24" t="s">
        <v>529</v>
      </c>
      <c r="AH466" s="24">
        <v>1</v>
      </c>
      <c r="AI466" s="24" t="s">
        <v>529</v>
      </c>
      <c r="AJ466" s="24">
        <v>1</v>
      </c>
      <c r="AK466" s="24" t="s">
        <v>530</v>
      </c>
      <c r="AL466" s="24"/>
    </row>
    <row r="467" spans="1:38" ht="31.2" x14ac:dyDescent="0.3">
      <c r="A467" s="53">
        <v>460</v>
      </c>
      <c r="B467" s="24" t="s">
        <v>544</v>
      </c>
      <c r="C467" s="24" t="s">
        <v>521</v>
      </c>
      <c r="D467" s="82" t="s">
        <v>293</v>
      </c>
      <c r="E467" s="24" t="s">
        <v>1136</v>
      </c>
      <c r="F467" s="24" t="s">
        <v>200</v>
      </c>
      <c r="G467" s="24"/>
      <c r="H467" s="24" t="s">
        <v>1137</v>
      </c>
      <c r="I467" s="30" t="s">
        <v>525</v>
      </c>
      <c r="J467" s="24"/>
      <c r="K467" s="24" t="s">
        <v>1138</v>
      </c>
      <c r="L467" s="24" t="s">
        <v>199</v>
      </c>
      <c r="M467" s="24">
        <v>1963</v>
      </c>
      <c r="N467" s="24" t="s">
        <v>527</v>
      </c>
      <c r="O467" s="24">
        <v>5</v>
      </c>
      <c r="P467" s="24">
        <v>0</v>
      </c>
      <c r="Q467" s="24">
        <v>5</v>
      </c>
      <c r="R467" s="24">
        <v>80</v>
      </c>
      <c r="S467" s="24">
        <v>5836.7</v>
      </c>
      <c r="T467" s="24">
        <v>5836.7</v>
      </c>
      <c r="U467" s="24">
        <v>4660.1000000000004</v>
      </c>
      <c r="V467" s="24">
        <v>1176.5999999999999</v>
      </c>
      <c r="W467" s="24" t="s">
        <v>528</v>
      </c>
      <c r="X467" s="24" t="s">
        <v>528</v>
      </c>
      <c r="Y467" s="24" t="s">
        <v>529</v>
      </c>
      <c r="Z467" s="102" t="s">
        <v>528</v>
      </c>
      <c r="AA467" s="24" t="s">
        <v>528</v>
      </c>
      <c r="AB467" s="24" t="s">
        <v>528</v>
      </c>
      <c r="AC467" s="24" t="s">
        <v>528</v>
      </c>
      <c r="AD467" s="24" t="s">
        <v>528</v>
      </c>
      <c r="AE467" s="24" t="s">
        <v>529</v>
      </c>
      <c r="AF467" s="24">
        <v>0</v>
      </c>
      <c r="AG467" s="24" t="s">
        <v>529</v>
      </c>
      <c r="AH467" s="24">
        <v>1</v>
      </c>
      <c r="AI467" s="24" t="s">
        <v>529</v>
      </c>
      <c r="AJ467" s="24">
        <v>1</v>
      </c>
      <c r="AK467" s="24" t="s">
        <v>530</v>
      </c>
      <c r="AL467" s="24"/>
    </row>
    <row r="468" spans="1:38" ht="31.2" x14ac:dyDescent="0.3">
      <c r="A468" s="53">
        <v>461</v>
      </c>
      <c r="B468" s="24" t="s">
        <v>544</v>
      </c>
      <c r="C468" s="24" t="s">
        <v>521</v>
      </c>
      <c r="D468" s="82" t="s">
        <v>463</v>
      </c>
      <c r="E468" s="24" t="s">
        <v>173</v>
      </c>
      <c r="F468" s="24" t="s">
        <v>200</v>
      </c>
      <c r="G468" s="24"/>
      <c r="H468" s="24" t="s">
        <v>1139</v>
      </c>
      <c r="I468" s="30" t="s">
        <v>525</v>
      </c>
      <c r="J468" s="24"/>
      <c r="K468" s="24" t="s">
        <v>1138</v>
      </c>
      <c r="L468" s="24" t="s">
        <v>199</v>
      </c>
      <c r="M468" s="24">
        <v>1969</v>
      </c>
      <c r="N468" s="24" t="s">
        <v>527</v>
      </c>
      <c r="O468" s="24">
        <v>8</v>
      </c>
      <c r="P468" s="24">
        <v>0</v>
      </c>
      <c r="Q468" s="24">
        <v>1</v>
      </c>
      <c r="R468" s="24">
        <v>35</v>
      </c>
      <c r="S468" s="24">
        <v>2228.25</v>
      </c>
      <c r="T468" s="24">
        <v>2228.25</v>
      </c>
      <c r="U468" s="24">
        <v>1944.25</v>
      </c>
      <c r="V468" s="24">
        <v>284</v>
      </c>
      <c r="W468" s="24" t="s">
        <v>528</v>
      </c>
      <c r="X468" s="24" t="s">
        <v>528</v>
      </c>
      <c r="Y468" s="24" t="s">
        <v>529</v>
      </c>
      <c r="Z468" s="102" t="s">
        <v>528</v>
      </c>
      <c r="AA468" s="24" t="s">
        <v>528</v>
      </c>
      <c r="AB468" s="24" t="s">
        <v>528</v>
      </c>
      <c r="AC468" s="24" t="s">
        <v>528</v>
      </c>
      <c r="AD468" s="24" t="s">
        <v>528</v>
      </c>
      <c r="AE468" s="24" t="s">
        <v>529</v>
      </c>
      <c r="AF468" s="24">
        <v>1</v>
      </c>
      <c r="AG468" s="24" t="s">
        <v>529</v>
      </c>
      <c r="AH468" s="24">
        <v>1</v>
      </c>
      <c r="AI468" s="24" t="s">
        <v>529</v>
      </c>
      <c r="AJ468" s="24" t="s">
        <v>529</v>
      </c>
      <c r="AK468" s="24" t="s">
        <v>530</v>
      </c>
      <c r="AL468" s="24"/>
    </row>
    <row r="469" spans="1:38" ht="31.2" x14ac:dyDescent="0.3">
      <c r="A469" s="53">
        <v>462</v>
      </c>
      <c r="B469" s="24" t="s">
        <v>544</v>
      </c>
      <c r="C469" s="24" t="s">
        <v>521</v>
      </c>
      <c r="D469" s="82" t="s">
        <v>463</v>
      </c>
      <c r="E469" s="24" t="s">
        <v>1140</v>
      </c>
      <c r="F469" s="24" t="s">
        <v>206</v>
      </c>
      <c r="G469" s="24"/>
      <c r="H469" s="24" t="s">
        <v>1141</v>
      </c>
      <c r="I469" s="30" t="s">
        <v>525</v>
      </c>
      <c r="J469" s="24"/>
      <c r="K469" s="24" t="s">
        <v>199</v>
      </c>
      <c r="L469" s="24" t="s">
        <v>199</v>
      </c>
      <c r="M469" s="24">
        <v>1907</v>
      </c>
      <c r="N469" s="24" t="s">
        <v>527</v>
      </c>
      <c r="O469" s="24">
        <v>5</v>
      </c>
      <c r="P469" s="24">
        <v>0</v>
      </c>
      <c r="Q469" s="24">
        <v>1</v>
      </c>
      <c r="R469" s="24">
        <v>10</v>
      </c>
      <c r="S469" s="24">
        <v>582.70000000000005</v>
      </c>
      <c r="T469" s="24">
        <v>582.70000000000005</v>
      </c>
      <c r="U469" s="24">
        <v>582.70000000000005</v>
      </c>
      <c r="V469" s="24">
        <v>0</v>
      </c>
      <c r="W469" s="24" t="s">
        <v>528</v>
      </c>
      <c r="X469" s="24" t="s">
        <v>528</v>
      </c>
      <c r="Y469" s="24" t="s">
        <v>529</v>
      </c>
      <c r="Z469" s="102" t="s">
        <v>528</v>
      </c>
      <c r="AA469" s="24" t="s">
        <v>528</v>
      </c>
      <c r="AB469" s="24" t="s">
        <v>528</v>
      </c>
      <c r="AC469" s="24" t="s">
        <v>528</v>
      </c>
      <c r="AD469" s="24" t="s">
        <v>528</v>
      </c>
      <c r="AE469" s="24" t="s">
        <v>529</v>
      </c>
      <c r="AF469" s="24">
        <v>0</v>
      </c>
      <c r="AG469" s="24" t="s">
        <v>529</v>
      </c>
      <c r="AH469" s="24">
        <v>1</v>
      </c>
      <c r="AI469" s="24" t="s">
        <v>529</v>
      </c>
      <c r="AJ469" s="24" t="s">
        <v>529</v>
      </c>
      <c r="AK469" s="24" t="s">
        <v>530</v>
      </c>
      <c r="AL469" s="24"/>
    </row>
    <row r="470" spans="1:38" ht="31.2" x14ac:dyDescent="0.3">
      <c r="A470" s="53">
        <v>463</v>
      </c>
      <c r="B470" s="24" t="s">
        <v>544</v>
      </c>
      <c r="C470" s="24" t="s">
        <v>521</v>
      </c>
      <c r="D470" s="82" t="s">
        <v>463</v>
      </c>
      <c r="E470" s="24" t="s">
        <v>1140</v>
      </c>
      <c r="F470" s="24" t="s">
        <v>205</v>
      </c>
      <c r="G470" s="24"/>
      <c r="H470" s="24" t="s">
        <v>1142</v>
      </c>
      <c r="I470" s="30" t="s">
        <v>525</v>
      </c>
      <c r="J470" s="24"/>
      <c r="K470" s="24" t="s">
        <v>199</v>
      </c>
      <c r="L470" s="24" t="s">
        <v>199</v>
      </c>
      <c r="M470" s="24">
        <v>1907</v>
      </c>
      <c r="N470" s="24" t="s">
        <v>527</v>
      </c>
      <c r="O470" s="24">
        <v>5</v>
      </c>
      <c r="P470" s="24">
        <v>0</v>
      </c>
      <c r="Q470" s="24">
        <v>1</v>
      </c>
      <c r="R470" s="24">
        <v>17</v>
      </c>
      <c r="S470" s="24">
        <v>1274.8</v>
      </c>
      <c r="T470" s="24">
        <v>1274.8</v>
      </c>
      <c r="U470" s="24">
        <v>1274.8</v>
      </c>
      <c r="V470" s="24">
        <v>0</v>
      </c>
      <c r="W470" s="24" t="s">
        <v>528</v>
      </c>
      <c r="X470" s="24" t="s">
        <v>528</v>
      </c>
      <c r="Y470" s="24" t="s">
        <v>529</v>
      </c>
      <c r="Z470" s="102" t="s">
        <v>528</v>
      </c>
      <c r="AA470" s="24" t="s">
        <v>528</v>
      </c>
      <c r="AB470" s="24" t="s">
        <v>528</v>
      </c>
      <c r="AC470" s="24" t="s">
        <v>528</v>
      </c>
      <c r="AD470" s="24" t="s">
        <v>528</v>
      </c>
      <c r="AE470" s="24" t="s">
        <v>529</v>
      </c>
      <c r="AF470" s="24">
        <v>1</v>
      </c>
      <c r="AG470" s="24" t="s">
        <v>529</v>
      </c>
      <c r="AH470" s="24" t="s">
        <v>529</v>
      </c>
      <c r="AI470" s="24" t="s">
        <v>529</v>
      </c>
      <c r="AJ470" s="24" t="s">
        <v>529</v>
      </c>
      <c r="AK470" s="24" t="s">
        <v>530</v>
      </c>
      <c r="AL470" s="24"/>
    </row>
    <row r="471" spans="1:38" ht="31.2" x14ac:dyDescent="0.3">
      <c r="A471" s="53">
        <v>464</v>
      </c>
      <c r="B471" s="24" t="s">
        <v>544</v>
      </c>
      <c r="C471" s="24" t="s">
        <v>521</v>
      </c>
      <c r="D471" s="82" t="s">
        <v>463</v>
      </c>
      <c r="E471" s="24" t="s">
        <v>1140</v>
      </c>
      <c r="F471" s="24" t="s">
        <v>200</v>
      </c>
      <c r="G471" s="24"/>
      <c r="H471" s="24" t="s">
        <v>1143</v>
      </c>
      <c r="I471" s="30" t="s">
        <v>525</v>
      </c>
      <c r="J471" s="24"/>
      <c r="K471" s="24" t="s">
        <v>199</v>
      </c>
      <c r="L471" s="24" t="s">
        <v>199</v>
      </c>
      <c r="M471" s="24">
        <v>1913</v>
      </c>
      <c r="N471" s="24" t="s">
        <v>527</v>
      </c>
      <c r="O471" s="24">
        <v>6</v>
      </c>
      <c r="P471" s="24">
        <v>0</v>
      </c>
      <c r="Q471" s="24">
        <v>1</v>
      </c>
      <c r="R471" s="24">
        <v>12</v>
      </c>
      <c r="S471" s="24">
        <v>2143.66</v>
      </c>
      <c r="T471" s="24">
        <v>2143.66</v>
      </c>
      <c r="U471" s="24">
        <v>1765.66</v>
      </c>
      <c r="V471" s="24">
        <v>378</v>
      </c>
      <c r="W471" s="24" t="s">
        <v>528</v>
      </c>
      <c r="X471" s="24" t="s">
        <v>528</v>
      </c>
      <c r="Y471" s="24" t="s">
        <v>529</v>
      </c>
      <c r="Z471" s="102" t="s">
        <v>528</v>
      </c>
      <c r="AA471" s="24" t="s">
        <v>528</v>
      </c>
      <c r="AB471" s="24" t="s">
        <v>528</v>
      </c>
      <c r="AC471" s="24" t="s">
        <v>528</v>
      </c>
      <c r="AD471" s="24" t="s">
        <v>528</v>
      </c>
      <c r="AE471" s="24" t="s">
        <v>529</v>
      </c>
      <c r="AF471" s="24">
        <v>2</v>
      </c>
      <c r="AG471" s="24" t="s">
        <v>529</v>
      </c>
      <c r="AH471" s="24" t="s">
        <v>529</v>
      </c>
      <c r="AI471" s="24" t="s">
        <v>529</v>
      </c>
      <c r="AJ471" s="24" t="s">
        <v>529</v>
      </c>
      <c r="AK471" s="24" t="s">
        <v>530</v>
      </c>
      <c r="AL471" s="24"/>
    </row>
    <row r="472" spans="1:38" ht="31.2" x14ac:dyDescent="0.3">
      <c r="A472" s="53">
        <v>465</v>
      </c>
      <c r="B472" s="24" t="s">
        <v>544</v>
      </c>
      <c r="C472" s="24" t="s">
        <v>521</v>
      </c>
      <c r="D472" s="82" t="s">
        <v>293</v>
      </c>
      <c r="E472" s="24" t="s">
        <v>1129</v>
      </c>
      <c r="F472" s="24" t="s">
        <v>200</v>
      </c>
      <c r="G472" s="24"/>
      <c r="H472" s="24" t="s">
        <v>1144</v>
      </c>
      <c r="I472" s="30" t="s">
        <v>525</v>
      </c>
      <c r="J472" s="24"/>
      <c r="K472" s="24" t="s">
        <v>199</v>
      </c>
      <c r="L472" s="24" t="s">
        <v>199</v>
      </c>
      <c r="M472" s="24">
        <v>1902</v>
      </c>
      <c r="N472" s="24" t="s">
        <v>527</v>
      </c>
      <c r="O472" s="24">
        <v>5</v>
      </c>
      <c r="P472" s="24">
        <v>0</v>
      </c>
      <c r="Q472" s="24">
        <v>3</v>
      </c>
      <c r="R472" s="24">
        <v>15</v>
      </c>
      <c r="S472" s="24">
        <v>2193.1999999999998</v>
      </c>
      <c r="T472" s="24">
        <v>2193.1999999999998</v>
      </c>
      <c r="U472" s="24">
        <v>1499.4</v>
      </c>
      <c r="V472" s="24">
        <v>693.8</v>
      </c>
      <c r="W472" s="24" t="s">
        <v>528</v>
      </c>
      <c r="X472" s="24" t="s">
        <v>528</v>
      </c>
      <c r="Y472" s="24" t="s">
        <v>529</v>
      </c>
      <c r="Z472" s="102" t="s">
        <v>528</v>
      </c>
      <c r="AA472" s="24" t="s">
        <v>528</v>
      </c>
      <c r="AB472" s="24" t="s">
        <v>528</v>
      </c>
      <c r="AC472" s="24" t="s">
        <v>528</v>
      </c>
      <c r="AD472" s="24" t="s">
        <v>528</v>
      </c>
      <c r="AE472" s="24" t="s">
        <v>529</v>
      </c>
      <c r="AF472" s="24">
        <v>0</v>
      </c>
      <c r="AG472" s="24" t="s">
        <v>529</v>
      </c>
      <c r="AH472" s="24">
        <v>1</v>
      </c>
      <c r="AI472" s="24" t="s">
        <v>529</v>
      </c>
      <c r="AJ472" s="24" t="s">
        <v>529</v>
      </c>
      <c r="AK472" s="24" t="s">
        <v>530</v>
      </c>
      <c r="AL472" s="24"/>
    </row>
    <row r="473" spans="1:38" ht="31.2" x14ac:dyDescent="0.3">
      <c r="A473" s="53">
        <v>466</v>
      </c>
      <c r="B473" s="24" t="s">
        <v>544</v>
      </c>
      <c r="C473" s="24" t="s">
        <v>521</v>
      </c>
      <c r="D473" s="82" t="s">
        <v>219</v>
      </c>
      <c r="E473" s="24" t="s">
        <v>169</v>
      </c>
      <c r="F473" s="24" t="s">
        <v>200</v>
      </c>
      <c r="G473" s="24"/>
      <c r="H473" s="24" t="s">
        <v>1145</v>
      </c>
      <c r="I473" s="30" t="s">
        <v>525</v>
      </c>
      <c r="J473" s="24"/>
      <c r="K473" s="24" t="s">
        <v>199</v>
      </c>
      <c r="L473" s="24" t="s">
        <v>199</v>
      </c>
      <c r="M473" s="24">
        <v>1898</v>
      </c>
      <c r="N473" s="24" t="s">
        <v>527</v>
      </c>
      <c r="O473" s="24">
        <v>5</v>
      </c>
      <c r="P473" s="24">
        <v>0</v>
      </c>
      <c r="Q473" s="24">
        <v>2</v>
      </c>
      <c r="R473" s="24">
        <v>30</v>
      </c>
      <c r="S473" s="24">
        <v>2432.4</v>
      </c>
      <c r="T473" s="24">
        <v>2432.4</v>
      </c>
      <c r="U473" s="24">
        <v>2158.5</v>
      </c>
      <c r="V473" s="24">
        <v>273.89999999999998</v>
      </c>
      <c r="W473" s="24" t="s">
        <v>528</v>
      </c>
      <c r="X473" s="24" t="s">
        <v>528</v>
      </c>
      <c r="Y473" s="24" t="s">
        <v>529</v>
      </c>
      <c r="Z473" s="102" t="s">
        <v>528</v>
      </c>
      <c r="AA473" s="24" t="s">
        <v>528</v>
      </c>
      <c r="AB473" s="24" t="s">
        <v>528</v>
      </c>
      <c r="AC473" s="24" t="s">
        <v>528</v>
      </c>
      <c r="AD473" s="24" t="s">
        <v>528</v>
      </c>
      <c r="AE473" s="24" t="s">
        <v>529</v>
      </c>
      <c r="AF473" s="24">
        <v>0</v>
      </c>
      <c r="AG473" s="24" t="s">
        <v>529</v>
      </c>
      <c r="AH473" s="24">
        <v>1</v>
      </c>
      <c r="AI473" s="24" t="s">
        <v>529</v>
      </c>
      <c r="AJ473" s="24">
        <v>1</v>
      </c>
      <c r="AK473" s="24" t="s">
        <v>530</v>
      </c>
      <c r="AL473" s="24"/>
    </row>
    <row r="474" spans="1:38" ht="31.2" x14ac:dyDescent="0.3">
      <c r="A474" s="53">
        <v>467</v>
      </c>
      <c r="B474" s="24" t="s">
        <v>544</v>
      </c>
      <c r="C474" s="24" t="s">
        <v>521</v>
      </c>
      <c r="D474" s="82" t="s">
        <v>219</v>
      </c>
      <c r="E474" s="24" t="s">
        <v>171</v>
      </c>
      <c r="F474" s="24" t="s">
        <v>200</v>
      </c>
      <c r="G474" s="24"/>
      <c r="H474" s="24" t="s">
        <v>1146</v>
      </c>
      <c r="I474" s="30" t="s">
        <v>525</v>
      </c>
      <c r="J474" s="24" t="s">
        <v>535</v>
      </c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102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</row>
    <row r="475" spans="1:38" ht="31.2" x14ac:dyDescent="0.3">
      <c r="A475" s="53">
        <v>468</v>
      </c>
      <c r="B475" s="24" t="s">
        <v>544</v>
      </c>
      <c r="C475" s="24" t="s">
        <v>521</v>
      </c>
      <c r="D475" s="82" t="s">
        <v>219</v>
      </c>
      <c r="E475" s="24" t="s">
        <v>173</v>
      </c>
      <c r="F475" s="24" t="s">
        <v>200</v>
      </c>
      <c r="G475" s="24"/>
      <c r="H475" s="24" t="s">
        <v>1147</v>
      </c>
      <c r="I475" s="30" t="s">
        <v>525</v>
      </c>
      <c r="J475" s="24"/>
      <c r="K475" s="24" t="s">
        <v>199</v>
      </c>
      <c r="L475" s="24" t="s">
        <v>199</v>
      </c>
      <c r="M475" s="24">
        <v>1910</v>
      </c>
      <c r="N475" s="24" t="s">
        <v>527</v>
      </c>
      <c r="O475" s="24">
        <v>5</v>
      </c>
      <c r="P475" s="24">
        <v>0</v>
      </c>
      <c r="Q475" s="24">
        <v>3</v>
      </c>
      <c r="R475" s="24">
        <v>16</v>
      </c>
      <c r="S475" s="24">
        <v>2579.8000000000002</v>
      </c>
      <c r="T475" s="24">
        <v>2579.8000000000002</v>
      </c>
      <c r="U475" s="24">
        <v>1848.8</v>
      </c>
      <c r="V475" s="24">
        <v>731</v>
      </c>
      <c r="W475" s="24" t="s">
        <v>528</v>
      </c>
      <c r="X475" s="24" t="s">
        <v>528</v>
      </c>
      <c r="Y475" s="24" t="s">
        <v>529</v>
      </c>
      <c r="Z475" s="102" t="s">
        <v>528</v>
      </c>
      <c r="AA475" s="24" t="s">
        <v>528</v>
      </c>
      <c r="AB475" s="24" t="s">
        <v>528</v>
      </c>
      <c r="AC475" s="24" t="s">
        <v>528</v>
      </c>
      <c r="AD475" s="24" t="s">
        <v>528</v>
      </c>
      <c r="AE475" s="24" t="s">
        <v>529</v>
      </c>
      <c r="AF475" s="24">
        <v>0</v>
      </c>
      <c r="AG475" s="24" t="s">
        <v>529</v>
      </c>
      <c r="AH475" s="24">
        <v>1</v>
      </c>
      <c r="AI475" s="24" t="s">
        <v>529</v>
      </c>
      <c r="AJ475" s="24" t="s">
        <v>529</v>
      </c>
      <c r="AK475" s="24" t="s">
        <v>530</v>
      </c>
      <c r="AL475" s="24"/>
    </row>
    <row r="476" spans="1:38" ht="31.2" x14ac:dyDescent="0.3">
      <c r="A476" s="53">
        <v>469</v>
      </c>
      <c r="B476" s="24" t="s">
        <v>544</v>
      </c>
      <c r="C476" s="24" t="s">
        <v>521</v>
      </c>
      <c r="D476" s="82" t="s">
        <v>219</v>
      </c>
      <c r="E476" s="24" t="s">
        <v>175</v>
      </c>
      <c r="F476" s="24" t="s">
        <v>200</v>
      </c>
      <c r="G476" s="24"/>
      <c r="H476" s="24" t="s">
        <v>1148</v>
      </c>
      <c r="I476" s="30" t="s">
        <v>525</v>
      </c>
      <c r="J476" s="24"/>
      <c r="K476" s="24" t="s">
        <v>199</v>
      </c>
      <c r="L476" s="24" t="s">
        <v>199</v>
      </c>
      <c r="M476" s="24">
        <v>1891</v>
      </c>
      <c r="N476" s="24" t="s">
        <v>527</v>
      </c>
      <c r="O476" s="24">
        <v>4</v>
      </c>
      <c r="P476" s="24">
        <v>0</v>
      </c>
      <c r="Q476" s="24">
        <v>1</v>
      </c>
      <c r="R476" s="24">
        <v>13</v>
      </c>
      <c r="S476" s="24">
        <v>1174.5</v>
      </c>
      <c r="T476" s="24">
        <v>1174.5</v>
      </c>
      <c r="U476" s="24">
        <v>777.2</v>
      </c>
      <c r="V476" s="24">
        <v>397.3</v>
      </c>
      <c r="W476" s="24" t="s">
        <v>528</v>
      </c>
      <c r="X476" s="24" t="s">
        <v>528</v>
      </c>
      <c r="Y476" s="24" t="s">
        <v>529</v>
      </c>
      <c r="Z476" s="102" t="s">
        <v>528</v>
      </c>
      <c r="AA476" s="24" t="s">
        <v>528</v>
      </c>
      <c r="AB476" s="24" t="s">
        <v>528</v>
      </c>
      <c r="AC476" s="24" t="s">
        <v>528</v>
      </c>
      <c r="AD476" s="24" t="s">
        <v>528</v>
      </c>
      <c r="AE476" s="24" t="s">
        <v>529</v>
      </c>
      <c r="AF476" s="24">
        <v>0</v>
      </c>
      <c r="AG476" s="24" t="s">
        <v>529</v>
      </c>
      <c r="AH476" s="24">
        <v>1</v>
      </c>
      <c r="AI476" s="24" t="s">
        <v>529</v>
      </c>
      <c r="AJ476" s="24" t="s">
        <v>529</v>
      </c>
      <c r="AK476" s="24" t="s">
        <v>530</v>
      </c>
      <c r="AL476" s="24"/>
    </row>
    <row r="477" spans="1:38" ht="31.2" x14ac:dyDescent="0.3">
      <c r="A477" s="53">
        <v>470</v>
      </c>
      <c r="B477" s="24" t="s">
        <v>544</v>
      </c>
      <c r="C477" s="24" t="s">
        <v>521</v>
      </c>
      <c r="D477" s="82" t="s">
        <v>219</v>
      </c>
      <c r="E477" s="24" t="s">
        <v>176</v>
      </c>
      <c r="F477" s="24" t="s">
        <v>200</v>
      </c>
      <c r="G477" s="24"/>
      <c r="H477" s="24" t="s">
        <v>1149</v>
      </c>
      <c r="I477" s="30" t="s">
        <v>525</v>
      </c>
      <c r="J477" s="24"/>
      <c r="K477" s="24" t="s">
        <v>199</v>
      </c>
      <c r="L477" s="24" t="s">
        <v>199</v>
      </c>
      <c r="M477" s="24">
        <v>1899</v>
      </c>
      <c r="N477" s="24" t="s">
        <v>527</v>
      </c>
      <c r="O477" s="24">
        <v>6</v>
      </c>
      <c r="P477" s="24">
        <v>0</v>
      </c>
      <c r="Q477" s="24">
        <v>5</v>
      </c>
      <c r="R477" s="24">
        <v>42</v>
      </c>
      <c r="S477" s="24">
        <v>544.61</v>
      </c>
      <c r="T477" s="24">
        <v>544.61</v>
      </c>
      <c r="U477" s="24">
        <v>3729.61</v>
      </c>
      <c r="V477" s="24">
        <v>1715</v>
      </c>
      <c r="W477" s="24" t="s">
        <v>528</v>
      </c>
      <c r="X477" s="24" t="s">
        <v>528</v>
      </c>
      <c r="Y477" s="24" t="s">
        <v>529</v>
      </c>
      <c r="Z477" s="102" t="s">
        <v>528</v>
      </c>
      <c r="AA477" s="24" t="s">
        <v>528</v>
      </c>
      <c r="AB477" s="24" t="s">
        <v>528</v>
      </c>
      <c r="AC477" s="24" t="s">
        <v>528</v>
      </c>
      <c r="AD477" s="24" t="s">
        <v>528</v>
      </c>
      <c r="AE477" s="24" t="s">
        <v>529</v>
      </c>
      <c r="AF477" s="24">
        <v>0</v>
      </c>
      <c r="AG477" s="24" t="s">
        <v>529</v>
      </c>
      <c r="AH477" s="24">
        <v>1</v>
      </c>
      <c r="AI477" s="24" t="s">
        <v>529</v>
      </c>
      <c r="AJ477" s="24">
        <v>1</v>
      </c>
      <c r="AK477" s="24" t="s">
        <v>530</v>
      </c>
      <c r="AL477" s="24"/>
    </row>
    <row r="478" spans="1:38" ht="31.2" x14ac:dyDescent="0.3">
      <c r="A478" s="53">
        <v>471</v>
      </c>
      <c r="B478" s="24" t="s">
        <v>544</v>
      </c>
      <c r="C478" s="24" t="s">
        <v>521</v>
      </c>
      <c r="D478" s="82" t="s">
        <v>219</v>
      </c>
      <c r="E478" s="24" t="s">
        <v>177</v>
      </c>
      <c r="F478" s="24" t="s">
        <v>200</v>
      </c>
      <c r="G478" s="24"/>
      <c r="H478" s="24" t="s">
        <v>1150</v>
      </c>
      <c r="I478" s="30" t="s">
        <v>525</v>
      </c>
      <c r="J478" s="24"/>
      <c r="K478" s="24" t="s">
        <v>199</v>
      </c>
      <c r="L478" s="24" t="s">
        <v>199</v>
      </c>
      <c r="M478" s="24">
        <v>1904</v>
      </c>
      <c r="N478" s="24" t="s">
        <v>527</v>
      </c>
      <c r="O478" s="24">
        <v>4</v>
      </c>
      <c r="P478" s="24">
        <v>0</v>
      </c>
      <c r="Q478" s="24">
        <v>4</v>
      </c>
      <c r="R478" s="24">
        <v>15</v>
      </c>
      <c r="S478" s="24">
        <v>1991.87</v>
      </c>
      <c r="T478" s="24">
        <v>1991.87</v>
      </c>
      <c r="U478" s="24">
        <v>1763.87</v>
      </c>
      <c r="V478" s="24">
        <v>228</v>
      </c>
      <c r="W478" s="24" t="s">
        <v>528</v>
      </c>
      <c r="X478" s="24" t="s">
        <v>528</v>
      </c>
      <c r="Y478" s="24" t="s">
        <v>529</v>
      </c>
      <c r="Z478" s="102" t="s">
        <v>528</v>
      </c>
      <c r="AA478" s="24" t="s">
        <v>528</v>
      </c>
      <c r="AB478" s="24" t="s">
        <v>528</v>
      </c>
      <c r="AC478" s="24" t="s">
        <v>528</v>
      </c>
      <c r="AD478" s="24" t="s">
        <v>528</v>
      </c>
      <c r="AE478" s="24" t="s">
        <v>529</v>
      </c>
      <c r="AF478" s="24">
        <v>0</v>
      </c>
      <c r="AG478" s="24" t="s">
        <v>529</v>
      </c>
      <c r="AH478" s="24">
        <v>1</v>
      </c>
      <c r="AI478" s="24" t="s">
        <v>529</v>
      </c>
      <c r="AJ478" s="24">
        <v>2</v>
      </c>
      <c r="AK478" s="24" t="s">
        <v>530</v>
      </c>
      <c r="AL478" s="24"/>
    </row>
    <row r="479" spans="1:38" ht="31.2" x14ac:dyDescent="0.3">
      <c r="A479" s="53">
        <v>472</v>
      </c>
      <c r="B479" s="24" t="s">
        <v>544</v>
      </c>
      <c r="C479" s="24" t="s">
        <v>521</v>
      </c>
      <c r="D479" s="82" t="s">
        <v>219</v>
      </c>
      <c r="E479" s="24" t="s">
        <v>1151</v>
      </c>
      <c r="F479" s="24" t="s">
        <v>200</v>
      </c>
      <c r="G479" s="24"/>
      <c r="H479" s="24" t="s">
        <v>1152</v>
      </c>
      <c r="I479" s="30" t="s">
        <v>525</v>
      </c>
      <c r="J479" s="24"/>
      <c r="K479" s="24" t="s">
        <v>199</v>
      </c>
      <c r="L479" s="24" t="s">
        <v>199</v>
      </c>
      <c r="M479" s="24">
        <v>1904</v>
      </c>
      <c r="N479" s="24" t="s">
        <v>527</v>
      </c>
      <c r="O479" s="24">
        <v>6</v>
      </c>
      <c r="P479" s="24">
        <v>0</v>
      </c>
      <c r="Q479" s="24">
        <v>6</v>
      </c>
      <c r="R479" s="24">
        <v>45</v>
      </c>
      <c r="S479" s="24">
        <v>5340.18</v>
      </c>
      <c r="T479" s="24">
        <v>5340.18</v>
      </c>
      <c r="U479" s="24">
        <v>4011.78</v>
      </c>
      <c r="V479" s="24">
        <v>1328.4</v>
      </c>
      <c r="W479" s="24" t="s">
        <v>528</v>
      </c>
      <c r="X479" s="24" t="s">
        <v>528</v>
      </c>
      <c r="Y479" s="24" t="s">
        <v>529</v>
      </c>
      <c r="Z479" s="102" t="s">
        <v>528</v>
      </c>
      <c r="AA479" s="24" t="s">
        <v>528</v>
      </c>
      <c r="AB479" s="24" t="s">
        <v>528</v>
      </c>
      <c r="AC479" s="24" t="s">
        <v>528</v>
      </c>
      <c r="AD479" s="24" t="s">
        <v>528</v>
      </c>
      <c r="AE479" s="24" t="s">
        <v>529</v>
      </c>
      <c r="AF479" s="24">
        <v>1</v>
      </c>
      <c r="AG479" s="24" t="s">
        <v>529</v>
      </c>
      <c r="AH479" s="24">
        <v>1</v>
      </c>
      <c r="AI479" s="24" t="s">
        <v>529</v>
      </c>
      <c r="AJ479" s="24">
        <v>2</v>
      </c>
      <c r="AK479" s="24" t="s">
        <v>530</v>
      </c>
      <c r="AL479" s="24"/>
    </row>
    <row r="480" spans="1:38" ht="31.2" x14ac:dyDescent="0.3">
      <c r="A480" s="53">
        <v>473</v>
      </c>
      <c r="B480" s="24" t="s">
        <v>544</v>
      </c>
      <c r="C480" s="24" t="s">
        <v>521</v>
      </c>
      <c r="D480" s="82" t="s">
        <v>219</v>
      </c>
      <c r="E480" s="24" t="s">
        <v>1153</v>
      </c>
      <c r="F480" s="24" t="s">
        <v>200</v>
      </c>
      <c r="G480" s="24"/>
      <c r="H480" s="24" t="s">
        <v>1154</v>
      </c>
      <c r="I480" s="30" t="s">
        <v>525</v>
      </c>
      <c r="J480" s="24"/>
      <c r="K480" s="24" t="s">
        <v>199</v>
      </c>
      <c r="L480" s="24" t="s">
        <v>199</v>
      </c>
      <c r="M480" s="24">
        <v>1911</v>
      </c>
      <c r="N480" s="24" t="s">
        <v>527</v>
      </c>
      <c r="O480" s="24">
        <v>6</v>
      </c>
      <c r="P480" s="24">
        <v>0</v>
      </c>
      <c r="Q480" s="24">
        <v>4</v>
      </c>
      <c r="R480" s="24">
        <v>27</v>
      </c>
      <c r="S480" s="24">
        <v>2471.3000000000002</v>
      </c>
      <c r="T480" s="24">
        <v>2471.3000000000002</v>
      </c>
      <c r="U480" s="24">
        <v>1689.3</v>
      </c>
      <c r="V480" s="24">
        <v>782</v>
      </c>
      <c r="W480" s="24" t="s">
        <v>528</v>
      </c>
      <c r="X480" s="24" t="s">
        <v>528</v>
      </c>
      <c r="Y480" s="24" t="s">
        <v>529</v>
      </c>
      <c r="Z480" s="102" t="s">
        <v>528</v>
      </c>
      <c r="AA480" s="24" t="s">
        <v>528</v>
      </c>
      <c r="AB480" s="24" t="s">
        <v>528</v>
      </c>
      <c r="AC480" s="24" t="s">
        <v>528</v>
      </c>
      <c r="AD480" s="24" t="s">
        <v>528</v>
      </c>
      <c r="AE480" s="24" t="s">
        <v>529</v>
      </c>
      <c r="AF480" s="24">
        <v>1</v>
      </c>
      <c r="AG480" s="24" t="s">
        <v>529</v>
      </c>
      <c r="AH480" s="24">
        <v>1</v>
      </c>
      <c r="AI480" s="24" t="s">
        <v>529</v>
      </c>
      <c r="AJ480" s="24" t="s">
        <v>529</v>
      </c>
      <c r="AK480" s="24" t="s">
        <v>530</v>
      </c>
      <c r="AL480" s="24"/>
    </row>
    <row r="481" spans="1:38" ht="31.2" x14ac:dyDescent="0.3">
      <c r="A481" s="53">
        <v>474</v>
      </c>
      <c r="B481" s="24" t="s">
        <v>544</v>
      </c>
      <c r="C481" s="24" t="s">
        <v>521</v>
      </c>
      <c r="D481" s="82" t="s">
        <v>219</v>
      </c>
      <c r="E481" s="24" t="s">
        <v>1155</v>
      </c>
      <c r="F481" s="24" t="s">
        <v>200</v>
      </c>
      <c r="G481" s="24"/>
      <c r="H481" s="24" t="s">
        <v>1156</v>
      </c>
      <c r="I481" s="30" t="s">
        <v>525</v>
      </c>
      <c r="J481" s="24"/>
      <c r="K481" s="24" t="s">
        <v>1157</v>
      </c>
      <c r="L481" s="24" t="s">
        <v>199</v>
      </c>
      <c r="M481" s="24">
        <v>1954</v>
      </c>
      <c r="N481" s="24" t="s">
        <v>527</v>
      </c>
      <c r="O481" s="24">
        <v>5</v>
      </c>
      <c r="P481" s="24">
        <v>0</v>
      </c>
      <c r="Q481" s="24">
        <v>3</v>
      </c>
      <c r="R481" s="24">
        <v>45</v>
      </c>
      <c r="S481" s="24">
        <v>3289</v>
      </c>
      <c r="T481" s="24">
        <v>3289</v>
      </c>
      <c r="U481" s="24">
        <v>2859</v>
      </c>
      <c r="V481" s="24">
        <v>430</v>
      </c>
      <c r="W481" s="24" t="s">
        <v>528</v>
      </c>
      <c r="X481" s="24" t="s">
        <v>528</v>
      </c>
      <c r="Y481" s="24" t="s">
        <v>529</v>
      </c>
      <c r="Z481" s="102" t="s">
        <v>528</v>
      </c>
      <c r="AA481" s="24" t="s">
        <v>528</v>
      </c>
      <c r="AB481" s="24" t="s">
        <v>528</v>
      </c>
      <c r="AC481" s="24" t="s">
        <v>528</v>
      </c>
      <c r="AD481" s="24" t="s">
        <v>528</v>
      </c>
      <c r="AE481" s="24" t="s">
        <v>529</v>
      </c>
      <c r="AF481" s="24">
        <v>1</v>
      </c>
      <c r="AG481" s="24" t="s">
        <v>529</v>
      </c>
      <c r="AH481" s="24">
        <v>1</v>
      </c>
      <c r="AI481" s="24" t="s">
        <v>529</v>
      </c>
      <c r="AJ481" s="24">
        <v>1</v>
      </c>
      <c r="AK481" s="24" t="s">
        <v>530</v>
      </c>
      <c r="AL481" s="24"/>
    </row>
    <row r="482" spans="1:38" ht="31.2" x14ac:dyDescent="0.3">
      <c r="A482" s="53">
        <v>475</v>
      </c>
      <c r="B482" s="24" t="s">
        <v>544</v>
      </c>
      <c r="C482" s="24" t="s">
        <v>521</v>
      </c>
      <c r="D482" s="82" t="s">
        <v>293</v>
      </c>
      <c r="E482" s="24" t="s">
        <v>1158</v>
      </c>
      <c r="F482" s="24" t="s">
        <v>200</v>
      </c>
      <c r="G482" s="24"/>
      <c r="H482" s="24" t="s">
        <v>1159</v>
      </c>
      <c r="I482" s="30" t="s">
        <v>525</v>
      </c>
      <c r="J482" s="24"/>
      <c r="K482" s="24" t="s">
        <v>199</v>
      </c>
      <c r="L482" s="24" t="s">
        <v>199</v>
      </c>
      <c r="M482" s="24">
        <v>1908</v>
      </c>
      <c r="N482" s="24" t="s">
        <v>527</v>
      </c>
      <c r="O482" s="24">
        <v>2</v>
      </c>
      <c r="P482" s="24">
        <v>0</v>
      </c>
      <c r="Q482" s="24">
        <v>2</v>
      </c>
      <c r="R482" s="24">
        <v>1</v>
      </c>
      <c r="S482" s="24">
        <v>23.05</v>
      </c>
      <c r="T482" s="24">
        <v>23.05</v>
      </c>
      <c r="U482" s="24">
        <v>23.05</v>
      </c>
      <c r="V482" s="24">
        <v>0</v>
      </c>
      <c r="W482" s="24" t="s">
        <v>528</v>
      </c>
      <c r="X482" s="24" t="s">
        <v>528</v>
      </c>
      <c r="Y482" s="24" t="s">
        <v>529</v>
      </c>
      <c r="Z482" s="102" t="s">
        <v>528</v>
      </c>
      <c r="AA482" s="24" t="s">
        <v>528</v>
      </c>
      <c r="AB482" s="24" t="s">
        <v>528</v>
      </c>
      <c r="AC482" s="24" t="s">
        <v>528</v>
      </c>
      <c r="AD482" s="24" t="s">
        <v>528</v>
      </c>
      <c r="AE482" s="24" t="s">
        <v>529</v>
      </c>
      <c r="AF482" s="24">
        <v>1</v>
      </c>
      <c r="AG482" s="24" t="s">
        <v>529</v>
      </c>
      <c r="AH482" s="24" t="s">
        <v>529</v>
      </c>
      <c r="AI482" s="24" t="s">
        <v>529</v>
      </c>
      <c r="AJ482" s="24">
        <v>1</v>
      </c>
      <c r="AK482" s="24" t="s">
        <v>530</v>
      </c>
      <c r="AL482" s="24"/>
    </row>
    <row r="483" spans="1:38" ht="31.2" x14ac:dyDescent="0.3">
      <c r="A483" s="53">
        <v>476</v>
      </c>
      <c r="B483" s="24" t="s">
        <v>544</v>
      </c>
      <c r="C483" s="24" t="s">
        <v>521</v>
      </c>
      <c r="D483" s="82" t="s">
        <v>293</v>
      </c>
      <c r="E483" s="24" t="s">
        <v>1158</v>
      </c>
      <c r="F483" s="24" t="s">
        <v>205</v>
      </c>
      <c r="G483" s="24"/>
      <c r="H483" s="24" t="s">
        <v>1160</v>
      </c>
      <c r="I483" s="30" t="s">
        <v>525</v>
      </c>
      <c r="J483" s="24"/>
      <c r="K483" s="24" t="s">
        <v>199</v>
      </c>
      <c r="L483" s="24" t="s">
        <v>199</v>
      </c>
      <c r="M483" s="24">
        <v>1905</v>
      </c>
      <c r="N483" s="24" t="s">
        <v>527</v>
      </c>
      <c r="O483" s="24">
        <v>6</v>
      </c>
      <c r="P483" s="24">
        <v>0</v>
      </c>
      <c r="Q483" s="24">
        <v>1</v>
      </c>
      <c r="R483" s="24">
        <v>30</v>
      </c>
      <c r="S483" s="24">
        <v>2801.6</v>
      </c>
      <c r="T483" s="24">
        <v>2801.6</v>
      </c>
      <c r="U483" s="24">
        <v>2801.6</v>
      </c>
      <c r="V483" s="24">
        <v>0</v>
      </c>
      <c r="W483" s="24" t="s">
        <v>528</v>
      </c>
      <c r="X483" s="24" t="s">
        <v>528</v>
      </c>
      <c r="Y483" s="24" t="s">
        <v>529</v>
      </c>
      <c r="Z483" s="102" t="s">
        <v>528</v>
      </c>
      <c r="AA483" s="24" t="s">
        <v>528</v>
      </c>
      <c r="AB483" s="24" t="s">
        <v>528</v>
      </c>
      <c r="AC483" s="24" t="s">
        <v>528</v>
      </c>
      <c r="AD483" s="24" t="s">
        <v>528</v>
      </c>
      <c r="AE483" s="24" t="s">
        <v>529</v>
      </c>
      <c r="AF483" s="24">
        <v>0</v>
      </c>
      <c r="AG483" s="24" t="s">
        <v>529</v>
      </c>
      <c r="AH483" s="24">
        <v>1</v>
      </c>
      <c r="AI483" s="24" t="s">
        <v>529</v>
      </c>
      <c r="AJ483" s="24" t="s">
        <v>529</v>
      </c>
      <c r="AK483" s="24" t="s">
        <v>530</v>
      </c>
      <c r="AL483" s="24"/>
    </row>
    <row r="484" spans="1:38" ht="31.2" x14ac:dyDescent="0.3">
      <c r="A484" s="53">
        <v>477</v>
      </c>
      <c r="B484" s="24" t="s">
        <v>544</v>
      </c>
      <c r="C484" s="24" t="s">
        <v>521</v>
      </c>
      <c r="D484" s="82" t="s">
        <v>293</v>
      </c>
      <c r="E484" s="24" t="s">
        <v>1161</v>
      </c>
      <c r="F484" s="24" t="s">
        <v>200</v>
      </c>
      <c r="G484" s="24"/>
      <c r="H484" s="24" t="s">
        <v>1162</v>
      </c>
      <c r="I484" s="30" t="s">
        <v>525</v>
      </c>
      <c r="J484" s="24" t="s">
        <v>535</v>
      </c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102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</row>
    <row r="485" spans="1:38" ht="31.2" x14ac:dyDescent="0.3">
      <c r="A485" s="53">
        <v>478</v>
      </c>
      <c r="B485" s="24" t="s">
        <v>544</v>
      </c>
      <c r="C485" s="24" t="s">
        <v>521</v>
      </c>
      <c r="D485" s="82" t="s">
        <v>293</v>
      </c>
      <c r="E485" s="24" t="s">
        <v>1155</v>
      </c>
      <c r="F485" s="24" t="s">
        <v>200</v>
      </c>
      <c r="G485" s="24"/>
      <c r="H485" s="24" t="s">
        <v>1163</v>
      </c>
      <c r="I485" s="30" t="s">
        <v>525</v>
      </c>
      <c r="J485" s="24"/>
      <c r="K485" s="24" t="s">
        <v>199</v>
      </c>
      <c r="L485" s="24" t="s">
        <v>199</v>
      </c>
      <c r="M485" s="24">
        <v>1875</v>
      </c>
      <c r="N485" s="24" t="s">
        <v>527</v>
      </c>
      <c r="O485" s="24">
        <v>4</v>
      </c>
      <c r="P485" s="24">
        <v>0</v>
      </c>
      <c r="Q485" s="24">
        <v>1</v>
      </c>
      <c r="R485" s="24">
        <v>20</v>
      </c>
      <c r="S485" s="24">
        <v>1254.4000000000001</v>
      </c>
      <c r="T485" s="24">
        <v>1254.4000000000001</v>
      </c>
      <c r="U485" s="24">
        <v>1097.4000000000001</v>
      </c>
      <c r="V485" s="24">
        <v>157</v>
      </c>
      <c r="W485" s="24" t="s">
        <v>528</v>
      </c>
      <c r="X485" s="24" t="s">
        <v>528</v>
      </c>
      <c r="Y485" s="24" t="s">
        <v>529</v>
      </c>
      <c r="Z485" s="102" t="s">
        <v>528</v>
      </c>
      <c r="AA485" s="24" t="s">
        <v>528</v>
      </c>
      <c r="AB485" s="24" t="s">
        <v>528</v>
      </c>
      <c r="AC485" s="24" t="s">
        <v>528</v>
      </c>
      <c r="AD485" s="24" t="s">
        <v>528</v>
      </c>
      <c r="AE485" s="24" t="s">
        <v>529</v>
      </c>
      <c r="AF485" s="24">
        <v>0</v>
      </c>
      <c r="AG485" s="24" t="s">
        <v>529</v>
      </c>
      <c r="AH485" s="24">
        <v>1</v>
      </c>
      <c r="AI485" s="24" t="s">
        <v>529</v>
      </c>
      <c r="AJ485" s="24" t="s">
        <v>529</v>
      </c>
      <c r="AK485" s="24" t="s">
        <v>530</v>
      </c>
      <c r="AL485" s="24"/>
    </row>
    <row r="486" spans="1:38" ht="31.2" x14ac:dyDescent="0.3">
      <c r="A486" s="53">
        <v>479</v>
      </c>
      <c r="B486" s="24" t="s">
        <v>544</v>
      </c>
      <c r="C486" s="24" t="s">
        <v>521</v>
      </c>
      <c r="D486" s="82" t="s">
        <v>293</v>
      </c>
      <c r="E486" s="24" t="s">
        <v>1164</v>
      </c>
      <c r="F486" s="24" t="s">
        <v>200</v>
      </c>
      <c r="G486" s="24"/>
      <c r="H486" s="24" t="s">
        <v>1165</v>
      </c>
      <c r="I486" s="30" t="s">
        <v>525</v>
      </c>
      <c r="J486" s="24"/>
      <c r="K486" s="24" t="s">
        <v>199</v>
      </c>
      <c r="L486" s="24" t="s">
        <v>199</v>
      </c>
      <c r="M486" s="24">
        <v>1901</v>
      </c>
      <c r="N486" s="24" t="s">
        <v>527</v>
      </c>
      <c r="O486" s="24">
        <v>6</v>
      </c>
      <c r="P486" s="24">
        <v>0</v>
      </c>
      <c r="Q486" s="24">
        <v>4</v>
      </c>
      <c r="R486" s="24">
        <v>33</v>
      </c>
      <c r="S486" s="24">
        <v>3312.1</v>
      </c>
      <c r="T486" s="24">
        <v>3312.1</v>
      </c>
      <c r="U486" s="24">
        <v>2796.1</v>
      </c>
      <c r="V486" s="24">
        <v>516</v>
      </c>
      <c r="W486" s="24" t="s">
        <v>528</v>
      </c>
      <c r="X486" s="24" t="s">
        <v>528</v>
      </c>
      <c r="Y486" s="24" t="s">
        <v>529</v>
      </c>
      <c r="Z486" s="102" t="s">
        <v>528</v>
      </c>
      <c r="AA486" s="24" t="s">
        <v>528</v>
      </c>
      <c r="AB486" s="24" t="s">
        <v>528</v>
      </c>
      <c r="AC486" s="24" t="s">
        <v>528</v>
      </c>
      <c r="AD486" s="24" t="s">
        <v>528</v>
      </c>
      <c r="AE486" s="24" t="s">
        <v>529</v>
      </c>
      <c r="AF486" s="24">
        <v>2</v>
      </c>
      <c r="AG486" s="24" t="s">
        <v>529</v>
      </c>
      <c r="AH486" s="24">
        <v>1</v>
      </c>
      <c r="AI486" s="24" t="s">
        <v>529</v>
      </c>
      <c r="AJ486" s="24">
        <v>1</v>
      </c>
      <c r="AK486" s="24" t="s">
        <v>530</v>
      </c>
      <c r="AL486" s="24"/>
    </row>
    <row r="487" spans="1:38" ht="31.2" x14ac:dyDescent="0.3">
      <c r="A487" s="53">
        <v>480</v>
      </c>
      <c r="B487" s="24" t="s">
        <v>544</v>
      </c>
      <c r="C487" s="24" t="s">
        <v>521</v>
      </c>
      <c r="D487" s="82" t="s">
        <v>293</v>
      </c>
      <c r="E487" s="24" t="s">
        <v>1166</v>
      </c>
      <c r="F487" s="24" t="s">
        <v>200</v>
      </c>
      <c r="G487" s="24"/>
      <c r="H487" s="24" t="s">
        <v>1167</v>
      </c>
      <c r="I487" s="30" t="s">
        <v>525</v>
      </c>
      <c r="J487" s="24"/>
      <c r="K487" s="24" t="s">
        <v>199</v>
      </c>
      <c r="L487" s="24" t="s">
        <v>199</v>
      </c>
      <c r="M487" s="24">
        <v>1879</v>
      </c>
      <c r="N487" s="24" t="s">
        <v>527</v>
      </c>
      <c r="O487" s="24">
        <v>5</v>
      </c>
      <c r="P487" s="24">
        <v>0</v>
      </c>
      <c r="Q487" s="24">
        <v>3</v>
      </c>
      <c r="R487" s="24">
        <v>29</v>
      </c>
      <c r="S487" s="24">
        <v>2185.5500000000002</v>
      </c>
      <c r="T487" s="24">
        <v>2185.5500000000002</v>
      </c>
      <c r="U487" s="24">
        <v>1809.95</v>
      </c>
      <c r="V487" s="24">
        <v>375.6</v>
      </c>
      <c r="W487" s="24" t="s">
        <v>528</v>
      </c>
      <c r="X487" s="24" t="s">
        <v>528</v>
      </c>
      <c r="Y487" s="24" t="s">
        <v>529</v>
      </c>
      <c r="Z487" s="102" t="s">
        <v>528</v>
      </c>
      <c r="AA487" s="24" t="s">
        <v>528</v>
      </c>
      <c r="AB487" s="24" t="s">
        <v>528</v>
      </c>
      <c r="AC487" s="24" t="s">
        <v>528</v>
      </c>
      <c r="AD487" s="24" t="s">
        <v>528</v>
      </c>
      <c r="AE487" s="24" t="s">
        <v>529</v>
      </c>
      <c r="AF487" s="24">
        <v>0</v>
      </c>
      <c r="AG487" s="24" t="s">
        <v>529</v>
      </c>
      <c r="AH487" s="24">
        <v>1</v>
      </c>
      <c r="AI487" s="24" t="s">
        <v>529</v>
      </c>
      <c r="AJ487" s="24" t="s">
        <v>529</v>
      </c>
      <c r="AK487" s="24" t="s">
        <v>530</v>
      </c>
      <c r="AL487" s="24"/>
    </row>
    <row r="488" spans="1:38" ht="31.2" x14ac:dyDescent="0.3">
      <c r="A488" s="53">
        <v>481</v>
      </c>
      <c r="B488" s="24" t="s">
        <v>544</v>
      </c>
      <c r="C488" s="24" t="s">
        <v>521</v>
      </c>
      <c r="D488" s="82" t="s">
        <v>1168</v>
      </c>
      <c r="E488" s="24" t="s">
        <v>1169</v>
      </c>
      <c r="F488" s="24" t="s">
        <v>200</v>
      </c>
      <c r="G488" s="24"/>
      <c r="H488" s="24" t="s">
        <v>1170</v>
      </c>
      <c r="I488" s="30" t="s">
        <v>525</v>
      </c>
      <c r="J488" s="24"/>
      <c r="K488" s="24" t="s">
        <v>199</v>
      </c>
      <c r="L488" s="24" t="s">
        <v>199</v>
      </c>
      <c r="M488" s="24">
        <v>1911</v>
      </c>
      <c r="N488" s="24" t="s">
        <v>527</v>
      </c>
      <c r="O488" s="24">
        <v>6</v>
      </c>
      <c r="P488" s="24">
        <v>0</v>
      </c>
      <c r="Q488" s="24">
        <v>5</v>
      </c>
      <c r="R488" s="24">
        <v>19</v>
      </c>
      <c r="S488" s="24">
        <v>3516</v>
      </c>
      <c r="T488" s="24">
        <v>3516</v>
      </c>
      <c r="U488" s="24">
        <v>1059</v>
      </c>
      <c r="V488" s="24">
        <v>2458.1</v>
      </c>
      <c r="W488" s="24" t="s">
        <v>528</v>
      </c>
      <c r="X488" s="24" t="s">
        <v>528</v>
      </c>
      <c r="Y488" s="24" t="s">
        <v>529</v>
      </c>
      <c r="Z488" s="102" t="s">
        <v>528</v>
      </c>
      <c r="AA488" s="24" t="s">
        <v>528</v>
      </c>
      <c r="AB488" s="24" t="s">
        <v>528</v>
      </c>
      <c r="AC488" s="24" t="s">
        <v>528</v>
      </c>
      <c r="AD488" s="24" t="s">
        <v>528</v>
      </c>
      <c r="AE488" s="24" t="s">
        <v>529</v>
      </c>
      <c r="AF488" s="24">
        <v>2</v>
      </c>
      <c r="AG488" s="24" t="s">
        <v>529</v>
      </c>
      <c r="AH488" s="24">
        <v>1</v>
      </c>
      <c r="AI488" s="24" t="s">
        <v>529</v>
      </c>
      <c r="AJ488" s="24">
        <v>1</v>
      </c>
      <c r="AK488" s="24" t="s">
        <v>530</v>
      </c>
      <c r="AL488" s="24"/>
    </row>
    <row r="489" spans="1:38" ht="31.2" x14ac:dyDescent="0.3">
      <c r="A489" s="53">
        <v>482</v>
      </c>
      <c r="B489" s="24" t="s">
        <v>544</v>
      </c>
      <c r="C489" s="24" t="s">
        <v>521</v>
      </c>
      <c r="D489" s="82" t="s">
        <v>478</v>
      </c>
      <c r="E489" s="24" t="s">
        <v>1171</v>
      </c>
      <c r="F489" s="24" t="s">
        <v>200</v>
      </c>
      <c r="G489" s="24"/>
      <c r="H489" s="24" t="s">
        <v>1172</v>
      </c>
      <c r="I489" s="30" t="s">
        <v>525</v>
      </c>
      <c r="J489" s="24"/>
      <c r="K489" s="24" t="s">
        <v>199</v>
      </c>
      <c r="L489" s="24" t="s">
        <v>199</v>
      </c>
      <c r="M489" s="24">
        <v>1913</v>
      </c>
      <c r="N489" s="24" t="s">
        <v>527</v>
      </c>
      <c r="O489" s="24">
        <v>6</v>
      </c>
      <c r="P489" s="24">
        <v>0</v>
      </c>
      <c r="Q489" s="24">
        <v>1</v>
      </c>
      <c r="R489" s="24">
        <v>32</v>
      </c>
      <c r="S489" s="24">
        <v>2770.7</v>
      </c>
      <c r="T489" s="24">
        <v>2770.7</v>
      </c>
      <c r="U489" s="24">
        <v>2634.5</v>
      </c>
      <c r="V489" s="24">
        <v>136.19999999999999</v>
      </c>
      <c r="W489" s="24" t="s">
        <v>528</v>
      </c>
      <c r="X489" s="24" t="s">
        <v>528</v>
      </c>
      <c r="Y489" s="24" t="s">
        <v>529</v>
      </c>
      <c r="Z489" s="102" t="s">
        <v>528</v>
      </c>
      <c r="AA489" s="24" t="s">
        <v>528</v>
      </c>
      <c r="AB489" s="24" t="s">
        <v>528</v>
      </c>
      <c r="AC489" s="24" t="s">
        <v>528</v>
      </c>
      <c r="AD489" s="24" t="s">
        <v>528</v>
      </c>
      <c r="AE489" s="24" t="s">
        <v>529</v>
      </c>
      <c r="AF489" s="24">
        <v>1</v>
      </c>
      <c r="AG489" s="24" t="s">
        <v>529</v>
      </c>
      <c r="AH489" s="24">
        <v>1</v>
      </c>
      <c r="AI489" s="24" t="s">
        <v>529</v>
      </c>
      <c r="AJ489" s="24">
        <v>1</v>
      </c>
      <c r="AK489" s="24" t="s">
        <v>530</v>
      </c>
      <c r="AL489" s="24"/>
    </row>
    <row r="490" spans="1:38" ht="31.2" x14ac:dyDescent="0.3">
      <c r="A490" s="53">
        <v>483</v>
      </c>
      <c r="B490" s="24" t="s">
        <v>544</v>
      </c>
      <c r="C490" s="24" t="s">
        <v>521</v>
      </c>
      <c r="D490" s="82" t="s">
        <v>1173</v>
      </c>
      <c r="E490" s="24" t="s">
        <v>536</v>
      </c>
      <c r="F490" s="24" t="s">
        <v>200</v>
      </c>
      <c r="G490" s="24"/>
      <c r="H490" s="24" t="s">
        <v>1174</v>
      </c>
      <c r="I490" s="30" t="s">
        <v>525</v>
      </c>
      <c r="J490" s="24"/>
      <c r="K490" s="24" t="s">
        <v>199</v>
      </c>
      <c r="L490" s="24" t="s">
        <v>199</v>
      </c>
      <c r="M490" s="24">
        <v>1903</v>
      </c>
      <c r="N490" s="24" t="s">
        <v>527</v>
      </c>
      <c r="O490" s="24">
        <v>1</v>
      </c>
      <c r="P490" s="24">
        <v>0</v>
      </c>
      <c r="Q490" s="24">
        <v>1</v>
      </c>
      <c r="R490" s="24">
        <v>8</v>
      </c>
      <c r="S490" s="24">
        <v>718.6</v>
      </c>
      <c r="T490" s="24">
        <v>718.6</v>
      </c>
      <c r="U490" s="24">
        <v>641.6</v>
      </c>
      <c r="V490" s="24">
        <v>77</v>
      </c>
      <c r="W490" s="24" t="s">
        <v>528</v>
      </c>
      <c r="X490" s="24" t="s">
        <v>528</v>
      </c>
      <c r="Y490" s="24" t="s">
        <v>529</v>
      </c>
      <c r="Z490" s="102" t="s">
        <v>528</v>
      </c>
      <c r="AA490" s="24" t="s">
        <v>528</v>
      </c>
      <c r="AB490" s="24" t="s">
        <v>528</v>
      </c>
      <c r="AC490" s="24" t="s">
        <v>528</v>
      </c>
      <c r="AD490" s="24" t="s">
        <v>528</v>
      </c>
      <c r="AE490" s="24" t="s">
        <v>529</v>
      </c>
      <c r="AF490" s="24">
        <v>0</v>
      </c>
      <c r="AG490" s="24" t="s">
        <v>529</v>
      </c>
      <c r="AH490" s="24" t="s">
        <v>1175</v>
      </c>
      <c r="AI490" s="24" t="s">
        <v>529</v>
      </c>
      <c r="AJ490" s="24" t="s">
        <v>529</v>
      </c>
      <c r="AK490" s="24" t="s">
        <v>530</v>
      </c>
      <c r="AL490" s="24"/>
    </row>
    <row r="491" spans="1:38" ht="31.2" x14ac:dyDescent="0.3">
      <c r="A491" s="53">
        <v>484</v>
      </c>
      <c r="B491" s="24" t="s">
        <v>544</v>
      </c>
      <c r="C491" s="24" t="s">
        <v>521</v>
      </c>
      <c r="D491" s="82" t="s">
        <v>219</v>
      </c>
      <c r="E491" s="24" t="s">
        <v>1158</v>
      </c>
      <c r="F491" s="24" t="s">
        <v>200</v>
      </c>
      <c r="G491" s="24"/>
      <c r="H491" s="24" t="s">
        <v>1176</v>
      </c>
      <c r="I491" s="30" t="s">
        <v>525</v>
      </c>
      <c r="J491" s="24"/>
      <c r="K491" s="24" t="s">
        <v>199</v>
      </c>
      <c r="L491" s="24" t="s">
        <v>199</v>
      </c>
      <c r="M491" s="24">
        <v>1898</v>
      </c>
      <c r="N491" s="24" t="s">
        <v>527</v>
      </c>
      <c r="O491" s="24">
        <v>5</v>
      </c>
      <c r="P491" s="24">
        <v>0</v>
      </c>
      <c r="Q491" s="24">
        <v>1</v>
      </c>
      <c r="R491" s="24">
        <v>24</v>
      </c>
      <c r="S491" s="24">
        <v>2239</v>
      </c>
      <c r="T491" s="24">
        <v>2239</v>
      </c>
      <c r="U491" s="24">
        <v>2174</v>
      </c>
      <c r="V491" s="24">
        <v>65</v>
      </c>
      <c r="W491" s="24" t="s">
        <v>528</v>
      </c>
      <c r="X491" s="24" t="s">
        <v>528</v>
      </c>
      <c r="Y491" s="24" t="s">
        <v>529</v>
      </c>
      <c r="Z491" s="102" t="s">
        <v>528</v>
      </c>
      <c r="AA491" s="24" t="s">
        <v>528</v>
      </c>
      <c r="AB491" s="24" t="s">
        <v>528</v>
      </c>
      <c r="AC491" s="24" t="s">
        <v>528</v>
      </c>
      <c r="AD491" s="24" t="s">
        <v>528</v>
      </c>
      <c r="AE491" s="24" t="s">
        <v>529</v>
      </c>
      <c r="AF491" s="24">
        <v>0</v>
      </c>
      <c r="AG491" s="24" t="s">
        <v>529</v>
      </c>
      <c r="AH491" s="24" t="s">
        <v>1175</v>
      </c>
      <c r="AI491" s="24" t="s">
        <v>529</v>
      </c>
      <c r="AJ491" s="24" t="s">
        <v>1175</v>
      </c>
      <c r="AK491" s="24" t="s">
        <v>530</v>
      </c>
      <c r="AL491" s="24"/>
    </row>
    <row r="492" spans="1:38" ht="31.2" x14ac:dyDescent="0.3">
      <c r="A492" s="53">
        <v>485</v>
      </c>
      <c r="B492" s="24" t="s">
        <v>544</v>
      </c>
      <c r="C492" s="24" t="s">
        <v>521</v>
      </c>
      <c r="D492" s="82" t="s">
        <v>219</v>
      </c>
      <c r="E492" s="24" t="s">
        <v>1158</v>
      </c>
      <c r="F492" s="24" t="s">
        <v>206</v>
      </c>
      <c r="G492" s="24"/>
      <c r="H492" s="24" t="s">
        <v>1177</v>
      </c>
      <c r="I492" s="30" t="s">
        <v>525</v>
      </c>
      <c r="J492" s="24" t="s">
        <v>197</v>
      </c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102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</row>
    <row r="493" spans="1:38" ht="31.2" x14ac:dyDescent="0.3">
      <c r="A493" s="53">
        <v>486</v>
      </c>
      <c r="B493" s="24" t="s">
        <v>544</v>
      </c>
      <c r="C493" s="24" t="s">
        <v>521</v>
      </c>
      <c r="D493" s="82" t="s">
        <v>463</v>
      </c>
      <c r="E493" s="24" t="s">
        <v>1178</v>
      </c>
      <c r="F493" s="24" t="s">
        <v>200</v>
      </c>
      <c r="G493" s="24"/>
      <c r="H493" s="24" t="s">
        <v>1179</v>
      </c>
      <c r="I493" s="30" t="s">
        <v>525</v>
      </c>
      <c r="J493" s="24" t="s">
        <v>535</v>
      </c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102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</row>
    <row r="494" spans="1:38" ht="31.2" x14ac:dyDescent="0.3">
      <c r="A494" s="53">
        <v>487</v>
      </c>
      <c r="B494" s="24" t="s">
        <v>544</v>
      </c>
      <c r="C494" s="24" t="s">
        <v>521</v>
      </c>
      <c r="D494" s="82" t="s">
        <v>463</v>
      </c>
      <c r="E494" s="24" t="s">
        <v>1178</v>
      </c>
      <c r="F494" s="24" t="s">
        <v>205</v>
      </c>
      <c r="G494" s="24"/>
      <c r="H494" s="24" t="s">
        <v>1180</v>
      </c>
      <c r="I494" s="30" t="s">
        <v>525</v>
      </c>
      <c r="J494" s="24" t="s">
        <v>535</v>
      </c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102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</row>
    <row r="495" spans="1:38" ht="31.2" x14ac:dyDescent="0.3">
      <c r="A495" s="53">
        <v>488</v>
      </c>
      <c r="B495" s="24" t="s">
        <v>544</v>
      </c>
      <c r="C495" s="24" t="s">
        <v>521</v>
      </c>
      <c r="D495" s="82" t="s">
        <v>463</v>
      </c>
      <c r="E495" s="24" t="s">
        <v>1181</v>
      </c>
      <c r="F495" s="24" t="s">
        <v>200</v>
      </c>
      <c r="G495" s="24"/>
      <c r="H495" s="24" t="s">
        <v>1182</v>
      </c>
      <c r="I495" s="30" t="s">
        <v>525</v>
      </c>
      <c r="J495" s="24"/>
      <c r="K495" s="24" t="s">
        <v>199</v>
      </c>
      <c r="L495" s="24" t="s">
        <v>199</v>
      </c>
      <c r="M495" s="24">
        <v>1908</v>
      </c>
      <c r="N495" s="24" t="s">
        <v>527</v>
      </c>
      <c r="O495" s="24">
        <v>6</v>
      </c>
      <c r="P495" s="24">
        <v>0</v>
      </c>
      <c r="Q495" s="24">
        <v>2</v>
      </c>
      <c r="R495" s="24">
        <v>14</v>
      </c>
      <c r="S495" s="24">
        <v>1897.6</v>
      </c>
      <c r="T495" s="24">
        <v>1897.6</v>
      </c>
      <c r="U495" s="24">
        <v>1897.6</v>
      </c>
      <c r="V495" s="24">
        <v>0</v>
      </c>
      <c r="W495" s="24" t="s">
        <v>528</v>
      </c>
      <c r="X495" s="24" t="s">
        <v>528</v>
      </c>
      <c r="Y495" s="24" t="s">
        <v>529</v>
      </c>
      <c r="Z495" s="102" t="s">
        <v>528</v>
      </c>
      <c r="AA495" s="24" t="s">
        <v>528</v>
      </c>
      <c r="AB495" s="24" t="s">
        <v>528</v>
      </c>
      <c r="AC495" s="24" t="s">
        <v>528</v>
      </c>
      <c r="AD495" s="24" t="s">
        <v>528</v>
      </c>
      <c r="AE495" s="24" t="s">
        <v>529</v>
      </c>
      <c r="AF495" s="24">
        <v>1</v>
      </c>
      <c r="AG495" s="24" t="s">
        <v>529</v>
      </c>
      <c r="AH495" s="24" t="s">
        <v>1175</v>
      </c>
      <c r="AI495" s="24" t="s">
        <v>529</v>
      </c>
      <c r="AJ495" s="24" t="s">
        <v>529</v>
      </c>
      <c r="AK495" s="24" t="s">
        <v>530</v>
      </c>
      <c r="AL495" s="24"/>
    </row>
    <row r="496" spans="1:38" ht="31.2" x14ac:dyDescent="0.3">
      <c r="A496" s="53">
        <v>489</v>
      </c>
      <c r="B496" s="24" t="s">
        <v>544</v>
      </c>
      <c r="C496" s="24" t="s">
        <v>521</v>
      </c>
      <c r="D496" s="82" t="s">
        <v>463</v>
      </c>
      <c r="E496" s="24" t="s">
        <v>1181</v>
      </c>
      <c r="F496" s="24" t="s">
        <v>205</v>
      </c>
      <c r="G496" s="24"/>
      <c r="H496" s="24" t="s">
        <v>1183</v>
      </c>
      <c r="I496" s="30" t="s">
        <v>525</v>
      </c>
      <c r="J496" s="24"/>
      <c r="K496" s="24" t="s">
        <v>199</v>
      </c>
      <c r="L496" s="24" t="s">
        <v>199</v>
      </c>
      <c r="M496" s="24">
        <v>1910</v>
      </c>
      <c r="N496" s="24" t="s">
        <v>527</v>
      </c>
      <c r="O496" s="24">
        <v>6</v>
      </c>
      <c r="P496" s="24">
        <v>0</v>
      </c>
      <c r="Q496" s="24">
        <v>2</v>
      </c>
      <c r="R496" s="24">
        <v>24</v>
      </c>
      <c r="S496" s="24">
        <v>1972.6</v>
      </c>
      <c r="T496" s="24">
        <v>1972.6</v>
      </c>
      <c r="U496" s="24">
        <v>1972.6</v>
      </c>
      <c r="V496" s="24">
        <v>0</v>
      </c>
      <c r="W496" s="24" t="s">
        <v>528</v>
      </c>
      <c r="X496" s="24" t="s">
        <v>528</v>
      </c>
      <c r="Y496" s="24" t="s">
        <v>529</v>
      </c>
      <c r="Z496" s="102" t="s">
        <v>528</v>
      </c>
      <c r="AA496" s="24" t="s">
        <v>528</v>
      </c>
      <c r="AB496" s="24" t="s">
        <v>528</v>
      </c>
      <c r="AC496" s="24" t="s">
        <v>528</v>
      </c>
      <c r="AD496" s="24" t="s">
        <v>528</v>
      </c>
      <c r="AE496" s="24" t="s">
        <v>529</v>
      </c>
      <c r="AF496" s="24">
        <v>1</v>
      </c>
      <c r="AG496" s="24" t="s">
        <v>529</v>
      </c>
      <c r="AH496" s="24" t="s">
        <v>529</v>
      </c>
      <c r="AI496" s="24" t="s">
        <v>529</v>
      </c>
      <c r="AJ496" s="24" t="s">
        <v>529</v>
      </c>
      <c r="AK496" s="24" t="s">
        <v>530</v>
      </c>
      <c r="AL496" s="24"/>
    </row>
    <row r="497" spans="1:38" ht="31.2" x14ac:dyDescent="0.3">
      <c r="A497" s="53">
        <v>490</v>
      </c>
      <c r="B497" s="24" t="s">
        <v>544</v>
      </c>
      <c r="C497" s="24" t="s">
        <v>521</v>
      </c>
      <c r="D497" s="82" t="s">
        <v>463</v>
      </c>
      <c r="E497" s="24" t="s">
        <v>1181</v>
      </c>
      <c r="F497" s="24" t="s">
        <v>206</v>
      </c>
      <c r="G497" s="24"/>
      <c r="H497" s="24" t="s">
        <v>1184</v>
      </c>
      <c r="I497" s="30" t="s">
        <v>525</v>
      </c>
      <c r="J497" s="24"/>
      <c r="K497" s="24" t="s">
        <v>199</v>
      </c>
      <c r="L497" s="24" t="s">
        <v>199</v>
      </c>
      <c r="M497" s="24">
        <v>1910</v>
      </c>
      <c r="N497" s="24" t="s">
        <v>527</v>
      </c>
      <c r="O497" s="24">
        <v>6</v>
      </c>
      <c r="P497" s="24">
        <v>0</v>
      </c>
      <c r="Q497" s="24">
        <v>2</v>
      </c>
      <c r="R497" s="24">
        <v>30</v>
      </c>
      <c r="S497" s="24">
        <v>2347.4</v>
      </c>
      <c r="T497" s="24">
        <v>2347.4</v>
      </c>
      <c r="U497" s="24">
        <v>2347.4</v>
      </c>
      <c r="V497" s="24">
        <v>0</v>
      </c>
      <c r="W497" s="24" t="s">
        <v>528</v>
      </c>
      <c r="X497" s="24" t="s">
        <v>528</v>
      </c>
      <c r="Y497" s="24" t="s">
        <v>529</v>
      </c>
      <c r="Z497" s="102" t="s">
        <v>528</v>
      </c>
      <c r="AA497" s="24" t="s">
        <v>528</v>
      </c>
      <c r="AB497" s="24" t="s">
        <v>528</v>
      </c>
      <c r="AC497" s="24" t="s">
        <v>528</v>
      </c>
      <c r="AD497" s="24" t="s">
        <v>528</v>
      </c>
      <c r="AE497" s="24" t="s">
        <v>529</v>
      </c>
      <c r="AF497" s="24">
        <v>1</v>
      </c>
      <c r="AG497" s="24" t="s">
        <v>529</v>
      </c>
      <c r="AH497" s="24" t="s">
        <v>529</v>
      </c>
      <c r="AI497" s="24" t="s">
        <v>529</v>
      </c>
      <c r="AJ497" s="24" t="s">
        <v>529</v>
      </c>
      <c r="AK497" s="24" t="s">
        <v>530</v>
      </c>
      <c r="AL497" s="24"/>
    </row>
    <row r="498" spans="1:38" ht="31.2" x14ac:dyDescent="0.3">
      <c r="A498" s="53">
        <v>491</v>
      </c>
      <c r="B498" s="24" t="s">
        <v>544</v>
      </c>
      <c r="C498" s="24" t="s">
        <v>521</v>
      </c>
      <c r="D498" s="82" t="s">
        <v>219</v>
      </c>
      <c r="E498" s="24" t="s">
        <v>1132</v>
      </c>
      <c r="F498" s="24" t="s">
        <v>200</v>
      </c>
      <c r="G498" s="24"/>
      <c r="H498" s="24" t="s">
        <v>1185</v>
      </c>
      <c r="I498" s="30" t="s">
        <v>525</v>
      </c>
      <c r="J498" s="24"/>
      <c r="K498" s="24" t="s">
        <v>1138</v>
      </c>
      <c r="L498" s="24" t="s">
        <v>199</v>
      </c>
      <c r="M498" s="24">
        <v>1957</v>
      </c>
      <c r="N498" s="24" t="s">
        <v>527</v>
      </c>
      <c r="O498" s="24">
        <v>5</v>
      </c>
      <c r="P498" s="24">
        <v>0</v>
      </c>
      <c r="Q498" s="24">
        <v>10</v>
      </c>
      <c r="R498" s="24">
        <v>18</v>
      </c>
      <c r="S498" s="24">
        <v>6337.7</v>
      </c>
      <c r="T498" s="24">
        <v>6337.7</v>
      </c>
      <c r="U498" s="24">
        <v>2128.6999999999998</v>
      </c>
      <c r="V498" s="24">
        <v>4209</v>
      </c>
      <c r="W498" s="24" t="s">
        <v>528</v>
      </c>
      <c r="X498" s="24" t="s">
        <v>528</v>
      </c>
      <c r="Y498" s="24" t="s">
        <v>528</v>
      </c>
      <c r="Z498" s="102" t="s">
        <v>528</v>
      </c>
      <c r="AA498" s="24" t="s">
        <v>528</v>
      </c>
      <c r="AB498" s="24" t="s">
        <v>528</v>
      </c>
      <c r="AC498" s="24" t="s">
        <v>529</v>
      </c>
      <c r="AD498" s="24" t="s">
        <v>528</v>
      </c>
      <c r="AE498" s="24" t="s">
        <v>529</v>
      </c>
      <c r="AF498" s="24">
        <v>0</v>
      </c>
      <c r="AG498" s="24" t="s">
        <v>529</v>
      </c>
      <c r="AH498" s="24" t="s">
        <v>1175</v>
      </c>
      <c r="AI498" s="24" t="s">
        <v>1175</v>
      </c>
      <c r="AJ498" s="24" t="s">
        <v>1175</v>
      </c>
      <c r="AK498" s="24" t="s">
        <v>530</v>
      </c>
      <c r="AL498" s="24"/>
    </row>
    <row r="499" spans="1:38" ht="31.2" x14ac:dyDescent="0.3">
      <c r="A499" s="53">
        <v>492</v>
      </c>
      <c r="B499" s="24" t="s">
        <v>544</v>
      </c>
      <c r="C499" s="24" t="s">
        <v>521</v>
      </c>
      <c r="D499" s="82" t="s">
        <v>219</v>
      </c>
      <c r="E499" s="24" t="s">
        <v>1186</v>
      </c>
      <c r="F499" s="24" t="s">
        <v>200</v>
      </c>
      <c r="G499" s="24"/>
      <c r="H499" s="24" t="s">
        <v>1187</v>
      </c>
      <c r="I499" s="30" t="s">
        <v>525</v>
      </c>
      <c r="J499" s="24"/>
      <c r="K499" s="24" t="s">
        <v>199</v>
      </c>
      <c r="L499" s="24" t="s">
        <v>199</v>
      </c>
      <c r="M499" s="24">
        <v>1909</v>
      </c>
      <c r="N499" s="24" t="s">
        <v>527</v>
      </c>
      <c r="O499" s="24">
        <v>4</v>
      </c>
      <c r="P499" s="24">
        <v>0</v>
      </c>
      <c r="Q499" s="24">
        <v>2</v>
      </c>
      <c r="R499" s="24">
        <v>6</v>
      </c>
      <c r="S499" s="24">
        <v>707.2</v>
      </c>
      <c r="T499" s="24">
        <v>707.2</v>
      </c>
      <c r="U499" s="24">
        <v>632.20000000000005</v>
      </c>
      <c r="V499" s="24">
        <v>75</v>
      </c>
      <c r="W499" s="24" t="s">
        <v>528</v>
      </c>
      <c r="X499" s="24" t="s">
        <v>528</v>
      </c>
      <c r="Y499" s="24" t="s">
        <v>529</v>
      </c>
      <c r="Z499" s="102" t="s">
        <v>528</v>
      </c>
      <c r="AA499" s="24" t="s">
        <v>528</v>
      </c>
      <c r="AB499" s="24" t="s">
        <v>528</v>
      </c>
      <c r="AC499" s="24" t="s">
        <v>528</v>
      </c>
      <c r="AD499" s="24" t="s">
        <v>528</v>
      </c>
      <c r="AE499" s="24" t="s">
        <v>529</v>
      </c>
      <c r="AF499" s="24">
        <v>0</v>
      </c>
      <c r="AG499" s="24" t="s">
        <v>529</v>
      </c>
      <c r="AH499" s="24" t="s">
        <v>1175</v>
      </c>
      <c r="AI499" s="24" t="s">
        <v>529</v>
      </c>
      <c r="AJ499" s="24" t="s">
        <v>1175</v>
      </c>
      <c r="AK499" s="24" t="s">
        <v>530</v>
      </c>
      <c r="AL499" s="24"/>
    </row>
    <row r="500" spans="1:38" ht="31.2" x14ac:dyDescent="0.3">
      <c r="A500" s="53">
        <v>493</v>
      </c>
      <c r="B500" s="24" t="s">
        <v>544</v>
      </c>
      <c r="C500" s="24" t="s">
        <v>521</v>
      </c>
      <c r="D500" s="82" t="s">
        <v>219</v>
      </c>
      <c r="E500" s="24" t="s">
        <v>1186</v>
      </c>
      <c r="F500" s="24" t="s">
        <v>205</v>
      </c>
      <c r="G500" s="24"/>
      <c r="H500" s="24" t="s">
        <v>1188</v>
      </c>
      <c r="I500" s="30" t="s">
        <v>525</v>
      </c>
      <c r="J500" s="24" t="s">
        <v>197</v>
      </c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102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</row>
    <row r="501" spans="1:38" ht="31.2" x14ac:dyDescent="0.3">
      <c r="A501" s="53">
        <v>494</v>
      </c>
      <c r="B501" s="24" t="s">
        <v>544</v>
      </c>
      <c r="C501" s="24" t="s">
        <v>521</v>
      </c>
      <c r="D501" s="82" t="s">
        <v>219</v>
      </c>
      <c r="E501" s="24" t="s">
        <v>1189</v>
      </c>
      <c r="F501" s="24" t="s">
        <v>200</v>
      </c>
      <c r="G501" s="24"/>
      <c r="H501" s="24" t="s">
        <v>1190</v>
      </c>
      <c r="I501" s="30" t="s">
        <v>525</v>
      </c>
      <c r="J501" s="24"/>
      <c r="K501" s="24" t="s">
        <v>199</v>
      </c>
      <c r="L501" s="24" t="s">
        <v>199</v>
      </c>
      <c r="M501" s="24">
        <v>1905</v>
      </c>
      <c r="N501" s="24" t="s">
        <v>527</v>
      </c>
      <c r="O501" s="24">
        <v>5</v>
      </c>
      <c r="P501" s="24">
        <v>0</v>
      </c>
      <c r="Q501" s="24">
        <v>5</v>
      </c>
      <c r="R501" s="24">
        <v>103</v>
      </c>
      <c r="S501" s="24">
        <v>9695.2000000000007</v>
      </c>
      <c r="T501" s="24">
        <v>9695.2000000000007</v>
      </c>
      <c r="U501" s="24">
        <v>7927.67</v>
      </c>
      <c r="V501" s="24">
        <v>1767.53</v>
      </c>
      <c r="W501" s="24" t="s">
        <v>528</v>
      </c>
      <c r="X501" s="24" t="s">
        <v>528</v>
      </c>
      <c r="Y501" s="24" t="s">
        <v>529</v>
      </c>
      <c r="Z501" s="102" t="s">
        <v>528</v>
      </c>
      <c r="AA501" s="24" t="s">
        <v>528</v>
      </c>
      <c r="AB501" s="24" t="s">
        <v>528</v>
      </c>
      <c r="AC501" s="24" t="s">
        <v>528</v>
      </c>
      <c r="AD501" s="24" t="s">
        <v>528</v>
      </c>
      <c r="AE501" s="24" t="s">
        <v>529</v>
      </c>
      <c r="AF501" s="24">
        <v>2</v>
      </c>
      <c r="AG501" s="24" t="s">
        <v>529</v>
      </c>
      <c r="AH501" s="24" t="s">
        <v>1175</v>
      </c>
      <c r="AI501" s="24" t="s">
        <v>529</v>
      </c>
      <c r="AJ501" s="24" t="s">
        <v>1175</v>
      </c>
      <c r="AK501" s="24" t="s">
        <v>530</v>
      </c>
      <c r="AL501" s="24"/>
    </row>
    <row r="502" spans="1:38" ht="31.2" x14ac:dyDescent="0.3">
      <c r="A502" s="53">
        <v>495</v>
      </c>
      <c r="B502" s="24" t="s">
        <v>544</v>
      </c>
      <c r="C502" s="24" t="s">
        <v>521</v>
      </c>
      <c r="D502" s="82" t="s">
        <v>219</v>
      </c>
      <c r="E502" s="24" t="s">
        <v>1191</v>
      </c>
      <c r="F502" s="24" t="s">
        <v>200</v>
      </c>
      <c r="G502" s="24"/>
      <c r="H502" s="24" t="s">
        <v>1192</v>
      </c>
      <c r="I502" s="30" t="s">
        <v>525</v>
      </c>
      <c r="J502" s="24"/>
      <c r="K502" s="24" t="s">
        <v>199</v>
      </c>
      <c r="L502" s="24" t="s">
        <v>199</v>
      </c>
      <c r="M502" s="24">
        <v>1894</v>
      </c>
      <c r="N502" s="24" t="s">
        <v>527</v>
      </c>
      <c r="O502" s="24">
        <v>4</v>
      </c>
      <c r="P502" s="24">
        <v>0</v>
      </c>
      <c r="Q502" s="24">
        <v>5</v>
      </c>
      <c r="R502" s="24">
        <v>30</v>
      </c>
      <c r="S502" s="24">
        <v>2275.6999999999998</v>
      </c>
      <c r="T502" s="24">
        <v>2275.6999999999998</v>
      </c>
      <c r="U502" s="24">
        <v>494.1</v>
      </c>
      <c r="V502" s="24">
        <v>1781.6</v>
      </c>
      <c r="W502" s="24" t="s">
        <v>528</v>
      </c>
      <c r="X502" s="24" t="s">
        <v>528</v>
      </c>
      <c r="Y502" s="24" t="s">
        <v>529</v>
      </c>
      <c r="Z502" s="102" t="s">
        <v>528</v>
      </c>
      <c r="AA502" s="24" t="s">
        <v>528</v>
      </c>
      <c r="AB502" s="24" t="s">
        <v>528</v>
      </c>
      <c r="AC502" s="24" t="s">
        <v>528</v>
      </c>
      <c r="AD502" s="24" t="s">
        <v>528</v>
      </c>
      <c r="AE502" s="24" t="s">
        <v>529</v>
      </c>
      <c r="AF502" s="24">
        <v>0</v>
      </c>
      <c r="AG502" s="24" t="s">
        <v>529</v>
      </c>
      <c r="AH502" s="24" t="s">
        <v>1175</v>
      </c>
      <c r="AI502" s="24" t="s">
        <v>529</v>
      </c>
      <c r="AJ502" s="24" t="s">
        <v>1175</v>
      </c>
      <c r="AK502" s="24" t="s">
        <v>530</v>
      </c>
      <c r="AL502" s="24"/>
    </row>
    <row r="503" spans="1:38" ht="31.2" x14ac:dyDescent="0.3">
      <c r="A503" s="53">
        <v>496</v>
      </c>
      <c r="B503" s="24" t="s">
        <v>544</v>
      </c>
      <c r="C503" s="24" t="s">
        <v>521</v>
      </c>
      <c r="D503" s="82" t="s">
        <v>219</v>
      </c>
      <c r="E503" s="24" t="s">
        <v>1193</v>
      </c>
      <c r="F503" s="24" t="s">
        <v>200</v>
      </c>
      <c r="G503" s="24"/>
      <c r="H503" s="24" t="s">
        <v>1194</v>
      </c>
      <c r="I503" s="30" t="s">
        <v>525</v>
      </c>
      <c r="J503" s="24" t="s">
        <v>1195</v>
      </c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102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</row>
    <row r="504" spans="1:38" ht="31.2" x14ac:dyDescent="0.3">
      <c r="A504" s="53">
        <v>497</v>
      </c>
      <c r="B504" s="24" t="s">
        <v>544</v>
      </c>
      <c r="C504" s="24" t="s">
        <v>521</v>
      </c>
      <c r="D504" s="82" t="s">
        <v>219</v>
      </c>
      <c r="E504" s="24" t="s">
        <v>1196</v>
      </c>
      <c r="F504" s="24" t="s">
        <v>200</v>
      </c>
      <c r="G504" s="24"/>
      <c r="H504" s="24" t="s">
        <v>1197</v>
      </c>
      <c r="I504" s="30" t="s">
        <v>525</v>
      </c>
      <c r="J504" s="24"/>
      <c r="K504" s="24" t="s">
        <v>199</v>
      </c>
      <c r="L504" s="24" t="s">
        <v>199</v>
      </c>
      <c r="M504" s="24">
        <v>1877</v>
      </c>
      <c r="N504" s="24" t="s">
        <v>527</v>
      </c>
      <c r="O504" s="24">
        <v>3</v>
      </c>
      <c r="P504" s="24">
        <v>0</v>
      </c>
      <c r="Q504" s="24">
        <v>1</v>
      </c>
      <c r="R504" s="24">
        <v>6</v>
      </c>
      <c r="S504" s="24">
        <v>421.4</v>
      </c>
      <c r="T504" s="24">
        <v>421.4</v>
      </c>
      <c r="U504" s="24">
        <v>421.4</v>
      </c>
      <c r="V504" s="24">
        <v>0</v>
      </c>
      <c r="W504" s="24" t="s">
        <v>528</v>
      </c>
      <c r="X504" s="24" t="s">
        <v>528</v>
      </c>
      <c r="Y504" s="24" t="s">
        <v>529</v>
      </c>
      <c r="Z504" s="102" t="s">
        <v>528</v>
      </c>
      <c r="AA504" s="24" t="s">
        <v>528</v>
      </c>
      <c r="AB504" s="24" t="s">
        <v>528</v>
      </c>
      <c r="AC504" s="24"/>
      <c r="AD504" s="24" t="s">
        <v>528</v>
      </c>
      <c r="AE504" s="24" t="s">
        <v>529</v>
      </c>
      <c r="AF504" s="24">
        <v>0</v>
      </c>
      <c r="AG504" s="24" t="s">
        <v>529</v>
      </c>
      <c r="AH504" s="24" t="s">
        <v>1175</v>
      </c>
      <c r="AI504" s="24" t="s">
        <v>529</v>
      </c>
      <c r="AJ504" s="24" t="s">
        <v>529</v>
      </c>
      <c r="AK504" s="24" t="s">
        <v>530</v>
      </c>
      <c r="AL504" s="24"/>
    </row>
    <row r="505" spans="1:38" ht="31.2" x14ac:dyDescent="0.3">
      <c r="A505" s="53">
        <v>498</v>
      </c>
      <c r="B505" s="24" t="s">
        <v>544</v>
      </c>
      <c r="C505" s="24" t="s">
        <v>521</v>
      </c>
      <c r="D505" s="82" t="s">
        <v>219</v>
      </c>
      <c r="E505" s="24" t="s">
        <v>174</v>
      </c>
      <c r="F505" s="24"/>
      <c r="G505" s="24"/>
      <c r="H505" s="24" t="s">
        <v>1198</v>
      </c>
      <c r="I505" s="30" t="s">
        <v>525</v>
      </c>
      <c r="J505" s="24"/>
      <c r="K505" s="24" t="s">
        <v>1157</v>
      </c>
      <c r="L505" s="24" t="s">
        <v>199</v>
      </c>
      <c r="M505" s="24">
        <v>1938</v>
      </c>
      <c r="N505" s="24" t="s">
        <v>527</v>
      </c>
      <c r="O505" s="24">
        <v>5</v>
      </c>
      <c r="P505" s="24">
        <v>0</v>
      </c>
      <c r="Q505" s="24">
        <v>2</v>
      </c>
      <c r="R505" s="24">
        <v>6</v>
      </c>
      <c r="S505" s="24">
        <v>3687.7</v>
      </c>
      <c r="T505" s="24">
        <v>3687.7</v>
      </c>
      <c r="U505" s="24">
        <v>2781.1</v>
      </c>
      <c r="V505" s="24">
        <v>906.6</v>
      </c>
      <c r="W505" s="24" t="s">
        <v>528</v>
      </c>
      <c r="X505" s="24" t="s">
        <v>528</v>
      </c>
      <c r="Y505" s="24" t="s">
        <v>529</v>
      </c>
      <c r="Z505" s="102" t="s">
        <v>528</v>
      </c>
      <c r="AA505" s="24" t="s">
        <v>528</v>
      </c>
      <c r="AB505" s="24" t="s">
        <v>528</v>
      </c>
      <c r="AC505" s="24"/>
      <c r="AD505" s="24" t="s">
        <v>528</v>
      </c>
      <c r="AE505" s="24" t="s">
        <v>529</v>
      </c>
      <c r="AF505" s="24">
        <v>0</v>
      </c>
      <c r="AG505" s="24" t="s">
        <v>529</v>
      </c>
      <c r="AH505" s="24" t="s">
        <v>1175</v>
      </c>
      <c r="AI505" s="24" t="s">
        <v>529</v>
      </c>
      <c r="AJ505" s="24" t="s">
        <v>1175</v>
      </c>
      <c r="AK505" s="24" t="s">
        <v>530</v>
      </c>
      <c r="AL505" s="24"/>
    </row>
    <row r="506" spans="1:38" ht="31.2" x14ac:dyDescent="0.3">
      <c r="A506" s="53">
        <v>499</v>
      </c>
      <c r="B506" s="24" t="s">
        <v>544</v>
      </c>
      <c r="C506" s="24" t="s">
        <v>555</v>
      </c>
      <c r="D506" s="82" t="s">
        <v>201</v>
      </c>
      <c r="E506" s="24" t="s">
        <v>1199</v>
      </c>
      <c r="F506" s="24" t="s">
        <v>200</v>
      </c>
      <c r="G506" s="24"/>
      <c r="H506" s="24" t="s">
        <v>1200</v>
      </c>
      <c r="I506" s="30" t="s">
        <v>525</v>
      </c>
      <c r="J506" s="24" t="s">
        <v>535</v>
      </c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102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</row>
    <row r="507" spans="1:38" ht="31.2" x14ac:dyDescent="0.3">
      <c r="A507" s="53">
        <v>500</v>
      </c>
      <c r="B507" s="24" t="s">
        <v>544</v>
      </c>
      <c r="C507" s="24" t="s">
        <v>555</v>
      </c>
      <c r="D507" s="82" t="s">
        <v>201</v>
      </c>
      <c r="E507" s="24" t="s">
        <v>1201</v>
      </c>
      <c r="F507" s="24" t="s">
        <v>200</v>
      </c>
      <c r="G507" s="24"/>
      <c r="H507" s="24" t="s">
        <v>1202</v>
      </c>
      <c r="I507" s="30" t="s">
        <v>525</v>
      </c>
      <c r="J507" s="24"/>
      <c r="K507" s="24" t="s">
        <v>199</v>
      </c>
      <c r="L507" s="24" t="s">
        <v>199</v>
      </c>
      <c r="M507" s="24">
        <v>1906</v>
      </c>
      <c r="N507" s="24" t="s">
        <v>527</v>
      </c>
      <c r="O507" s="24">
        <v>4</v>
      </c>
      <c r="P507" s="24">
        <v>0</v>
      </c>
      <c r="Q507" s="24">
        <v>3</v>
      </c>
      <c r="R507" s="24">
        <v>34</v>
      </c>
      <c r="S507" s="24">
        <v>1897.29</v>
      </c>
      <c r="T507" s="24">
        <v>1897.29</v>
      </c>
      <c r="U507" s="24">
        <v>1355.29</v>
      </c>
      <c r="V507" s="24">
        <v>542</v>
      </c>
      <c r="W507" s="24" t="s">
        <v>528</v>
      </c>
      <c r="X507" s="24" t="s">
        <v>528</v>
      </c>
      <c r="Y507" s="24" t="s">
        <v>529</v>
      </c>
      <c r="Z507" s="102" t="s">
        <v>528</v>
      </c>
      <c r="AA507" s="24" t="s">
        <v>528</v>
      </c>
      <c r="AB507" s="24" t="s">
        <v>528</v>
      </c>
      <c r="AC507" s="24" t="s">
        <v>528</v>
      </c>
      <c r="AD507" s="24" t="s">
        <v>528</v>
      </c>
      <c r="AE507" s="24" t="s">
        <v>529</v>
      </c>
      <c r="AF507" s="24">
        <v>1</v>
      </c>
      <c r="AG507" s="24" t="s">
        <v>529</v>
      </c>
      <c r="AH507" s="24" t="s">
        <v>1175</v>
      </c>
      <c r="AI507" s="24" t="s">
        <v>529</v>
      </c>
      <c r="AJ507" s="24" t="s">
        <v>529</v>
      </c>
      <c r="AK507" s="24" t="s">
        <v>530</v>
      </c>
      <c r="AL507" s="24"/>
    </row>
    <row r="508" spans="1:38" ht="31.2" x14ac:dyDescent="0.3">
      <c r="A508" s="53">
        <v>501</v>
      </c>
      <c r="B508" s="24" t="s">
        <v>544</v>
      </c>
      <c r="C508" s="24" t="s">
        <v>555</v>
      </c>
      <c r="D508" s="82" t="s">
        <v>201</v>
      </c>
      <c r="E508" s="24" t="s">
        <v>1201</v>
      </c>
      <c r="F508" s="24" t="s">
        <v>205</v>
      </c>
      <c r="G508" s="24"/>
      <c r="H508" s="24" t="s">
        <v>1203</v>
      </c>
      <c r="I508" s="30" t="s">
        <v>525</v>
      </c>
      <c r="J508" s="24"/>
      <c r="K508" s="24" t="s">
        <v>199</v>
      </c>
      <c r="L508" s="24" t="s">
        <v>199</v>
      </c>
      <c r="M508" s="24">
        <v>1906</v>
      </c>
      <c r="N508" s="24" t="s">
        <v>527</v>
      </c>
      <c r="O508" s="24">
        <v>5</v>
      </c>
      <c r="P508" s="24">
        <v>0</v>
      </c>
      <c r="Q508" s="24">
        <v>2</v>
      </c>
      <c r="R508" s="24">
        <v>16</v>
      </c>
      <c r="S508" s="24">
        <v>1314.19</v>
      </c>
      <c r="T508" s="24">
        <v>1314.19</v>
      </c>
      <c r="U508" s="24">
        <v>1314.19</v>
      </c>
      <c r="V508" s="24">
        <v>0</v>
      </c>
      <c r="W508" s="24" t="s">
        <v>528</v>
      </c>
      <c r="X508" s="24" t="s">
        <v>528</v>
      </c>
      <c r="Y508" s="24" t="s">
        <v>529</v>
      </c>
      <c r="Z508" s="102" t="s">
        <v>528</v>
      </c>
      <c r="AA508" s="24" t="s">
        <v>528</v>
      </c>
      <c r="AB508" s="24" t="s">
        <v>528</v>
      </c>
      <c r="AC508" s="24" t="s">
        <v>528</v>
      </c>
      <c r="AD508" s="24" t="s">
        <v>528</v>
      </c>
      <c r="AE508" s="24" t="s">
        <v>529</v>
      </c>
      <c r="AF508" s="24">
        <v>0</v>
      </c>
      <c r="AG508" s="24" t="s">
        <v>529</v>
      </c>
      <c r="AH508" s="24" t="s">
        <v>529</v>
      </c>
      <c r="AI508" s="24" t="s">
        <v>529</v>
      </c>
      <c r="AJ508" s="24" t="s">
        <v>529</v>
      </c>
      <c r="AK508" s="24" t="s">
        <v>530</v>
      </c>
      <c r="AL508" s="24"/>
    </row>
    <row r="509" spans="1:38" ht="31.2" x14ac:dyDescent="0.3">
      <c r="A509" s="53">
        <v>502</v>
      </c>
      <c r="B509" s="24" t="s">
        <v>544</v>
      </c>
      <c r="C509" s="24" t="s">
        <v>555</v>
      </c>
      <c r="D509" s="82" t="s">
        <v>201</v>
      </c>
      <c r="E509" s="24" t="s">
        <v>1204</v>
      </c>
      <c r="F509" s="24" t="s">
        <v>200</v>
      </c>
      <c r="G509" s="24"/>
      <c r="H509" s="24" t="s">
        <v>1205</v>
      </c>
      <c r="I509" s="30" t="s">
        <v>525</v>
      </c>
      <c r="J509" s="24"/>
      <c r="K509" s="24" t="s">
        <v>199</v>
      </c>
      <c r="L509" s="24" t="s">
        <v>199</v>
      </c>
      <c r="M509" s="24">
        <v>1911</v>
      </c>
      <c r="N509" s="24" t="s">
        <v>527</v>
      </c>
      <c r="O509" s="24">
        <v>4</v>
      </c>
      <c r="P509" s="24">
        <v>0</v>
      </c>
      <c r="Q509" s="24">
        <v>7</v>
      </c>
      <c r="R509" s="24">
        <v>59</v>
      </c>
      <c r="S509" s="24">
        <v>4351.58</v>
      </c>
      <c r="T509" s="24">
        <v>4351.58</v>
      </c>
      <c r="U509" s="24">
        <v>3831.68</v>
      </c>
      <c r="V509" s="24">
        <v>519.9</v>
      </c>
      <c r="W509" s="24" t="s">
        <v>528</v>
      </c>
      <c r="X509" s="24" t="s">
        <v>528</v>
      </c>
      <c r="Y509" s="24" t="s">
        <v>529</v>
      </c>
      <c r="Z509" s="102" t="s">
        <v>528</v>
      </c>
      <c r="AA509" s="24" t="s">
        <v>528</v>
      </c>
      <c r="AB509" s="24" t="s">
        <v>528</v>
      </c>
      <c r="AC509" s="24" t="s">
        <v>528</v>
      </c>
      <c r="AD509" s="24" t="s">
        <v>528</v>
      </c>
      <c r="AE509" s="24" t="s">
        <v>529</v>
      </c>
      <c r="AF509" s="24">
        <v>0</v>
      </c>
      <c r="AG509" s="24" t="s">
        <v>529</v>
      </c>
      <c r="AH509" s="24" t="s">
        <v>1175</v>
      </c>
      <c r="AI509" s="24" t="s">
        <v>529</v>
      </c>
      <c r="AJ509" s="24" t="s">
        <v>1175</v>
      </c>
      <c r="AK509" s="24" t="s">
        <v>530</v>
      </c>
      <c r="AL509" s="24"/>
    </row>
    <row r="510" spans="1:38" ht="31.2" x14ac:dyDescent="0.3">
      <c r="A510" s="53">
        <v>503</v>
      </c>
      <c r="B510" s="24" t="s">
        <v>544</v>
      </c>
      <c r="C510" s="24" t="s">
        <v>555</v>
      </c>
      <c r="D510" s="82" t="s">
        <v>201</v>
      </c>
      <c r="E510" s="24" t="s">
        <v>1206</v>
      </c>
      <c r="F510" s="24" t="s">
        <v>200</v>
      </c>
      <c r="G510" s="24"/>
      <c r="H510" s="24" t="s">
        <v>1207</v>
      </c>
      <c r="I510" s="30" t="s">
        <v>525</v>
      </c>
      <c r="J510" s="24"/>
      <c r="K510" s="24" t="s">
        <v>1157</v>
      </c>
      <c r="L510" s="24" t="s">
        <v>199</v>
      </c>
      <c r="M510" s="24">
        <v>1952</v>
      </c>
      <c r="N510" s="24" t="s">
        <v>527</v>
      </c>
      <c r="O510" s="24">
        <v>5</v>
      </c>
      <c r="P510" s="24">
        <v>0</v>
      </c>
      <c r="Q510" s="24">
        <v>4</v>
      </c>
      <c r="R510" s="24">
        <v>61</v>
      </c>
      <c r="S510" s="24">
        <v>5347.2</v>
      </c>
      <c r="T510" s="24">
        <v>5347.2</v>
      </c>
      <c r="U510" s="24">
        <v>4261.2</v>
      </c>
      <c r="V510" s="24">
        <v>1086</v>
      </c>
      <c r="W510" s="24" t="s">
        <v>528</v>
      </c>
      <c r="X510" s="24" t="s">
        <v>528</v>
      </c>
      <c r="Y510" s="24" t="s">
        <v>529</v>
      </c>
      <c r="Z510" s="102" t="s">
        <v>528</v>
      </c>
      <c r="AA510" s="24" t="s">
        <v>528</v>
      </c>
      <c r="AB510" s="24" t="s">
        <v>528</v>
      </c>
      <c r="AC510" s="24" t="s">
        <v>528</v>
      </c>
      <c r="AD510" s="24" t="s">
        <v>528</v>
      </c>
      <c r="AE510" s="24" t="s">
        <v>529</v>
      </c>
      <c r="AF510" s="24">
        <v>0</v>
      </c>
      <c r="AG510" s="24" t="s">
        <v>529</v>
      </c>
      <c r="AH510" s="24" t="s">
        <v>1175</v>
      </c>
      <c r="AI510" s="24" t="s">
        <v>529</v>
      </c>
      <c r="AJ510" s="24" t="s">
        <v>1175</v>
      </c>
      <c r="AK510" s="24" t="s">
        <v>530</v>
      </c>
      <c r="AL510" s="24"/>
    </row>
    <row r="511" spans="1:38" ht="31.2" x14ac:dyDescent="0.3">
      <c r="A511" s="53">
        <v>504</v>
      </c>
      <c r="B511" s="24" t="s">
        <v>544</v>
      </c>
      <c r="C511" s="24" t="s">
        <v>521</v>
      </c>
      <c r="D511" s="82" t="s">
        <v>513</v>
      </c>
      <c r="E511" s="24" t="s">
        <v>1208</v>
      </c>
      <c r="F511" s="24" t="s">
        <v>200</v>
      </c>
      <c r="G511" s="24"/>
      <c r="H511" s="24" t="s">
        <v>1209</v>
      </c>
      <c r="I511" s="30" t="s">
        <v>525</v>
      </c>
      <c r="J511" s="24"/>
      <c r="K511" s="24" t="s">
        <v>199</v>
      </c>
      <c r="L511" s="24" t="s">
        <v>199</v>
      </c>
      <c r="M511" s="24">
        <v>1901</v>
      </c>
      <c r="N511" s="24" t="s">
        <v>527</v>
      </c>
      <c r="O511" s="24">
        <v>6</v>
      </c>
      <c r="P511" s="24">
        <v>0</v>
      </c>
      <c r="Q511" s="24">
        <v>3</v>
      </c>
      <c r="R511" s="24">
        <v>39</v>
      </c>
      <c r="S511" s="24">
        <v>3309.9</v>
      </c>
      <c r="T511" s="24">
        <v>3309.9</v>
      </c>
      <c r="U511" s="24">
        <v>3309.9</v>
      </c>
      <c r="V511" s="24">
        <v>0</v>
      </c>
      <c r="W511" s="24" t="s">
        <v>528</v>
      </c>
      <c r="X511" s="24" t="s">
        <v>528</v>
      </c>
      <c r="Y511" s="24" t="s">
        <v>529</v>
      </c>
      <c r="Z511" s="102" t="s">
        <v>528</v>
      </c>
      <c r="AA511" s="24" t="s">
        <v>528</v>
      </c>
      <c r="AB511" s="24" t="s">
        <v>528</v>
      </c>
      <c r="AC511" s="24" t="s">
        <v>528</v>
      </c>
      <c r="AD511" s="24" t="s">
        <v>528</v>
      </c>
      <c r="AE511" s="24" t="s">
        <v>529</v>
      </c>
      <c r="AF511" s="24">
        <v>2</v>
      </c>
      <c r="AG511" s="24" t="s">
        <v>529</v>
      </c>
      <c r="AH511" s="24" t="s">
        <v>1175</v>
      </c>
      <c r="AI511" s="24" t="s">
        <v>529</v>
      </c>
      <c r="AJ511" s="24" t="s">
        <v>1175</v>
      </c>
      <c r="AK511" s="24" t="s">
        <v>530</v>
      </c>
      <c r="AL511" s="24"/>
    </row>
    <row r="512" spans="1:38" ht="31.2" x14ac:dyDescent="0.3">
      <c r="A512" s="53">
        <v>505</v>
      </c>
      <c r="B512" s="24" t="s">
        <v>544</v>
      </c>
      <c r="C512" s="24" t="s">
        <v>521</v>
      </c>
      <c r="D512" s="82" t="s">
        <v>1210</v>
      </c>
      <c r="E512" s="24" t="s">
        <v>1175</v>
      </c>
      <c r="F512" s="24" t="s">
        <v>200</v>
      </c>
      <c r="G512" s="24"/>
      <c r="H512" s="24" t="s">
        <v>1211</v>
      </c>
      <c r="I512" s="30" t="s">
        <v>525</v>
      </c>
      <c r="J512" s="24"/>
      <c r="K512" s="24" t="s">
        <v>199</v>
      </c>
      <c r="L512" s="24" t="s">
        <v>199</v>
      </c>
      <c r="M512" s="24">
        <v>1909</v>
      </c>
      <c r="N512" s="24" t="s">
        <v>527</v>
      </c>
      <c r="O512" s="24">
        <v>6</v>
      </c>
      <c r="P512" s="24">
        <v>0</v>
      </c>
      <c r="Q512" s="24">
        <v>5</v>
      </c>
      <c r="R512" s="24">
        <v>22</v>
      </c>
      <c r="S512" s="24">
        <v>3962.05</v>
      </c>
      <c r="T512" s="24">
        <v>3962.05</v>
      </c>
      <c r="U512" s="24">
        <v>3110.85</v>
      </c>
      <c r="V512" s="24">
        <v>851.2</v>
      </c>
      <c r="W512" s="24" t="s">
        <v>528</v>
      </c>
      <c r="X512" s="24" t="s">
        <v>528</v>
      </c>
      <c r="Y512" s="24" t="s">
        <v>529</v>
      </c>
      <c r="Z512" s="102" t="s">
        <v>528</v>
      </c>
      <c r="AA512" s="24" t="s">
        <v>528</v>
      </c>
      <c r="AB512" s="24" t="s">
        <v>528</v>
      </c>
      <c r="AC512" s="24" t="s">
        <v>528</v>
      </c>
      <c r="AD512" s="24" t="s">
        <v>528</v>
      </c>
      <c r="AE512" s="24" t="s">
        <v>529</v>
      </c>
      <c r="AF512" s="24" t="s">
        <v>1212</v>
      </c>
      <c r="AG512" s="24" t="s">
        <v>529</v>
      </c>
      <c r="AH512" s="24" t="s">
        <v>1175</v>
      </c>
      <c r="AI512" s="24" t="s">
        <v>529</v>
      </c>
      <c r="AJ512" s="24" t="s">
        <v>1175</v>
      </c>
      <c r="AK512" s="24" t="s">
        <v>530</v>
      </c>
      <c r="AL512" s="24"/>
    </row>
    <row r="513" spans="1:38" ht="31.2" x14ac:dyDescent="0.3">
      <c r="A513" s="53">
        <v>506</v>
      </c>
      <c r="B513" s="24" t="s">
        <v>544</v>
      </c>
      <c r="C513" s="24" t="s">
        <v>521</v>
      </c>
      <c r="D513" s="82" t="s">
        <v>478</v>
      </c>
      <c r="E513" s="24" t="s">
        <v>1175</v>
      </c>
      <c r="F513" s="24" t="s">
        <v>200</v>
      </c>
      <c r="G513" s="24"/>
      <c r="H513" s="24" t="s">
        <v>1213</v>
      </c>
      <c r="I513" s="30" t="s">
        <v>525</v>
      </c>
      <c r="J513" s="24"/>
      <c r="K513" s="24" t="s">
        <v>199</v>
      </c>
      <c r="L513" s="24" t="s">
        <v>199</v>
      </c>
      <c r="M513" s="24">
        <v>1898</v>
      </c>
      <c r="N513" s="24" t="s">
        <v>527</v>
      </c>
      <c r="O513" s="24">
        <v>5</v>
      </c>
      <c r="P513" s="24">
        <v>0</v>
      </c>
      <c r="Q513" s="24">
        <v>2</v>
      </c>
      <c r="R513" s="24">
        <v>24</v>
      </c>
      <c r="S513" s="24">
        <v>1808.6</v>
      </c>
      <c r="T513" s="24">
        <v>1808.6</v>
      </c>
      <c r="U513" s="24">
        <v>1702.6</v>
      </c>
      <c r="V513" s="24">
        <v>106</v>
      </c>
      <c r="W513" s="24" t="s">
        <v>528</v>
      </c>
      <c r="X513" s="24" t="s">
        <v>528</v>
      </c>
      <c r="Y513" s="24" t="s">
        <v>529</v>
      </c>
      <c r="Z513" s="102" t="s">
        <v>528</v>
      </c>
      <c r="AA513" s="24" t="s">
        <v>528</v>
      </c>
      <c r="AB513" s="24" t="s">
        <v>528</v>
      </c>
      <c r="AC513" s="24" t="s">
        <v>528</v>
      </c>
      <c r="AD513" s="24" t="s">
        <v>528</v>
      </c>
      <c r="AE513" s="24" t="s">
        <v>529</v>
      </c>
      <c r="AF513" s="24">
        <v>0</v>
      </c>
      <c r="AG513" s="24" t="s">
        <v>529</v>
      </c>
      <c r="AH513" s="24" t="s">
        <v>1175</v>
      </c>
      <c r="AI513" s="24" t="s">
        <v>529</v>
      </c>
      <c r="AJ513" s="24" t="s">
        <v>529</v>
      </c>
      <c r="AK513" s="24" t="s">
        <v>530</v>
      </c>
      <c r="AL513" s="24"/>
    </row>
    <row r="514" spans="1:38" ht="31.2" x14ac:dyDescent="0.3">
      <c r="A514" s="53">
        <v>507</v>
      </c>
      <c r="B514" s="24" t="s">
        <v>544</v>
      </c>
      <c r="C514" s="24" t="s">
        <v>521</v>
      </c>
      <c r="D514" s="82" t="s">
        <v>478</v>
      </c>
      <c r="E514" s="24" t="s">
        <v>536</v>
      </c>
      <c r="F514" s="24" t="s">
        <v>200</v>
      </c>
      <c r="G514" s="24"/>
      <c r="H514" s="24" t="s">
        <v>1214</v>
      </c>
      <c r="I514" s="30" t="s">
        <v>525</v>
      </c>
      <c r="J514" s="24"/>
      <c r="K514" s="24" t="s">
        <v>199</v>
      </c>
      <c r="L514" s="24" t="s">
        <v>199</v>
      </c>
      <c r="M514" s="24">
        <v>1912</v>
      </c>
      <c r="N514" s="24" t="s">
        <v>527</v>
      </c>
      <c r="O514" s="24">
        <v>6</v>
      </c>
      <c r="P514" s="24">
        <v>0</v>
      </c>
      <c r="Q514" s="24">
        <v>4</v>
      </c>
      <c r="R514" s="24">
        <v>39</v>
      </c>
      <c r="S514" s="24">
        <v>3554.96</v>
      </c>
      <c r="T514" s="24">
        <v>3554.96</v>
      </c>
      <c r="U514" s="24">
        <v>3287.96</v>
      </c>
      <c r="V514" s="24">
        <v>267</v>
      </c>
      <c r="W514" s="24" t="s">
        <v>528</v>
      </c>
      <c r="X514" s="24" t="s">
        <v>528</v>
      </c>
      <c r="Y514" s="24" t="s">
        <v>529</v>
      </c>
      <c r="Z514" s="102" t="s">
        <v>528</v>
      </c>
      <c r="AA514" s="24" t="s">
        <v>528</v>
      </c>
      <c r="AB514" s="24" t="s">
        <v>528</v>
      </c>
      <c r="AC514" s="24" t="s">
        <v>528</v>
      </c>
      <c r="AD514" s="24" t="s">
        <v>528</v>
      </c>
      <c r="AE514" s="24" t="s">
        <v>529</v>
      </c>
      <c r="AF514" s="24">
        <v>1</v>
      </c>
      <c r="AG514" s="24" t="s">
        <v>529</v>
      </c>
      <c r="AH514" s="24" t="s">
        <v>1175</v>
      </c>
      <c r="AI514" s="24" t="s">
        <v>529</v>
      </c>
      <c r="AJ514" s="24" t="s">
        <v>1175</v>
      </c>
      <c r="AK514" s="24" t="s">
        <v>530</v>
      </c>
      <c r="AL514" s="24"/>
    </row>
    <row r="515" spans="1:38" ht="31.2" x14ac:dyDescent="0.3">
      <c r="A515" s="53">
        <v>508</v>
      </c>
      <c r="B515" s="24" t="s">
        <v>544</v>
      </c>
      <c r="C515" s="24" t="s">
        <v>521</v>
      </c>
      <c r="D515" s="82" t="s">
        <v>478</v>
      </c>
      <c r="E515" s="24" t="s">
        <v>1208</v>
      </c>
      <c r="F515" s="24" t="s">
        <v>200</v>
      </c>
      <c r="G515" s="24"/>
      <c r="H515" s="24" t="s">
        <v>1215</v>
      </c>
      <c r="I515" s="30" t="s">
        <v>525</v>
      </c>
      <c r="J515" s="24"/>
      <c r="K515" s="24" t="s">
        <v>199</v>
      </c>
      <c r="L515" s="24" t="s">
        <v>199</v>
      </c>
      <c r="M515" s="24">
        <v>1880</v>
      </c>
      <c r="N515" s="24" t="s">
        <v>527</v>
      </c>
      <c r="O515" s="24">
        <v>5</v>
      </c>
      <c r="P515" s="24">
        <v>0</v>
      </c>
      <c r="Q515" s="24">
        <v>1</v>
      </c>
      <c r="R515" s="24">
        <v>8</v>
      </c>
      <c r="S515" s="24">
        <v>729.17</v>
      </c>
      <c r="T515" s="24">
        <v>729.17</v>
      </c>
      <c r="U515" s="24">
        <v>615.16999999999996</v>
      </c>
      <c r="V515" s="24">
        <v>114</v>
      </c>
      <c r="W515" s="24" t="s">
        <v>528</v>
      </c>
      <c r="X515" s="24" t="s">
        <v>528</v>
      </c>
      <c r="Y515" s="24" t="s">
        <v>529</v>
      </c>
      <c r="Z515" s="102" t="s">
        <v>528</v>
      </c>
      <c r="AA515" s="24" t="s">
        <v>528</v>
      </c>
      <c r="AB515" s="24" t="s">
        <v>528</v>
      </c>
      <c r="AC515" s="24" t="s">
        <v>528</v>
      </c>
      <c r="AD515" s="24" t="s">
        <v>528</v>
      </c>
      <c r="AE515" s="24" t="s">
        <v>529</v>
      </c>
      <c r="AF515" s="24">
        <v>0</v>
      </c>
      <c r="AG515" s="24" t="s">
        <v>529</v>
      </c>
      <c r="AH515" s="24" t="s">
        <v>1175</v>
      </c>
      <c r="AI515" s="24" t="s">
        <v>529</v>
      </c>
      <c r="AJ515" s="24" t="s">
        <v>529</v>
      </c>
      <c r="AK515" s="24" t="s">
        <v>530</v>
      </c>
      <c r="AL515" s="24"/>
    </row>
    <row r="516" spans="1:38" ht="31.2" x14ac:dyDescent="0.3">
      <c r="A516" s="53">
        <v>509</v>
      </c>
      <c r="B516" s="24" t="s">
        <v>544</v>
      </c>
      <c r="C516" s="24" t="s">
        <v>521</v>
      </c>
      <c r="D516" s="82" t="s">
        <v>463</v>
      </c>
      <c r="E516" s="24" t="s">
        <v>1166</v>
      </c>
      <c r="F516" s="24" t="s">
        <v>200</v>
      </c>
      <c r="G516" s="24"/>
      <c r="H516" s="24" t="s">
        <v>1216</v>
      </c>
      <c r="I516" s="30" t="s">
        <v>525</v>
      </c>
      <c r="J516" s="24"/>
      <c r="K516" s="24" t="s">
        <v>199</v>
      </c>
      <c r="L516" s="24" t="s">
        <v>199</v>
      </c>
      <c r="M516" s="24">
        <v>1909</v>
      </c>
      <c r="N516" s="24" t="s">
        <v>527</v>
      </c>
      <c r="O516" s="24">
        <v>6</v>
      </c>
      <c r="P516" s="24">
        <v>0</v>
      </c>
      <c r="Q516" s="24">
        <v>4</v>
      </c>
      <c r="R516" s="24">
        <v>31</v>
      </c>
      <c r="S516" s="24">
        <v>3207.08</v>
      </c>
      <c r="T516" s="24">
        <v>3207.08</v>
      </c>
      <c r="U516" s="24">
        <v>3138.08</v>
      </c>
      <c r="V516" s="24">
        <v>69</v>
      </c>
      <c r="W516" s="24" t="s">
        <v>528</v>
      </c>
      <c r="X516" s="24" t="s">
        <v>528</v>
      </c>
      <c r="Y516" s="24" t="s">
        <v>529</v>
      </c>
      <c r="Z516" s="102" t="s">
        <v>528</v>
      </c>
      <c r="AA516" s="24" t="s">
        <v>528</v>
      </c>
      <c r="AB516" s="24" t="s">
        <v>528</v>
      </c>
      <c r="AC516" s="24" t="s">
        <v>528</v>
      </c>
      <c r="AD516" s="24" t="s">
        <v>528</v>
      </c>
      <c r="AE516" s="24" t="s">
        <v>529</v>
      </c>
      <c r="AF516" s="24">
        <v>0</v>
      </c>
      <c r="AG516" s="24" t="s">
        <v>529</v>
      </c>
      <c r="AH516" s="24" t="s">
        <v>1175</v>
      </c>
      <c r="AI516" s="24" t="s">
        <v>529</v>
      </c>
      <c r="AJ516" s="24" t="s">
        <v>529</v>
      </c>
      <c r="AK516" s="24" t="s">
        <v>530</v>
      </c>
      <c r="AL516" s="24"/>
    </row>
    <row r="517" spans="1:38" ht="31.2" x14ac:dyDescent="0.3">
      <c r="A517" s="53">
        <v>510</v>
      </c>
      <c r="B517" s="24" t="s">
        <v>544</v>
      </c>
      <c r="C517" s="24" t="s">
        <v>521</v>
      </c>
      <c r="D517" s="82" t="s">
        <v>463</v>
      </c>
      <c r="E517" s="24" t="s">
        <v>1217</v>
      </c>
      <c r="F517" s="24" t="s">
        <v>200</v>
      </c>
      <c r="G517" s="24"/>
      <c r="H517" s="24" t="s">
        <v>1218</v>
      </c>
      <c r="I517" s="30" t="s">
        <v>525</v>
      </c>
      <c r="J517" s="24" t="s">
        <v>535</v>
      </c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102"/>
      <c r="AA517" s="24"/>
      <c r="AB517" s="24"/>
      <c r="AC517" s="24" t="s">
        <v>528</v>
      </c>
      <c r="AD517" s="24"/>
      <c r="AE517" s="24"/>
      <c r="AF517" s="24"/>
      <c r="AG517" s="24"/>
      <c r="AH517" s="24"/>
      <c r="AI517" s="24"/>
      <c r="AJ517" s="24"/>
      <c r="AK517" s="24"/>
      <c r="AL517" s="24"/>
    </row>
    <row r="518" spans="1:38" ht="31.2" x14ac:dyDescent="0.3">
      <c r="A518" s="53">
        <v>511</v>
      </c>
      <c r="B518" s="24" t="s">
        <v>544</v>
      </c>
      <c r="C518" s="24" t="s">
        <v>521</v>
      </c>
      <c r="D518" s="82" t="s">
        <v>300</v>
      </c>
      <c r="E518" s="24" t="s">
        <v>712</v>
      </c>
      <c r="F518" s="24" t="s">
        <v>200</v>
      </c>
      <c r="G518" s="24"/>
      <c r="H518" s="24" t="s">
        <v>1219</v>
      </c>
      <c r="I518" s="30" t="s">
        <v>525</v>
      </c>
      <c r="J518" s="24"/>
      <c r="K518" s="24" t="s">
        <v>199</v>
      </c>
      <c r="L518" s="24" t="s">
        <v>199</v>
      </c>
      <c r="M518" s="24">
        <v>1910</v>
      </c>
      <c r="N518" s="24" t="s">
        <v>527</v>
      </c>
      <c r="O518" s="24">
        <v>6</v>
      </c>
      <c r="P518" s="24">
        <v>0</v>
      </c>
      <c r="Q518" s="24">
        <v>3</v>
      </c>
      <c r="R518" s="24">
        <v>33</v>
      </c>
      <c r="S518" s="24">
        <v>2939.4</v>
      </c>
      <c r="T518" s="24">
        <v>2939.4</v>
      </c>
      <c r="U518" s="24">
        <v>2896.1</v>
      </c>
      <c r="V518" s="24">
        <v>43.3</v>
      </c>
      <c r="W518" s="24" t="s">
        <v>528</v>
      </c>
      <c r="X518" s="24" t="s">
        <v>528</v>
      </c>
      <c r="Y518" s="24" t="s">
        <v>529</v>
      </c>
      <c r="Z518" s="102" t="s">
        <v>528</v>
      </c>
      <c r="AA518" s="24" t="s">
        <v>528</v>
      </c>
      <c r="AB518" s="24" t="s">
        <v>528</v>
      </c>
      <c r="AC518" s="24" t="s">
        <v>528</v>
      </c>
      <c r="AD518" s="24" t="s">
        <v>528</v>
      </c>
      <c r="AE518" s="24" t="s">
        <v>529</v>
      </c>
      <c r="AF518" s="24">
        <v>3</v>
      </c>
      <c r="AG518" s="24" t="s">
        <v>529</v>
      </c>
      <c r="AH518" s="24" t="s">
        <v>1175</v>
      </c>
      <c r="AI518" s="24" t="s">
        <v>529</v>
      </c>
      <c r="AJ518" s="24" t="s">
        <v>1175</v>
      </c>
      <c r="AK518" s="24" t="s">
        <v>530</v>
      </c>
      <c r="AL518" s="24"/>
    </row>
    <row r="519" spans="1:38" ht="31.2" x14ac:dyDescent="0.3">
      <c r="A519" s="53">
        <v>512</v>
      </c>
      <c r="B519" s="24" t="s">
        <v>544</v>
      </c>
      <c r="C519" s="24" t="s">
        <v>521</v>
      </c>
      <c r="D519" s="82" t="s">
        <v>300</v>
      </c>
      <c r="E519" s="24" t="s">
        <v>1181</v>
      </c>
      <c r="F519" s="24" t="s">
        <v>200</v>
      </c>
      <c r="G519" s="24"/>
      <c r="H519" s="24" t="s">
        <v>1220</v>
      </c>
      <c r="I519" s="30" t="s">
        <v>525</v>
      </c>
      <c r="J519" s="24"/>
      <c r="K519" s="24" t="s">
        <v>199</v>
      </c>
      <c r="L519" s="24" t="s">
        <v>199</v>
      </c>
      <c r="M519" s="24">
        <v>1898</v>
      </c>
      <c r="N519" s="24" t="s">
        <v>527</v>
      </c>
      <c r="O519" s="24">
        <v>5</v>
      </c>
      <c r="P519" s="24">
        <v>0</v>
      </c>
      <c r="Q519" s="24">
        <v>4</v>
      </c>
      <c r="R519" s="24">
        <v>19</v>
      </c>
      <c r="S519" s="24">
        <v>1381</v>
      </c>
      <c r="T519" s="24">
        <v>1381</v>
      </c>
      <c r="U519" s="24">
        <v>754</v>
      </c>
      <c r="V519" s="24">
        <v>627</v>
      </c>
      <c r="W519" s="24" t="s">
        <v>528</v>
      </c>
      <c r="X519" s="24" t="s">
        <v>528</v>
      </c>
      <c r="Y519" s="24" t="s">
        <v>529</v>
      </c>
      <c r="Z519" s="102" t="s">
        <v>528</v>
      </c>
      <c r="AA519" s="24" t="s">
        <v>528</v>
      </c>
      <c r="AB519" s="24" t="s">
        <v>528</v>
      </c>
      <c r="AC519" s="24" t="s">
        <v>528</v>
      </c>
      <c r="AD519" s="24" t="s">
        <v>528</v>
      </c>
      <c r="AE519" s="24" t="s">
        <v>529</v>
      </c>
      <c r="AF519" s="24">
        <v>0</v>
      </c>
      <c r="AG519" s="24" t="s">
        <v>529</v>
      </c>
      <c r="AH519" s="24" t="s">
        <v>1175</v>
      </c>
      <c r="AI519" s="24" t="s">
        <v>529</v>
      </c>
      <c r="AJ519" s="24" t="s">
        <v>529</v>
      </c>
      <c r="AK519" s="24" t="s">
        <v>530</v>
      </c>
      <c r="AL519" s="24"/>
    </row>
    <row r="520" spans="1:38" ht="31.2" x14ac:dyDescent="0.3">
      <c r="A520" s="53">
        <v>513</v>
      </c>
      <c r="B520" s="24" t="s">
        <v>544</v>
      </c>
      <c r="C520" s="24" t="s">
        <v>521</v>
      </c>
      <c r="D520" s="82" t="s">
        <v>300</v>
      </c>
      <c r="E520" s="24" t="s">
        <v>1181</v>
      </c>
      <c r="F520" s="24" t="s">
        <v>208</v>
      </c>
      <c r="G520" s="24"/>
      <c r="H520" s="24" t="s">
        <v>1221</v>
      </c>
      <c r="I520" s="30" t="s">
        <v>525</v>
      </c>
      <c r="J520" s="24"/>
      <c r="K520" s="24" t="s">
        <v>199</v>
      </c>
      <c r="L520" s="24" t="s">
        <v>199</v>
      </c>
      <c r="M520" s="24">
        <v>1898</v>
      </c>
      <c r="N520" s="24" t="s">
        <v>527</v>
      </c>
      <c r="O520" s="24">
        <v>5</v>
      </c>
      <c r="P520" s="24">
        <v>0</v>
      </c>
      <c r="Q520" s="24">
        <v>1</v>
      </c>
      <c r="R520" s="24">
        <v>24</v>
      </c>
      <c r="S520" s="24">
        <v>830</v>
      </c>
      <c r="T520" s="24">
        <v>830</v>
      </c>
      <c r="U520" s="24">
        <v>830</v>
      </c>
      <c r="V520" s="24">
        <v>0</v>
      </c>
      <c r="W520" s="24" t="s">
        <v>528</v>
      </c>
      <c r="X520" s="24" t="s">
        <v>528</v>
      </c>
      <c r="Y520" s="24" t="s">
        <v>529</v>
      </c>
      <c r="Z520" s="102" t="s">
        <v>528</v>
      </c>
      <c r="AA520" s="24" t="s">
        <v>528</v>
      </c>
      <c r="AB520" s="24" t="s">
        <v>528</v>
      </c>
      <c r="AC520" s="24" t="s">
        <v>528</v>
      </c>
      <c r="AD520" s="24" t="s">
        <v>528</v>
      </c>
      <c r="AE520" s="24" t="s">
        <v>529</v>
      </c>
      <c r="AF520" s="24">
        <v>0</v>
      </c>
      <c r="AG520" s="24" t="s">
        <v>529</v>
      </c>
      <c r="AH520" s="24" t="s">
        <v>529</v>
      </c>
      <c r="AI520" s="24" t="s">
        <v>529</v>
      </c>
      <c r="AJ520" s="24" t="s">
        <v>529</v>
      </c>
      <c r="AK520" s="24" t="s">
        <v>530</v>
      </c>
      <c r="AL520" s="24"/>
    </row>
    <row r="521" spans="1:38" ht="31.2" x14ac:dyDescent="0.3">
      <c r="A521" s="53">
        <v>514</v>
      </c>
      <c r="B521" s="24" t="s">
        <v>544</v>
      </c>
      <c r="C521" s="24" t="s">
        <v>521</v>
      </c>
      <c r="D521" s="82" t="s">
        <v>300</v>
      </c>
      <c r="E521" s="24" t="s">
        <v>1222</v>
      </c>
      <c r="F521" s="24" t="s">
        <v>200</v>
      </c>
      <c r="G521" s="24"/>
      <c r="H521" s="24" t="s">
        <v>1223</v>
      </c>
      <c r="I521" s="30" t="s">
        <v>525</v>
      </c>
      <c r="J521" s="24"/>
      <c r="K521" s="24" t="s">
        <v>199</v>
      </c>
      <c r="L521" s="24" t="s">
        <v>199</v>
      </c>
      <c r="M521" s="24">
        <v>1910</v>
      </c>
      <c r="N521" s="24" t="s">
        <v>527</v>
      </c>
      <c r="O521" s="24">
        <v>6</v>
      </c>
      <c r="P521" s="24">
        <v>0</v>
      </c>
      <c r="Q521" s="24">
        <v>1</v>
      </c>
      <c r="R521" s="24">
        <v>11</v>
      </c>
      <c r="S521" s="24">
        <v>765</v>
      </c>
      <c r="T521" s="24">
        <v>765</v>
      </c>
      <c r="U521" s="24">
        <v>661.7</v>
      </c>
      <c r="V521" s="24">
        <v>104</v>
      </c>
      <c r="W521" s="24" t="s">
        <v>528</v>
      </c>
      <c r="X521" s="24" t="s">
        <v>528</v>
      </c>
      <c r="Y521" s="24" t="s">
        <v>529</v>
      </c>
      <c r="Z521" s="102" t="s">
        <v>528</v>
      </c>
      <c r="AA521" s="24" t="s">
        <v>528</v>
      </c>
      <c r="AB521" s="24" t="s">
        <v>528</v>
      </c>
      <c r="AC521" s="24" t="s">
        <v>528</v>
      </c>
      <c r="AD521" s="24" t="s">
        <v>528</v>
      </c>
      <c r="AE521" s="24" t="s">
        <v>529</v>
      </c>
      <c r="AF521" s="24">
        <v>0</v>
      </c>
      <c r="AG521" s="24" t="s">
        <v>529</v>
      </c>
      <c r="AH521" s="24" t="s">
        <v>1175</v>
      </c>
      <c r="AI521" s="24" t="s">
        <v>529</v>
      </c>
      <c r="AJ521" s="24" t="s">
        <v>529</v>
      </c>
      <c r="AK521" s="24" t="s">
        <v>530</v>
      </c>
      <c r="AL521" s="24"/>
    </row>
    <row r="522" spans="1:38" ht="31.2" x14ac:dyDescent="0.3">
      <c r="A522" s="53">
        <v>515</v>
      </c>
      <c r="B522" s="24" t="s">
        <v>544</v>
      </c>
      <c r="C522" s="24" t="s">
        <v>521</v>
      </c>
      <c r="D522" s="82" t="s">
        <v>300</v>
      </c>
      <c r="E522" s="24" t="s">
        <v>1224</v>
      </c>
      <c r="F522" s="24" t="s">
        <v>200</v>
      </c>
      <c r="G522" s="24"/>
      <c r="H522" s="24" t="s">
        <v>1225</v>
      </c>
      <c r="I522" s="30" t="s">
        <v>525</v>
      </c>
      <c r="J522" s="24"/>
      <c r="K522" s="24" t="s">
        <v>199</v>
      </c>
      <c r="L522" s="24" t="s">
        <v>199</v>
      </c>
      <c r="M522" s="24">
        <v>1903</v>
      </c>
      <c r="N522" s="24" t="s">
        <v>527</v>
      </c>
      <c r="O522" s="24">
        <v>5</v>
      </c>
      <c r="P522" s="24">
        <v>0</v>
      </c>
      <c r="Q522" s="24">
        <v>1</v>
      </c>
      <c r="R522" s="24">
        <v>19</v>
      </c>
      <c r="S522" s="24">
        <v>1341.77</v>
      </c>
      <c r="T522" s="24">
        <v>1341.77</v>
      </c>
      <c r="U522" s="24">
        <v>1333.77</v>
      </c>
      <c r="V522" s="24">
        <v>8</v>
      </c>
      <c r="W522" s="24" t="s">
        <v>528</v>
      </c>
      <c r="X522" s="24" t="s">
        <v>528</v>
      </c>
      <c r="Y522" s="24" t="s">
        <v>529</v>
      </c>
      <c r="Z522" s="102" t="s">
        <v>528</v>
      </c>
      <c r="AA522" s="24" t="s">
        <v>528</v>
      </c>
      <c r="AB522" s="24" t="s">
        <v>528</v>
      </c>
      <c r="AC522" s="24" t="s">
        <v>528</v>
      </c>
      <c r="AD522" s="24" t="s">
        <v>528</v>
      </c>
      <c r="AE522" s="24" t="s">
        <v>529</v>
      </c>
      <c r="AF522" s="24">
        <v>0</v>
      </c>
      <c r="AG522" s="24" t="s">
        <v>529</v>
      </c>
      <c r="AH522" s="24" t="s">
        <v>1175</v>
      </c>
      <c r="AI522" s="24" t="s">
        <v>529</v>
      </c>
      <c r="AJ522" s="24" t="s">
        <v>1175</v>
      </c>
      <c r="AK522" s="24" t="s">
        <v>530</v>
      </c>
      <c r="AL522" s="24"/>
    </row>
    <row r="523" spans="1:38" ht="31.2" x14ac:dyDescent="0.3">
      <c r="A523" s="53">
        <v>516</v>
      </c>
      <c r="B523" s="24" t="s">
        <v>544</v>
      </c>
      <c r="C523" s="24" t="s">
        <v>521</v>
      </c>
      <c r="D523" s="82" t="s">
        <v>300</v>
      </c>
      <c r="E523" s="24" t="s">
        <v>1226</v>
      </c>
      <c r="F523" s="24" t="s">
        <v>200</v>
      </c>
      <c r="G523" s="24"/>
      <c r="H523" s="24" t="s">
        <v>1227</v>
      </c>
      <c r="I523" s="30" t="s">
        <v>525</v>
      </c>
      <c r="J523" s="24"/>
      <c r="K523" s="24" t="s">
        <v>199</v>
      </c>
      <c r="L523" s="24" t="s">
        <v>199</v>
      </c>
      <c r="M523" s="24">
        <v>1910</v>
      </c>
      <c r="N523" s="24" t="s">
        <v>527</v>
      </c>
      <c r="O523" s="24">
        <v>6</v>
      </c>
      <c r="P523" s="24">
        <v>0</v>
      </c>
      <c r="Q523" s="24">
        <v>2</v>
      </c>
      <c r="R523" s="24">
        <v>17</v>
      </c>
      <c r="S523" s="24">
        <v>1974.66</v>
      </c>
      <c r="T523" s="24">
        <v>1974.66</v>
      </c>
      <c r="U523" s="24">
        <v>1974.66</v>
      </c>
      <c r="V523" s="24">
        <v>0</v>
      </c>
      <c r="W523" s="24" t="s">
        <v>528</v>
      </c>
      <c r="X523" s="24" t="s">
        <v>528</v>
      </c>
      <c r="Y523" s="24" t="s">
        <v>529</v>
      </c>
      <c r="Z523" s="102" t="s">
        <v>528</v>
      </c>
      <c r="AA523" s="24" t="s">
        <v>528</v>
      </c>
      <c r="AB523" s="24" t="s">
        <v>528</v>
      </c>
      <c r="AC523" s="24" t="s">
        <v>528</v>
      </c>
      <c r="AD523" s="24" t="s">
        <v>528</v>
      </c>
      <c r="AE523" s="24" t="s">
        <v>529</v>
      </c>
      <c r="AF523" s="24">
        <v>1</v>
      </c>
      <c r="AG523" s="24" t="s">
        <v>529</v>
      </c>
      <c r="AH523" s="24">
        <v>1</v>
      </c>
      <c r="AI523" s="24" t="s">
        <v>529</v>
      </c>
      <c r="AJ523" s="24" t="s">
        <v>529</v>
      </c>
      <c r="AK523" s="24" t="s">
        <v>530</v>
      </c>
      <c r="AL523" s="24"/>
    </row>
    <row r="524" spans="1:38" ht="31.2" x14ac:dyDescent="0.3">
      <c r="A524" s="53">
        <v>517</v>
      </c>
      <c r="B524" s="24" t="s">
        <v>544</v>
      </c>
      <c r="C524" s="24" t="s">
        <v>521</v>
      </c>
      <c r="D524" s="82" t="s">
        <v>300</v>
      </c>
      <c r="E524" s="24" t="s">
        <v>1226</v>
      </c>
      <c r="F524" s="24" t="s">
        <v>206</v>
      </c>
      <c r="G524" s="24"/>
      <c r="H524" s="24" t="s">
        <v>1228</v>
      </c>
      <c r="I524" s="30" t="s">
        <v>525</v>
      </c>
      <c r="J524" s="24"/>
      <c r="K524" s="24" t="s">
        <v>199</v>
      </c>
      <c r="L524" s="24" t="s">
        <v>199</v>
      </c>
      <c r="M524" s="24">
        <v>1910</v>
      </c>
      <c r="N524" s="24" t="s">
        <v>527</v>
      </c>
      <c r="O524" s="24">
        <v>6</v>
      </c>
      <c r="P524" s="24">
        <v>0</v>
      </c>
      <c r="Q524" s="24">
        <v>1</v>
      </c>
      <c r="R524" s="24">
        <v>20</v>
      </c>
      <c r="S524" s="24">
        <v>1152.1400000000001</v>
      </c>
      <c r="T524" s="24">
        <v>1152.1400000000001</v>
      </c>
      <c r="U524" s="24">
        <v>1152.1400000000001</v>
      </c>
      <c r="V524" s="24">
        <v>0</v>
      </c>
      <c r="W524" s="24" t="s">
        <v>528</v>
      </c>
      <c r="X524" s="24" t="s">
        <v>528</v>
      </c>
      <c r="Y524" s="24" t="s">
        <v>529</v>
      </c>
      <c r="Z524" s="102" t="s">
        <v>528</v>
      </c>
      <c r="AA524" s="24" t="s">
        <v>528</v>
      </c>
      <c r="AB524" s="24" t="s">
        <v>528</v>
      </c>
      <c r="AC524" s="24" t="s">
        <v>528</v>
      </c>
      <c r="AD524" s="24" t="s">
        <v>528</v>
      </c>
      <c r="AE524" s="24" t="s">
        <v>529</v>
      </c>
      <c r="AF524" s="24">
        <v>1</v>
      </c>
      <c r="AG524" s="24" t="s">
        <v>529</v>
      </c>
      <c r="AH524" s="24" t="s">
        <v>529</v>
      </c>
      <c r="AI524" s="24" t="s">
        <v>529</v>
      </c>
      <c r="AJ524" s="24" t="s">
        <v>529</v>
      </c>
      <c r="AK524" s="24" t="s">
        <v>530</v>
      </c>
      <c r="AL524" s="24"/>
    </row>
    <row r="525" spans="1:38" ht="31.2" x14ac:dyDescent="0.3">
      <c r="A525" s="53">
        <v>518</v>
      </c>
      <c r="B525" s="24" t="s">
        <v>544</v>
      </c>
      <c r="C525" s="24" t="s">
        <v>521</v>
      </c>
      <c r="D525" s="82" t="s">
        <v>300</v>
      </c>
      <c r="E525" s="24" t="s">
        <v>1229</v>
      </c>
      <c r="F525" s="24" t="s">
        <v>200</v>
      </c>
      <c r="G525" s="24"/>
      <c r="H525" s="24" t="s">
        <v>1230</v>
      </c>
      <c r="I525" s="30" t="s">
        <v>525</v>
      </c>
      <c r="J525" s="24" t="s">
        <v>535</v>
      </c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102"/>
      <c r="AA525" s="24"/>
      <c r="AB525" s="24"/>
      <c r="AC525" s="24" t="s">
        <v>528</v>
      </c>
      <c r="AD525" s="24"/>
      <c r="AE525" s="24"/>
      <c r="AF525" s="24"/>
      <c r="AG525" s="24"/>
      <c r="AH525" s="24"/>
      <c r="AI525" s="24"/>
      <c r="AJ525" s="24"/>
      <c r="AK525" s="24"/>
      <c r="AL525" s="24"/>
    </row>
    <row r="526" spans="1:38" ht="31.2" x14ac:dyDescent="0.3">
      <c r="A526" s="53">
        <v>519</v>
      </c>
      <c r="B526" s="24" t="s">
        <v>544</v>
      </c>
      <c r="C526" s="24" t="s">
        <v>521</v>
      </c>
      <c r="D526" s="82" t="s">
        <v>300</v>
      </c>
      <c r="E526" s="24" t="s">
        <v>1231</v>
      </c>
      <c r="F526" s="24" t="s">
        <v>200</v>
      </c>
      <c r="G526" s="24"/>
      <c r="H526" s="24" t="s">
        <v>1232</v>
      </c>
      <c r="I526" s="30" t="s">
        <v>525</v>
      </c>
      <c r="J526" s="24"/>
      <c r="K526" s="24" t="s">
        <v>199</v>
      </c>
      <c r="L526" s="24" t="s">
        <v>199</v>
      </c>
      <c r="M526" s="24">
        <v>1904</v>
      </c>
      <c r="N526" s="24" t="s">
        <v>527</v>
      </c>
      <c r="O526" s="24">
        <v>5</v>
      </c>
      <c r="P526" s="24">
        <v>0</v>
      </c>
      <c r="Q526" s="24">
        <v>5</v>
      </c>
      <c r="R526" s="24">
        <v>24</v>
      </c>
      <c r="S526" s="24">
        <v>1385.14</v>
      </c>
      <c r="T526" s="24">
        <v>1385.14</v>
      </c>
      <c r="U526" s="24">
        <v>1385.14</v>
      </c>
      <c r="V526" s="24">
        <v>0</v>
      </c>
      <c r="W526" s="24" t="s">
        <v>528</v>
      </c>
      <c r="X526" s="24" t="s">
        <v>528</v>
      </c>
      <c r="Y526" s="24" t="s">
        <v>529</v>
      </c>
      <c r="Z526" s="102" t="s">
        <v>528</v>
      </c>
      <c r="AA526" s="24" t="s">
        <v>528</v>
      </c>
      <c r="AB526" s="24" t="s">
        <v>528</v>
      </c>
      <c r="AC526" s="24" t="s">
        <v>528</v>
      </c>
      <c r="AD526" s="24" t="s">
        <v>528</v>
      </c>
      <c r="AE526" s="24" t="s">
        <v>529</v>
      </c>
      <c r="AF526" s="24">
        <v>2</v>
      </c>
      <c r="AG526" s="24" t="s">
        <v>529</v>
      </c>
      <c r="AH526" s="24">
        <v>1</v>
      </c>
      <c r="AI526" s="24" t="s">
        <v>529</v>
      </c>
      <c r="AJ526" s="24">
        <v>1</v>
      </c>
      <c r="AK526" s="24" t="s">
        <v>530</v>
      </c>
      <c r="AL526" s="24"/>
    </row>
    <row r="527" spans="1:38" ht="31.2" x14ac:dyDescent="0.3">
      <c r="A527" s="53">
        <v>520</v>
      </c>
      <c r="B527" s="24" t="s">
        <v>544</v>
      </c>
      <c r="C527" s="24" t="s">
        <v>521</v>
      </c>
      <c r="D527" s="82" t="s">
        <v>300</v>
      </c>
      <c r="E527" s="24" t="s">
        <v>1231</v>
      </c>
      <c r="F527" s="24" t="s">
        <v>208</v>
      </c>
      <c r="G527" s="24"/>
      <c r="H527" s="24" t="s">
        <v>1233</v>
      </c>
      <c r="I527" s="30" t="s">
        <v>525</v>
      </c>
      <c r="J527" s="24" t="s">
        <v>197</v>
      </c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102"/>
      <c r="AA527" s="24"/>
      <c r="AB527" s="24"/>
      <c r="AC527" s="24" t="s">
        <v>528</v>
      </c>
      <c r="AD527" s="24"/>
      <c r="AE527" s="24"/>
      <c r="AF527" s="24"/>
      <c r="AG527" s="24"/>
      <c r="AH527" s="24"/>
      <c r="AI527" s="24"/>
      <c r="AJ527" s="24"/>
      <c r="AK527" s="24"/>
      <c r="AL527" s="24"/>
    </row>
    <row r="528" spans="1:38" ht="31.2" x14ac:dyDescent="0.3">
      <c r="A528" s="53">
        <v>521</v>
      </c>
      <c r="B528" s="24" t="s">
        <v>544</v>
      </c>
      <c r="C528" s="24" t="s">
        <v>521</v>
      </c>
      <c r="D528" s="82" t="s">
        <v>300</v>
      </c>
      <c r="E528" s="24" t="s">
        <v>1234</v>
      </c>
      <c r="F528" s="24" t="s">
        <v>200</v>
      </c>
      <c r="G528" s="24"/>
      <c r="H528" s="24" t="s">
        <v>1235</v>
      </c>
      <c r="I528" s="30" t="s">
        <v>525</v>
      </c>
      <c r="J528" s="24"/>
      <c r="K528" s="24" t="s">
        <v>199</v>
      </c>
      <c r="L528" s="24" t="s">
        <v>199</v>
      </c>
      <c r="M528" s="24">
        <v>1909</v>
      </c>
      <c r="N528" s="24" t="s">
        <v>527</v>
      </c>
      <c r="O528" s="24">
        <v>6</v>
      </c>
      <c r="P528" s="24">
        <v>0</v>
      </c>
      <c r="Q528" s="24">
        <v>7</v>
      </c>
      <c r="R528" s="24">
        <v>66</v>
      </c>
      <c r="S528" s="24">
        <v>5640.27</v>
      </c>
      <c r="T528" s="24">
        <v>5640.27</v>
      </c>
      <c r="U528" s="24">
        <v>5092.2700000000004</v>
      </c>
      <c r="V528" s="24">
        <v>548</v>
      </c>
      <c r="W528" s="24" t="s">
        <v>528</v>
      </c>
      <c r="X528" s="24" t="s">
        <v>528</v>
      </c>
      <c r="Y528" s="24" t="s">
        <v>529</v>
      </c>
      <c r="Z528" s="102" t="s">
        <v>528</v>
      </c>
      <c r="AA528" s="24" t="s">
        <v>528</v>
      </c>
      <c r="AB528" s="24" t="s">
        <v>528</v>
      </c>
      <c r="AC528" s="24" t="s">
        <v>528</v>
      </c>
      <c r="AD528" s="24" t="s">
        <v>528</v>
      </c>
      <c r="AE528" s="24" t="s">
        <v>529</v>
      </c>
      <c r="AF528" s="24">
        <v>2</v>
      </c>
      <c r="AG528" s="24" t="s">
        <v>529</v>
      </c>
      <c r="AH528" s="24">
        <v>1</v>
      </c>
      <c r="AI528" s="24" t="s">
        <v>529</v>
      </c>
      <c r="AJ528" s="24">
        <v>1</v>
      </c>
      <c r="AK528" s="24" t="s">
        <v>530</v>
      </c>
      <c r="AL528" s="24"/>
    </row>
    <row r="529" spans="1:38" ht="31.2" x14ac:dyDescent="0.3">
      <c r="A529" s="53">
        <v>522</v>
      </c>
      <c r="B529" s="24" t="s">
        <v>544</v>
      </c>
      <c r="C529" s="24" t="s">
        <v>521</v>
      </c>
      <c r="D529" s="82" t="s">
        <v>300</v>
      </c>
      <c r="E529" s="24" t="s">
        <v>1236</v>
      </c>
      <c r="F529" s="24" t="s">
        <v>200</v>
      </c>
      <c r="G529" s="24"/>
      <c r="H529" s="24" t="s">
        <v>1237</v>
      </c>
      <c r="I529" s="30" t="s">
        <v>525</v>
      </c>
      <c r="J529" s="24"/>
      <c r="K529" s="24" t="s">
        <v>1238</v>
      </c>
      <c r="L529" s="24" t="s">
        <v>199</v>
      </c>
      <c r="M529" s="24">
        <v>1972</v>
      </c>
      <c r="N529" s="24" t="s">
        <v>527</v>
      </c>
      <c r="O529" s="24">
        <v>8</v>
      </c>
      <c r="P529" s="24">
        <v>0</v>
      </c>
      <c r="Q529" s="24">
        <v>2</v>
      </c>
      <c r="R529" s="24">
        <v>42</v>
      </c>
      <c r="S529" s="24">
        <v>3166.69</v>
      </c>
      <c r="T529" s="24">
        <v>3166.69</v>
      </c>
      <c r="U529" s="24">
        <v>2326.69</v>
      </c>
      <c r="V529" s="24">
        <v>840</v>
      </c>
      <c r="W529" s="24" t="s">
        <v>528</v>
      </c>
      <c r="X529" s="24" t="s">
        <v>528</v>
      </c>
      <c r="Y529" s="24" t="s">
        <v>529</v>
      </c>
      <c r="Z529" s="102" t="s">
        <v>528</v>
      </c>
      <c r="AA529" s="24" t="s">
        <v>528</v>
      </c>
      <c r="AB529" s="24" t="s">
        <v>528</v>
      </c>
      <c r="AC529" s="24" t="s">
        <v>528</v>
      </c>
      <c r="AD529" s="24" t="s">
        <v>528</v>
      </c>
      <c r="AE529" s="24" t="s">
        <v>529</v>
      </c>
      <c r="AF529" s="24">
        <v>2</v>
      </c>
      <c r="AG529" s="24" t="s">
        <v>529</v>
      </c>
      <c r="AH529" s="24">
        <v>1</v>
      </c>
      <c r="AI529" s="24" t="s">
        <v>529</v>
      </c>
      <c r="AJ529" s="24">
        <v>1</v>
      </c>
      <c r="AK529" s="24" t="s">
        <v>530</v>
      </c>
      <c r="AL529" s="24"/>
    </row>
    <row r="530" spans="1:38" ht="31.2" x14ac:dyDescent="0.3">
      <c r="A530" s="53">
        <v>523</v>
      </c>
      <c r="B530" s="24" t="s">
        <v>544</v>
      </c>
      <c r="C530" s="24" t="s">
        <v>521</v>
      </c>
      <c r="D530" s="82" t="s">
        <v>300</v>
      </c>
      <c r="E530" s="24" t="s">
        <v>1239</v>
      </c>
      <c r="F530" s="24" t="s">
        <v>200</v>
      </c>
      <c r="G530" s="24"/>
      <c r="H530" s="24" t="s">
        <v>1240</v>
      </c>
      <c r="I530" s="30" t="s">
        <v>525</v>
      </c>
      <c r="J530" s="24" t="s">
        <v>535</v>
      </c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102"/>
      <c r="AA530" s="24"/>
      <c r="AB530" s="24"/>
      <c r="AC530" s="24" t="s">
        <v>528</v>
      </c>
      <c r="AD530" s="24"/>
      <c r="AE530" s="24"/>
      <c r="AF530" s="24"/>
      <c r="AG530" s="24"/>
      <c r="AH530" s="24"/>
      <c r="AI530" s="24"/>
      <c r="AJ530" s="24"/>
      <c r="AK530" s="24"/>
      <c r="AL530" s="24"/>
    </row>
    <row r="531" spans="1:38" ht="31.2" x14ac:dyDescent="0.3">
      <c r="A531" s="53">
        <v>524</v>
      </c>
      <c r="B531" s="24" t="s">
        <v>544</v>
      </c>
      <c r="C531" s="24" t="s">
        <v>521</v>
      </c>
      <c r="D531" s="82" t="s">
        <v>300</v>
      </c>
      <c r="E531" s="24" t="s">
        <v>1241</v>
      </c>
      <c r="F531" s="24" t="s">
        <v>200</v>
      </c>
      <c r="G531" s="24"/>
      <c r="H531" s="24" t="s">
        <v>1242</v>
      </c>
      <c r="I531" s="30" t="s">
        <v>525</v>
      </c>
      <c r="J531" s="24" t="s">
        <v>535</v>
      </c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102"/>
      <c r="AA531" s="24"/>
      <c r="AB531" s="24"/>
      <c r="AC531" s="24" t="s">
        <v>528</v>
      </c>
      <c r="AD531" s="24"/>
      <c r="AE531" s="24"/>
      <c r="AF531" s="24"/>
      <c r="AG531" s="24"/>
      <c r="AH531" s="24"/>
      <c r="AI531" s="24"/>
      <c r="AJ531" s="24"/>
      <c r="AK531" s="24"/>
      <c r="AL531" s="24"/>
    </row>
    <row r="532" spans="1:38" ht="31.2" x14ac:dyDescent="0.3">
      <c r="A532" s="53">
        <v>525</v>
      </c>
      <c r="B532" s="24" t="s">
        <v>544</v>
      </c>
      <c r="C532" s="24" t="s">
        <v>521</v>
      </c>
      <c r="D532" s="82" t="s">
        <v>513</v>
      </c>
      <c r="E532" s="24" t="s">
        <v>169</v>
      </c>
      <c r="F532" s="24" t="s">
        <v>200</v>
      </c>
      <c r="G532" s="24"/>
      <c r="H532" s="24" t="s">
        <v>1243</v>
      </c>
      <c r="I532" s="30" t="s">
        <v>525</v>
      </c>
      <c r="J532" s="24"/>
      <c r="K532" s="24" t="s">
        <v>199</v>
      </c>
      <c r="L532" s="24" t="s">
        <v>199</v>
      </c>
      <c r="M532" s="24">
        <v>1906</v>
      </c>
      <c r="N532" s="24" t="s">
        <v>527</v>
      </c>
      <c r="O532" s="24">
        <v>6</v>
      </c>
      <c r="P532" s="24">
        <v>0</v>
      </c>
      <c r="Q532" s="24">
        <v>1</v>
      </c>
      <c r="R532" s="24">
        <v>26</v>
      </c>
      <c r="S532" s="24">
        <v>1924.2</v>
      </c>
      <c r="T532" s="24">
        <v>1924.2</v>
      </c>
      <c r="U532" s="24">
        <v>1924.2</v>
      </c>
      <c r="V532" s="24">
        <v>0</v>
      </c>
      <c r="W532" s="24" t="s">
        <v>528</v>
      </c>
      <c r="X532" s="24" t="s">
        <v>528</v>
      </c>
      <c r="Y532" s="24" t="s">
        <v>529</v>
      </c>
      <c r="Z532" s="102" t="s">
        <v>528</v>
      </c>
      <c r="AA532" s="24" t="s">
        <v>528</v>
      </c>
      <c r="AB532" s="24" t="s">
        <v>528</v>
      </c>
      <c r="AC532" s="24" t="s">
        <v>528</v>
      </c>
      <c r="AD532" s="24" t="s">
        <v>528</v>
      </c>
      <c r="AE532" s="24" t="s">
        <v>529</v>
      </c>
      <c r="AF532" s="24">
        <v>1</v>
      </c>
      <c r="AG532" s="24" t="s">
        <v>529</v>
      </c>
      <c r="AH532" s="24">
        <v>1</v>
      </c>
      <c r="AI532" s="24" t="s">
        <v>529</v>
      </c>
      <c r="AJ532" s="24" t="s">
        <v>529</v>
      </c>
      <c r="AK532" s="24" t="s">
        <v>530</v>
      </c>
      <c r="AL532" s="24"/>
    </row>
    <row r="533" spans="1:38" ht="31.2" x14ac:dyDescent="0.3">
      <c r="A533" s="53">
        <v>526</v>
      </c>
      <c r="B533" s="24" t="s">
        <v>544</v>
      </c>
      <c r="C533" s="24" t="s">
        <v>521</v>
      </c>
      <c r="D533" s="82" t="s">
        <v>513</v>
      </c>
      <c r="E533" s="24" t="s">
        <v>171</v>
      </c>
      <c r="F533" s="24" t="s">
        <v>200</v>
      </c>
      <c r="G533" s="24"/>
      <c r="H533" s="24" t="s">
        <v>1244</v>
      </c>
      <c r="I533" s="30" t="s">
        <v>525</v>
      </c>
      <c r="J533" s="24"/>
      <c r="K533" s="24" t="s">
        <v>199</v>
      </c>
      <c r="L533" s="24" t="s">
        <v>199</v>
      </c>
      <c r="M533" s="24">
        <v>1910</v>
      </c>
      <c r="N533" s="24" t="s">
        <v>527</v>
      </c>
      <c r="O533" s="24">
        <v>5</v>
      </c>
      <c r="P533" s="24">
        <v>0</v>
      </c>
      <c r="Q533" s="24">
        <v>1</v>
      </c>
      <c r="R533" s="24">
        <v>21</v>
      </c>
      <c r="S533" s="24">
        <v>1610.79</v>
      </c>
      <c r="T533" s="24">
        <v>1610.79</v>
      </c>
      <c r="U533" s="24">
        <v>1610.79</v>
      </c>
      <c r="V533" s="24">
        <v>0</v>
      </c>
      <c r="W533" s="24" t="s">
        <v>528</v>
      </c>
      <c r="X533" s="24" t="s">
        <v>528</v>
      </c>
      <c r="Y533" s="24" t="s">
        <v>529</v>
      </c>
      <c r="Z533" s="102" t="s">
        <v>528</v>
      </c>
      <c r="AA533" s="24" t="s">
        <v>528</v>
      </c>
      <c r="AB533" s="24" t="s">
        <v>528</v>
      </c>
      <c r="AC533" s="24" t="s">
        <v>528</v>
      </c>
      <c r="AD533" s="24" t="s">
        <v>528</v>
      </c>
      <c r="AE533" s="24" t="s">
        <v>529</v>
      </c>
      <c r="AF533" s="24">
        <v>1</v>
      </c>
      <c r="AG533" s="24" t="s">
        <v>529</v>
      </c>
      <c r="AH533" s="24">
        <v>1</v>
      </c>
      <c r="AI533" s="24" t="s">
        <v>529</v>
      </c>
      <c r="AJ533" s="24">
        <v>1</v>
      </c>
      <c r="AK533" s="24" t="s">
        <v>530</v>
      </c>
      <c r="AL533" s="24"/>
    </row>
    <row r="534" spans="1:38" ht="31.2" x14ac:dyDescent="0.3">
      <c r="A534" s="53">
        <v>527</v>
      </c>
      <c r="B534" s="24" t="s">
        <v>544</v>
      </c>
      <c r="C534" s="24" t="s">
        <v>521</v>
      </c>
      <c r="D534" s="82" t="s">
        <v>1210</v>
      </c>
      <c r="E534" s="24" t="s">
        <v>1189</v>
      </c>
      <c r="F534" s="24" t="s">
        <v>200</v>
      </c>
      <c r="G534" s="24"/>
      <c r="H534" s="24" t="s">
        <v>1245</v>
      </c>
      <c r="I534" s="30" t="s">
        <v>525</v>
      </c>
      <c r="J534" s="24"/>
      <c r="K534" s="24" t="s">
        <v>199</v>
      </c>
      <c r="L534" s="24" t="s">
        <v>199</v>
      </c>
      <c r="M534" s="24">
        <v>1888</v>
      </c>
      <c r="N534" s="24" t="s">
        <v>527</v>
      </c>
      <c r="O534" s="24">
        <v>3</v>
      </c>
      <c r="P534" s="24">
        <v>0</v>
      </c>
      <c r="Q534" s="24">
        <v>2</v>
      </c>
      <c r="R534" s="24">
        <v>14</v>
      </c>
      <c r="S534" s="24">
        <v>1291.05</v>
      </c>
      <c r="T534" s="24">
        <v>1291.05</v>
      </c>
      <c r="U534" s="24">
        <v>1029.8499999999999</v>
      </c>
      <c r="V534" s="24">
        <v>261.2</v>
      </c>
      <c r="W534" s="24" t="s">
        <v>528</v>
      </c>
      <c r="X534" s="24" t="s">
        <v>528</v>
      </c>
      <c r="Y534" s="24" t="s">
        <v>529</v>
      </c>
      <c r="Z534" s="102" t="s">
        <v>528</v>
      </c>
      <c r="AA534" s="24" t="s">
        <v>528</v>
      </c>
      <c r="AB534" s="24" t="s">
        <v>528</v>
      </c>
      <c r="AC534" s="24" t="s">
        <v>528</v>
      </c>
      <c r="AD534" s="24" t="s">
        <v>528</v>
      </c>
      <c r="AE534" s="24" t="s">
        <v>529</v>
      </c>
      <c r="AF534" s="24">
        <v>0</v>
      </c>
      <c r="AG534" s="24" t="s">
        <v>529</v>
      </c>
      <c r="AH534" s="24">
        <v>1</v>
      </c>
      <c r="AI534" s="24" t="s">
        <v>529</v>
      </c>
      <c r="AJ534" s="24" t="s">
        <v>529</v>
      </c>
      <c r="AK534" s="24" t="s">
        <v>530</v>
      </c>
      <c r="AL534" s="24"/>
    </row>
    <row r="535" spans="1:38" ht="31.2" x14ac:dyDescent="0.3">
      <c r="A535" s="53">
        <v>528</v>
      </c>
      <c r="B535" s="24" t="s">
        <v>544</v>
      </c>
      <c r="C535" s="24" t="s">
        <v>521</v>
      </c>
      <c r="D535" s="82" t="s">
        <v>463</v>
      </c>
      <c r="E535" s="24" t="s">
        <v>1246</v>
      </c>
      <c r="F535" s="24" t="s">
        <v>200</v>
      </c>
      <c r="G535" s="24"/>
      <c r="H535" s="24" t="s">
        <v>1247</v>
      </c>
      <c r="I535" s="30" t="s">
        <v>525</v>
      </c>
      <c r="J535" s="24"/>
      <c r="K535" s="24" t="s">
        <v>199</v>
      </c>
      <c r="L535" s="24" t="s">
        <v>199</v>
      </c>
      <c r="M535" s="24">
        <v>1904</v>
      </c>
      <c r="N535" s="24" t="s">
        <v>527</v>
      </c>
      <c r="O535" s="24">
        <v>6</v>
      </c>
      <c r="P535" s="24">
        <v>0</v>
      </c>
      <c r="Q535" s="24">
        <v>4</v>
      </c>
      <c r="R535" s="24">
        <v>71</v>
      </c>
      <c r="S535" s="24">
        <v>7847.14</v>
      </c>
      <c r="T535" s="24">
        <v>7847.14</v>
      </c>
      <c r="U535" s="24">
        <v>5992.01</v>
      </c>
      <c r="V535" s="24">
        <v>1855.13</v>
      </c>
      <c r="W535" s="24" t="s">
        <v>528</v>
      </c>
      <c r="X535" s="24" t="s">
        <v>528</v>
      </c>
      <c r="Y535" s="24" t="s">
        <v>529</v>
      </c>
      <c r="Z535" s="102" t="s">
        <v>528</v>
      </c>
      <c r="AA535" s="24" t="s">
        <v>528</v>
      </c>
      <c r="AB535" s="24" t="s">
        <v>528</v>
      </c>
      <c r="AC535" s="24" t="s">
        <v>528</v>
      </c>
      <c r="AD535" s="24" t="s">
        <v>528</v>
      </c>
      <c r="AE535" s="24" t="s">
        <v>529</v>
      </c>
      <c r="AF535" s="24">
        <v>2</v>
      </c>
      <c r="AG535" s="24" t="s">
        <v>529</v>
      </c>
      <c r="AH535" s="24">
        <v>1</v>
      </c>
      <c r="AI535" s="24" t="s">
        <v>529</v>
      </c>
      <c r="AJ535" s="24">
        <v>1</v>
      </c>
      <c r="AK535" s="24" t="s">
        <v>530</v>
      </c>
      <c r="AL535" s="24"/>
    </row>
    <row r="536" spans="1:38" ht="31.2" x14ac:dyDescent="0.3">
      <c r="A536" s="53">
        <v>529</v>
      </c>
      <c r="B536" s="24" t="s">
        <v>544</v>
      </c>
      <c r="C536" s="24" t="s">
        <v>521</v>
      </c>
      <c r="D536" s="82" t="s">
        <v>463</v>
      </c>
      <c r="E536" s="24" t="s">
        <v>1164</v>
      </c>
      <c r="F536" s="24" t="s">
        <v>200</v>
      </c>
      <c r="G536" s="24"/>
      <c r="H536" s="24" t="s">
        <v>1248</v>
      </c>
      <c r="I536" s="30" t="s">
        <v>525</v>
      </c>
      <c r="J536" s="24"/>
      <c r="K536" s="24" t="s">
        <v>199</v>
      </c>
      <c r="L536" s="24" t="s">
        <v>199</v>
      </c>
      <c r="M536" s="24">
        <v>1901</v>
      </c>
      <c r="N536" s="24" t="s">
        <v>527</v>
      </c>
      <c r="O536" s="24">
        <v>5</v>
      </c>
      <c r="P536" s="24">
        <v>0</v>
      </c>
      <c r="Q536" s="24">
        <v>1</v>
      </c>
      <c r="R536" s="24">
        <v>19</v>
      </c>
      <c r="S536" s="24">
        <v>1415.6</v>
      </c>
      <c r="T536" s="24">
        <v>1415.6</v>
      </c>
      <c r="U536" s="24">
        <v>1342</v>
      </c>
      <c r="V536" s="24">
        <v>73.599999999999994</v>
      </c>
      <c r="W536" s="24" t="s">
        <v>528</v>
      </c>
      <c r="X536" s="24" t="s">
        <v>528</v>
      </c>
      <c r="Y536" s="24" t="s">
        <v>529</v>
      </c>
      <c r="Z536" s="102" t="s">
        <v>528</v>
      </c>
      <c r="AA536" s="24" t="s">
        <v>528</v>
      </c>
      <c r="AB536" s="24" t="s">
        <v>528</v>
      </c>
      <c r="AC536" s="24" t="s">
        <v>528</v>
      </c>
      <c r="AD536" s="24" t="s">
        <v>528</v>
      </c>
      <c r="AE536" s="24" t="s">
        <v>529</v>
      </c>
      <c r="AF536" s="24">
        <v>0</v>
      </c>
      <c r="AG536" s="24" t="s">
        <v>529</v>
      </c>
      <c r="AH536" s="24">
        <v>1</v>
      </c>
      <c r="AI536" s="24" t="s">
        <v>529</v>
      </c>
      <c r="AJ536" s="24" t="s">
        <v>529</v>
      </c>
      <c r="AK536" s="24" t="s">
        <v>530</v>
      </c>
      <c r="AL536" s="24"/>
    </row>
    <row r="537" spans="1:38" ht="31.2" x14ac:dyDescent="0.3">
      <c r="A537" s="53">
        <v>530</v>
      </c>
      <c r="B537" s="24" t="s">
        <v>544</v>
      </c>
      <c r="C537" s="24" t="s">
        <v>521</v>
      </c>
      <c r="D537" s="82" t="s">
        <v>463</v>
      </c>
      <c r="E537" s="24" t="s">
        <v>1155</v>
      </c>
      <c r="F537" s="24" t="s">
        <v>200</v>
      </c>
      <c r="G537" s="24"/>
      <c r="H537" s="24" t="s">
        <v>1249</v>
      </c>
      <c r="I537" s="30" t="s">
        <v>525</v>
      </c>
      <c r="J537" s="24"/>
      <c r="K537" s="24" t="s">
        <v>199</v>
      </c>
      <c r="L537" s="24" t="s">
        <v>199</v>
      </c>
      <c r="M537" s="24">
        <v>1909</v>
      </c>
      <c r="N537" s="24" t="s">
        <v>527</v>
      </c>
      <c r="O537" s="24">
        <v>6</v>
      </c>
      <c r="P537" s="24">
        <v>0</v>
      </c>
      <c r="Q537" s="24">
        <v>3</v>
      </c>
      <c r="R537" s="24">
        <v>49</v>
      </c>
      <c r="S537" s="24">
        <v>3638</v>
      </c>
      <c r="T537" s="24">
        <v>3638</v>
      </c>
      <c r="U537" s="24">
        <v>3470.3</v>
      </c>
      <c r="V537" s="24">
        <v>167.7</v>
      </c>
      <c r="W537" s="24" t="s">
        <v>528</v>
      </c>
      <c r="X537" s="24" t="s">
        <v>528</v>
      </c>
      <c r="Y537" s="24" t="s">
        <v>529</v>
      </c>
      <c r="Z537" s="102" t="s">
        <v>528</v>
      </c>
      <c r="AA537" s="24" t="s">
        <v>528</v>
      </c>
      <c r="AB537" s="24" t="s">
        <v>528</v>
      </c>
      <c r="AC537" s="24" t="s">
        <v>528</v>
      </c>
      <c r="AD537" s="24" t="s">
        <v>528</v>
      </c>
      <c r="AE537" s="24" t="s">
        <v>529</v>
      </c>
      <c r="AF537" s="24">
        <v>3</v>
      </c>
      <c r="AG537" s="24" t="s">
        <v>529</v>
      </c>
      <c r="AH537" s="24">
        <v>1</v>
      </c>
      <c r="AI537" s="24" t="s">
        <v>529</v>
      </c>
      <c r="AJ537" s="24">
        <v>3</v>
      </c>
      <c r="AK537" s="24" t="s">
        <v>530</v>
      </c>
      <c r="AL537" s="24"/>
    </row>
    <row r="538" spans="1:38" ht="31.2" x14ac:dyDescent="0.3">
      <c r="A538" s="53">
        <v>531</v>
      </c>
      <c r="B538" s="24" t="s">
        <v>544</v>
      </c>
      <c r="C538" s="24" t="s">
        <v>521</v>
      </c>
      <c r="D538" s="82" t="s">
        <v>219</v>
      </c>
      <c r="E538" s="24" t="s">
        <v>1164</v>
      </c>
      <c r="F538" s="24" t="s">
        <v>200</v>
      </c>
      <c r="G538" s="24"/>
      <c r="H538" s="24" t="s">
        <v>1250</v>
      </c>
      <c r="I538" s="30" t="s">
        <v>525</v>
      </c>
      <c r="J538" s="24"/>
      <c r="K538" s="24" t="s">
        <v>199</v>
      </c>
      <c r="L538" s="24" t="s">
        <v>199</v>
      </c>
      <c r="M538" s="24">
        <v>1898</v>
      </c>
      <c r="N538" s="24" t="s">
        <v>527</v>
      </c>
      <c r="O538" s="24">
        <v>4</v>
      </c>
      <c r="P538" s="24">
        <v>0</v>
      </c>
      <c r="Q538" s="24">
        <v>6</v>
      </c>
      <c r="R538" s="24">
        <v>22</v>
      </c>
      <c r="S538" s="24">
        <v>4326.28</v>
      </c>
      <c r="T538" s="24">
        <v>4326.28</v>
      </c>
      <c r="U538" s="24">
        <v>3250.28</v>
      </c>
      <c r="V538" s="24">
        <v>1076</v>
      </c>
      <c r="W538" s="24" t="s">
        <v>528</v>
      </c>
      <c r="X538" s="24" t="s">
        <v>528</v>
      </c>
      <c r="Y538" s="24" t="s">
        <v>529</v>
      </c>
      <c r="Z538" s="102" t="s">
        <v>528</v>
      </c>
      <c r="AA538" s="24" t="s">
        <v>528</v>
      </c>
      <c r="AB538" s="24" t="s">
        <v>528</v>
      </c>
      <c r="AC538" s="24" t="s">
        <v>528</v>
      </c>
      <c r="AD538" s="24" t="s">
        <v>528</v>
      </c>
      <c r="AE538" s="24" t="s">
        <v>529</v>
      </c>
      <c r="AF538" s="24">
        <v>0</v>
      </c>
      <c r="AG538" s="24" t="s">
        <v>529</v>
      </c>
      <c r="AH538" s="24">
        <v>1</v>
      </c>
      <c r="AI538" s="24" t="s">
        <v>529</v>
      </c>
      <c r="AJ538" s="24">
        <v>1</v>
      </c>
      <c r="AK538" s="24" t="s">
        <v>530</v>
      </c>
      <c r="AL538" s="24"/>
    </row>
    <row r="539" spans="1:38" ht="31.2" x14ac:dyDescent="0.3">
      <c r="A539" s="53">
        <v>532</v>
      </c>
      <c r="B539" s="24" t="s">
        <v>544</v>
      </c>
      <c r="C539" s="24" t="s">
        <v>521</v>
      </c>
      <c r="D539" s="82" t="s">
        <v>219</v>
      </c>
      <c r="E539" s="24" t="s">
        <v>1251</v>
      </c>
      <c r="F539" s="24" t="s">
        <v>200</v>
      </c>
      <c r="G539" s="24"/>
      <c r="H539" s="24" t="s">
        <v>1252</v>
      </c>
      <c r="I539" s="30" t="s">
        <v>525</v>
      </c>
      <c r="J539" s="24"/>
      <c r="K539" s="24" t="s">
        <v>199</v>
      </c>
      <c r="L539" s="24" t="s">
        <v>199</v>
      </c>
      <c r="M539" s="24">
        <v>1878</v>
      </c>
      <c r="N539" s="24" t="s">
        <v>527</v>
      </c>
      <c r="O539" s="24">
        <v>4</v>
      </c>
      <c r="P539" s="24">
        <v>0</v>
      </c>
      <c r="Q539" s="24">
        <v>2</v>
      </c>
      <c r="R539" s="24">
        <v>22</v>
      </c>
      <c r="S539" s="24">
        <v>1963.1</v>
      </c>
      <c r="T539" s="24">
        <v>1963.1</v>
      </c>
      <c r="U539" s="24">
        <v>1353.1</v>
      </c>
      <c r="V539" s="24">
        <v>610</v>
      </c>
      <c r="W539" s="24" t="s">
        <v>528</v>
      </c>
      <c r="X539" s="24" t="s">
        <v>528</v>
      </c>
      <c r="Y539" s="24" t="s">
        <v>529</v>
      </c>
      <c r="Z539" s="102" t="s">
        <v>528</v>
      </c>
      <c r="AA539" s="24" t="s">
        <v>528</v>
      </c>
      <c r="AB539" s="24" t="s">
        <v>528</v>
      </c>
      <c r="AC539" s="24" t="s">
        <v>528</v>
      </c>
      <c r="AD539" s="24" t="s">
        <v>528</v>
      </c>
      <c r="AE539" s="24" t="s">
        <v>529</v>
      </c>
      <c r="AF539" s="24">
        <v>0</v>
      </c>
      <c r="AG539" s="24" t="s">
        <v>529</v>
      </c>
      <c r="AH539" s="24">
        <v>1</v>
      </c>
      <c r="AI539" s="24" t="s">
        <v>529</v>
      </c>
      <c r="AJ539" s="24" t="s">
        <v>529</v>
      </c>
      <c r="AK539" s="24" t="s">
        <v>530</v>
      </c>
      <c r="AL539" s="24"/>
    </row>
    <row r="540" spans="1:38" ht="31.2" x14ac:dyDescent="0.3">
      <c r="A540" s="53">
        <v>533</v>
      </c>
      <c r="B540" s="24" t="s">
        <v>544</v>
      </c>
      <c r="C540" s="24" t="s">
        <v>521</v>
      </c>
      <c r="D540" s="82" t="s">
        <v>219</v>
      </c>
      <c r="E540" s="24" t="s">
        <v>1251</v>
      </c>
      <c r="F540" s="24" t="s">
        <v>205</v>
      </c>
      <c r="G540" s="24"/>
      <c r="H540" s="24" t="s">
        <v>1253</v>
      </c>
      <c r="I540" s="30" t="s">
        <v>525</v>
      </c>
      <c r="J540" s="24"/>
      <c r="K540" s="24" t="s">
        <v>1157</v>
      </c>
      <c r="L540" s="24" t="s">
        <v>199</v>
      </c>
      <c r="M540" s="24">
        <v>1955</v>
      </c>
      <c r="N540" s="24" t="s">
        <v>527</v>
      </c>
      <c r="O540" s="24">
        <v>4</v>
      </c>
      <c r="P540" s="24">
        <v>0</v>
      </c>
      <c r="Q540" s="24">
        <v>1</v>
      </c>
      <c r="R540" s="24">
        <v>19</v>
      </c>
      <c r="S540" s="24">
        <v>1194.9000000000001</v>
      </c>
      <c r="T540" s="24">
        <v>1194.9000000000001</v>
      </c>
      <c r="U540" s="24">
        <v>1194.9000000000001</v>
      </c>
      <c r="V540" s="24">
        <v>0</v>
      </c>
      <c r="W540" s="24" t="s">
        <v>528</v>
      </c>
      <c r="X540" s="24" t="s">
        <v>528</v>
      </c>
      <c r="Y540" s="24" t="s">
        <v>529</v>
      </c>
      <c r="Z540" s="102" t="s">
        <v>528</v>
      </c>
      <c r="AA540" s="24" t="s">
        <v>528</v>
      </c>
      <c r="AB540" s="24" t="s">
        <v>528</v>
      </c>
      <c r="AC540" s="24" t="s">
        <v>528</v>
      </c>
      <c r="AD540" s="24" t="s">
        <v>528</v>
      </c>
      <c r="AE540" s="24" t="s">
        <v>529</v>
      </c>
      <c r="AF540" s="24">
        <v>0</v>
      </c>
      <c r="AG540" s="24" t="s">
        <v>529</v>
      </c>
      <c r="AH540" s="24">
        <v>1</v>
      </c>
      <c r="AI540" s="24" t="s">
        <v>529</v>
      </c>
      <c r="AJ540" s="24" t="s">
        <v>529</v>
      </c>
      <c r="AK540" s="24" t="s">
        <v>530</v>
      </c>
      <c r="AL540" s="24"/>
    </row>
    <row r="541" spans="1:38" ht="31.2" x14ac:dyDescent="0.3">
      <c r="A541" s="53">
        <v>534</v>
      </c>
      <c r="B541" s="24" t="s">
        <v>544</v>
      </c>
      <c r="C541" s="24" t="s">
        <v>521</v>
      </c>
      <c r="D541" s="82" t="s">
        <v>219</v>
      </c>
      <c r="E541" s="24" t="s">
        <v>1254</v>
      </c>
      <c r="F541" s="24" t="s">
        <v>200</v>
      </c>
      <c r="G541" s="24"/>
      <c r="H541" s="24" t="s">
        <v>1255</v>
      </c>
      <c r="I541" s="30" t="s">
        <v>525</v>
      </c>
      <c r="J541" s="24"/>
      <c r="K541" s="24" t="s">
        <v>199</v>
      </c>
      <c r="L541" s="24" t="s">
        <v>199</v>
      </c>
      <c r="M541" s="24">
        <v>1905</v>
      </c>
      <c r="N541" s="24" t="s">
        <v>527</v>
      </c>
      <c r="O541" s="24">
        <v>4</v>
      </c>
      <c r="P541" s="24">
        <v>0</v>
      </c>
      <c r="Q541" s="24">
        <v>3</v>
      </c>
      <c r="R541" s="24">
        <v>19</v>
      </c>
      <c r="S541" s="24">
        <v>2350.5</v>
      </c>
      <c r="T541" s="24">
        <v>2350.5</v>
      </c>
      <c r="U541" s="24">
        <v>2060.5</v>
      </c>
      <c r="V541" s="24">
        <v>290</v>
      </c>
      <c r="W541" s="24" t="s">
        <v>528</v>
      </c>
      <c r="X541" s="24" t="s">
        <v>528</v>
      </c>
      <c r="Y541" s="24" t="s">
        <v>529</v>
      </c>
      <c r="Z541" s="102" t="s">
        <v>528</v>
      </c>
      <c r="AA541" s="24" t="s">
        <v>528</v>
      </c>
      <c r="AB541" s="24" t="s">
        <v>528</v>
      </c>
      <c r="AC541" s="24" t="s">
        <v>528</v>
      </c>
      <c r="AD541" s="24" t="s">
        <v>528</v>
      </c>
      <c r="AE541" s="24" t="s">
        <v>529</v>
      </c>
      <c r="AF541" s="24">
        <v>0</v>
      </c>
      <c r="AG541" s="24" t="s">
        <v>529</v>
      </c>
      <c r="AH541" s="24">
        <v>1</v>
      </c>
      <c r="AI541" s="24" t="s">
        <v>529</v>
      </c>
      <c r="AJ541" s="24">
        <v>1</v>
      </c>
      <c r="AK541" s="24" t="s">
        <v>530</v>
      </c>
      <c r="AL541" s="24"/>
    </row>
    <row r="542" spans="1:38" ht="31.2" x14ac:dyDescent="0.3">
      <c r="A542" s="53">
        <v>535</v>
      </c>
      <c r="B542" s="24" t="s">
        <v>544</v>
      </c>
      <c r="C542" s="24" t="s">
        <v>521</v>
      </c>
      <c r="D542" s="82" t="s">
        <v>219</v>
      </c>
      <c r="E542" s="24" t="s">
        <v>1254</v>
      </c>
      <c r="F542" s="24" t="s">
        <v>205</v>
      </c>
      <c r="G542" s="24"/>
      <c r="H542" s="24" t="s">
        <v>1256</v>
      </c>
      <c r="I542" s="30" t="s">
        <v>525</v>
      </c>
      <c r="J542" s="24" t="s">
        <v>197</v>
      </c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102"/>
      <c r="AA542" s="24"/>
      <c r="AB542" s="24"/>
      <c r="AC542" s="24" t="s">
        <v>528</v>
      </c>
      <c r="AD542" s="24"/>
      <c r="AE542" s="24"/>
      <c r="AF542" s="24"/>
      <c r="AG542" s="24"/>
      <c r="AH542" s="24"/>
      <c r="AI542" s="24"/>
      <c r="AJ542" s="24"/>
      <c r="AK542" s="24"/>
      <c r="AL542" s="24"/>
    </row>
    <row r="543" spans="1:38" ht="31.2" x14ac:dyDescent="0.3">
      <c r="A543" s="53">
        <v>536</v>
      </c>
      <c r="B543" s="24" t="s">
        <v>544</v>
      </c>
      <c r="C543" s="24" t="s">
        <v>521</v>
      </c>
      <c r="D543" s="82" t="s">
        <v>219</v>
      </c>
      <c r="E543" s="24" t="s">
        <v>1229</v>
      </c>
      <c r="F543" s="24" t="s">
        <v>200</v>
      </c>
      <c r="G543" s="24"/>
      <c r="H543" s="24" t="s">
        <v>1257</v>
      </c>
      <c r="I543" s="30" t="s">
        <v>525</v>
      </c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102"/>
      <c r="AA543" s="24"/>
      <c r="AB543" s="24"/>
      <c r="AC543" s="24" t="s">
        <v>528</v>
      </c>
      <c r="AD543" s="24"/>
      <c r="AE543" s="24"/>
      <c r="AF543" s="24"/>
      <c r="AG543" s="24"/>
      <c r="AH543" s="24"/>
      <c r="AI543" s="24"/>
      <c r="AJ543" s="24"/>
      <c r="AK543" s="24"/>
      <c r="AL543" s="24"/>
    </row>
    <row r="544" spans="1:38" ht="31.2" x14ac:dyDescent="0.3">
      <c r="A544" s="53">
        <v>537</v>
      </c>
      <c r="B544" s="24" t="s">
        <v>544</v>
      </c>
      <c r="C544" s="24" t="s">
        <v>653</v>
      </c>
      <c r="D544" s="82" t="s">
        <v>230</v>
      </c>
      <c r="E544" s="24" t="s">
        <v>1258</v>
      </c>
      <c r="F544" s="24" t="s">
        <v>200</v>
      </c>
      <c r="G544" s="24"/>
      <c r="H544" s="24" t="s">
        <v>1259</v>
      </c>
      <c r="I544" s="30" t="s">
        <v>525</v>
      </c>
      <c r="J544" s="24"/>
      <c r="K544" s="24" t="s">
        <v>199</v>
      </c>
      <c r="L544" s="24" t="s">
        <v>199</v>
      </c>
      <c r="M544" s="24">
        <v>1901</v>
      </c>
      <c r="N544" s="24" t="s">
        <v>527</v>
      </c>
      <c r="O544" s="24">
        <v>6</v>
      </c>
      <c r="P544" s="24">
        <v>0</v>
      </c>
      <c r="Q544" s="24">
        <v>4</v>
      </c>
      <c r="R544" s="24">
        <v>30</v>
      </c>
      <c r="S544" s="24">
        <v>3858.86</v>
      </c>
      <c r="T544" s="24">
        <v>3858.86</v>
      </c>
      <c r="U544" s="24">
        <v>2778.86</v>
      </c>
      <c r="V544" s="24">
        <v>1080</v>
      </c>
      <c r="W544" s="24" t="s">
        <v>528</v>
      </c>
      <c r="X544" s="24" t="s">
        <v>528</v>
      </c>
      <c r="Y544" s="24" t="s">
        <v>529</v>
      </c>
      <c r="Z544" s="102" t="s">
        <v>528</v>
      </c>
      <c r="AA544" s="24" t="s">
        <v>528</v>
      </c>
      <c r="AB544" s="24" t="s">
        <v>528</v>
      </c>
      <c r="AC544" s="24" t="s">
        <v>528</v>
      </c>
      <c r="AD544" s="24" t="s">
        <v>528</v>
      </c>
      <c r="AE544" s="24" t="s">
        <v>529</v>
      </c>
      <c r="AF544" s="24">
        <v>0</v>
      </c>
      <c r="AG544" s="24" t="s">
        <v>529</v>
      </c>
      <c r="AH544" s="24">
        <v>1</v>
      </c>
      <c r="AI544" s="24" t="s">
        <v>529</v>
      </c>
      <c r="AJ544" s="24">
        <v>1</v>
      </c>
      <c r="AK544" s="24" t="s">
        <v>530</v>
      </c>
      <c r="AL544" s="24"/>
    </row>
    <row r="545" spans="1:38" ht="31.2" x14ac:dyDescent="0.3">
      <c r="A545" s="53">
        <v>538</v>
      </c>
      <c r="B545" s="24" t="s">
        <v>544</v>
      </c>
      <c r="C545" s="24" t="s">
        <v>653</v>
      </c>
      <c r="D545" s="82" t="s">
        <v>230</v>
      </c>
      <c r="E545" s="24" t="s">
        <v>1258</v>
      </c>
      <c r="F545" s="24" t="s">
        <v>205</v>
      </c>
      <c r="G545" s="24"/>
      <c r="H545" s="24" t="s">
        <v>1260</v>
      </c>
      <c r="I545" s="30" t="s">
        <v>525</v>
      </c>
      <c r="J545" s="24"/>
      <c r="K545" s="24" t="s">
        <v>199</v>
      </c>
      <c r="L545" s="24" t="s">
        <v>199</v>
      </c>
      <c r="M545" s="24">
        <v>1888</v>
      </c>
      <c r="N545" s="24" t="s">
        <v>527</v>
      </c>
      <c r="O545" s="24">
        <v>5</v>
      </c>
      <c r="P545" s="24">
        <v>0</v>
      </c>
      <c r="Q545" s="24">
        <v>3</v>
      </c>
      <c r="R545" s="24">
        <v>18</v>
      </c>
      <c r="S545" s="24">
        <v>2101.21</v>
      </c>
      <c r="T545" s="24">
        <v>2101.21</v>
      </c>
      <c r="U545" s="24">
        <v>2101.21</v>
      </c>
      <c r="V545" s="24">
        <v>0</v>
      </c>
      <c r="W545" s="24" t="s">
        <v>528</v>
      </c>
      <c r="X545" s="24" t="s">
        <v>528</v>
      </c>
      <c r="Y545" s="24" t="s">
        <v>529</v>
      </c>
      <c r="Z545" s="102" t="s">
        <v>528</v>
      </c>
      <c r="AA545" s="24" t="s">
        <v>528</v>
      </c>
      <c r="AB545" s="24" t="s">
        <v>528</v>
      </c>
      <c r="AC545" s="24" t="s">
        <v>528</v>
      </c>
      <c r="AD545" s="24" t="s">
        <v>528</v>
      </c>
      <c r="AE545" s="24" t="s">
        <v>529</v>
      </c>
      <c r="AF545" s="24">
        <v>0</v>
      </c>
      <c r="AG545" s="24" t="s">
        <v>529</v>
      </c>
      <c r="AH545" s="24">
        <v>1</v>
      </c>
      <c r="AI545" s="24" t="s">
        <v>529</v>
      </c>
      <c r="AJ545" s="24" t="s">
        <v>529</v>
      </c>
      <c r="AK545" s="24" t="s">
        <v>530</v>
      </c>
      <c r="AL545" s="24"/>
    </row>
    <row r="546" spans="1:38" ht="31.2" x14ac:dyDescent="0.3">
      <c r="A546" s="53">
        <v>539</v>
      </c>
      <c r="B546" s="24" t="s">
        <v>544</v>
      </c>
      <c r="C546" s="24" t="s">
        <v>521</v>
      </c>
      <c r="D546" s="82" t="s">
        <v>300</v>
      </c>
      <c r="E546" s="24" t="s">
        <v>1261</v>
      </c>
      <c r="F546" s="24" t="s">
        <v>200</v>
      </c>
      <c r="G546" s="24"/>
      <c r="H546" s="24" t="s">
        <v>1262</v>
      </c>
      <c r="I546" s="30" t="s">
        <v>525</v>
      </c>
      <c r="J546" s="24"/>
      <c r="K546" s="24" t="s">
        <v>199</v>
      </c>
      <c r="L546" s="24" t="s">
        <v>199</v>
      </c>
      <c r="M546" s="24">
        <v>1898</v>
      </c>
      <c r="N546" s="24" t="s">
        <v>527</v>
      </c>
      <c r="O546" s="24">
        <v>5</v>
      </c>
      <c r="P546" s="24">
        <v>0</v>
      </c>
      <c r="Q546" s="24">
        <v>4</v>
      </c>
      <c r="R546" s="24">
        <v>31</v>
      </c>
      <c r="S546" s="24">
        <v>2213.3000000000002</v>
      </c>
      <c r="T546" s="24">
        <v>2213.3000000000002</v>
      </c>
      <c r="U546" s="24">
        <v>1815.3</v>
      </c>
      <c r="V546" s="24">
        <v>398</v>
      </c>
      <c r="W546" s="24" t="s">
        <v>528</v>
      </c>
      <c r="X546" s="24" t="s">
        <v>528</v>
      </c>
      <c r="Y546" s="24" t="s">
        <v>529</v>
      </c>
      <c r="Z546" s="102" t="s">
        <v>528</v>
      </c>
      <c r="AA546" s="24" t="s">
        <v>528</v>
      </c>
      <c r="AB546" s="24" t="s">
        <v>528</v>
      </c>
      <c r="AC546" s="24" t="s">
        <v>528</v>
      </c>
      <c r="AD546" s="24" t="s">
        <v>528</v>
      </c>
      <c r="AE546" s="24" t="s">
        <v>529</v>
      </c>
      <c r="AF546" s="24">
        <v>0</v>
      </c>
      <c r="AG546" s="24" t="s">
        <v>529</v>
      </c>
      <c r="AH546" s="24">
        <v>1</v>
      </c>
      <c r="AI546" s="24" t="s">
        <v>529</v>
      </c>
      <c r="AJ546" s="24" t="s">
        <v>529</v>
      </c>
      <c r="AK546" s="24" t="s">
        <v>530</v>
      </c>
      <c r="AL546" s="24"/>
    </row>
    <row r="547" spans="1:38" ht="31.2" x14ac:dyDescent="0.3">
      <c r="A547" s="53">
        <v>540</v>
      </c>
      <c r="B547" s="24" t="s">
        <v>544</v>
      </c>
      <c r="C547" s="24" t="s">
        <v>521</v>
      </c>
      <c r="D547" s="82" t="s">
        <v>300</v>
      </c>
      <c r="E547" s="24" t="s">
        <v>171</v>
      </c>
      <c r="F547" s="24" t="s">
        <v>200</v>
      </c>
      <c r="G547" s="24"/>
      <c r="H547" s="24" t="s">
        <v>1263</v>
      </c>
      <c r="I547" s="30" t="s">
        <v>525</v>
      </c>
      <c r="J547" s="24"/>
      <c r="K547" s="24" t="s">
        <v>199</v>
      </c>
      <c r="L547" s="24" t="s">
        <v>199</v>
      </c>
      <c r="M547" s="24">
        <v>1908</v>
      </c>
      <c r="N547" s="24" t="s">
        <v>527</v>
      </c>
      <c r="O547" s="24">
        <v>3</v>
      </c>
      <c r="P547" s="24">
        <v>0</v>
      </c>
      <c r="Q547" s="24">
        <v>2</v>
      </c>
      <c r="R547" s="24">
        <v>24</v>
      </c>
      <c r="S547" s="24">
        <v>1805</v>
      </c>
      <c r="T547" s="24">
        <v>1805</v>
      </c>
      <c r="U547" s="24">
        <v>1558</v>
      </c>
      <c r="V547" s="24">
        <v>247</v>
      </c>
      <c r="W547" s="24" t="s">
        <v>528</v>
      </c>
      <c r="X547" s="24" t="s">
        <v>528</v>
      </c>
      <c r="Y547" s="24" t="s">
        <v>529</v>
      </c>
      <c r="Z547" s="102" t="s">
        <v>528</v>
      </c>
      <c r="AA547" s="24" t="s">
        <v>528</v>
      </c>
      <c r="AB547" s="24" t="s">
        <v>528</v>
      </c>
      <c r="AC547" s="24" t="s">
        <v>528</v>
      </c>
      <c r="AD547" s="24" t="s">
        <v>528</v>
      </c>
      <c r="AE547" s="24" t="s">
        <v>529</v>
      </c>
      <c r="AF547" s="24">
        <v>0</v>
      </c>
      <c r="AG547" s="24" t="s">
        <v>529</v>
      </c>
      <c r="AH547" s="24">
        <v>1</v>
      </c>
      <c r="AI547" s="24" t="s">
        <v>529</v>
      </c>
      <c r="AJ547" s="24" t="s">
        <v>529</v>
      </c>
      <c r="AK547" s="24" t="s">
        <v>530</v>
      </c>
      <c r="AL547" s="24"/>
    </row>
    <row r="548" spans="1:38" ht="31.2" x14ac:dyDescent="0.3">
      <c r="A548" s="53">
        <v>541</v>
      </c>
      <c r="B548" s="24" t="s">
        <v>544</v>
      </c>
      <c r="C548" s="24" t="s">
        <v>521</v>
      </c>
      <c r="D548" s="82" t="s">
        <v>300</v>
      </c>
      <c r="E548" s="24" t="s">
        <v>1264</v>
      </c>
      <c r="F548" s="24" t="s">
        <v>200</v>
      </c>
      <c r="G548" s="24"/>
      <c r="H548" s="24" t="s">
        <v>1265</v>
      </c>
      <c r="I548" s="30" t="s">
        <v>525</v>
      </c>
      <c r="J548" s="24"/>
      <c r="K548" s="24" t="s">
        <v>199</v>
      </c>
      <c r="L548" s="24" t="s">
        <v>199</v>
      </c>
      <c r="M548" s="24">
        <v>1898</v>
      </c>
      <c r="N548" s="24" t="s">
        <v>527</v>
      </c>
      <c r="O548" s="24">
        <v>3</v>
      </c>
      <c r="P548" s="24">
        <v>0</v>
      </c>
      <c r="Q548" s="24">
        <v>1</v>
      </c>
      <c r="R548" s="24">
        <v>5</v>
      </c>
      <c r="S548" s="24">
        <v>986.4</v>
      </c>
      <c r="T548" s="24">
        <v>986.4</v>
      </c>
      <c r="U548" s="24">
        <v>601.4</v>
      </c>
      <c r="V548" s="24">
        <v>385</v>
      </c>
      <c r="W548" s="24" t="s">
        <v>528</v>
      </c>
      <c r="X548" s="24" t="s">
        <v>528</v>
      </c>
      <c r="Y548" s="24" t="s">
        <v>529</v>
      </c>
      <c r="Z548" s="102" t="s">
        <v>528</v>
      </c>
      <c r="AA548" s="24" t="s">
        <v>528</v>
      </c>
      <c r="AB548" s="24" t="s">
        <v>528</v>
      </c>
      <c r="AC548" s="24" t="s">
        <v>528</v>
      </c>
      <c r="AD548" s="24" t="s">
        <v>528</v>
      </c>
      <c r="AE548" s="24" t="s">
        <v>529</v>
      </c>
      <c r="AF548" s="24">
        <v>0</v>
      </c>
      <c r="AG548" s="24" t="s">
        <v>529</v>
      </c>
      <c r="AH548" s="24">
        <v>1</v>
      </c>
      <c r="AI548" s="24" t="s">
        <v>529</v>
      </c>
      <c r="AJ548" s="24" t="s">
        <v>529</v>
      </c>
      <c r="AK548" s="24" t="s">
        <v>530</v>
      </c>
      <c r="AL548" s="24"/>
    </row>
    <row r="549" spans="1:38" ht="31.2" x14ac:dyDescent="0.3">
      <c r="A549" s="53">
        <v>542</v>
      </c>
      <c r="B549" s="24" t="s">
        <v>544</v>
      </c>
      <c r="C549" s="24" t="s">
        <v>521</v>
      </c>
      <c r="D549" s="82" t="s">
        <v>300</v>
      </c>
      <c r="E549" s="24" t="s">
        <v>1264</v>
      </c>
      <c r="F549" s="24" t="s">
        <v>207</v>
      </c>
      <c r="G549" s="24"/>
      <c r="H549" s="24" t="s">
        <v>1266</v>
      </c>
      <c r="I549" s="30" t="s">
        <v>525</v>
      </c>
      <c r="J549" s="24"/>
      <c r="K549" s="24" t="s">
        <v>199</v>
      </c>
      <c r="L549" s="24" t="s">
        <v>199</v>
      </c>
      <c r="M549" s="24">
        <v>1898</v>
      </c>
      <c r="N549" s="24" t="s">
        <v>527</v>
      </c>
      <c r="O549" s="24">
        <v>3</v>
      </c>
      <c r="P549" s="24">
        <v>0</v>
      </c>
      <c r="Q549" s="24">
        <v>1</v>
      </c>
      <c r="R549" s="24">
        <v>6</v>
      </c>
      <c r="S549" s="24">
        <v>331.2</v>
      </c>
      <c r="T549" s="24">
        <v>331.2</v>
      </c>
      <c r="U549" s="24">
        <v>331.2</v>
      </c>
      <c r="V549" s="24">
        <v>0</v>
      </c>
      <c r="W549" s="24" t="s">
        <v>528</v>
      </c>
      <c r="X549" s="24" t="s">
        <v>528</v>
      </c>
      <c r="Y549" s="24" t="s">
        <v>529</v>
      </c>
      <c r="Z549" s="102" t="s">
        <v>528</v>
      </c>
      <c r="AA549" s="24" t="s">
        <v>528</v>
      </c>
      <c r="AB549" s="24" t="s">
        <v>528</v>
      </c>
      <c r="AC549" s="24" t="s">
        <v>528</v>
      </c>
      <c r="AD549" s="24" t="s">
        <v>528</v>
      </c>
      <c r="AE549" s="24" t="s">
        <v>529</v>
      </c>
      <c r="AF549" s="24">
        <v>0</v>
      </c>
      <c r="AG549" s="24" t="s">
        <v>529</v>
      </c>
      <c r="AH549" s="24" t="s">
        <v>529</v>
      </c>
      <c r="AI549" s="24" t="s">
        <v>529</v>
      </c>
      <c r="AJ549" s="24" t="s">
        <v>529</v>
      </c>
      <c r="AK549" s="24" t="s">
        <v>530</v>
      </c>
      <c r="AL549" s="24"/>
    </row>
    <row r="550" spans="1:38" ht="31.2" x14ac:dyDescent="0.3">
      <c r="A550" s="53">
        <v>543</v>
      </c>
      <c r="B550" s="24" t="s">
        <v>544</v>
      </c>
      <c r="C550" s="24" t="s">
        <v>521</v>
      </c>
      <c r="D550" s="82" t="s">
        <v>300</v>
      </c>
      <c r="E550" s="24" t="s">
        <v>1267</v>
      </c>
      <c r="F550" s="24" t="s">
        <v>200</v>
      </c>
      <c r="G550" s="24"/>
      <c r="H550" s="24" t="s">
        <v>1268</v>
      </c>
      <c r="I550" s="30" t="s">
        <v>525</v>
      </c>
      <c r="J550" s="24"/>
      <c r="K550" s="24" t="s">
        <v>199</v>
      </c>
      <c r="L550" s="24" t="s">
        <v>199</v>
      </c>
      <c r="M550" s="24">
        <v>1899</v>
      </c>
      <c r="N550" s="24" t="s">
        <v>527</v>
      </c>
      <c r="O550" s="24">
        <v>5</v>
      </c>
      <c r="P550" s="24">
        <v>0</v>
      </c>
      <c r="Q550" s="24">
        <v>4</v>
      </c>
      <c r="R550" s="24">
        <v>29</v>
      </c>
      <c r="S550" s="24">
        <v>3011.93</v>
      </c>
      <c r="T550" s="24">
        <v>3011.93</v>
      </c>
      <c r="U550" s="24">
        <v>2641.93</v>
      </c>
      <c r="V550" s="24">
        <v>370</v>
      </c>
      <c r="W550" s="24" t="s">
        <v>528</v>
      </c>
      <c r="X550" s="24" t="s">
        <v>528</v>
      </c>
      <c r="Y550" s="24" t="s">
        <v>529</v>
      </c>
      <c r="Z550" s="102" t="s">
        <v>528</v>
      </c>
      <c r="AA550" s="24" t="s">
        <v>528</v>
      </c>
      <c r="AB550" s="24" t="s">
        <v>528</v>
      </c>
      <c r="AC550" s="24" t="s">
        <v>528</v>
      </c>
      <c r="AD550" s="24" t="s">
        <v>528</v>
      </c>
      <c r="AE550" s="24" t="s">
        <v>529</v>
      </c>
      <c r="AF550" s="24">
        <v>0</v>
      </c>
      <c r="AG550" s="24" t="s">
        <v>529</v>
      </c>
      <c r="AH550" s="24">
        <v>1</v>
      </c>
      <c r="AI550" s="24" t="s">
        <v>529</v>
      </c>
      <c r="AJ550" s="24">
        <v>1</v>
      </c>
      <c r="AK550" s="24" t="s">
        <v>530</v>
      </c>
      <c r="AL550" s="24"/>
    </row>
    <row r="551" spans="1:38" ht="31.2" x14ac:dyDescent="0.3">
      <c r="A551" s="53">
        <v>544</v>
      </c>
      <c r="B551" s="24" t="s">
        <v>544</v>
      </c>
      <c r="C551" s="24" t="s">
        <v>521</v>
      </c>
      <c r="D551" s="82" t="s">
        <v>300</v>
      </c>
      <c r="E551" s="24" t="s">
        <v>1267</v>
      </c>
      <c r="F551" s="24" t="s">
        <v>205</v>
      </c>
      <c r="G551" s="24"/>
      <c r="H551" s="24" t="s">
        <v>1269</v>
      </c>
      <c r="I551" s="30" t="s">
        <v>525</v>
      </c>
      <c r="J551" s="24"/>
      <c r="K551" s="24" t="s">
        <v>199</v>
      </c>
      <c r="L551" s="24" t="s">
        <v>199</v>
      </c>
      <c r="M551" s="24">
        <v>1899</v>
      </c>
      <c r="N551" s="24" t="s">
        <v>527</v>
      </c>
      <c r="O551" s="24">
        <v>1</v>
      </c>
      <c r="P551" s="24">
        <v>0</v>
      </c>
      <c r="Q551" s="24">
        <v>4</v>
      </c>
      <c r="R551" s="24">
        <v>1</v>
      </c>
      <c r="S551" s="24">
        <v>24.7</v>
      </c>
      <c r="T551" s="24">
        <v>24.7</v>
      </c>
      <c r="U551" s="24">
        <v>24.7</v>
      </c>
      <c r="V551" s="24">
        <v>0</v>
      </c>
      <c r="W551" s="24" t="s">
        <v>528</v>
      </c>
      <c r="X551" s="24" t="s">
        <v>528</v>
      </c>
      <c r="Y551" s="24" t="s">
        <v>529</v>
      </c>
      <c r="Z551" s="102" t="s">
        <v>528</v>
      </c>
      <c r="AA551" s="24" t="s">
        <v>528</v>
      </c>
      <c r="AB551" s="24" t="s">
        <v>528</v>
      </c>
      <c r="AC551" s="24" t="s">
        <v>528</v>
      </c>
      <c r="AD551" s="24" t="s">
        <v>528</v>
      </c>
      <c r="AE551" s="24" t="s">
        <v>529</v>
      </c>
      <c r="AF551" s="24">
        <v>0</v>
      </c>
      <c r="AG551" s="24" t="s">
        <v>529</v>
      </c>
      <c r="AH551" s="24" t="s">
        <v>529</v>
      </c>
      <c r="AI551" s="24" t="s">
        <v>529</v>
      </c>
      <c r="AJ551" s="24">
        <v>1</v>
      </c>
      <c r="AK551" s="24" t="s">
        <v>530</v>
      </c>
      <c r="AL551" s="24"/>
    </row>
    <row r="552" spans="1:38" ht="31.2" x14ac:dyDescent="0.3">
      <c r="A552" s="53">
        <v>545</v>
      </c>
      <c r="B552" s="24" t="s">
        <v>544</v>
      </c>
      <c r="C552" s="24" t="s">
        <v>521</v>
      </c>
      <c r="D552" s="82" t="s">
        <v>300</v>
      </c>
      <c r="E552" s="24" t="s">
        <v>1267</v>
      </c>
      <c r="F552" s="24" t="s">
        <v>206</v>
      </c>
      <c r="G552" s="24"/>
      <c r="H552" s="24" t="s">
        <v>1270</v>
      </c>
      <c r="I552" s="30" t="s">
        <v>525</v>
      </c>
      <c r="J552" s="24"/>
      <c r="K552" s="24" t="s">
        <v>199</v>
      </c>
      <c r="L552" s="24" t="s">
        <v>199</v>
      </c>
      <c r="M552" s="24">
        <v>1899</v>
      </c>
      <c r="N552" s="24" t="s">
        <v>527</v>
      </c>
      <c r="O552" s="24">
        <v>5</v>
      </c>
      <c r="P552" s="24">
        <v>0</v>
      </c>
      <c r="Q552" s="24">
        <v>5</v>
      </c>
      <c r="R552" s="24">
        <v>41</v>
      </c>
      <c r="S552" s="24">
        <v>2624.8</v>
      </c>
      <c r="T552" s="24">
        <v>2624.8</v>
      </c>
      <c r="U552" s="24">
        <v>2624.8</v>
      </c>
      <c r="V552" s="24">
        <v>0</v>
      </c>
      <c r="W552" s="24" t="s">
        <v>528</v>
      </c>
      <c r="X552" s="24" t="s">
        <v>528</v>
      </c>
      <c r="Y552" s="24" t="s">
        <v>529</v>
      </c>
      <c r="Z552" s="102" t="s">
        <v>528</v>
      </c>
      <c r="AA552" s="24" t="s">
        <v>528</v>
      </c>
      <c r="AB552" s="24" t="s">
        <v>528</v>
      </c>
      <c r="AC552" s="24" t="s">
        <v>528</v>
      </c>
      <c r="AD552" s="24" t="s">
        <v>528</v>
      </c>
      <c r="AE552" s="24" t="s">
        <v>529</v>
      </c>
      <c r="AF552" s="24">
        <v>0</v>
      </c>
      <c r="AG552" s="24" t="s">
        <v>529</v>
      </c>
      <c r="AH552" s="24" t="s">
        <v>529</v>
      </c>
      <c r="AI552" s="24" t="s">
        <v>529</v>
      </c>
      <c r="AJ552" s="24" t="s">
        <v>529</v>
      </c>
      <c r="AK552" s="24" t="s">
        <v>530</v>
      </c>
      <c r="AL552" s="24"/>
    </row>
    <row r="553" spans="1:38" ht="31.2" x14ac:dyDescent="0.3">
      <c r="A553" s="53">
        <v>546</v>
      </c>
      <c r="B553" s="24" t="s">
        <v>544</v>
      </c>
      <c r="C553" s="24" t="s">
        <v>521</v>
      </c>
      <c r="D553" s="82" t="s">
        <v>300</v>
      </c>
      <c r="E553" s="24" t="s">
        <v>1271</v>
      </c>
      <c r="F553" s="24"/>
      <c r="G553" s="24"/>
      <c r="H553" s="24" t="s">
        <v>1272</v>
      </c>
      <c r="I553" s="30" t="s">
        <v>525</v>
      </c>
      <c r="J553" s="24"/>
      <c r="K553" s="24" t="s">
        <v>199</v>
      </c>
      <c r="L553" s="24" t="s">
        <v>199</v>
      </c>
      <c r="M553" s="24">
        <v>1900</v>
      </c>
      <c r="N553" s="24" t="s">
        <v>527</v>
      </c>
      <c r="O553" s="24">
        <v>5</v>
      </c>
      <c r="P553" s="24">
        <v>0</v>
      </c>
      <c r="Q553" s="24">
        <v>4</v>
      </c>
      <c r="R553" s="24">
        <v>80</v>
      </c>
      <c r="S553" s="24">
        <v>5313.9</v>
      </c>
      <c r="T553" s="24">
        <v>5313.9</v>
      </c>
      <c r="U553" s="24">
        <v>5313.9</v>
      </c>
      <c r="V553" s="24">
        <v>0</v>
      </c>
      <c r="W553" s="24" t="s">
        <v>528</v>
      </c>
      <c r="X553" s="24" t="s">
        <v>528</v>
      </c>
      <c r="Y553" s="24" t="s">
        <v>529</v>
      </c>
      <c r="Z553" s="102" t="s">
        <v>528</v>
      </c>
      <c r="AA553" s="24" t="s">
        <v>528</v>
      </c>
      <c r="AB553" s="24" t="s">
        <v>528</v>
      </c>
      <c r="AC553" s="24" t="s">
        <v>528</v>
      </c>
      <c r="AD553" s="24" t="s">
        <v>528</v>
      </c>
      <c r="AE553" s="24" t="s">
        <v>529</v>
      </c>
      <c r="AF553" s="24">
        <v>0</v>
      </c>
      <c r="AG553" s="24" t="s">
        <v>529</v>
      </c>
      <c r="AH553" s="24">
        <v>1</v>
      </c>
      <c r="AI553" s="24" t="s">
        <v>529</v>
      </c>
      <c r="AJ553" s="24">
        <v>1</v>
      </c>
      <c r="AK553" s="24" t="s">
        <v>530</v>
      </c>
      <c r="AL553" s="24"/>
    </row>
    <row r="554" spans="1:38" ht="31.2" x14ac:dyDescent="0.3">
      <c r="A554" s="53">
        <v>547</v>
      </c>
      <c r="B554" s="24" t="s">
        <v>544</v>
      </c>
      <c r="C554" s="24" t="s">
        <v>521</v>
      </c>
      <c r="D554" s="82" t="s">
        <v>300</v>
      </c>
      <c r="E554" s="24" t="s">
        <v>1273</v>
      </c>
      <c r="F554" s="24" t="s">
        <v>200</v>
      </c>
      <c r="G554" s="24"/>
      <c r="H554" s="24" t="s">
        <v>1274</v>
      </c>
      <c r="I554" s="30" t="s">
        <v>525</v>
      </c>
      <c r="J554" s="24" t="s">
        <v>535</v>
      </c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102"/>
      <c r="AA554" s="24"/>
      <c r="AB554" s="24"/>
      <c r="AC554" s="24" t="s">
        <v>528</v>
      </c>
      <c r="AD554" s="24"/>
      <c r="AE554" s="24"/>
      <c r="AF554" s="24"/>
      <c r="AG554" s="24"/>
      <c r="AH554" s="24"/>
      <c r="AI554" s="24"/>
      <c r="AJ554" s="24"/>
      <c r="AK554" s="24"/>
      <c r="AL554" s="24"/>
    </row>
    <row r="555" spans="1:38" ht="31.2" x14ac:dyDescent="0.3">
      <c r="A555" s="53">
        <v>548</v>
      </c>
      <c r="B555" s="24" t="s">
        <v>544</v>
      </c>
      <c r="C555" s="24" t="s">
        <v>521</v>
      </c>
      <c r="D555" s="82" t="s">
        <v>300</v>
      </c>
      <c r="E555" s="24" t="s">
        <v>1208</v>
      </c>
      <c r="F555" s="24" t="s">
        <v>200</v>
      </c>
      <c r="G555" s="24"/>
      <c r="H555" s="24" t="s">
        <v>1275</v>
      </c>
      <c r="I555" s="30" t="s">
        <v>525</v>
      </c>
      <c r="J555" s="24"/>
      <c r="K555" s="24" t="s">
        <v>199</v>
      </c>
      <c r="L555" s="24" t="s">
        <v>199</v>
      </c>
      <c r="M555" s="24">
        <v>1861</v>
      </c>
      <c r="N555" s="24" t="s">
        <v>527</v>
      </c>
      <c r="O555" s="24">
        <v>4</v>
      </c>
      <c r="P555" s="24">
        <v>0</v>
      </c>
      <c r="Q555" s="24">
        <v>3</v>
      </c>
      <c r="R555" s="24">
        <v>16</v>
      </c>
      <c r="S555" s="24">
        <v>1982</v>
      </c>
      <c r="T555" s="24">
        <v>1982</v>
      </c>
      <c r="U555" s="24">
        <v>1823</v>
      </c>
      <c r="V555" s="24">
        <v>159</v>
      </c>
      <c r="W555" s="24" t="s">
        <v>528</v>
      </c>
      <c r="X555" s="24" t="s">
        <v>528</v>
      </c>
      <c r="Y555" s="24" t="s">
        <v>529</v>
      </c>
      <c r="Z555" s="102" t="s">
        <v>528</v>
      </c>
      <c r="AA555" s="24" t="s">
        <v>528</v>
      </c>
      <c r="AB555" s="24" t="s">
        <v>528</v>
      </c>
      <c r="AC555" s="24" t="s">
        <v>528</v>
      </c>
      <c r="AD555" s="24" t="s">
        <v>528</v>
      </c>
      <c r="AE555" s="24" t="s">
        <v>529</v>
      </c>
      <c r="AF555" s="24">
        <v>0</v>
      </c>
      <c r="AG555" s="24" t="s">
        <v>529</v>
      </c>
      <c r="AH555" s="24">
        <v>1</v>
      </c>
      <c r="AI555" s="24" t="s">
        <v>529</v>
      </c>
      <c r="AJ555" s="24" t="s">
        <v>529</v>
      </c>
      <c r="AK555" s="24" t="s">
        <v>530</v>
      </c>
      <c r="AL555" s="24"/>
    </row>
    <row r="556" spans="1:38" ht="31.2" x14ac:dyDescent="0.3">
      <c r="A556" s="53">
        <v>549</v>
      </c>
      <c r="B556" s="24" t="s">
        <v>544</v>
      </c>
      <c r="C556" s="24" t="s">
        <v>521</v>
      </c>
      <c r="D556" s="82" t="s">
        <v>300</v>
      </c>
      <c r="E556" s="24" t="s">
        <v>1276</v>
      </c>
      <c r="F556" s="24" t="s">
        <v>200</v>
      </c>
      <c r="G556" s="24"/>
      <c r="H556" s="24" t="s">
        <v>1277</v>
      </c>
      <c r="I556" s="30" t="s">
        <v>525</v>
      </c>
      <c r="J556" s="24"/>
      <c r="K556" s="24" t="s">
        <v>199</v>
      </c>
      <c r="L556" s="24" t="s">
        <v>199</v>
      </c>
      <c r="M556" s="24">
        <v>1894</v>
      </c>
      <c r="N556" s="24" t="s">
        <v>527</v>
      </c>
      <c r="O556" s="24">
        <v>4</v>
      </c>
      <c r="P556" s="24">
        <v>0</v>
      </c>
      <c r="Q556" s="24">
        <v>3</v>
      </c>
      <c r="R556" s="24">
        <v>13</v>
      </c>
      <c r="S556" s="24">
        <v>1562.3</v>
      </c>
      <c r="T556" s="24">
        <v>1562.3</v>
      </c>
      <c r="U556" s="24">
        <v>1330.3</v>
      </c>
      <c r="V556" s="24">
        <v>232</v>
      </c>
      <c r="W556" s="24" t="s">
        <v>528</v>
      </c>
      <c r="X556" s="24" t="s">
        <v>528</v>
      </c>
      <c r="Y556" s="24" t="s">
        <v>529</v>
      </c>
      <c r="Z556" s="102" t="s">
        <v>528</v>
      </c>
      <c r="AA556" s="24" t="s">
        <v>528</v>
      </c>
      <c r="AB556" s="24" t="s">
        <v>528</v>
      </c>
      <c r="AC556" s="24" t="s">
        <v>528</v>
      </c>
      <c r="AD556" s="24" t="s">
        <v>528</v>
      </c>
      <c r="AE556" s="24" t="s">
        <v>529</v>
      </c>
      <c r="AF556" s="24">
        <v>0</v>
      </c>
      <c r="AG556" s="24" t="s">
        <v>529</v>
      </c>
      <c r="AH556" s="24">
        <v>1</v>
      </c>
      <c r="AI556" s="24" t="s">
        <v>529</v>
      </c>
      <c r="AJ556" s="24" t="s">
        <v>529</v>
      </c>
      <c r="AK556" s="24" t="s">
        <v>530</v>
      </c>
      <c r="AL556" s="24"/>
    </row>
    <row r="557" spans="1:38" ht="31.2" x14ac:dyDescent="0.3">
      <c r="A557" s="53">
        <v>550</v>
      </c>
      <c r="B557" s="24" t="s">
        <v>544</v>
      </c>
      <c r="C557" s="24" t="s">
        <v>521</v>
      </c>
      <c r="D557" s="82" t="s">
        <v>300</v>
      </c>
      <c r="E557" s="24" t="s">
        <v>1278</v>
      </c>
      <c r="F557" s="24" t="s">
        <v>200</v>
      </c>
      <c r="G557" s="24"/>
      <c r="H557" s="24" t="s">
        <v>1279</v>
      </c>
      <c r="I557" s="30" t="s">
        <v>525</v>
      </c>
      <c r="J557" s="24"/>
      <c r="K557" s="24" t="s">
        <v>199</v>
      </c>
      <c r="L557" s="24" t="s">
        <v>199</v>
      </c>
      <c r="M557" s="24">
        <v>1901</v>
      </c>
      <c r="N557" s="24" t="s">
        <v>527</v>
      </c>
      <c r="O557" s="24">
        <v>5</v>
      </c>
      <c r="P557" s="24">
        <v>0</v>
      </c>
      <c r="Q557" s="24">
        <v>9</v>
      </c>
      <c r="R557" s="24">
        <v>56</v>
      </c>
      <c r="S557" s="24">
        <v>5438.9</v>
      </c>
      <c r="T557" s="24">
        <v>5438.9</v>
      </c>
      <c r="U557" s="24">
        <v>605</v>
      </c>
      <c r="V557" s="24">
        <v>4833.8999999999996</v>
      </c>
      <c r="W557" s="24" t="s">
        <v>528</v>
      </c>
      <c r="X557" s="24" t="s">
        <v>528</v>
      </c>
      <c r="Y557" s="24" t="s">
        <v>529</v>
      </c>
      <c r="Z557" s="102" t="s">
        <v>528</v>
      </c>
      <c r="AA557" s="24" t="s">
        <v>528</v>
      </c>
      <c r="AB557" s="24" t="s">
        <v>528</v>
      </c>
      <c r="AC557" s="24" t="s">
        <v>528</v>
      </c>
      <c r="AD557" s="24" t="s">
        <v>528</v>
      </c>
      <c r="AE557" s="24" t="s">
        <v>529</v>
      </c>
      <c r="AF557" s="24">
        <v>0</v>
      </c>
      <c r="AG557" s="24" t="s">
        <v>529</v>
      </c>
      <c r="AH557" s="24">
        <v>1</v>
      </c>
      <c r="AI557" s="24" t="s">
        <v>529</v>
      </c>
      <c r="AJ557" s="24">
        <v>1</v>
      </c>
      <c r="AK557" s="24" t="s">
        <v>530</v>
      </c>
      <c r="AL557" s="24"/>
    </row>
    <row r="558" spans="1:38" ht="31.2" x14ac:dyDescent="0.3">
      <c r="A558" s="53">
        <v>551</v>
      </c>
      <c r="B558" s="24" t="s">
        <v>544</v>
      </c>
      <c r="C558" s="24" t="s">
        <v>521</v>
      </c>
      <c r="D558" s="82" t="s">
        <v>1173</v>
      </c>
      <c r="E558" s="24" t="s">
        <v>1129</v>
      </c>
      <c r="F558" s="24" t="s">
        <v>200</v>
      </c>
      <c r="G558" s="24"/>
      <c r="H558" s="24" t="s">
        <v>1280</v>
      </c>
      <c r="I558" s="30" t="s">
        <v>525</v>
      </c>
      <c r="J558" s="24" t="s">
        <v>535</v>
      </c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102"/>
      <c r="AA558" s="24"/>
      <c r="AB558" s="24"/>
      <c r="AC558" s="24" t="s">
        <v>528</v>
      </c>
      <c r="AD558" s="24"/>
      <c r="AE558" s="24"/>
      <c r="AF558" s="24"/>
      <c r="AG558" s="24"/>
      <c r="AH558" s="24"/>
      <c r="AI558" s="24"/>
      <c r="AJ558" s="24"/>
      <c r="AK558" s="24"/>
      <c r="AL558" s="24"/>
    </row>
    <row r="559" spans="1:38" ht="31.2" x14ac:dyDescent="0.3">
      <c r="A559" s="53">
        <v>552</v>
      </c>
      <c r="B559" s="24" t="s">
        <v>544</v>
      </c>
      <c r="C559" s="24" t="s">
        <v>521</v>
      </c>
      <c r="D559" s="82" t="s">
        <v>227</v>
      </c>
      <c r="E559" s="24" t="s">
        <v>1281</v>
      </c>
      <c r="F559" s="24" t="s">
        <v>200</v>
      </c>
      <c r="G559" s="24"/>
      <c r="H559" s="24" t="s">
        <v>1282</v>
      </c>
      <c r="I559" s="30" t="s">
        <v>525</v>
      </c>
      <c r="J559" s="24" t="s">
        <v>535</v>
      </c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102"/>
      <c r="AA559" s="24"/>
      <c r="AB559" s="24"/>
      <c r="AC559" s="24" t="s">
        <v>528</v>
      </c>
      <c r="AD559" s="24"/>
      <c r="AE559" s="24"/>
      <c r="AF559" s="24"/>
      <c r="AG559" s="24"/>
      <c r="AH559" s="24"/>
      <c r="AI559" s="24"/>
      <c r="AJ559" s="24"/>
      <c r="AK559" s="24"/>
      <c r="AL559" s="24"/>
    </row>
    <row r="560" spans="1:38" ht="31.2" x14ac:dyDescent="0.3">
      <c r="A560" s="53">
        <v>553</v>
      </c>
      <c r="B560" s="24" t="s">
        <v>544</v>
      </c>
      <c r="C560" s="24" t="s">
        <v>521</v>
      </c>
      <c r="D560" s="82" t="s">
        <v>230</v>
      </c>
      <c r="E560" s="24" t="s">
        <v>765</v>
      </c>
      <c r="F560" s="24" t="s">
        <v>200</v>
      </c>
      <c r="G560" s="24"/>
      <c r="H560" s="24" t="s">
        <v>1283</v>
      </c>
      <c r="I560" s="30" t="s">
        <v>525</v>
      </c>
      <c r="J560" s="24"/>
      <c r="K560" s="24" t="s">
        <v>199</v>
      </c>
      <c r="L560" s="24" t="s">
        <v>199</v>
      </c>
      <c r="M560" s="24">
        <v>1899</v>
      </c>
      <c r="N560" s="24" t="s">
        <v>527</v>
      </c>
      <c r="O560" s="24">
        <v>5</v>
      </c>
      <c r="P560" s="24">
        <v>0</v>
      </c>
      <c r="Q560" s="24">
        <v>4</v>
      </c>
      <c r="R560" s="24">
        <v>26</v>
      </c>
      <c r="S560" s="24">
        <v>2999.53</v>
      </c>
      <c r="T560" s="24">
        <v>2999.53</v>
      </c>
      <c r="U560" s="24">
        <v>2833.53</v>
      </c>
      <c r="V560" s="24">
        <v>166</v>
      </c>
      <c r="W560" s="24" t="s">
        <v>528</v>
      </c>
      <c r="X560" s="24" t="s">
        <v>528</v>
      </c>
      <c r="Y560" s="24" t="s">
        <v>529</v>
      </c>
      <c r="Z560" s="102" t="s">
        <v>528</v>
      </c>
      <c r="AA560" s="24" t="s">
        <v>528</v>
      </c>
      <c r="AB560" s="24" t="s">
        <v>528</v>
      </c>
      <c r="AC560" s="24" t="s">
        <v>528</v>
      </c>
      <c r="AD560" s="24" t="s">
        <v>528</v>
      </c>
      <c r="AE560" s="24" t="s">
        <v>529</v>
      </c>
      <c r="AF560" s="24">
        <v>0</v>
      </c>
      <c r="AG560" s="24" t="s">
        <v>529</v>
      </c>
      <c r="AH560" s="24">
        <v>1</v>
      </c>
      <c r="AI560" s="24" t="s">
        <v>529</v>
      </c>
      <c r="AJ560" s="24">
        <v>1</v>
      </c>
      <c r="AK560" s="24" t="s">
        <v>530</v>
      </c>
      <c r="AL560" s="24"/>
    </row>
    <row r="561" spans="1:38" ht="31.2" x14ac:dyDescent="0.3">
      <c r="A561" s="53">
        <v>554</v>
      </c>
      <c r="B561" s="24" t="s">
        <v>544</v>
      </c>
      <c r="C561" s="24" t="s">
        <v>521</v>
      </c>
      <c r="D561" s="82" t="s">
        <v>227</v>
      </c>
      <c r="E561" s="24" t="s">
        <v>170</v>
      </c>
      <c r="F561" s="24" t="s">
        <v>200</v>
      </c>
      <c r="G561" s="24"/>
      <c r="H561" s="24" t="s">
        <v>1284</v>
      </c>
      <c r="I561" s="30" t="s">
        <v>525</v>
      </c>
      <c r="J561" s="24"/>
      <c r="K561" s="24" t="s">
        <v>1157</v>
      </c>
      <c r="L561" s="24" t="s">
        <v>199</v>
      </c>
      <c r="M561" s="24">
        <v>1955</v>
      </c>
      <c r="N561" s="24" t="s">
        <v>527</v>
      </c>
      <c r="O561" s="24">
        <v>5</v>
      </c>
      <c r="P561" s="24">
        <v>0</v>
      </c>
      <c r="Q561" s="24">
        <v>8</v>
      </c>
      <c r="R561" s="24">
        <v>96</v>
      </c>
      <c r="S561" s="24">
        <v>7027.78</v>
      </c>
      <c r="T561" s="24">
        <v>7027.78</v>
      </c>
      <c r="U561" s="24">
        <v>6475.78</v>
      </c>
      <c r="V561" s="24">
        <v>552</v>
      </c>
      <c r="W561" s="24" t="s">
        <v>528</v>
      </c>
      <c r="X561" s="24" t="s">
        <v>528</v>
      </c>
      <c r="Y561" s="24" t="s">
        <v>529</v>
      </c>
      <c r="Z561" s="102" t="s">
        <v>528</v>
      </c>
      <c r="AA561" s="24" t="s">
        <v>528</v>
      </c>
      <c r="AB561" s="24" t="s">
        <v>528</v>
      </c>
      <c r="AC561" s="24" t="s">
        <v>528</v>
      </c>
      <c r="AD561" s="24" t="s">
        <v>528</v>
      </c>
      <c r="AE561" s="24" t="s">
        <v>529</v>
      </c>
      <c r="AF561" s="24">
        <v>6</v>
      </c>
      <c r="AG561" s="24" t="s">
        <v>529</v>
      </c>
      <c r="AH561" s="24">
        <v>1</v>
      </c>
      <c r="AI561" s="24" t="s">
        <v>529</v>
      </c>
      <c r="AJ561" s="24">
        <v>1</v>
      </c>
      <c r="AK561" s="24" t="s">
        <v>530</v>
      </c>
      <c r="AL561" s="24"/>
    </row>
    <row r="562" spans="1:38" ht="31.2" x14ac:dyDescent="0.3">
      <c r="A562" s="53">
        <v>555</v>
      </c>
      <c r="B562" s="24" t="s">
        <v>544</v>
      </c>
      <c r="C562" s="24" t="s">
        <v>521</v>
      </c>
      <c r="D562" s="82" t="s">
        <v>230</v>
      </c>
      <c r="E562" s="24" t="s">
        <v>1285</v>
      </c>
      <c r="F562" s="24" t="s">
        <v>200</v>
      </c>
      <c r="G562" s="24"/>
      <c r="H562" s="24" t="s">
        <v>1286</v>
      </c>
      <c r="I562" s="30" t="s">
        <v>525</v>
      </c>
      <c r="J562" s="24"/>
      <c r="K562" s="24" t="s">
        <v>1157</v>
      </c>
      <c r="L562" s="24" t="s">
        <v>199</v>
      </c>
      <c r="M562" s="24">
        <v>1954</v>
      </c>
      <c r="N562" s="24" t="s">
        <v>527</v>
      </c>
      <c r="O562" s="24">
        <v>6</v>
      </c>
      <c r="P562" s="24">
        <v>0</v>
      </c>
      <c r="Q562" s="24">
        <v>3</v>
      </c>
      <c r="R562" s="24">
        <v>46</v>
      </c>
      <c r="S562" s="24">
        <v>4748.5</v>
      </c>
      <c r="T562" s="24">
        <v>4748.5</v>
      </c>
      <c r="U562" s="24">
        <v>3251.3</v>
      </c>
      <c r="V562" s="24">
        <v>1497.2</v>
      </c>
      <c r="W562" s="24" t="s">
        <v>528</v>
      </c>
      <c r="X562" s="24" t="s">
        <v>528</v>
      </c>
      <c r="Y562" s="24" t="s">
        <v>529</v>
      </c>
      <c r="Z562" s="102" t="s">
        <v>528</v>
      </c>
      <c r="AA562" s="24" t="s">
        <v>528</v>
      </c>
      <c r="AB562" s="24" t="s">
        <v>528</v>
      </c>
      <c r="AC562" s="24" t="s">
        <v>528</v>
      </c>
      <c r="AD562" s="24" t="s">
        <v>528</v>
      </c>
      <c r="AE562" s="24" t="s">
        <v>529</v>
      </c>
      <c r="AF562" s="24">
        <v>3</v>
      </c>
      <c r="AG562" s="24" t="s">
        <v>529</v>
      </c>
      <c r="AH562" s="24">
        <v>1</v>
      </c>
      <c r="AI562" s="24" t="s">
        <v>529</v>
      </c>
      <c r="AJ562" s="24">
        <v>1</v>
      </c>
      <c r="AK562" s="24" t="s">
        <v>530</v>
      </c>
      <c r="AL562" s="24"/>
    </row>
    <row r="563" spans="1:38" ht="31.2" x14ac:dyDescent="0.3">
      <c r="A563" s="53">
        <v>556</v>
      </c>
      <c r="B563" s="24" t="s">
        <v>544</v>
      </c>
      <c r="C563" s="24" t="s">
        <v>521</v>
      </c>
      <c r="D563" s="82" t="s">
        <v>488</v>
      </c>
      <c r="E563" s="24" t="s">
        <v>169</v>
      </c>
      <c r="F563" s="24" t="s">
        <v>200</v>
      </c>
      <c r="G563" s="24"/>
      <c r="H563" s="24" t="s">
        <v>1287</v>
      </c>
      <c r="I563" s="30" t="s">
        <v>525</v>
      </c>
      <c r="J563" s="24"/>
      <c r="K563" s="24" t="s">
        <v>199</v>
      </c>
      <c r="L563" s="24" t="s">
        <v>199</v>
      </c>
      <c r="M563" s="24">
        <v>1904</v>
      </c>
      <c r="N563" s="24" t="s">
        <v>527</v>
      </c>
      <c r="O563" s="24">
        <v>5</v>
      </c>
      <c r="P563" s="24">
        <v>0</v>
      </c>
      <c r="Q563" s="24">
        <v>6</v>
      </c>
      <c r="R563" s="24">
        <v>77</v>
      </c>
      <c r="S563" s="24">
        <v>4618.22</v>
      </c>
      <c r="T563" s="24">
        <v>4618.22</v>
      </c>
      <c r="U563" s="24">
        <v>4618.22</v>
      </c>
      <c r="V563" s="24">
        <v>0</v>
      </c>
      <c r="W563" s="24" t="s">
        <v>528</v>
      </c>
      <c r="X563" s="24" t="s">
        <v>528</v>
      </c>
      <c r="Y563" s="24" t="s">
        <v>529</v>
      </c>
      <c r="Z563" s="102" t="s">
        <v>528</v>
      </c>
      <c r="AA563" s="24" t="s">
        <v>528</v>
      </c>
      <c r="AB563" s="24" t="s">
        <v>528</v>
      </c>
      <c r="AC563" s="24" t="s">
        <v>528</v>
      </c>
      <c r="AD563" s="24" t="s">
        <v>528</v>
      </c>
      <c r="AE563" s="24" t="s">
        <v>529</v>
      </c>
      <c r="AF563" s="24">
        <v>0</v>
      </c>
      <c r="AG563" s="24" t="s">
        <v>529</v>
      </c>
      <c r="AH563" s="24">
        <v>1</v>
      </c>
      <c r="AI563" s="24" t="s">
        <v>529</v>
      </c>
      <c r="AJ563" s="24">
        <v>1</v>
      </c>
      <c r="AK563" s="24" t="s">
        <v>530</v>
      </c>
      <c r="AL563" s="24"/>
    </row>
    <row r="564" spans="1:38" ht="31.2" x14ac:dyDescent="0.3">
      <c r="A564" s="53">
        <v>557</v>
      </c>
      <c r="B564" s="24" t="s">
        <v>544</v>
      </c>
      <c r="C564" s="24" t="s">
        <v>521</v>
      </c>
      <c r="D564" s="82" t="s">
        <v>488</v>
      </c>
      <c r="E564" s="24" t="s">
        <v>1288</v>
      </c>
      <c r="F564" s="24" t="s">
        <v>200</v>
      </c>
      <c r="G564" s="24"/>
      <c r="H564" s="24" t="s">
        <v>1289</v>
      </c>
      <c r="I564" s="30" t="s">
        <v>525</v>
      </c>
      <c r="J564" s="24"/>
      <c r="K564" s="24" t="s">
        <v>199</v>
      </c>
      <c r="L564" s="24" t="s">
        <v>199</v>
      </c>
      <c r="M564" s="24">
        <v>1885</v>
      </c>
      <c r="N564" s="24" t="s">
        <v>527</v>
      </c>
      <c r="O564" s="24">
        <v>4</v>
      </c>
      <c r="P564" s="24">
        <v>0</v>
      </c>
      <c r="Q564" s="24">
        <v>3</v>
      </c>
      <c r="R564" s="24">
        <v>27</v>
      </c>
      <c r="S564" s="24">
        <v>1974.7</v>
      </c>
      <c r="T564" s="24">
        <v>1974.7</v>
      </c>
      <c r="U564" s="24">
        <v>1900.31</v>
      </c>
      <c r="V564" s="24">
        <v>74.400000000000006</v>
      </c>
      <c r="W564" s="24" t="s">
        <v>528</v>
      </c>
      <c r="X564" s="24" t="s">
        <v>528</v>
      </c>
      <c r="Y564" s="24" t="s">
        <v>529</v>
      </c>
      <c r="Z564" s="102" t="s">
        <v>528</v>
      </c>
      <c r="AA564" s="24" t="s">
        <v>528</v>
      </c>
      <c r="AB564" s="24" t="s">
        <v>528</v>
      </c>
      <c r="AC564" s="24" t="s">
        <v>528</v>
      </c>
      <c r="AD564" s="24" t="s">
        <v>528</v>
      </c>
      <c r="AE564" s="24" t="s">
        <v>529</v>
      </c>
      <c r="AF564" s="24">
        <v>0</v>
      </c>
      <c r="AG564" s="24" t="s">
        <v>529</v>
      </c>
      <c r="AH564" s="24">
        <v>1</v>
      </c>
      <c r="AI564" s="24" t="s">
        <v>529</v>
      </c>
      <c r="AJ564" s="24">
        <v>1</v>
      </c>
      <c r="AK564" s="24" t="s">
        <v>530</v>
      </c>
      <c r="AL564" s="24"/>
    </row>
    <row r="565" spans="1:38" ht="31.2" x14ac:dyDescent="0.3">
      <c r="A565" s="53">
        <v>558</v>
      </c>
      <c r="B565" s="24" t="s">
        <v>544</v>
      </c>
      <c r="C565" s="24" t="s">
        <v>521</v>
      </c>
      <c r="D565" s="82" t="s">
        <v>488</v>
      </c>
      <c r="E565" s="24" t="s">
        <v>1288</v>
      </c>
      <c r="F565" s="24" t="s">
        <v>206</v>
      </c>
      <c r="G565" s="24"/>
      <c r="H565" s="24" t="s">
        <v>1290</v>
      </c>
      <c r="I565" s="30" t="s">
        <v>525</v>
      </c>
      <c r="J565" s="24"/>
      <c r="K565" s="24" t="s">
        <v>199</v>
      </c>
      <c r="L565" s="24" t="s">
        <v>199</v>
      </c>
      <c r="M565" s="24">
        <v>1885</v>
      </c>
      <c r="N565" s="24" t="s">
        <v>527</v>
      </c>
      <c r="O565" s="24">
        <v>4</v>
      </c>
      <c r="P565" s="24">
        <v>0</v>
      </c>
      <c r="Q565" s="24">
        <v>2</v>
      </c>
      <c r="R565" s="24">
        <v>18</v>
      </c>
      <c r="S565" s="24">
        <v>1316.49</v>
      </c>
      <c r="T565" s="24">
        <v>1316.49</v>
      </c>
      <c r="U565" s="24">
        <v>1266.8800000000001</v>
      </c>
      <c r="V565" s="24">
        <v>49.6</v>
      </c>
      <c r="W565" s="24" t="s">
        <v>528</v>
      </c>
      <c r="X565" s="24" t="s">
        <v>528</v>
      </c>
      <c r="Y565" s="24" t="s">
        <v>529</v>
      </c>
      <c r="Z565" s="102" t="s">
        <v>528</v>
      </c>
      <c r="AA565" s="24" t="s">
        <v>528</v>
      </c>
      <c r="AB565" s="24" t="s">
        <v>528</v>
      </c>
      <c r="AC565" s="24" t="s">
        <v>528</v>
      </c>
      <c r="AD565" s="24" t="s">
        <v>528</v>
      </c>
      <c r="AE565" s="24" t="s">
        <v>529</v>
      </c>
      <c r="AF565" s="24">
        <v>0</v>
      </c>
      <c r="AG565" s="24" t="s">
        <v>529</v>
      </c>
      <c r="AH565" s="24" t="s">
        <v>529</v>
      </c>
      <c r="AI565" s="24" t="s">
        <v>529</v>
      </c>
      <c r="AJ565" s="24" t="s">
        <v>529</v>
      </c>
      <c r="AK565" s="24" t="s">
        <v>530</v>
      </c>
      <c r="AL565" s="24"/>
    </row>
    <row r="566" spans="1:38" ht="31.2" x14ac:dyDescent="0.3">
      <c r="A566" s="53">
        <v>559</v>
      </c>
      <c r="B566" s="24" t="s">
        <v>544</v>
      </c>
      <c r="C566" s="24" t="s">
        <v>521</v>
      </c>
      <c r="D566" s="82" t="s">
        <v>488</v>
      </c>
      <c r="E566" s="24" t="s">
        <v>1291</v>
      </c>
      <c r="F566" s="24" t="s">
        <v>200</v>
      </c>
      <c r="G566" s="24"/>
      <c r="H566" s="24" t="s">
        <v>1292</v>
      </c>
      <c r="I566" s="30" t="s">
        <v>525</v>
      </c>
      <c r="J566" s="24"/>
      <c r="K566" s="24" t="s">
        <v>199</v>
      </c>
      <c r="L566" s="24" t="s">
        <v>199</v>
      </c>
      <c r="M566" s="24">
        <v>1910</v>
      </c>
      <c r="N566" s="24" t="s">
        <v>527</v>
      </c>
      <c r="O566" s="24">
        <v>6</v>
      </c>
      <c r="P566" s="24">
        <v>0</v>
      </c>
      <c r="Q566" s="24">
        <v>5</v>
      </c>
      <c r="R566" s="24">
        <v>30</v>
      </c>
      <c r="S566" s="24">
        <v>3889.3</v>
      </c>
      <c r="T566" s="24">
        <v>3889.3</v>
      </c>
      <c r="U566" s="24">
        <v>3889.31</v>
      </c>
      <c r="V566" s="24">
        <v>0</v>
      </c>
      <c r="W566" s="24" t="s">
        <v>528</v>
      </c>
      <c r="X566" s="24" t="s">
        <v>528</v>
      </c>
      <c r="Y566" s="24" t="s">
        <v>529</v>
      </c>
      <c r="Z566" s="102" t="s">
        <v>528</v>
      </c>
      <c r="AA566" s="24" t="s">
        <v>528</v>
      </c>
      <c r="AB566" s="24" t="s">
        <v>528</v>
      </c>
      <c r="AC566" s="24" t="s">
        <v>528</v>
      </c>
      <c r="AD566" s="24" t="s">
        <v>528</v>
      </c>
      <c r="AE566" s="24" t="s">
        <v>529</v>
      </c>
      <c r="AF566" s="24">
        <v>2</v>
      </c>
      <c r="AG566" s="24" t="s">
        <v>529</v>
      </c>
      <c r="AH566" s="24">
        <v>1</v>
      </c>
      <c r="AI566" s="24" t="s">
        <v>529</v>
      </c>
      <c r="AJ566" s="24">
        <v>1</v>
      </c>
      <c r="AK566" s="24" t="s">
        <v>530</v>
      </c>
      <c r="AL566" s="24"/>
    </row>
    <row r="567" spans="1:38" ht="31.2" x14ac:dyDescent="0.3">
      <c r="A567" s="53">
        <v>560</v>
      </c>
      <c r="B567" s="24" t="s">
        <v>544</v>
      </c>
      <c r="C567" s="24" t="s">
        <v>521</v>
      </c>
      <c r="D567" s="82" t="s">
        <v>488</v>
      </c>
      <c r="E567" s="24" t="s">
        <v>1293</v>
      </c>
      <c r="F567" s="24" t="s">
        <v>200</v>
      </c>
      <c r="G567" s="24"/>
      <c r="H567" s="24" t="s">
        <v>1294</v>
      </c>
      <c r="I567" s="30" t="s">
        <v>525</v>
      </c>
      <c r="J567" s="24"/>
      <c r="K567" s="24" t="s">
        <v>199</v>
      </c>
      <c r="L567" s="24" t="s">
        <v>199</v>
      </c>
      <c r="M567" s="24">
        <v>1869</v>
      </c>
      <c r="N567" s="24" t="s">
        <v>527</v>
      </c>
      <c r="O567" s="24">
        <v>3</v>
      </c>
      <c r="P567" s="24">
        <v>0</v>
      </c>
      <c r="Q567" s="24">
        <v>1</v>
      </c>
      <c r="R567" s="24">
        <v>9</v>
      </c>
      <c r="S567" s="24">
        <v>1024</v>
      </c>
      <c r="T567" s="24">
        <v>1024</v>
      </c>
      <c r="U567" s="24">
        <v>454</v>
      </c>
      <c r="V567" s="24">
        <v>570</v>
      </c>
      <c r="W567" s="24" t="s">
        <v>528</v>
      </c>
      <c r="X567" s="24" t="s">
        <v>528</v>
      </c>
      <c r="Y567" s="24" t="s">
        <v>529</v>
      </c>
      <c r="Z567" s="102" t="s">
        <v>528</v>
      </c>
      <c r="AA567" s="24" t="s">
        <v>528</v>
      </c>
      <c r="AB567" s="24" t="s">
        <v>528</v>
      </c>
      <c r="AC567" s="24" t="s">
        <v>528</v>
      </c>
      <c r="AD567" s="24" t="s">
        <v>528</v>
      </c>
      <c r="AE567" s="24" t="s">
        <v>529</v>
      </c>
      <c r="AF567" s="24">
        <v>0</v>
      </c>
      <c r="AG567" s="24" t="s">
        <v>529</v>
      </c>
      <c r="AH567" s="24">
        <v>1</v>
      </c>
      <c r="AI567" s="24" t="s">
        <v>529</v>
      </c>
      <c r="AJ567" s="24">
        <v>1</v>
      </c>
      <c r="AK567" s="24" t="s">
        <v>530</v>
      </c>
      <c r="AL567" s="24"/>
    </row>
    <row r="568" spans="1:38" ht="31.2" x14ac:dyDescent="0.3">
      <c r="A568" s="53">
        <v>561</v>
      </c>
      <c r="B568" s="24" t="s">
        <v>544</v>
      </c>
      <c r="C568" s="24" t="s">
        <v>521</v>
      </c>
      <c r="D568" s="82" t="s">
        <v>488</v>
      </c>
      <c r="E568" s="24" t="s">
        <v>1196</v>
      </c>
      <c r="F568" s="24" t="s">
        <v>200</v>
      </c>
      <c r="G568" s="24"/>
      <c r="H568" s="24" t="s">
        <v>1295</v>
      </c>
      <c r="I568" s="30" t="s">
        <v>525</v>
      </c>
      <c r="J568" s="24"/>
      <c r="K568" s="24" t="s">
        <v>199</v>
      </c>
      <c r="L568" s="24" t="s">
        <v>199</v>
      </c>
      <c r="M568" s="24">
        <v>1913</v>
      </c>
      <c r="N568" s="24" t="s">
        <v>527</v>
      </c>
      <c r="O568" s="24">
        <v>6</v>
      </c>
      <c r="P568" s="24">
        <v>0</v>
      </c>
      <c r="Q568" s="24">
        <v>7</v>
      </c>
      <c r="R568" s="24">
        <v>72</v>
      </c>
      <c r="S568" s="24">
        <v>6921.3</v>
      </c>
      <c r="T568" s="24">
        <v>6921.3</v>
      </c>
      <c r="U568" s="24">
        <v>6837.3</v>
      </c>
      <c r="V568" s="24">
        <v>84</v>
      </c>
      <c r="W568" s="24" t="s">
        <v>528</v>
      </c>
      <c r="X568" s="24" t="s">
        <v>528</v>
      </c>
      <c r="Y568" s="24" t="s">
        <v>529</v>
      </c>
      <c r="Z568" s="102" t="s">
        <v>528</v>
      </c>
      <c r="AA568" s="24" t="s">
        <v>528</v>
      </c>
      <c r="AB568" s="24" t="s">
        <v>528</v>
      </c>
      <c r="AC568" s="24" t="s">
        <v>528</v>
      </c>
      <c r="AD568" s="24" t="s">
        <v>528</v>
      </c>
      <c r="AE568" s="24" t="s">
        <v>529</v>
      </c>
      <c r="AF568" s="24">
        <v>4</v>
      </c>
      <c r="AG568" s="24" t="s">
        <v>529</v>
      </c>
      <c r="AH568" s="24">
        <v>1</v>
      </c>
      <c r="AI568" s="24" t="s">
        <v>529</v>
      </c>
      <c r="AJ568" s="24">
        <v>1</v>
      </c>
      <c r="AK568" s="24" t="s">
        <v>530</v>
      </c>
      <c r="AL568" s="24"/>
    </row>
    <row r="569" spans="1:38" ht="31.2" x14ac:dyDescent="0.3">
      <c r="A569" s="53">
        <v>562</v>
      </c>
      <c r="B569" s="24" t="s">
        <v>544</v>
      </c>
      <c r="C569" s="24" t="s">
        <v>521</v>
      </c>
      <c r="D569" s="82" t="s">
        <v>488</v>
      </c>
      <c r="E569" s="24" t="s">
        <v>1132</v>
      </c>
      <c r="F569" s="24" t="s">
        <v>200</v>
      </c>
      <c r="G569" s="24"/>
      <c r="H569" s="24" t="s">
        <v>1296</v>
      </c>
      <c r="I569" s="30" t="s">
        <v>525</v>
      </c>
      <c r="J569" s="24"/>
      <c r="K569" s="24" t="s">
        <v>199</v>
      </c>
      <c r="L569" s="24" t="s">
        <v>199</v>
      </c>
      <c r="M569" s="24">
        <v>1878</v>
      </c>
      <c r="N569" s="24" t="s">
        <v>527</v>
      </c>
      <c r="O569" s="24">
        <v>4</v>
      </c>
      <c r="P569" s="24">
        <v>0</v>
      </c>
      <c r="Q569" s="24">
        <v>2</v>
      </c>
      <c r="R569" s="24">
        <v>10</v>
      </c>
      <c r="S569" s="24">
        <v>1678.7</v>
      </c>
      <c r="T569" s="24">
        <v>1678.7</v>
      </c>
      <c r="U569" s="24">
        <v>968.7</v>
      </c>
      <c r="V569" s="24">
        <v>710</v>
      </c>
      <c r="W569" s="24" t="s">
        <v>528</v>
      </c>
      <c r="X569" s="24" t="s">
        <v>528</v>
      </c>
      <c r="Y569" s="24" t="s">
        <v>529</v>
      </c>
      <c r="Z569" s="102" t="s">
        <v>528</v>
      </c>
      <c r="AA569" s="24" t="s">
        <v>528</v>
      </c>
      <c r="AB569" s="24" t="s">
        <v>528</v>
      </c>
      <c r="AC569" s="24" t="s">
        <v>528</v>
      </c>
      <c r="AD569" s="24" t="s">
        <v>528</v>
      </c>
      <c r="AE569" s="24" t="s">
        <v>529</v>
      </c>
      <c r="AF569" s="24">
        <v>0</v>
      </c>
      <c r="AG569" s="24" t="s">
        <v>529</v>
      </c>
      <c r="AH569" s="24">
        <v>1</v>
      </c>
      <c r="AI569" s="24" t="s">
        <v>529</v>
      </c>
      <c r="AJ569" s="24">
        <v>1</v>
      </c>
      <c r="AK569" s="24" t="s">
        <v>530</v>
      </c>
      <c r="AL569" s="24"/>
    </row>
    <row r="570" spans="1:38" ht="31.2" x14ac:dyDescent="0.3">
      <c r="A570" s="53">
        <v>563</v>
      </c>
      <c r="B570" s="24" t="s">
        <v>544</v>
      </c>
      <c r="C570" s="24" t="s">
        <v>521</v>
      </c>
      <c r="D570" s="82" t="s">
        <v>488</v>
      </c>
      <c r="E570" s="24" t="s">
        <v>1129</v>
      </c>
      <c r="F570" s="24" t="s">
        <v>200</v>
      </c>
      <c r="G570" s="24"/>
      <c r="H570" s="24" t="s">
        <v>1297</v>
      </c>
      <c r="I570" s="30" t="s">
        <v>525</v>
      </c>
      <c r="J570" s="24" t="s">
        <v>535</v>
      </c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102"/>
      <c r="AA570" s="24"/>
      <c r="AB570" s="24"/>
      <c r="AC570" s="24" t="s">
        <v>528</v>
      </c>
      <c r="AD570" s="24"/>
      <c r="AE570" s="24"/>
      <c r="AF570" s="24"/>
      <c r="AG570" s="24"/>
      <c r="AH570" s="24"/>
      <c r="AI570" s="24"/>
      <c r="AJ570" s="24"/>
      <c r="AK570" s="24"/>
      <c r="AL570" s="24"/>
    </row>
    <row r="571" spans="1:38" ht="31.2" x14ac:dyDescent="0.3">
      <c r="A571" s="53">
        <v>564</v>
      </c>
      <c r="B571" s="24" t="s">
        <v>544</v>
      </c>
      <c r="C571" s="24" t="s">
        <v>555</v>
      </c>
      <c r="D571" s="82" t="s">
        <v>233</v>
      </c>
      <c r="E571" s="24" t="s">
        <v>1208</v>
      </c>
      <c r="F571" s="24" t="s">
        <v>200</v>
      </c>
      <c r="G571" s="24"/>
      <c r="H571" s="24" t="s">
        <v>1298</v>
      </c>
      <c r="I571" s="30" t="s">
        <v>525</v>
      </c>
      <c r="J571" s="24"/>
      <c r="K571" s="24" t="s">
        <v>199</v>
      </c>
      <c r="L571" s="24" t="s">
        <v>199</v>
      </c>
      <c r="M571" s="24">
        <v>1905</v>
      </c>
      <c r="N571" s="24" t="s">
        <v>527</v>
      </c>
      <c r="O571" s="24">
        <v>5</v>
      </c>
      <c r="P571" s="24">
        <v>0</v>
      </c>
      <c r="Q571" s="24">
        <v>2</v>
      </c>
      <c r="R571" s="24">
        <v>17</v>
      </c>
      <c r="S571" s="24">
        <v>1461.66</v>
      </c>
      <c r="T571" s="24">
        <v>1461.66</v>
      </c>
      <c r="U571" s="24">
        <v>1248.6600000000001</v>
      </c>
      <c r="V571" s="24">
        <v>213</v>
      </c>
      <c r="W571" s="24" t="s">
        <v>528</v>
      </c>
      <c r="X571" s="24" t="s">
        <v>528</v>
      </c>
      <c r="Y571" s="24" t="s">
        <v>529</v>
      </c>
      <c r="Z571" s="102" t="s">
        <v>528</v>
      </c>
      <c r="AA571" s="24" t="s">
        <v>528</v>
      </c>
      <c r="AB571" s="24" t="s">
        <v>528</v>
      </c>
      <c r="AC571" s="24" t="s">
        <v>528</v>
      </c>
      <c r="AD571" s="24" t="s">
        <v>528</v>
      </c>
      <c r="AE571" s="24" t="s">
        <v>529</v>
      </c>
      <c r="AF571" s="24">
        <v>0</v>
      </c>
      <c r="AG571" s="24" t="s">
        <v>529</v>
      </c>
      <c r="AH571" s="24">
        <v>1</v>
      </c>
      <c r="AI571" s="24" t="s">
        <v>529</v>
      </c>
      <c r="AJ571" s="24">
        <v>1</v>
      </c>
      <c r="AK571" s="24" t="s">
        <v>530</v>
      </c>
      <c r="AL571" s="24"/>
    </row>
    <row r="572" spans="1:38" ht="31.2" x14ac:dyDescent="0.3">
      <c r="A572" s="53">
        <v>565</v>
      </c>
      <c r="B572" s="24" t="s">
        <v>544</v>
      </c>
      <c r="C572" s="24" t="s">
        <v>555</v>
      </c>
      <c r="D572" s="82" t="s">
        <v>233</v>
      </c>
      <c r="E572" s="24" t="s">
        <v>1299</v>
      </c>
      <c r="F572" s="24" t="s">
        <v>200</v>
      </c>
      <c r="G572" s="24"/>
      <c r="H572" s="24" t="s">
        <v>1300</v>
      </c>
      <c r="I572" s="30" t="s">
        <v>525</v>
      </c>
      <c r="J572" s="24"/>
      <c r="K572" s="24" t="s">
        <v>199</v>
      </c>
      <c r="L572" s="24" t="s">
        <v>199</v>
      </c>
      <c r="M572" s="24">
        <v>1889</v>
      </c>
      <c r="N572" s="24" t="s">
        <v>527</v>
      </c>
      <c r="O572" s="24">
        <v>4</v>
      </c>
      <c r="P572" s="24">
        <v>0</v>
      </c>
      <c r="Q572" s="24">
        <v>1</v>
      </c>
      <c r="R572" s="24">
        <v>12</v>
      </c>
      <c r="S572" s="24">
        <v>902.2</v>
      </c>
      <c r="T572" s="24">
        <v>902.2</v>
      </c>
      <c r="U572" s="24">
        <v>780.2</v>
      </c>
      <c r="V572" s="24">
        <v>122</v>
      </c>
      <c r="W572" s="24" t="s">
        <v>528</v>
      </c>
      <c r="X572" s="24" t="s">
        <v>528</v>
      </c>
      <c r="Y572" s="24" t="s">
        <v>529</v>
      </c>
      <c r="Z572" s="102" t="s">
        <v>528</v>
      </c>
      <c r="AA572" s="24" t="s">
        <v>528</v>
      </c>
      <c r="AB572" s="24" t="s">
        <v>528</v>
      </c>
      <c r="AC572" s="24" t="s">
        <v>528</v>
      </c>
      <c r="AD572" s="24" t="s">
        <v>528</v>
      </c>
      <c r="AE572" s="24" t="s">
        <v>529</v>
      </c>
      <c r="AF572" s="24">
        <v>0</v>
      </c>
      <c r="AG572" s="24" t="s">
        <v>529</v>
      </c>
      <c r="AH572" s="24">
        <v>1</v>
      </c>
      <c r="AI572" s="24" t="s">
        <v>529</v>
      </c>
      <c r="AJ572" s="24">
        <v>1</v>
      </c>
      <c r="AK572" s="24" t="s">
        <v>530</v>
      </c>
      <c r="AL572" s="24"/>
    </row>
    <row r="573" spans="1:38" ht="31.2" x14ac:dyDescent="0.3">
      <c r="A573" s="53">
        <v>566</v>
      </c>
      <c r="B573" s="24" t="s">
        <v>544</v>
      </c>
      <c r="C573" s="24" t="s">
        <v>521</v>
      </c>
      <c r="D573" s="82" t="s">
        <v>376</v>
      </c>
      <c r="E573" s="24" t="s">
        <v>169</v>
      </c>
      <c r="F573" s="24" t="s">
        <v>200</v>
      </c>
      <c r="G573" s="24"/>
      <c r="H573" s="24" t="s">
        <v>1301</v>
      </c>
      <c r="I573" s="30" t="s">
        <v>525</v>
      </c>
      <c r="J573" s="24"/>
      <c r="K573" s="24" t="s">
        <v>1157</v>
      </c>
      <c r="L573" s="24" t="s">
        <v>199</v>
      </c>
      <c r="M573" s="24">
        <v>1912</v>
      </c>
      <c r="N573" s="24" t="s">
        <v>527</v>
      </c>
      <c r="O573" s="24">
        <v>7</v>
      </c>
      <c r="P573" s="24">
        <v>0</v>
      </c>
      <c r="Q573" s="24">
        <v>3</v>
      </c>
      <c r="R573" s="24">
        <v>45</v>
      </c>
      <c r="S573" s="24">
        <v>4034.13</v>
      </c>
      <c r="T573" s="24">
        <v>4034.13</v>
      </c>
      <c r="U573" s="24">
        <v>3919.13</v>
      </c>
      <c r="V573" s="24">
        <v>115</v>
      </c>
      <c r="W573" s="24" t="s">
        <v>528</v>
      </c>
      <c r="X573" s="24" t="s">
        <v>528</v>
      </c>
      <c r="Y573" s="24" t="s">
        <v>529</v>
      </c>
      <c r="Z573" s="102" t="s">
        <v>528</v>
      </c>
      <c r="AA573" s="24" t="s">
        <v>528</v>
      </c>
      <c r="AB573" s="24" t="s">
        <v>528</v>
      </c>
      <c r="AC573" s="24" t="s">
        <v>528</v>
      </c>
      <c r="AD573" s="24" t="s">
        <v>528</v>
      </c>
      <c r="AE573" s="24" t="s">
        <v>529</v>
      </c>
      <c r="AF573" s="24">
        <v>2</v>
      </c>
      <c r="AG573" s="24" t="s">
        <v>529</v>
      </c>
      <c r="AH573" s="24">
        <v>1</v>
      </c>
      <c r="AI573" s="24" t="s">
        <v>529</v>
      </c>
      <c r="AJ573" s="24">
        <v>1</v>
      </c>
      <c r="AK573" s="24" t="s">
        <v>530</v>
      </c>
      <c r="AL573" s="24"/>
    </row>
    <row r="574" spans="1:38" ht="31.2" x14ac:dyDescent="0.3">
      <c r="A574" s="53">
        <v>567</v>
      </c>
      <c r="B574" s="24" t="s">
        <v>544</v>
      </c>
      <c r="C574" s="24" t="s">
        <v>521</v>
      </c>
      <c r="D574" s="82" t="s">
        <v>376</v>
      </c>
      <c r="E574" s="24" t="s">
        <v>176</v>
      </c>
      <c r="F574" s="24" t="s">
        <v>200</v>
      </c>
      <c r="G574" s="24"/>
      <c r="H574" s="24" t="s">
        <v>1302</v>
      </c>
      <c r="I574" s="30" t="s">
        <v>525</v>
      </c>
      <c r="J574" s="24"/>
      <c r="K574" s="24" t="s">
        <v>199</v>
      </c>
      <c r="L574" s="24" t="s">
        <v>199</v>
      </c>
      <c r="M574" s="24">
        <v>1910</v>
      </c>
      <c r="N574" s="24" t="s">
        <v>527</v>
      </c>
      <c r="O574" s="24">
        <v>6</v>
      </c>
      <c r="P574" s="24">
        <v>0</v>
      </c>
      <c r="Q574" s="24">
        <v>5</v>
      </c>
      <c r="R574" s="24">
        <v>29</v>
      </c>
      <c r="S574" s="24">
        <v>3433.41</v>
      </c>
      <c r="T574" s="24">
        <v>3433.41</v>
      </c>
      <c r="U574" s="24">
        <v>3247.41</v>
      </c>
      <c r="V574" s="24">
        <v>186</v>
      </c>
      <c r="W574" s="24" t="s">
        <v>528</v>
      </c>
      <c r="X574" s="24" t="s">
        <v>528</v>
      </c>
      <c r="Y574" s="24" t="s">
        <v>529</v>
      </c>
      <c r="Z574" s="102" t="s">
        <v>528</v>
      </c>
      <c r="AA574" s="24" t="s">
        <v>528</v>
      </c>
      <c r="AB574" s="24" t="s">
        <v>528</v>
      </c>
      <c r="AC574" s="24" t="s">
        <v>528</v>
      </c>
      <c r="AD574" s="24" t="s">
        <v>528</v>
      </c>
      <c r="AE574" s="24" t="s">
        <v>529</v>
      </c>
      <c r="AF574" s="24">
        <v>0</v>
      </c>
      <c r="AG574" s="24" t="s">
        <v>529</v>
      </c>
      <c r="AH574" s="24">
        <v>1</v>
      </c>
      <c r="AI574" s="24" t="s">
        <v>529</v>
      </c>
      <c r="AJ574" s="24">
        <v>1</v>
      </c>
      <c r="AK574" s="24" t="s">
        <v>530</v>
      </c>
      <c r="AL574" s="24"/>
    </row>
    <row r="575" spans="1:38" ht="31.2" x14ac:dyDescent="0.3">
      <c r="A575" s="53">
        <v>568</v>
      </c>
      <c r="B575" s="24" t="s">
        <v>544</v>
      </c>
      <c r="C575" s="24" t="s">
        <v>521</v>
      </c>
      <c r="D575" s="82" t="s">
        <v>376</v>
      </c>
      <c r="E575" s="24" t="s">
        <v>177</v>
      </c>
      <c r="F575" s="24" t="s">
        <v>200</v>
      </c>
      <c r="G575" s="24"/>
      <c r="H575" s="24" t="s">
        <v>1303</v>
      </c>
      <c r="I575" s="30" t="s">
        <v>525</v>
      </c>
      <c r="J575" s="24"/>
      <c r="K575" s="24" t="s">
        <v>199</v>
      </c>
      <c r="L575" s="24" t="s">
        <v>199</v>
      </c>
      <c r="M575" s="24">
        <v>1908</v>
      </c>
      <c r="N575" s="24" t="s">
        <v>527</v>
      </c>
      <c r="O575" s="24">
        <v>5</v>
      </c>
      <c r="P575" s="24">
        <v>0</v>
      </c>
      <c r="Q575" s="24">
        <v>5</v>
      </c>
      <c r="R575" s="24">
        <v>78</v>
      </c>
      <c r="S575" s="24">
        <v>5719.97</v>
      </c>
      <c r="T575" s="24">
        <v>5719.97</v>
      </c>
      <c r="U575" s="24">
        <v>5638.97</v>
      </c>
      <c r="V575" s="24">
        <v>81</v>
      </c>
      <c r="W575" s="24" t="s">
        <v>528</v>
      </c>
      <c r="X575" s="24" t="s">
        <v>528</v>
      </c>
      <c r="Y575" s="24" t="s">
        <v>529</v>
      </c>
      <c r="Z575" s="102" t="s">
        <v>528</v>
      </c>
      <c r="AA575" s="24" t="s">
        <v>528</v>
      </c>
      <c r="AB575" s="24" t="s">
        <v>528</v>
      </c>
      <c r="AC575" s="24" t="s">
        <v>528</v>
      </c>
      <c r="AD575" s="24" t="s">
        <v>528</v>
      </c>
      <c r="AE575" s="24" t="s">
        <v>529</v>
      </c>
      <c r="AF575" s="24">
        <v>0</v>
      </c>
      <c r="AG575" s="24" t="s">
        <v>529</v>
      </c>
      <c r="AH575" s="24">
        <v>1</v>
      </c>
      <c r="AI575" s="24" t="s">
        <v>529</v>
      </c>
      <c r="AJ575" s="24">
        <v>1</v>
      </c>
      <c r="AK575" s="24" t="s">
        <v>530</v>
      </c>
      <c r="AL575" s="24"/>
    </row>
    <row r="576" spans="1:38" ht="31.2" x14ac:dyDescent="0.3">
      <c r="A576" s="53">
        <v>569</v>
      </c>
      <c r="B576" s="24" t="s">
        <v>544</v>
      </c>
      <c r="C576" s="24" t="s">
        <v>521</v>
      </c>
      <c r="D576" s="82" t="s">
        <v>376</v>
      </c>
      <c r="E576" s="24" t="s">
        <v>1086</v>
      </c>
      <c r="F576" s="24" t="s">
        <v>200</v>
      </c>
      <c r="G576" s="24"/>
      <c r="H576" s="24" t="s">
        <v>1304</v>
      </c>
      <c r="I576" s="30" t="s">
        <v>525</v>
      </c>
      <c r="J576" s="24"/>
      <c r="K576" s="24" t="s">
        <v>199</v>
      </c>
      <c r="L576" s="24" t="s">
        <v>199</v>
      </c>
      <c r="M576" s="24">
        <v>1912</v>
      </c>
      <c r="N576" s="24" t="s">
        <v>527</v>
      </c>
      <c r="O576" s="24">
        <v>7</v>
      </c>
      <c r="P576" s="24">
        <v>0</v>
      </c>
      <c r="Q576" s="24">
        <v>3</v>
      </c>
      <c r="R576" s="24">
        <v>36</v>
      </c>
      <c r="S576" s="24">
        <v>2753.2</v>
      </c>
      <c r="T576" s="24">
        <v>2753.2</v>
      </c>
      <c r="U576" s="24">
        <v>2753.2</v>
      </c>
      <c r="V576" s="24">
        <v>0</v>
      </c>
      <c r="W576" s="24" t="s">
        <v>528</v>
      </c>
      <c r="X576" s="24" t="s">
        <v>528</v>
      </c>
      <c r="Y576" s="24" t="s">
        <v>529</v>
      </c>
      <c r="Z576" s="102" t="s">
        <v>528</v>
      </c>
      <c r="AA576" s="24" t="s">
        <v>528</v>
      </c>
      <c r="AB576" s="24" t="s">
        <v>528</v>
      </c>
      <c r="AC576" s="24" t="s">
        <v>528</v>
      </c>
      <c r="AD576" s="24" t="s">
        <v>528</v>
      </c>
      <c r="AE576" s="24" t="s">
        <v>529</v>
      </c>
      <c r="AF576" s="24">
        <v>1</v>
      </c>
      <c r="AG576" s="24" t="s">
        <v>529</v>
      </c>
      <c r="AH576" s="24">
        <v>1</v>
      </c>
      <c r="AI576" s="24" t="s">
        <v>529</v>
      </c>
      <c r="AJ576" s="24">
        <v>1</v>
      </c>
      <c r="AK576" s="24" t="s">
        <v>530</v>
      </c>
      <c r="AL576" s="24"/>
    </row>
    <row r="577" spans="1:38" ht="31.2" x14ac:dyDescent="0.3">
      <c r="A577" s="53">
        <v>570</v>
      </c>
      <c r="B577" s="24" t="s">
        <v>544</v>
      </c>
      <c r="C577" s="24" t="s">
        <v>521</v>
      </c>
      <c r="D577" s="82" t="s">
        <v>376</v>
      </c>
      <c r="E577" s="24" t="s">
        <v>1129</v>
      </c>
      <c r="F577" s="24" t="s">
        <v>200</v>
      </c>
      <c r="G577" s="24"/>
      <c r="H577" s="24" t="s">
        <v>1305</v>
      </c>
      <c r="I577" s="30" t="s">
        <v>525</v>
      </c>
      <c r="J577" s="24"/>
      <c r="K577" s="24" t="s">
        <v>199</v>
      </c>
      <c r="L577" s="24" t="s">
        <v>199</v>
      </c>
      <c r="M577" s="24">
        <v>1883</v>
      </c>
      <c r="N577" s="24" t="s">
        <v>527</v>
      </c>
      <c r="O577" s="24">
        <v>4</v>
      </c>
      <c r="P577" s="24">
        <v>0</v>
      </c>
      <c r="Q577" s="24">
        <v>1</v>
      </c>
      <c r="R577" s="24">
        <v>12</v>
      </c>
      <c r="S577" s="24">
        <v>677.55</v>
      </c>
      <c r="T577" s="24">
        <v>677.55</v>
      </c>
      <c r="U577" s="24">
        <v>677.5</v>
      </c>
      <c r="V577" s="24">
        <v>0</v>
      </c>
      <c r="W577" s="24" t="s">
        <v>528</v>
      </c>
      <c r="X577" s="24" t="s">
        <v>528</v>
      </c>
      <c r="Y577" s="24" t="s">
        <v>529</v>
      </c>
      <c r="Z577" s="102" t="s">
        <v>528</v>
      </c>
      <c r="AA577" s="24" t="s">
        <v>528</v>
      </c>
      <c r="AB577" s="24" t="s">
        <v>528</v>
      </c>
      <c r="AC577" s="24" t="s">
        <v>528</v>
      </c>
      <c r="AD577" s="24" t="s">
        <v>528</v>
      </c>
      <c r="AE577" s="24" t="s">
        <v>529</v>
      </c>
      <c r="AF577" s="24">
        <v>0</v>
      </c>
      <c r="AG577" s="24" t="s">
        <v>529</v>
      </c>
      <c r="AH577" s="24">
        <v>1</v>
      </c>
      <c r="AI577" s="24" t="s">
        <v>529</v>
      </c>
      <c r="AJ577" s="24" t="s">
        <v>529</v>
      </c>
      <c r="AK577" s="24" t="s">
        <v>530</v>
      </c>
      <c r="AL577" s="24"/>
    </row>
    <row r="578" spans="1:38" ht="31.2" x14ac:dyDescent="0.3">
      <c r="A578" s="53">
        <v>571</v>
      </c>
      <c r="B578" s="24" t="s">
        <v>544</v>
      </c>
      <c r="C578" s="24" t="s">
        <v>521</v>
      </c>
      <c r="D578" s="82" t="s">
        <v>395</v>
      </c>
      <c r="E578" s="24" t="s">
        <v>169</v>
      </c>
      <c r="F578" s="24" t="s">
        <v>200</v>
      </c>
      <c r="G578" s="24"/>
      <c r="H578" s="24" t="s">
        <v>1306</v>
      </c>
      <c r="I578" s="30" t="s">
        <v>525</v>
      </c>
      <c r="J578" s="24"/>
      <c r="K578" s="24" t="s">
        <v>199</v>
      </c>
      <c r="L578" s="24" t="s">
        <v>199</v>
      </c>
      <c r="M578" s="24">
        <v>1916</v>
      </c>
      <c r="N578" s="24" t="s">
        <v>527</v>
      </c>
      <c r="O578" s="24">
        <v>5</v>
      </c>
      <c r="P578" s="24">
        <v>0</v>
      </c>
      <c r="Q578" s="24">
        <v>1</v>
      </c>
      <c r="R578" s="24">
        <v>20</v>
      </c>
      <c r="S578" s="24">
        <v>1686.8</v>
      </c>
      <c r="T578" s="24">
        <v>1686.8</v>
      </c>
      <c r="U578" s="24">
        <v>1686.8</v>
      </c>
      <c r="V578" s="24">
        <v>0</v>
      </c>
      <c r="W578" s="24" t="s">
        <v>528</v>
      </c>
      <c r="X578" s="24" t="s">
        <v>528</v>
      </c>
      <c r="Y578" s="24" t="s">
        <v>529</v>
      </c>
      <c r="Z578" s="102" t="s">
        <v>528</v>
      </c>
      <c r="AA578" s="24" t="s">
        <v>528</v>
      </c>
      <c r="AB578" s="24" t="s">
        <v>528</v>
      </c>
      <c r="AC578" s="24" t="s">
        <v>528</v>
      </c>
      <c r="AD578" s="24" t="s">
        <v>528</v>
      </c>
      <c r="AE578" s="24" t="s">
        <v>529</v>
      </c>
      <c r="AF578" s="24">
        <v>0</v>
      </c>
      <c r="AG578" s="24" t="s">
        <v>529</v>
      </c>
      <c r="AH578" s="24">
        <v>1</v>
      </c>
      <c r="AI578" s="24" t="s">
        <v>529</v>
      </c>
      <c r="AJ578" s="24">
        <v>1</v>
      </c>
      <c r="AK578" s="24" t="s">
        <v>530</v>
      </c>
      <c r="AL578" s="24"/>
    </row>
    <row r="579" spans="1:38" ht="31.2" x14ac:dyDescent="0.3">
      <c r="A579" s="53">
        <v>572</v>
      </c>
      <c r="B579" s="24" t="s">
        <v>544</v>
      </c>
      <c r="C579" s="24" t="s">
        <v>521</v>
      </c>
      <c r="D579" s="82" t="s">
        <v>395</v>
      </c>
      <c r="E579" s="24" t="s">
        <v>1307</v>
      </c>
      <c r="F579" s="24" t="s">
        <v>200</v>
      </c>
      <c r="G579" s="24"/>
      <c r="H579" s="24" t="s">
        <v>1308</v>
      </c>
      <c r="I579" s="30" t="s">
        <v>525</v>
      </c>
      <c r="J579" s="24"/>
      <c r="K579" s="24" t="s">
        <v>199</v>
      </c>
      <c r="L579" s="24" t="s">
        <v>199</v>
      </c>
      <c r="M579" s="24">
        <v>1891</v>
      </c>
      <c r="N579" s="24" t="s">
        <v>527</v>
      </c>
      <c r="O579" s="24">
        <v>5</v>
      </c>
      <c r="P579" s="24">
        <v>0</v>
      </c>
      <c r="Q579" s="24">
        <v>2</v>
      </c>
      <c r="R579" s="24">
        <v>55</v>
      </c>
      <c r="S579" s="24">
        <v>2791.7</v>
      </c>
      <c r="T579" s="24">
        <v>2791.7</v>
      </c>
      <c r="U579" s="24">
        <v>2791.7</v>
      </c>
      <c r="V579" s="24">
        <v>0</v>
      </c>
      <c r="W579" s="24" t="s">
        <v>528</v>
      </c>
      <c r="X579" s="24" t="s">
        <v>528</v>
      </c>
      <c r="Y579" s="24" t="s">
        <v>529</v>
      </c>
      <c r="Z579" s="102" t="s">
        <v>528</v>
      </c>
      <c r="AA579" s="24" t="s">
        <v>528</v>
      </c>
      <c r="AB579" s="24" t="s">
        <v>528</v>
      </c>
      <c r="AC579" s="24" t="s">
        <v>528</v>
      </c>
      <c r="AD579" s="24" t="s">
        <v>528</v>
      </c>
      <c r="AE579" s="24" t="s">
        <v>529</v>
      </c>
      <c r="AF579" s="24">
        <v>0</v>
      </c>
      <c r="AG579" s="24" t="s">
        <v>529</v>
      </c>
      <c r="AH579" s="24">
        <v>1</v>
      </c>
      <c r="AI579" s="24" t="s">
        <v>529</v>
      </c>
      <c r="AJ579" s="24">
        <v>1</v>
      </c>
      <c r="AK579" s="24" t="s">
        <v>530</v>
      </c>
      <c r="AL579" s="24"/>
    </row>
    <row r="580" spans="1:38" ht="31.2" x14ac:dyDescent="0.3">
      <c r="A580" s="53">
        <v>573</v>
      </c>
      <c r="B580" s="24" t="s">
        <v>544</v>
      </c>
      <c r="C580" s="24" t="s">
        <v>521</v>
      </c>
      <c r="D580" s="82" t="s">
        <v>488</v>
      </c>
      <c r="E580" s="24" t="s">
        <v>173</v>
      </c>
      <c r="F580" s="24" t="s">
        <v>200</v>
      </c>
      <c r="G580" s="24"/>
      <c r="H580" s="24" t="s">
        <v>1309</v>
      </c>
      <c r="I580" s="30" t="s">
        <v>525</v>
      </c>
      <c r="J580" s="24"/>
      <c r="K580" s="24" t="s">
        <v>199</v>
      </c>
      <c r="L580" s="24" t="s">
        <v>199</v>
      </c>
      <c r="M580" s="24">
        <v>1912</v>
      </c>
      <c r="N580" s="24" t="s">
        <v>527</v>
      </c>
      <c r="O580" s="24">
        <v>6</v>
      </c>
      <c r="P580" s="24">
        <v>0</v>
      </c>
      <c r="Q580" s="24">
        <v>4</v>
      </c>
      <c r="R580" s="24">
        <v>35</v>
      </c>
      <c r="S580" s="24">
        <v>3874.37</v>
      </c>
      <c r="T580" s="24">
        <v>3874.37</v>
      </c>
      <c r="U580" s="24">
        <v>3670.37</v>
      </c>
      <c r="V580" s="24">
        <v>204</v>
      </c>
      <c r="W580" s="24" t="s">
        <v>528</v>
      </c>
      <c r="X580" s="24" t="s">
        <v>528</v>
      </c>
      <c r="Y580" s="24" t="s">
        <v>529</v>
      </c>
      <c r="Z580" s="102" t="s">
        <v>528</v>
      </c>
      <c r="AA580" s="24" t="s">
        <v>528</v>
      </c>
      <c r="AB580" s="24" t="s">
        <v>528</v>
      </c>
      <c r="AC580" s="24" t="s">
        <v>528</v>
      </c>
      <c r="AD580" s="24" t="s">
        <v>528</v>
      </c>
      <c r="AE580" s="24" t="s">
        <v>529</v>
      </c>
      <c r="AF580" s="24">
        <v>2</v>
      </c>
      <c r="AG580" s="24" t="s">
        <v>529</v>
      </c>
      <c r="AH580" s="24">
        <v>1</v>
      </c>
      <c r="AI580" s="24" t="s">
        <v>529</v>
      </c>
      <c r="AJ580" s="24">
        <v>1</v>
      </c>
      <c r="AK580" s="24" t="s">
        <v>530</v>
      </c>
      <c r="AL580" s="24"/>
    </row>
    <row r="581" spans="1:38" ht="31.2" x14ac:dyDescent="0.3">
      <c r="A581" s="53">
        <v>574</v>
      </c>
      <c r="B581" s="24" t="s">
        <v>544</v>
      </c>
      <c r="C581" s="24" t="s">
        <v>521</v>
      </c>
      <c r="D581" s="82" t="s">
        <v>488</v>
      </c>
      <c r="E581" s="24" t="s">
        <v>1310</v>
      </c>
      <c r="F581" s="24" t="s">
        <v>200</v>
      </c>
      <c r="G581" s="24"/>
      <c r="H581" s="24" t="s">
        <v>1311</v>
      </c>
      <c r="I581" s="30" t="s">
        <v>525</v>
      </c>
      <c r="J581" s="24" t="s">
        <v>535</v>
      </c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102"/>
      <c r="AA581" s="24"/>
      <c r="AB581" s="24"/>
      <c r="AC581" s="24" t="s">
        <v>528</v>
      </c>
      <c r="AD581" s="24"/>
      <c r="AE581" s="24"/>
      <c r="AF581" s="24"/>
      <c r="AG581" s="24"/>
      <c r="AH581" s="24"/>
      <c r="AI581" s="24"/>
      <c r="AJ581" s="24"/>
      <c r="AK581" s="24"/>
      <c r="AL581" s="24"/>
    </row>
    <row r="582" spans="1:38" ht="31.2" x14ac:dyDescent="0.3">
      <c r="A582" s="53">
        <v>575</v>
      </c>
      <c r="B582" s="24" t="s">
        <v>544</v>
      </c>
      <c r="C582" s="24" t="s">
        <v>521</v>
      </c>
      <c r="D582" s="82" t="s">
        <v>488</v>
      </c>
      <c r="E582" s="24" t="s">
        <v>1310</v>
      </c>
      <c r="F582" s="24" t="s">
        <v>205</v>
      </c>
      <c r="G582" s="24"/>
      <c r="H582" s="24" t="s">
        <v>1312</v>
      </c>
      <c r="I582" s="30" t="s">
        <v>525</v>
      </c>
      <c r="J582" s="24" t="s">
        <v>535</v>
      </c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102"/>
      <c r="AA582" s="24"/>
      <c r="AB582" s="24"/>
      <c r="AC582" s="24" t="s">
        <v>528</v>
      </c>
      <c r="AD582" s="24"/>
      <c r="AE582" s="24"/>
      <c r="AF582" s="24"/>
      <c r="AG582" s="24"/>
      <c r="AH582" s="24"/>
      <c r="AI582" s="24"/>
      <c r="AJ582" s="24"/>
      <c r="AK582" s="24"/>
      <c r="AL582" s="24"/>
    </row>
    <row r="583" spans="1:38" ht="31.2" x14ac:dyDescent="0.3">
      <c r="A583" s="53">
        <v>576</v>
      </c>
      <c r="B583" s="24" t="s">
        <v>544</v>
      </c>
      <c r="C583" s="24" t="s">
        <v>521</v>
      </c>
      <c r="D583" s="82" t="s">
        <v>488</v>
      </c>
      <c r="E583" s="24" t="s">
        <v>1246</v>
      </c>
      <c r="F583" s="24" t="s">
        <v>200</v>
      </c>
      <c r="G583" s="24"/>
      <c r="H583" s="24" t="s">
        <v>1313</v>
      </c>
      <c r="I583" s="30" t="s">
        <v>525</v>
      </c>
      <c r="J583" s="24" t="s">
        <v>535</v>
      </c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102"/>
      <c r="AA583" s="24"/>
      <c r="AB583" s="24"/>
      <c r="AC583" s="24" t="s">
        <v>528</v>
      </c>
      <c r="AD583" s="24"/>
      <c r="AE583" s="24"/>
      <c r="AF583" s="24"/>
      <c r="AG583" s="24"/>
      <c r="AH583" s="24"/>
      <c r="AI583" s="24"/>
      <c r="AJ583" s="24"/>
      <c r="AK583" s="24"/>
      <c r="AL583" s="24"/>
    </row>
    <row r="584" spans="1:38" ht="31.2" x14ac:dyDescent="0.3">
      <c r="A584" s="53">
        <v>577</v>
      </c>
      <c r="B584" s="24" t="s">
        <v>544</v>
      </c>
      <c r="C584" s="24" t="s">
        <v>555</v>
      </c>
      <c r="D584" s="82" t="s">
        <v>201</v>
      </c>
      <c r="E584" s="24" t="s">
        <v>1314</v>
      </c>
      <c r="F584" s="24" t="s">
        <v>200</v>
      </c>
      <c r="G584" s="24"/>
      <c r="H584" s="24" t="s">
        <v>1315</v>
      </c>
      <c r="I584" s="30" t="s">
        <v>525</v>
      </c>
      <c r="J584" s="24"/>
      <c r="K584" s="24" t="s">
        <v>199</v>
      </c>
      <c r="L584" s="24" t="s">
        <v>199</v>
      </c>
      <c r="M584" s="24">
        <v>1895</v>
      </c>
      <c r="N584" s="24" t="s">
        <v>527</v>
      </c>
      <c r="O584" s="24">
        <v>5</v>
      </c>
      <c r="P584" s="24">
        <v>0</v>
      </c>
      <c r="Q584" s="24">
        <v>7</v>
      </c>
      <c r="R584" s="24">
        <v>47</v>
      </c>
      <c r="S584" s="24">
        <v>4016.96</v>
      </c>
      <c r="T584" s="24">
        <v>4016.96</v>
      </c>
      <c r="U584" s="24">
        <v>3016.96</v>
      </c>
      <c r="V584" s="24">
        <v>1000</v>
      </c>
      <c r="W584" s="24" t="s">
        <v>528</v>
      </c>
      <c r="X584" s="24" t="s">
        <v>528</v>
      </c>
      <c r="Y584" s="24" t="s">
        <v>529</v>
      </c>
      <c r="Z584" s="102" t="s">
        <v>528</v>
      </c>
      <c r="AA584" s="24" t="s">
        <v>528</v>
      </c>
      <c r="AB584" s="24" t="s">
        <v>528</v>
      </c>
      <c r="AC584" s="24" t="s">
        <v>528</v>
      </c>
      <c r="AD584" s="24" t="s">
        <v>528</v>
      </c>
      <c r="AE584" s="24" t="s">
        <v>529</v>
      </c>
      <c r="AF584" s="24">
        <v>0</v>
      </c>
      <c r="AG584" s="24" t="s">
        <v>529</v>
      </c>
      <c r="AH584" s="24">
        <v>1</v>
      </c>
      <c r="AI584" s="24" t="s">
        <v>529</v>
      </c>
      <c r="AJ584" s="24">
        <v>1</v>
      </c>
      <c r="AK584" s="24" t="s">
        <v>530</v>
      </c>
      <c r="AL584" s="24"/>
    </row>
    <row r="585" spans="1:38" ht="31.2" x14ac:dyDescent="0.3">
      <c r="A585" s="53">
        <v>578</v>
      </c>
      <c r="B585" s="24" t="s">
        <v>544</v>
      </c>
      <c r="C585" s="24" t="s">
        <v>555</v>
      </c>
      <c r="D585" s="82" t="s">
        <v>201</v>
      </c>
      <c r="E585" s="24" t="s">
        <v>1316</v>
      </c>
      <c r="F585" s="24" t="s">
        <v>200</v>
      </c>
      <c r="G585" s="24"/>
      <c r="H585" s="24" t="s">
        <v>1317</v>
      </c>
      <c r="I585" s="30" t="s">
        <v>525</v>
      </c>
      <c r="J585" s="24"/>
      <c r="K585" s="24" t="s">
        <v>199</v>
      </c>
      <c r="L585" s="24" t="s">
        <v>199</v>
      </c>
      <c r="M585" s="24">
        <v>1889</v>
      </c>
      <c r="N585" s="24" t="s">
        <v>527</v>
      </c>
      <c r="O585" s="24">
        <v>5</v>
      </c>
      <c r="P585" s="24">
        <v>0</v>
      </c>
      <c r="Q585" s="24">
        <v>1</v>
      </c>
      <c r="R585" s="24">
        <v>7</v>
      </c>
      <c r="S585" s="24">
        <v>1221</v>
      </c>
      <c r="T585" s="24">
        <v>1221</v>
      </c>
      <c r="U585" s="24">
        <v>621</v>
      </c>
      <c r="V585" s="24">
        <v>600</v>
      </c>
      <c r="W585" s="24" t="s">
        <v>528</v>
      </c>
      <c r="X585" s="24" t="s">
        <v>528</v>
      </c>
      <c r="Y585" s="24" t="s">
        <v>529</v>
      </c>
      <c r="Z585" s="102" t="s">
        <v>528</v>
      </c>
      <c r="AA585" s="24" t="s">
        <v>528</v>
      </c>
      <c r="AB585" s="24" t="s">
        <v>528</v>
      </c>
      <c r="AC585" s="24" t="s">
        <v>528</v>
      </c>
      <c r="AD585" s="24" t="s">
        <v>528</v>
      </c>
      <c r="AE585" s="24" t="s">
        <v>529</v>
      </c>
      <c r="AF585" s="24">
        <v>0</v>
      </c>
      <c r="AG585" s="24" t="s">
        <v>529</v>
      </c>
      <c r="AH585" s="24">
        <v>1</v>
      </c>
      <c r="AI585" s="24" t="s">
        <v>529</v>
      </c>
      <c r="AJ585" s="24">
        <v>1</v>
      </c>
      <c r="AK585" s="24" t="s">
        <v>530</v>
      </c>
      <c r="AL585" s="24"/>
    </row>
    <row r="586" spans="1:38" ht="31.2" x14ac:dyDescent="0.3">
      <c r="A586" s="53">
        <v>579</v>
      </c>
      <c r="B586" s="24" t="s">
        <v>544</v>
      </c>
      <c r="C586" s="24" t="s">
        <v>555</v>
      </c>
      <c r="D586" s="82" t="s">
        <v>201</v>
      </c>
      <c r="E586" s="24" t="s">
        <v>1318</v>
      </c>
      <c r="F586" s="24" t="s">
        <v>200</v>
      </c>
      <c r="G586" s="24"/>
      <c r="H586" s="24" t="s">
        <v>1319</v>
      </c>
      <c r="I586" s="30" t="s">
        <v>525</v>
      </c>
      <c r="J586" s="24"/>
      <c r="K586" s="24" t="s">
        <v>199</v>
      </c>
      <c r="L586" s="24" t="s">
        <v>199</v>
      </c>
      <c r="M586" s="24">
        <v>1906</v>
      </c>
      <c r="N586" s="24" t="s">
        <v>527</v>
      </c>
      <c r="O586" s="24">
        <v>5</v>
      </c>
      <c r="P586" s="24">
        <v>0</v>
      </c>
      <c r="Q586" s="24">
        <v>4</v>
      </c>
      <c r="R586" s="24">
        <v>38</v>
      </c>
      <c r="S586" s="24">
        <v>3399.5</v>
      </c>
      <c r="T586" s="24">
        <v>3399.5</v>
      </c>
      <c r="U586" s="24">
        <v>3071.5</v>
      </c>
      <c r="V586" s="24">
        <v>328</v>
      </c>
      <c r="W586" s="24" t="s">
        <v>528</v>
      </c>
      <c r="X586" s="24" t="s">
        <v>528</v>
      </c>
      <c r="Y586" s="24" t="s">
        <v>529</v>
      </c>
      <c r="Z586" s="102" t="s">
        <v>528</v>
      </c>
      <c r="AA586" s="24" t="s">
        <v>528</v>
      </c>
      <c r="AB586" s="24" t="s">
        <v>528</v>
      </c>
      <c r="AC586" s="24" t="s">
        <v>528</v>
      </c>
      <c r="AD586" s="24" t="s">
        <v>528</v>
      </c>
      <c r="AE586" s="24" t="s">
        <v>529</v>
      </c>
      <c r="AF586" s="24">
        <v>0</v>
      </c>
      <c r="AG586" s="24" t="s">
        <v>529</v>
      </c>
      <c r="AH586" s="24">
        <v>1</v>
      </c>
      <c r="AI586" s="24" t="s">
        <v>529</v>
      </c>
      <c r="AJ586" s="24">
        <v>1</v>
      </c>
      <c r="AK586" s="24" t="s">
        <v>530</v>
      </c>
      <c r="AL586" s="24"/>
    </row>
    <row r="587" spans="1:38" ht="31.2" x14ac:dyDescent="0.3">
      <c r="A587" s="53">
        <v>580</v>
      </c>
      <c r="B587" s="24" t="s">
        <v>544</v>
      </c>
      <c r="C587" s="24" t="s">
        <v>555</v>
      </c>
      <c r="D587" s="82" t="s">
        <v>201</v>
      </c>
      <c r="E587" s="24" t="s">
        <v>1320</v>
      </c>
      <c r="F587" s="24" t="s">
        <v>200</v>
      </c>
      <c r="G587" s="24"/>
      <c r="H587" s="24" t="s">
        <v>1321</v>
      </c>
      <c r="I587" s="30" t="s">
        <v>525</v>
      </c>
      <c r="J587" s="24" t="s">
        <v>535</v>
      </c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102"/>
      <c r="AA587" s="24"/>
      <c r="AB587" s="24"/>
      <c r="AC587" s="24" t="s">
        <v>528</v>
      </c>
      <c r="AD587" s="24"/>
      <c r="AE587" s="24"/>
      <c r="AF587" s="24"/>
      <c r="AG587" s="24"/>
      <c r="AH587" s="24"/>
      <c r="AI587" s="24"/>
      <c r="AJ587" s="24"/>
      <c r="AK587" s="24"/>
      <c r="AL587" s="24"/>
    </row>
    <row r="588" spans="1:38" ht="31.2" x14ac:dyDescent="0.3">
      <c r="A588" s="53">
        <v>581</v>
      </c>
      <c r="B588" s="24" t="s">
        <v>544</v>
      </c>
      <c r="C588" s="24" t="s">
        <v>555</v>
      </c>
      <c r="D588" s="82" t="s">
        <v>201</v>
      </c>
      <c r="E588" s="24" t="s">
        <v>1322</v>
      </c>
      <c r="F588" s="24" t="s">
        <v>205</v>
      </c>
      <c r="G588" s="24"/>
      <c r="H588" s="24" t="s">
        <v>1323</v>
      </c>
      <c r="I588" s="30" t="s">
        <v>525</v>
      </c>
      <c r="J588" s="24" t="s">
        <v>535</v>
      </c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102"/>
      <c r="AA588" s="24"/>
      <c r="AB588" s="24"/>
      <c r="AC588" s="24" t="s">
        <v>528</v>
      </c>
      <c r="AD588" s="24"/>
      <c r="AE588" s="24"/>
      <c r="AF588" s="24"/>
      <c r="AG588" s="24"/>
      <c r="AH588" s="24"/>
      <c r="AI588" s="24"/>
      <c r="AJ588" s="24"/>
      <c r="AK588" s="24"/>
      <c r="AL588" s="24"/>
    </row>
    <row r="589" spans="1:38" ht="31.2" x14ac:dyDescent="0.3">
      <c r="A589" s="53">
        <v>582</v>
      </c>
      <c r="B589" s="24" t="s">
        <v>544</v>
      </c>
      <c r="C589" s="24" t="s">
        <v>555</v>
      </c>
      <c r="D589" s="82" t="s">
        <v>201</v>
      </c>
      <c r="E589" s="24" t="s">
        <v>1324</v>
      </c>
      <c r="F589" s="24" t="s">
        <v>200</v>
      </c>
      <c r="G589" s="24"/>
      <c r="H589" s="24" t="s">
        <v>1325</v>
      </c>
      <c r="I589" s="30" t="s">
        <v>525</v>
      </c>
      <c r="J589" s="24"/>
      <c r="K589" s="24" t="s">
        <v>199</v>
      </c>
      <c r="L589" s="24" t="s">
        <v>199</v>
      </c>
      <c r="M589" s="24">
        <v>1864</v>
      </c>
      <c r="N589" s="24" t="s">
        <v>527</v>
      </c>
      <c r="O589" s="24">
        <v>5</v>
      </c>
      <c r="P589" s="24">
        <v>0</v>
      </c>
      <c r="Q589" s="24">
        <v>5</v>
      </c>
      <c r="R589" s="24">
        <v>49</v>
      </c>
      <c r="S589" s="24">
        <v>4293.8</v>
      </c>
      <c r="T589" s="24">
        <v>4293.8</v>
      </c>
      <c r="U589" s="24">
        <v>3330.8</v>
      </c>
      <c r="V589" s="24">
        <v>963</v>
      </c>
      <c r="W589" s="24" t="s">
        <v>528</v>
      </c>
      <c r="X589" s="24" t="s">
        <v>528</v>
      </c>
      <c r="Y589" s="24" t="s">
        <v>529</v>
      </c>
      <c r="Z589" s="102" t="s">
        <v>528</v>
      </c>
      <c r="AA589" s="24" t="s">
        <v>528</v>
      </c>
      <c r="AB589" s="24" t="s">
        <v>528</v>
      </c>
      <c r="AC589" s="24" t="s">
        <v>528</v>
      </c>
      <c r="AD589" s="24" t="s">
        <v>528</v>
      </c>
      <c r="AE589" s="24" t="s">
        <v>529</v>
      </c>
      <c r="AF589" s="24">
        <v>0</v>
      </c>
      <c r="AG589" s="24" t="s">
        <v>529</v>
      </c>
      <c r="AH589" s="24">
        <v>1</v>
      </c>
      <c r="AI589" s="24" t="s">
        <v>529</v>
      </c>
      <c r="AJ589" s="24">
        <v>1</v>
      </c>
      <c r="AK589" s="24" t="s">
        <v>530</v>
      </c>
      <c r="AL589" s="24"/>
    </row>
    <row r="590" spans="1:38" ht="31.2" x14ac:dyDescent="0.3">
      <c r="A590" s="53">
        <v>583</v>
      </c>
      <c r="B590" s="24" t="s">
        <v>544</v>
      </c>
      <c r="C590" s="24" t="s">
        <v>555</v>
      </c>
      <c r="D590" s="82" t="s">
        <v>201</v>
      </c>
      <c r="E590" s="24" t="s">
        <v>1326</v>
      </c>
      <c r="F590" s="24" t="s">
        <v>200</v>
      </c>
      <c r="G590" s="24"/>
      <c r="H590" s="24" t="s">
        <v>1327</v>
      </c>
      <c r="I590" s="30" t="s">
        <v>525</v>
      </c>
      <c r="J590" s="24"/>
      <c r="K590" s="24" t="s">
        <v>1157</v>
      </c>
      <c r="L590" s="24" t="s">
        <v>199</v>
      </c>
      <c r="M590" s="24">
        <v>1936</v>
      </c>
      <c r="N590" s="24" t="s">
        <v>527</v>
      </c>
      <c r="O590" s="24">
        <v>6</v>
      </c>
      <c r="P590" s="24">
        <v>0</v>
      </c>
      <c r="Q590" s="24">
        <v>2</v>
      </c>
      <c r="R590" s="24">
        <v>21</v>
      </c>
      <c r="S590" s="24">
        <v>1944.1</v>
      </c>
      <c r="T590" s="24">
        <v>1944.1</v>
      </c>
      <c r="U590" s="24">
        <v>1276.0999999999999</v>
      </c>
      <c r="V590" s="24">
        <v>668</v>
      </c>
      <c r="W590" s="24" t="s">
        <v>528</v>
      </c>
      <c r="X590" s="24" t="s">
        <v>528</v>
      </c>
      <c r="Y590" s="24" t="s">
        <v>529</v>
      </c>
      <c r="Z590" s="102" t="s">
        <v>528</v>
      </c>
      <c r="AA590" s="24" t="s">
        <v>528</v>
      </c>
      <c r="AB590" s="24" t="s">
        <v>528</v>
      </c>
      <c r="AC590" s="24" t="s">
        <v>528</v>
      </c>
      <c r="AD590" s="24" t="s">
        <v>528</v>
      </c>
      <c r="AE590" s="24" t="s">
        <v>529</v>
      </c>
      <c r="AF590" s="24">
        <v>2</v>
      </c>
      <c r="AG590" s="24" t="s">
        <v>529</v>
      </c>
      <c r="AH590" s="24">
        <v>1</v>
      </c>
      <c r="AI590" s="24" t="s">
        <v>529</v>
      </c>
      <c r="AJ590" s="24" t="s">
        <v>529</v>
      </c>
      <c r="AK590" s="24" t="s">
        <v>530</v>
      </c>
      <c r="AL590" s="24"/>
    </row>
    <row r="591" spans="1:38" ht="31.2" x14ac:dyDescent="0.3">
      <c r="A591" s="53">
        <v>584</v>
      </c>
      <c r="B591" s="24" t="s">
        <v>544</v>
      </c>
      <c r="C591" s="24" t="s">
        <v>521</v>
      </c>
      <c r="D591" s="82" t="s">
        <v>376</v>
      </c>
      <c r="E591" s="24" t="s">
        <v>1153</v>
      </c>
      <c r="F591" s="24" t="s">
        <v>200</v>
      </c>
      <c r="G591" s="24"/>
      <c r="H591" s="24" t="s">
        <v>1328</v>
      </c>
      <c r="I591" s="30" t="s">
        <v>525</v>
      </c>
      <c r="J591" s="24" t="s">
        <v>535</v>
      </c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102"/>
      <c r="AA591" s="24"/>
      <c r="AB591" s="24"/>
      <c r="AC591" s="24" t="s">
        <v>528</v>
      </c>
      <c r="AD591" s="24"/>
      <c r="AE591" s="24"/>
      <c r="AF591" s="24"/>
      <c r="AG591" s="24"/>
      <c r="AH591" s="24"/>
      <c r="AI591" s="24"/>
      <c r="AJ591" s="24"/>
      <c r="AK591" s="24"/>
      <c r="AL591" s="24"/>
    </row>
    <row r="592" spans="1:38" ht="31.2" x14ac:dyDescent="0.3">
      <c r="A592" s="53">
        <v>585</v>
      </c>
      <c r="B592" s="24" t="s">
        <v>544</v>
      </c>
      <c r="C592" s="24" t="s">
        <v>521</v>
      </c>
      <c r="D592" s="82" t="s">
        <v>376</v>
      </c>
      <c r="E592" s="24" t="s">
        <v>1155</v>
      </c>
      <c r="F592" s="24" t="s">
        <v>200</v>
      </c>
      <c r="G592" s="24"/>
      <c r="H592" s="24" t="s">
        <v>1329</v>
      </c>
      <c r="I592" s="30" t="s">
        <v>525</v>
      </c>
      <c r="J592" s="24"/>
      <c r="K592" s="24" t="s">
        <v>199</v>
      </c>
      <c r="L592" s="24" t="s">
        <v>199</v>
      </c>
      <c r="M592" s="24">
        <v>1903</v>
      </c>
      <c r="N592" s="24" t="s">
        <v>527</v>
      </c>
      <c r="O592" s="24">
        <v>5</v>
      </c>
      <c r="P592" s="24">
        <v>0</v>
      </c>
      <c r="Q592" s="24">
        <v>3</v>
      </c>
      <c r="R592" s="24">
        <v>35</v>
      </c>
      <c r="S592" s="24">
        <v>2350.56</v>
      </c>
      <c r="T592" s="24">
        <v>2350.56</v>
      </c>
      <c r="U592" s="24">
        <v>2350.56</v>
      </c>
      <c r="V592" s="24">
        <v>0</v>
      </c>
      <c r="W592" s="24" t="s">
        <v>528</v>
      </c>
      <c r="X592" s="24" t="s">
        <v>528</v>
      </c>
      <c r="Y592" s="24" t="s">
        <v>529</v>
      </c>
      <c r="Z592" s="102" t="s">
        <v>528</v>
      </c>
      <c r="AA592" s="24" t="s">
        <v>528</v>
      </c>
      <c r="AB592" s="24" t="s">
        <v>528</v>
      </c>
      <c r="AC592" s="24" t="s">
        <v>528</v>
      </c>
      <c r="AD592" s="24" t="s">
        <v>528</v>
      </c>
      <c r="AE592" s="24" t="s">
        <v>529</v>
      </c>
      <c r="AF592" s="24">
        <v>1</v>
      </c>
      <c r="AG592" s="24" t="s">
        <v>529</v>
      </c>
      <c r="AH592" s="24">
        <v>1</v>
      </c>
      <c r="AI592" s="24" t="s">
        <v>529</v>
      </c>
      <c r="AJ592" s="24">
        <v>1</v>
      </c>
      <c r="AK592" s="24" t="s">
        <v>530</v>
      </c>
      <c r="AL592" s="24"/>
    </row>
    <row r="593" spans="1:38" ht="31.2" x14ac:dyDescent="0.3">
      <c r="A593" s="53">
        <v>586</v>
      </c>
      <c r="B593" s="24" t="s">
        <v>544</v>
      </c>
      <c r="C593" s="24" t="s">
        <v>521</v>
      </c>
      <c r="D593" s="82" t="s">
        <v>376</v>
      </c>
      <c r="E593" s="24" t="s">
        <v>1164</v>
      </c>
      <c r="F593" s="24" t="s">
        <v>200</v>
      </c>
      <c r="G593" s="24"/>
      <c r="H593" s="24" t="s">
        <v>1330</v>
      </c>
      <c r="I593" s="30" t="s">
        <v>525</v>
      </c>
      <c r="J593" s="24"/>
      <c r="K593" s="24" t="s">
        <v>199</v>
      </c>
      <c r="L593" s="24" t="s">
        <v>199</v>
      </c>
      <c r="M593" s="24">
        <v>1911</v>
      </c>
      <c r="N593" s="24" t="s">
        <v>527</v>
      </c>
      <c r="O593" s="24">
        <v>7</v>
      </c>
      <c r="P593" s="24">
        <v>0</v>
      </c>
      <c r="Q593" s="24">
        <v>7</v>
      </c>
      <c r="R593" s="24">
        <v>56</v>
      </c>
      <c r="S593" s="24">
        <v>5754.46</v>
      </c>
      <c r="T593" s="24">
        <v>5754.46</v>
      </c>
      <c r="U593" s="24">
        <v>5158.66</v>
      </c>
      <c r="V593" s="24">
        <v>595.79999999999995</v>
      </c>
      <c r="W593" s="24" t="s">
        <v>528</v>
      </c>
      <c r="X593" s="24" t="s">
        <v>528</v>
      </c>
      <c r="Y593" s="24" t="s">
        <v>529</v>
      </c>
      <c r="Z593" s="102" t="s">
        <v>528</v>
      </c>
      <c r="AA593" s="24" t="s">
        <v>528</v>
      </c>
      <c r="AB593" s="24" t="s">
        <v>528</v>
      </c>
      <c r="AC593" s="24" t="s">
        <v>528</v>
      </c>
      <c r="AD593" s="24" t="s">
        <v>528</v>
      </c>
      <c r="AE593" s="24" t="s">
        <v>529</v>
      </c>
      <c r="AF593" s="24">
        <v>2</v>
      </c>
      <c r="AG593" s="24" t="s">
        <v>529</v>
      </c>
      <c r="AH593" s="24">
        <v>1</v>
      </c>
      <c r="AI593" s="24" t="s">
        <v>529</v>
      </c>
      <c r="AJ593" s="24">
        <v>2</v>
      </c>
      <c r="AK593" s="24" t="s">
        <v>530</v>
      </c>
      <c r="AL593" s="24"/>
    </row>
    <row r="594" spans="1:38" ht="31.2" x14ac:dyDescent="0.3">
      <c r="A594" s="53">
        <v>587</v>
      </c>
      <c r="B594" s="24" t="s">
        <v>544</v>
      </c>
      <c r="C594" s="24" t="s">
        <v>521</v>
      </c>
      <c r="D594" s="82" t="s">
        <v>395</v>
      </c>
      <c r="E594" s="24" t="s">
        <v>1293</v>
      </c>
      <c r="F594" s="24" t="s">
        <v>200</v>
      </c>
      <c r="G594" s="24"/>
      <c r="H594" s="24" t="s">
        <v>1331</v>
      </c>
      <c r="I594" s="30" t="s">
        <v>525</v>
      </c>
      <c r="J594" s="24"/>
      <c r="K594" s="24" t="s">
        <v>199</v>
      </c>
      <c r="L594" s="24" t="s">
        <v>199</v>
      </c>
      <c r="M594" s="24">
        <v>1910</v>
      </c>
      <c r="N594" s="24" t="s">
        <v>527</v>
      </c>
      <c r="O594" s="24">
        <v>4</v>
      </c>
      <c r="P594" s="24">
        <v>0</v>
      </c>
      <c r="Q594" s="24">
        <v>1</v>
      </c>
      <c r="R594" s="24">
        <v>4</v>
      </c>
      <c r="S594" s="24">
        <v>309.5</v>
      </c>
      <c r="T594" s="24">
        <v>309.5</v>
      </c>
      <c r="U594" s="24">
        <v>309.5</v>
      </c>
      <c r="V594" s="24">
        <v>0</v>
      </c>
      <c r="W594" s="24" t="s">
        <v>528</v>
      </c>
      <c r="X594" s="24" t="s">
        <v>528</v>
      </c>
      <c r="Y594" s="24" t="s">
        <v>529</v>
      </c>
      <c r="Z594" s="102" t="s">
        <v>528</v>
      </c>
      <c r="AA594" s="24" t="s">
        <v>528</v>
      </c>
      <c r="AB594" s="24" t="s">
        <v>528</v>
      </c>
      <c r="AC594" s="24" t="s">
        <v>528</v>
      </c>
      <c r="AD594" s="24" t="s">
        <v>528</v>
      </c>
      <c r="AE594" s="24" t="s">
        <v>529</v>
      </c>
      <c r="AF594" s="24">
        <v>0</v>
      </c>
      <c r="AG594" s="24" t="s">
        <v>529</v>
      </c>
      <c r="AH594" s="24">
        <v>1</v>
      </c>
      <c r="AI594" s="24" t="s">
        <v>529</v>
      </c>
      <c r="AJ594" s="24">
        <v>1</v>
      </c>
      <c r="AK594" s="24" t="s">
        <v>530</v>
      </c>
      <c r="AL594" s="24"/>
    </row>
    <row r="595" spans="1:38" ht="31.2" x14ac:dyDescent="0.3">
      <c r="A595" s="53">
        <v>588</v>
      </c>
      <c r="B595" s="24" t="s">
        <v>544</v>
      </c>
      <c r="C595" s="24" t="s">
        <v>521</v>
      </c>
      <c r="D595" s="82" t="s">
        <v>463</v>
      </c>
      <c r="E595" s="24" t="s">
        <v>1332</v>
      </c>
      <c r="F595" s="24" t="s">
        <v>200</v>
      </c>
      <c r="G595" s="24"/>
      <c r="H595" s="24" t="s">
        <v>1333</v>
      </c>
      <c r="I595" s="30" t="s">
        <v>525</v>
      </c>
      <c r="J595" s="24"/>
      <c r="K595" s="24" t="s">
        <v>199</v>
      </c>
      <c r="L595" s="24" t="s">
        <v>199</v>
      </c>
      <c r="M595" s="24">
        <v>1910</v>
      </c>
      <c r="N595" s="24" t="s">
        <v>527</v>
      </c>
      <c r="O595" s="24">
        <v>5</v>
      </c>
      <c r="P595" s="24">
        <v>0</v>
      </c>
      <c r="Q595" s="24">
        <v>5</v>
      </c>
      <c r="R595" s="24">
        <v>19</v>
      </c>
      <c r="S595" s="24">
        <v>4181.13</v>
      </c>
      <c r="T595" s="24">
        <v>4181.13</v>
      </c>
      <c r="U595" s="24">
        <v>3221.63</v>
      </c>
      <c r="V595" s="24">
        <v>959.5</v>
      </c>
      <c r="W595" s="24" t="s">
        <v>528</v>
      </c>
      <c r="X595" s="24" t="s">
        <v>528</v>
      </c>
      <c r="Y595" s="24" t="s">
        <v>529</v>
      </c>
      <c r="Z595" s="102" t="s">
        <v>528</v>
      </c>
      <c r="AA595" s="24" t="s">
        <v>528</v>
      </c>
      <c r="AB595" s="24" t="s">
        <v>528</v>
      </c>
      <c r="AC595" s="24" t="s">
        <v>528</v>
      </c>
      <c r="AD595" s="24" t="s">
        <v>528</v>
      </c>
      <c r="AE595" s="24" t="s">
        <v>529</v>
      </c>
      <c r="AF595" s="24">
        <v>0</v>
      </c>
      <c r="AG595" s="24" t="s">
        <v>529</v>
      </c>
      <c r="AH595" s="24">
        <v>1</v>
      </c>
      <c r="AI595" s="24" t="s">
        <v>529</v>
      </c>
      <c r="AJ595" s="24">
        <v>1</v>
      </c>
      <c r="AK595" s="24" t="s">
        <v>530</v>
      </c>
      <c r="AL595" s="24"/>
    </row>
    <row r="596" spans="1:38" ht="31.2" x14ac:dyDescent="0.3">
      <c r="A596" s="53">
        <v>589</v>
      </c>
      <c r="B596" s="24" t="s">
        <v>544</v>
      </c>
      <c r="C596" s="24" t="s">
        <v>521</v>
      </c>
      <c r="D596" s="82" t="s">
        <v>463</v>
      </c>
      <c r="E596" s="24" t="s">
        <v>1334</v>
      </c>
      <c r="F596" s="24" t="s">
        <v>205</v>
      </c>
      <c r="G596" s="24"/>
      <c r="H596" s="24" t="s">
        <v>1335</v>
      </c>
      <c r="I596" s="30" t="s">
        <v>525</v>
      </c>
      <c r="J596" s="24"/>
      <c r="K596" s="24" t="s">
        <v>199</v>
      </c>
      <c r="L596" s="24" t="s">
        <v>199</v>
      </c>
      <c r="M596" s="24">
        <v>1900</v>
      </c>
      <c r="N596" s="24" t="s">
        <v>527</v>
      </c>
      <c r="O596" s="24">
        <v>4</v>
      </c>
      <c r="P596" s="24">
        <v>0</v>
      </c>
      <c r="Q596" s="24">
        <v>1</v>
      </c>
      <c r="R596" s="24">
        <v>9</v>
      </c>
      <c r="S596" s="24">
        <v>1220.3</v>
      </c>
      <c r="T596" s="24">
        <v>1220.3</v>
      </c>
      <c r="U596" s="24">
        <v>1220.3</v>
      </c>
      <c r="V596" s="24">
        <v>0</v>
      </c>
      <c r="W596" s="24" t="s">
        <v>528</v>
      </c>
      <c r="X596" s="24" t="s">
        <v>528</v>
      </c>
      <c r="Y596" s="24" t="s">
        <v>529</v>
      </c>
      <c r="Z596" s="102" t="s">
        <v>528</v>
      </c>
      <c r="AA596" s="24" t="s">
        <v>528</v>
      </c>
      <c r="AB596" s="24" t="s">
        <v>528</v>
      </c>
      <c r="AC596" s="24" t="s">
        <v>528</v>
      </c>
      <c r="AD596" s="24" t="s">
        <v>528</v>
      </c>
      <c r="AE596" s="24" t="s">
        <v>529</v>
      </c>
      <c r="AF596" s="24">
        <v>0</v>
      </c>
      <c r="AG596" s="24" t="s">
        <v>529</v>
      </c>
      <c r="AH596" s="24">
        <v>1</v>
      </c>
      <c r="AI596" s="24" t="s">
        <v>529</v>
      </c>
      <c r="AJ596" s="24" t="s">
        <v>529</v>
      </c>
      <c r="AK596" s="24" t="s">
        <v>530</v>
      </c>
      <c r="AL596" s="24"/>
    </row>
    <row r="597" spans="1:38" ht="31.2" x14ac:dyDescent="0.3">
      <c r="A597" s="53">
        <v>590</v>
      </c>
      <c r="B597" s="24" t="s">
        <v>544</v>
      </c>
      <c r="C597" s="24" t="s">
        <v>521</v>
      </c>
      <c r="D597" s="82" t="s">
        <v>463</v>
      </c>
      <c r="E597" s="24" t="s">
        <v>1229</v>
      </c>
      <c r="F597" s="24" t="s">
        <v>200</v>
      </c>
      <c r="G597" s="24"/>
      <c r="H597" s="24" t="s">
        <v>1336</v>
      </c>
      <c r="I597" s="30" t="s">
        <v>525</v>
      </c>
      <c r="J597" s="24"/>
      <c r="K597" s="24" t="s">
        <v>199</v>
      </c>
      <c r="L597" s="24" t="s">
        <v>199</v>
      </c>
      <c r="M597" s="24">
        <v>1904</v>
      </c>
      <c r="N597" s="24" t="s">
        <v>527</v>
      </c>
      <c r="O597" s="24">
        <v>5</v>
      </c>
      <c r="P597" s="24">
        <v>0</v>
      </c>
      <c r="Q597" s="24">
        <v>3</v>
      </c>
      <c r="R597" s="24">
        <v>32</v>
      </c>
      <c r="S597" s="24">
        <v>2659.66</v>
      </c>
      <c r="T597" s="24">
        <v>2659.66</v>
      </c>
      <c r="U597" s="24">
        <v>2659.66</v>
      </c>
      <c r="V597" s="24">
        <v>0</v>
      </c>
      <c r="W597" s="24" t="s">
        <v>528</v>
      </c>
      <c r="X597" s="24" t="s">
        <v>528</v>
      </c>
      <c r="Y597" s="24" t="s">
        <v>529</v>
      </c>
      <c r="Z597" s="102" t="s">
        <v>528</v>
      </c>
      <c r="AA597" s="24" t="s">
        <v>528</v>
      </c>
      <c r="AB597" s="24" t="s">
        <v>528</v>
      </c>
      <c r="AC597" s="24" t="s">
        <v>528</v>
      </c>
      <c r="AD597" s="24" t="s">
        <v>528</v>
      </c>
      <c r="AE597" s="24" t="s">
        <v>529</v>
      </c>
      <c r="AF597" s="24">
        <v>0</v>
      </c>
      <c r="AG597" s="24" t="s">
        <v>529</v>
      </c>
      <c r="AH597" s="24">
        <v>1</v>
      </c>
      <c r="AI597" s="24" t="s">
        <v>529</v>
      </c>
      <c r="AJ597" s="24">
        <v>1</v>
      </c>
      <c r="AK597" s="24" t="s">
        <v>530</v>
      </c>
      <c r="AL597" s="24"/>
    </row>
    <row r="598" spans="1:38" ht="31.2" x14ac:dyDescent="0.3">
      <c r="A598" s="53">
        <v>591</v>
      </c>
      <c r="B598" s="24" t="s">
        <v>544</v>
      </c>
      <c r="C598" s="24" t="s">
        <v>521</v>
      </c>
      <c r="D598" s="82" t="s">
        <v>463</v>
      </c>
      <c r="E598" s="24" t="s">
        <v>1231</v>
      </c>
      <c r="F598" s="24" t="s">
        <v>200</v>
      </c>
      <c r="G598" s="24"/>
      <c r="H598" s="24" t="s">
        <v>1337</v>
      </c>
      <c r="I598" s="30" t="s">
        <v>525</v>
      </c>
      <c r="J598" s="24"/>
      <c r="K598" s="24" t="s">
        <v>199</v>
      </c>
      <c r="L598" s="24" t="s">
        <v>199</v>
      </c>
      <c r="M598" s="24">
        <v>1882</v>
      </c>
      <c r="N598" s="24" t="s">
        <v>527</v>
      </c>
      <c r="O598" s="24">
        <v>4</v>
      </c>
      <c r="P598" s="24">
        <v>0</v>
      </c>
      <c r="Q598" s="24">
        <v>2</v>
      </c>
      <c r="R598" s="24">
        <v>22</v>
      </c>
      <c r="S598" s="24">
        <v>2449.6999999999998</v>
      </c>
      <c r="T598" s="24">
        <v>2449.6999999999998</v>
      </c>
      <c r="U598" s="24">
        <v>1873.7</v>
      </c>
      <c r="V598" s="24">
        <v>576</v>
      </c>
      <c r="W598" s="24" t="s">
        <v>528</v>
      </c>
      <c r="X598" s="24" t="s">
        <v>528</v>
      </c>
      <c r="Y598" s="24" t="s">
        <v>529</v>
      </c>
      <c r="Z598" s="102" t="s">
        <v>528</v>
      </c>
      <c r="AA598" s="24" t="s">
        <v>528</v>
      </c>
      <c r="AB598" s="24" t="s">
        <v>528</v>
      </c>
      <c r="AC598" s="24" t="s">
        <v>528</v>
      </c>
      <c r="AD598" s="24" t="s">
        <v>528</v>
      </c>
      <c r="AE598" s="24" t="s">
        <v>529</v>
      </c>
      <c r="AF598" s="24">
        <v>0</v>
      </c>
      <c r="AG598" s="24" t="s">
        <v>529</v>
      </c>
      <c r="AH598" s="24">
        <v>1</v>
      </c>
      <c r="AI598" s="24" t="s">
        <v>529</v>
      </c>
      <c r="AJ598" s="24" t="s">
        <v>529</v>
      </c>
      <c r="AK598" s="24" t="s">
        <v>530</v>
      </c>
      <c r="AL598" s="24"/>
    </row>
    <row r="599" spans="1:38" ht="31.2" x14ac:dyDescent="0.3">
      <c r="A599" s="53">
        <v>592</v>
      </c>
      <c r="B599" s="24" t="s">
        <v>544</v>
      </c>
      <c r="C599" s="24" t="s">
        <v>521</v>
      </c>
      <c r="D599" s="82" t="s">
        <v>463</v>
      </c>
      <c r="E599" s="24" t="s">
        <v>1236</v>
      </c>
      <c r="F599" s="24" t="s">
        <v>200</v>
      </c>
      <c r="G599" s="24"/>
      <c r="H599" s="24" t="s">
        <v>1338</v>
      </c>
      <c r="I599" s="30" t="s">
        <v>525</v>
      </c>
      <c r="J599" s="24"/>
      <c r="K599" s="24" t="s">
        <v>199</v>
      </c>
      <c r="L599" s="24" t="s">
        <v>199</v>
      </c>
      <c r="M599" s="24">
        <v>1901</v>
      </c>
      <c r="N599" s="24" t="s">
        <v>527</v>
      </c>
      <c r="O599" s="24">
        <v>3</v>
      </c>
      <c r="P599" s="24">
        <v>0</v>
      </c>
      <c r="Q599" s="24">
        <v>2</v>
      </c>
      <c r="R599" s="24">
        <v>19</v>
      </c>
      <c r="S599" s="24">
        <v>1262.98</v>
      </c>
      <c r="T599" s="24">
        <v>1262.98</v>
      </c>
      <c r="U599" s="24">
        <v>1060.98</v>
      </c>
      <c r="V599" s="24">
        <v>202</v>
      </c>
      <c r="W599" s="24" t="s">
        <v>528</v>
      </c>
      <c r="X599" s="24" t="s">
        <v>528</v>
      </c>
      <c r="Y599" s="24" t="s">
        <v>529</v>
      </c>
      <c r="Z599" s="102" t="s">
        <v>528</v>
      </c>
      <c r="AA599" s="24" t="s">
        <v>528</v>
      </c>
      <c r="AB599" s="24" t="s">
        <v>528</v>
      </c>
      <c r="AC599" s="24" t="s">
        <v>528</v>
      </c>
      <c r="AD599" s="24" t="s">
        <v>528</v>
      </c>
      <c r="AE599" s="24" t="s">
        <v>529</v>
      </c>
      <c r="AF599" s="24">
        <v>0</v>
      </c>
      <c r="AG599" s="24" t="s">
        <v>529</v>
      </c>
      <c r="AH599" s="24">
        <v>1</v>
      </c>
      <c r="AI599" s="24" t="s">
        <v>529</v>
      </c>
      <c r="AJ599" s="24" t="s">
        <v>529</v>
      </c>
      <c r="AK599" s="24" t="s">
        <v>530</v>
      </c>
      <c r="AL599" s="24"/>
    </row>
    <row r="600" spans="1:38" ht="31.2" x14ac:dyDescent="0.3">
      <c r="A600" s="53">
        <v>593</v>
      </c>
      <c r="B600" s="24" t="s">
        <v>544</v>
      </c>
      <c r="C600" s="24" t="s">
        <v>521</v>
      </c>
      <c r="D600" s="82" t="s">
        <v>227</v>
      </c>
      <c r="E600" s="24" t="s">
        <v>1339</v>
      </c>
      <c r="F600" s="24" t="s">
        <v>200</v>
      </c>
      <c r="G600" s="24"/>
      <c r="H600" s="24" t="s">
        <v>1340</v>
      </c>
      <c r="I600" s="30" t="s">
        <v>525</v>
      </c>
      <c r="J600" s="24"/>
      <c r="K600" s="24" t="s">
        <v>199</v>
      </c>
      <c r="L600" s="24" t="s">
        <v>199</v>
      </c>
      <c r="M600" s="24">
        <v>1899</v>
      </c>
      <c r="N600" s="24" t="s">
        <v>527</v>
      </c>
      <c r="O600" s="24">
        <v>5</v>
      </c>
      <c r="P600" s="24">
        <v>0</v>
      </c>
      <c r="Q600" s="24">
        <v>3</v>
      </c>
      <c r="R600" s="24">
        <v>24</v>
      </c>
      <c r="S600" s="24">
        <v>2274.5</v>
      </c>
      <c r="T600" s="24">
        <v>2274.5</v>
      </c>
      <c r="U600" s="24">
        <v>1799</v>
      </c>
      <c r="V600" s="24">
        <v>475.5</v>
      </c>
      <c r="W600" s="24" t="s">
        <v>528</v>
      </c>
      <c r="X600" s="24" t="s">
        <v>528</v>
      </c>
      <c r="Y600" s="24" t="s">
        <v>529</v>
      </c>
      <c r="Z600" s="102" t="s">
        <v>528</v>
      </c>
      <c r="AA600" s="24" t="s">
        <v>528</v>
      </c>
      <c r="AB600" s="24" t="s">
        <v>528</v>
      </c>
      <c r="AC600" s="24" t="s">
        <v>528</v>
      </c>
      <c r="AD600" s="24" t="s">
        <v>528</v>
      </c>
      <c r="AE600" s="24" t="s">
        <v>529</v>
      </c>
      <c r="AF600" s="24">
        <v>0</v>
      </c>
      <c r="AG600" s="24" t="s">
        <v>529</v>
      </c>
      <c r="AH600" s="24">
        <v>1</v>
      </c>
      <c r="AI600" s="24" t="s">
        <v>529</v>
      </c>
      <c r="AJ600" s="24" t="s">
        <v>529</v>
      </c>
      <c r="AK600" s="24" t="s">
        <v>530</v>
      </c>
      <c r="AL600" s="24"/>
    </row>
    <row r="601" spans="1:38" ht="31.2" x14ac:dyDescent="0.3">
      <c r="A601" s="53">
        <v>594</v>
      </c>
      <c r="B601" s="24" t="s">
        <v>544</v>
      </c>
      <c r="C601" s="24" t="s">
        <v>521</v>
      </c>
      <c r="D601" s="82" t="s">
        <v>227</v>
      </c>
      <c r="E601" s="24" t="s">
        <v>536</v>
      </c>
      <c r="F601" s="24" t="s">
        <v>200</v>
      </c>
      <c r="G601" s="24"/>
      <c r="H601" s="24" t="s">
        <v>1341</v>
      </c>
      <c r="I601" s="30" t="s">
        <v>525</v>
      </c>
      <c r="J601" s="24" t="s">
        <v>535</v>
      </c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102"/>
      <c r="AA601" s="24"/>
      <c r="AB601" s="24"/>
      <c r="AC601" s="24" t="s">
        <v>528</v>
      </c>
      <c r="AD601" s="24"/>
      <c r="AE601" s="24"/>
      <c r="AF601" s="24"/>
      <c r="AG601" s="24"/>
      <c r="AH601" s="24"/>
      <c r="AI601" s="24"/>
      <c r="AJ601" s="24"/>
      <c r="AK601" s="24"/>
      <c r="AL601" s="24"/>
    </row>
    <row r="602" spans="1:38" ht="31.2" x14ac:dyDescent="0.3">
      <c r="A602" s="53">
        <v>595</v>
      </c>
      <c r="B602" s="24" t="s">
        <v>544</v>
      </c>
      <c r="C602" s="24" t="s">
        <v>521</v>
      </c>
      <c r="D602" s="82" t="s">
        <v>227</v>
      </c>
      <c r="E602" s="24" t="s">
        <v>1189</v>
      </c>
      <c r="F602" s="24" t="s">
        <v>200</v>
      </c>
      <c r="G602" s="24"/>
      <c r="H602" s="24" t="s">
        <v>1342</v>
      </c>
      <c r="I602" s="30" t="s">
        <v>525</v>
      </c>
      <c r="J602" s="24"/>
      <c r="K602" s="24" t="s">
        <v>199</v>
      </c>
      <c r="L602" s="24" t="s">
        <v>199</v>
      </c>
      <c r="M602" s="24">
        <v>1916</v>
      </c>
      <c r="N602" s="24" t="s">
        <v>527</v>
      </c>
      <c r="O602" s="24">
        <v>4</v>
      </c>
      <c r="P602" s="24">
        <v>0</v>
      </c>
      <c r="Q602" s="24">
        <v>1</v>
      </c>
      <c r="R602" s="24">
        <v>13</v>
      </c>
      <c r="S602" s="24">
        <v>831.14</v>
      </c>
      <c r="T602" s="24">
        <v>831.14</v>
      </c>
      <c r="U602" s="24">
        <v>675.14</v>
      </c>
      <c r="V602" s="24">
        <v>156</v>
      </c>
      <c r="W602" s="24" t="s">
        <v>528</v>
      </c>
      <c r="X602" s="24" t="s">
        <v>528</v>
      </c>
      <c r="Y602" s="24" t="s">
        <v>529</v>
      </c>
      <c r="Z602" s="102" t="s">
        <v>528</v>
      </c>
      <c r="AA602" s="24" t="s">
        <v>528</v>
      </c>
      <c r="AB602" s="24" t="s">
        <v>528</v>
      </c>
      <c r="AC602" s="24" t="s">
        <v>528</v>
      </c>
      <c r="AD602" s="24" t="s">
        <v>528</v>
      </c>
      <c r="AE602" s="24" t="s">
        <v>529</v>
      </c>
      <c r="AF602" s="24">
        <v>0</v>
      </c>
      <c r="AG602" s="24" t="s">
        <v>529</v>
      </c>
      <c r="AH602" s="24">
        <v>1</v>
      </c>
      <c r="AI602" s="24" t="s">
        <v>529</v>
      </c>
      <c r="AJ602" s="24">
        <v>1</v>
      </c>
      <c r="AK602" s="24" t="s">
        <v>530</v>
      </c>
      <c r="AL602" s="24"/>
    </row>
    <row r="603" spans="1:38" ht="31.2" x14ac:dyDescent="0.3">
      <c r="A603" s="53">
        <v>596</v>
      </c>
      <c r="B603" s="24" t="s">
        <v>544</v>
      </c>
      <c r="C603" s="24" t="s">
        <v>521</v>
      </c>
      <c r="D603" s="82" t="s">
        <v>227</v>
      </c>
      <c r="E603" s="24" t="s">
        <v>1208</v>
      </c>
      <c r="F603" s="24" t="s">
        <v>200</v>
      </c>
      <c r="G603" s="24"/>
      <c r="H603" s="24" t="s">
        <v>1343</v>
      </c>
      <c r="I603" s="30" t="s">
        <v>525</v>
      </c>
      <c r="J603" s="24"/>
      <c r="K603" s="24" t="s">
        <v>199</v>
      </c>
      <c r="L603" s="24" t="s">
        <v>199</v>
      </c>
      <c r="M603" s="24">
        <v>1901</v>
      </c>
      <c r="N603" s="24" t="s">
        <v>527</v>
      </c>
      <c r="O603" s="24">
        <v>5</v>
      </c>
      <c r="P603" s="24">
        <v>0</v>
      </c>
      <c r="Q603" s="24">
        <v>4</v>
      </c>
      <c r="R603" s="24">
        <v>39</v>
      </c>
      <c r="S603" s="24">
        <v>2569.5</v>
      </c>
      <c r="T603" s="24">
        <v>2569.5</v>
      </c>
      <c r="U603" s="24">
        <v>2510.5</v>
      </c>
      <c r="V603" s="24">
        <v>59</v>
      </c>
      <c r="W603" s="24" t="s">
        <v>528</v>
      </c>
      <c r="X603" s="24" t="s">
        <v>528</v>
      </c>
      <c r="Y603" s="24" t="s">
        <v>529</v>
      </c>
      <c r="Z603" s="102" t="s">
        <v>528</v>
      </c>
      <c r="AA603" s="24" t="s">
        <v>528</v>
      </c>
      <c r="AB603" s="24" t="s">
        <v>528</v>
      </c>
      <c r="AC603" s="24" t="s">
        <v>528</v>
      </c>
      <c r="AD603" s="24" t="s">
        <v>528</v>
      </c>
      <c r="AE603" s="24" t="s">
        <v>529</v>
      </c>
      <c r="AF603" s="24">
        <v>0</v>
      </c>
      <c r="AG603" s="24" t="s">
        <v>529</v>
      </c>
      <c r="AH603" s="24">
        <v>1</v>
      </c>
      <c r="AI603" s="24" t="s">
        <v>529</v>
      </c>
      <c r="AJ603" s="24">
        <v>1</v>
      </c>
      <c r="AK603" s="24" t="s">
        <v>530</v>
      </c>
      <c r="AL603" s="24"/>
    </row>
    <row r="604" spans="1:38" ht="31.2" x14ac:dyDescent="0.3">
      <c r="A604" s="53">
        <v>597</v>
      </c>
      <c r="B604" s="24" t="s">
        <v>544</v>
      </c>
      <c r="C604" s="24" t="s">
        <v>521</v>
      </c>
      <c r="D604" s="82" t="s">
        <v>227</v>
      </c>
      <c r="E604" s="24" t="s">
        <v>1293</v>
      </c>
      <c r="F604" s="24" t="s">
        <v>200</v>
      </c>
      <c r="G604" s="24"/>
      <c r="H604" s="24" t="s">
        <v>1344</v>
      </c>
      <c r="I604" s="30" t="s">
        <v>525</v>
      </c>
      <c r="J604" s="24"/>
      <c r="K604" s="24" t="s">
        <v>199</v>
      </c>
      <c r="L604" s="24" t="s">
        <v>199</v>
      </c>
      <c r="M604" s="24">
        <v>1902</v>
      </c>
      <c r="N604" s="24" t="s">
        <v>527</v>
      </c>
      <c r="O604" s="24">
        <v>5</v>
      </c>
      <c r="P604" s="24">
        <v>0</v>
      </c>
      <c r="Q604" s="24">
        <v>1</v>
      </c>
      <c r="R604" s="24">
        <v>17</v>
      </c>
      <c r="S604" s="24">
        <v>1099.4000000000001</v>
      </c>
      <c r="T604" s="24">
        <v>1099.4000000000001</v>
      </c>
      <c r="U604" s="24">
        <v>982.8</v>
      </c>
      <c r="V604" s="24">
        <v>116.6</v>
      </c>
      <c r="W604" s="24" t="s">
        <v>528</v>
      </c>
      <c r="X604" s="24" t="s">
        <v>528</v>
      </c>
      <c r="Y604" s="24" t="s">
        <v>529</v>
      </c>
      <c r="Z604" s="102" t="s">
        <v>528</v>
      </c>
      <c r="AA604" s="24" t="s">
        <v>528</v>
      </c>
      <c r="AB604" s="24" t="s">
        <v>528</v>
      </c>
      <c r="AC604" s="24" t="s">
        <v>528</v>
      </c>
      <c r="AD604" s="24" t="s">
        <v>528</v>
      </c>
      <c r="AE604" s="24" t="s">
        <v>529</v>
      </c>
      <c r="AF604" s="24">
        <v>0</v>
      </c>
      <c r="AG604" s="24" t="s">
        <v>529</v>
      </c>
      <c r="AH604" s="24">
        <v>1</v>
      </c>
      <c r="AI604" s="24" t="s">
        <v>529</v>
      </c>
      <c r="AJ604" s="24">
        <v>1</v>
      </c>
      <c r="AK604" s="24" t="s">
        <v>530</v>
      </c>
      <c r="AL604" s="24"/>
    </row>
    <row r="605" spans="1:38" ht="31.2" x14ac:dyDescent="0.3">
      <c r="A605" s="53">
        <v>598</v>
      </c>
      <c r="B605" s="24" t="s">
        <v>544</v>
      </c>
      <c r="C605" s="24" t="s">
        <v>653</v>
      </c>
      <c r="D605" s="82" t="s">
        <v>230</v>
      </c>
      <c r="E605" s="24" t="s">
        <v>1345</v>
      </c>
      <c r="F605" s="24" t="s">
        <v>200</v>
      </c>
      <c r="G605" s="24"/>
      <c r="H605" s="24" t="s">
        <v>1346</v>
      </c>
      <c r="I605" s="30" t="s">
        <v>525</v>
      </c>
      <c r="J605" s="24" t="s">
        <v>535</v>
      </c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102"/>
      <c r="AA605" s="24"/>
      <c r="AB605" s="24"/>
      <c r="AC605" s="24" t="s">
        <v>528</v>
      </c>
      <c r="AD605" s="24"/>
      <c r="AE605" s="24"/>
      <c r="AF605" s="24"/>
      <c r="AG605" s="24"/>
      <c r="AH605" s="24"/>
      <c r="AI605" s="24"/>
      <c r="AJ605" s="24"/>
      <c r="AK605" s="24"/>
      <c r="AL605" s="24"/>
    </row>
    <row r="606" spans="1:38" ht="31.2" x14ac:dyDescent="0.3">
      <c r="A606" s="53">
        <v>599</v>
      </c>
      <c r="B606" s="24" t="s">
        <v>544</v>
      </c>
      <c r="C606" s="24" t="s">
        <v>653</v>
      </c>
      <c r="D606" s="82" t="s">
        <v>431</v>
      </c>
      <c r="E606" s="24" t="s">
        <v>1347</v>
      </c>
      <c r="F606" s="24" t="s">
        <v>200</v>
      </c>
      <c r="G606" s="24"/>
      <c r="H606" s="24" t="s">
        <v>1348</v>
      </c>
      <c r="I606" s="30" t="s">
        <v>525</v>
      </c>
      <c r="J606" s="24"/>
      <c r="K606" s="24" t="s">
        <v>199</v>
      </c>
      <c r="L606" s="24" t="s">
        <v>199</v>
      </c>
      <c r="M606" s="24">
        <v>1872</v>
      </c>
      <c r="N606" s="24" t="s">
        <v>527</v>
      </c>
      <c r="O606" s="24">
        <v>5</v>
      </c>
      <c r="P606" s="24">
        <v>0</v>
      </c>
      <c r="Q606" s="24">
        <v>2</v>
      </c>
      <c r="R606" s="24">
        <v>24</v>
      </c>
      <c r="S606" s="24">
        <v>2528.4</v>
      </c>
      <c r="T606" s="24">
        <v>2528.4</v>
      </c>
      <c r="U606" s="24">
        <v>1462.9</v>
      </c>
      <c r="V606" s="24">
        <v>1065.5</v>
      </c>
      <c r="W606" s="24" t="s">
        <v>528</v>
      </c>
      <c r="X606" s="24" t="s">
        <v>528</v>
      </c>
      <c r="Y606" s="24" t="s">
        <v>529</v>
      </c>
      <c r="Z606" s="102" t="s">
        <v>528</v>
      </c>
      <c r="AA606" s="24" t="s">
        <v>528</v>
      </c>
      <c r="AB606" s="24" t="s">
        <v>528</v>
      </c>
      <c r="AC606" s="24" t="s">
        <v>528</v>
      </c>
      <c r="AD606" s="24" t="s">
        <v>528</v>
      </c>
      <c r="AE606" s="24" t="s">
        <v>529</v>
      </c>
      <c r="AF606" s="24">
        <v>0</v>
      </c>
      <c r="AG606" s="24" t="s">
        <v>529</v>
      </c>
      <c r="AH606" s="24">
        <v>1</v>
      </c>
      <c r="AI606" s="24" t="s">
        <v>529</v>
      </c>
      <c r="AJ606" s="24" t="s">
        <v>529</v>
      </c>
      <c r="AK606" s="24" t="s">
        <v>530</v>
      </c>
      <c r="AL606" s="24"/>
    </row>
    <row r="607" spans="1:38" ht="31.2" x14ac:dyDescent="0.3">
      <c r="A607" s="53">
        <v>600</v>
      </c>
      <c r="B607" s="24" t="s">
        <v>544</v>
      </c>
      <c r="C607" s="24" t="s">
        <v>653</v>
      </c>
      <c r="D607" s="82" t="s">
        <v>431</v>
      </c>
      <c r="E607" s="24" t="s">
        <v>1347</v>
      </c>
      <c r="F607" s="24" t="s">
        <v>205</v>
      </c>
      <c r="G607" s="24"/>
      <c r="H607" s="24" t="s">
        <v>1349</v>
      </c>
      <c r="I607" s="30" t="s">
        <v>525</v>
      </c>
      <c r="J607" s="24"/>
      <c r="K607" s="24" t="s">
        <v>199</v>
      </c>
      <c r="L607" s="24" t="s">
        <v>199</v>
      </c>
      <c r="M607" s="24">
        <v>1872</v>
      </c>
      <c r="N607" s="24" t="s">
        <v>527</v>
      </c>
      <c r="O607" s="24">
        <v>5</v>
      </c>
      <c r="P607" s="24">
        <v>0</v>
      </c>
      <c r="Q607" s="24">
        <v>1</v>
      </c>
      <c r="R607" s="24">
        <v>8</v>
      </c>
      <c r="S607" s="24">
        <v>536.4</v>
      </c>
      <c r="T607" s="24">
        <v>536.4</v>
      </c>
      <c r="U607" s="24">
        <v>536.4</v>
      </c>
      <c r="V607" s="24">
        <v>0</v>
      </c>
      <c r="W607" s="24" t="s">
        <v>528</v>
      </c>
      <c r="X607" s="24" t="s">
        <v>528</v>
      </c>
      <c r="Y607" s="24" t="s">
        <v>529</v>
      </c>
      <c r="Z607" s="102" t="s">
        <v>528</v>
      </c>
      <c r="AA607" s="24" t="s">
        <v>528</v>
      </c>
      <c r="AB607" s="24" t="s">
        <v>528</v>
      </c>
      <c r="AC607" s="24" t="s">
        <v>528</v>
      </c>
      <c r="AD607" s="24" t="s">
        <v>528</v>
      </c>
      <c r="AE607" s="24" t="s">
        <v>529</v>
      </c>
      <c r="AF607" s="24">
        <v>0</v>
      </c>
      <c r="AG607" s="24" t="s">
        <v>529</v>
      </c>
      <c r="AH607" s="24" t="s">
        <v>529</v>
      </c>
      <c r="AI607" s="24" t="s">
        <v>529</v>
      </c>
      <c r="AJ607" s="24" t="s">
        <v>529</v>
      </c>
      <c r="AK607" s="24" t="s">
        <v>530</v>
      </c>
      <c r="AL607" s="24"/>
    </row>
    <row r="608" spans="1:38" ht="31.2" x14ac:dyDescent="0.3">
      <c r="A608" s="53">
        <v>601</v>
      </c>
      <c r="B608" s="24" t="s">
        <v>544</v>
      </c>
      <c r="C608" s="24" t="s">
        <v>653</v>
      </c>
      <c r="D608" s="82" t="s">
        <v>230</v>
      </c>
      <c r="E608" s="24" t="s">
        <v>176</v>
      </c>
      <c r="F608" s="24" t="s">
        <v>200</v>
      </c>
      <c r="G608" s="24"/>
      <c r="H608" s="24" t="s">
        <v>1350</v>
      </c>
      <c r="I608" s="30" t="s">
        <v>525</v>
      </c>
      <c r="J608" s="24"/>
      <c r="K608" s="24" t="s">
        <v>199</v>
      </c>
      <c r="L608" s="24" t="s">
        <v>199</v>
      </c>
      <c r="M608" s="24">
        <v>1905</v>
      </c>
      <c r="N608" s="24" t="s">
        <v>527</v>
      </c>
      <c r="O608" s="24">
        <v>6</v>
      </c>
      <c r="P608" s="24">
        <v>0</v>
      </c>
      <c r="Q608" s="24">
        <v>6</v>
      </c>
      <c r="R608" s="24">
        <v>42</v>
      </c>
      <c r="S608" s="24">
        <v>4772.03</v>
      </c>
      <c r="T608" s="24">
        <v>4772.03</v>
      </c>
      <c r="U608" s="24">
        <v>4296.03</v>
      </c>
      <c r="V608" s="24">
        <v>426</v>
      </c>
      <c r="W608" s="24" t="s">
        <v>528</v>
      </c>
      <c r="X608" s="24" t="s">
        <v>528</v>
      </c>
      <c r="Y608" s="24" t="s">
        <v>529</v>
      </c>
      <c r="Z608" s="102" t="s">
        <v>528</v>
      </c>
      <c r="AA608" s="24" t="s">
        <v>528</v>
      </c>
      <c r="AB608" s="24" t="s">
        <v>528</v>
      </c>
      <c r="AC608" s="24" t="s">
        <v>528</v>
      </c>
      <c r="AD608" s="24" t="s">
        <v>528</v>
      </c>
      <c r="AE608" s="24" t="s">
        <v>529</v>
      </c>
      <c r="AF608" s="24">
        <v>3</v>
      </c>
      <c r="AG608" s="24" t="s">
        <v>529</v>
      </c>
      <c r="AH608" s="24">
        <v>1</v>
      </c>
      <c r="AI608" s="24" t="s">
        <v>529</v>
      </c>
      <c r="AJ608" s="24">
        <v>1</v>
      </c>
      <c r="AK608" s="24" t="s">
        <v>530</v>
      </c>
      <c r="AL608" s="24"/>
    </row>
    <row r="609" spans="1:38" ht="31.2" x14ac:dyDescent="0.3">
      <c r="A609" s="53">
        <v>602</v>
      </c>
      <c r="B609" s="24" t="s">
        <v>544</v>
      </c>
      <c r="C609" s="24" t="s">
        <v>521</v>
      </c>
      <c r="D609" s="82" t="s">
        <v>230</v>
      </c>
      <c r="E609" s="24" t="s">
        <v>1246</v>
      </c>
      <c r="F609" s="24" t="s">
        <v>200</v>
      </c>
      <c r="G609" s="24"/>
      <c r="H609" s="24" t="s">
        <v>1351</v>
      </c>
      <c r="I609" s="30" t="s">
        <v>525</v>
      </c>
      <c r="J609" s="24"/>
      <c r="K609" s="24" t="s">
        <v>199</v>
      </c>
      <c r="L609" s="24" t="s">
        <v>199</v>
      </c>
      <c r="M609" s="24">
        <v>1905</v>
      </c>
      <c r="N609" s="24" t="s">
        <v>527</v>
      </c>
      <c r="O609" s="24">
        <v>6</v>
      </c>
      <c r="P609" s="24">
        <v>0</v>
      </c>
      <c r="Q609" s="24">
        <v>8</v>
      </c>
      <c r="R609" s="24">
        <v>87</v>
      </c>
      <c r="S609" s="24">
        <v>8604.25</v>
      </c>
      <c r="T609" s="24">
        <v>8604.25</v>
      </c>
      <c r="U609" s="24">
        <v>7483.95</v>
      </c>
      <c r="V609" s="24">
        <v>1120.3</v>
      </c>
      <c r="W609" s="24" t="s">
        <v>528</v>
      </c>
      <c r="X609" s="24" t="s">
        <v>528</v>
      </c>
      <c r="Y609" s="24" t="s">
        <v>529</v>
      </c>
      <c r="Z609" s="102" t="s">
        <v>528</v>
      </c>
      <c r="AA609" s="24" t="s">
        <v>528</v>
      </c>
      <c r="AB609" s="24" t="s">
        <v>528</v>
      </c>
      <c r="AC609" s="24" t="s">
        <v>528</v>
      </c>
      <c r="AD609" s="24" t="s">
        <v>528</v>
      </c>
      <c r="AE609" s="24" t="s">
        <v>529</v>
      </c>
      <c r="AF609" s="24">
        <v>3</v>
      </c>
      <c r="AG609" s="24" t="s">
        <v>529</v>
      </c>
      <c r="AH609" s="24">
        <v>1</v>
      </c>
      <c r="AI609" s="24" t="s">
        <v>529</v>
      </c>
      <c r="AJ609" s="24">
        <v>1</v>
      </c>
      <c r="AK609" s="24" t="s">
        <v>530</v>
      </c>
      <c r="AL609" s="24"/>
    </row>
    <row r="610" spans="1:38" ht="31.2" x14ac:dyDescent="0.3">
      <c r="A610" s="53">
        <v>603</v>
      </c>
      <c r="B610" s="24" t="s">
        <v>544</v>
      </c>
      <c r="C610" s="24" t="s">
        <v>521</v>
      </c>
      <c r="D610" s="82" t="s">
        <v>230</v>
      </c>
      <c r="E610" s="24" t="s">
        <v>1352</v>
      </c>
      <c r="F610" s="24" t="s">
        <v>200</v>
      </c>
      <c r="G610" s="24"/>
      <c r="H610" s="24" t="s">
        <v>1353</v>
      </c>
      <c r="I610" s="30" t="s">
        <v>525</v>
      </c>
      <c r="J610" s="24"/>
      <c r="K610" s="24" t="s">
        <v>1138</v>
      </c>
      <c r="L610" s="24" t="s">
        <v>199</v>
      </c>
      <c r="M610" s="24">
        <v>1958</v>
      </c>
      <c r="N610" s="24" t="s">
        <v>527</v>
      </c>
      <c r="O610" s="24">
        <v>5</v>
      </c>
      <c r="P610" s="24">
        <v>0</v>
      </c>
      <c r="Q610" s="24">
        <v>1</v>
      </c>
      <c r="R610" s="24">
        <v>12</v>
      </c>
      <c r="S610" s="24">
        <v>1252.2</v>
      </c>
      <c r="T610" s="24">
        <v>1252.2</v>
      </c>
      <c r="U610" s="24">
        <v>1020.2</v>
      </c>
      <c r="V610" s="24">
        <v>232</v>
      </c>
      <c r="W610" s="24" t="s">
        <v>528</v>
      </c>
      <c r="X610" s="24" t="s">
        <v>528</v>
      </c>
      <c r="Y610" s="24" t="s">
        <v>529</v>
      </c>
      <c r="Z610" s="102" t="s">
        <v>528</v>
      </c>
      <c r="AA610" s="24" t="s">
        <v>528</v>
      </c>
      <c r="AB610" s="24" t="s">
        <v>528</v>
      </c>
      <c r="AC610" s="24" t="s">
        <v>528</v>
      </c>
      <c r="AD610" s="24" t="s">
        <v>528</v>
      </c>
      <c r="AE610" s="24" t="s">
        <v>529</v>
      </c>
      <c r="AF610" s="24">
        <v>0</v>
      </c>
      <c r="AG610" s="24" t="s">
        <v>529</v>
      </c>
      <c r="AH610" s="24">
        <v>1</v>
      </c>
      <c r="AI610" s="24" t="s">
        <v>529</v>
      </c>
      <c r="AJ610" s="24" t="s">
        <v>529</v>
      </c>
      <c r="AK610" s="24" t="s">
        <v>530</v>
      </c>
      <c r="AL610" s="24"/>
    </row>
    <row r="611" spans="1:38" ht="31.2" x14ac:dyDescent="0.3">
      <c r="A611" s="53">
        <v>604</v>
      </c>
      <c r="B611" s="24" t="s">
        <v>544</v>
      </c>
      <c r="C611" s="24" t="s">
        <v>521</v>
      </c>
      <c r="D611" s="82" t="s">
        <v>431</v>
      </c>
      <c r="E611" s="24" t="s">
        <v>1175</v>
      </c>
      <c r="F611" s="24" t="s">
        <v>200</v>
      </c>
      <c r="G611" s="24"/>
      <c r="H611" s="24" t="s">
        <v>1354</v>
      </c>
      <c r="I611" s="30" t="s">
        <v>525</v>
      </c>
      <c r="J611" s="24"/>
      <c r="K611" s="24" t="s">
        <v>199</v>
      </c>
      <c r="L611" s="24" t="s">
        <v>199</v>
      </c>
      <c r="M611" s="24">
        <v>1897</v>
      </c>
      <c r="N611" s="24" t="s">
        <v>527</v>
      </c>
      <c r="O611" s="24">
        <v>4</v>
      </c>
      <c r="P611" s="24">
        <v>0</v>
      </c>
      <c r="Q611" s="24">
        <v>3</v>
      </c>
      <c r="R611" s="24">
        <v>13</v>
      </c>
      <c r="S611" s="24">
        <v>1041.57</v>
      </c>
      <c r="T611" s="24">
        <v>1041.57</v>
      </c>
      <c r="U611" s="24">
        <v>1041.57</v>
      </c>
      <c r="V611" s="24">
        <v>0</v>
      </c>
      <c r="W611" s="24" t="s">
        <v>528</v>
      </c>
      <c r="X611" s="24" t="s">
        <v>528</v>
      </c>
      <c r="Y611" s="24" t="s">
        <v>529</v>
      </c>
      <c r="Z611" s="102" t="s">
        <v>528</v>
      </c>
      <c r="AA611" s="24" t="s">
        <v>528</v>
      </c>
      <c r="AB611" s="24" t="s">
        <v>528</v>
      </c>
      <c r="AC611" s="24" t="s">
        <v>528</v>
      </c>
      <c r="AD611" s="24" t="s">
        <v>528</v>
      </c>
      <c r="AE611" s="24" t="s">
        <v>529</v>
      </c>
      <c r="AF611" s="24">
        <v>0</v>
      </c>
      <c r="AG611" s="24" t="s">
        <v>529</v>
      </c>
      <c r="AH611" s="24">
        <v>1</v>
      </c>
      <c r="AI611" s="24" t="s">
        <v>529</v>
      </c>
      <c r="AJ611" s="24" t="s">
        <v>529</v>
      </c>
      <c r="AK611" s="24" t="s">
        <v>530</v>
      </c>
      <c r="AL611" s="24"/>
    </row>
    <row r="612" spans="1:38" ht="31.2" x14ac:dyDescent="0.3">
      <c r="A612" s="53">
        <v>605</v>
      </c>
      <c r="B612" s="24" t="s">
        <v>544</v>
      </c>
      <c r="C612" s="24" t="s">
        <v>521</v>
      </c>
      <c r="D612" s="82" t="s">
        <v>431</v>
      </c>
      <c r="E612" s="24" t="s">
        <v>1339</v>
      </c>
      <c r="F612" s="24" t="s">
        <v>200</v>
      </c>
      <c r="G612" s="24"/>
      <c r="H612" s="24" t="s">
        <v>1355</v>
      </c>
      <c r="I612" s="30" t="s">
        <v>525</v>
      </c>
      <c r="J612" s="24"/>
      <c r="K612" s="24" t="s">
        <v>199</v>
      </c>
      <c r="L612" s="24" t="s">
        <v>199</v>
      </c>
      <c r="M612" s="24">
        <v>1866</v>
      </c>
      <c r="N612" s="24" t="s">
        <v>527</v>
      </c>
      <c r="O612" s="24">
        <v>5</v>
      </c>
      <c r="P612" s="24">
        <v>0</v>
      </c>
      <c r="Q612" s="24">
        <v>2</v>
      </c>
      <c r="R612" s="24">
        <v>22</v>
      </c>
      <c r="S612" s="24">
        <v>1631.97</v>
      </c>
      <c r="T612" s="24">
        <v>1631.97</v>
      </c>
      <c r="U612" s="24">
        <v>1489.97</v>
      </c>
      <c r="V612" s="24">
        <v>142</v>
      </c>
      <c r="W612" s="24" t="s">
        <v>528</v>
      </c>
      <c r="X612" s="24" t="s">
        <v>528</v>
      </c>
      <c r="Y612" s="24" t="s">
        <v>529</v>
      </c>
      <c r="Z612" s="102" t="s">
        <v>528</v>
      </c>
      <c r="AA612" s="24" t="s">
        <v>528</v>
      </c>
      <c r="AB612" s="24" t="s">
        <v>528</v>
      </c>
      <c r="AC612" s="24" t="s">
        <v>528</v>
      </c>
      <c r="AD612" s="24" t="s">
        <v>528</v>
      </c>
      <c r="AE612" s="24" t="s">
        <v>529</v>
      </c>
      <c r="AF612" s="24">
        <v>0</v>
      </c>
      <c r="AG612" s="24" t="s">
        <v>529</v>
      </c>
      <c r="AH612" s="24">
        <v>1</v>
      </c>
      <c r="AI612" s="24" t="s">
        <v>529</v>
      </c>
      <c r="AJ612" s="24" t="s">
        <v>529</v>
      </c>
      <c r="AK612" s="24" t="s">
        <v>530</v>
      </c>
      <c r="AL612" s="24"/>
    </row>
    <row r="613" spans="1:38" ht="31.2" x14ac:dyDescent="0.3">
      <c r="A613" s="53">
        <v>606</v>
      </c>
      <c r="B613" s="24" t="s">
        <v>544</v>
      </c>
      <c r="C613" s="24" t="s">
        <v>521</v>
      </c>
      <c r="D613" s="82" t="s">
        <v>463</v>
      </c>
      <c r="E613" s="24" t="s">
        <v>172</v>
      </c>
      <c r="F613" s="24" t="s">
        <v>200</v>
      </c>
      <c r="G613" s="24"/>
      <c r="H613" s="24" t="s">
        <v>1356</v>
      </c>
      <c r="I613" s="30" t="s">
        <v>525</v>
      </c>
      <c r="J613" s="24"/>
      <c r="K613" s="24" t="s">
        <v>199</v>
      </c>
      <c r="L613" s="24" t="s">
        <v>199</v>
      </c>
      <c r="M613" s="24">
        <v>1897</v>
      </c>
      <c r="N613" s="24" t="s">
        <v>527</v>
      </c>
      <c r="O613" s="24">
        <v>4</v>
      </c>
      <c r="P613" s="24">
        <v>0</v>
      </c>
      <c r="Q613" s="24">
        <v>3</v>
      </c>
      <c r="R613" s="24">
        <v>56</v>
      </c>
      <c r="S613" s="24">
        <v>4121.5</v>
      </c>
      <c r="T613" s="24">
        <v>4121.5</v>
      </c>
      <c r="U613" s="24">
        <v>4121.5</v>
      </c>
      <c r="V613" s="24">
        <v>0</v>
      </c>
      <c r="W613" s="24" t="s">
        <v>528</v>
      </c>
      <c r="X613" s="24" t="s">
        <v>528</v>
      </c>
      <c r="Y613" s="24" t="s">
        <v>529</v>
      </c>
      <c r="Z613" s="102" t="s">
        <v>528</v>
      </c>
      <c r="AA613" s="24" t="s">
        <v>528</v>
      </c>
      <c r="AB613" s="24" t="s">
        <v>528</v>
      </c>
      <c r="AC613" s="24" t="s">
        <v>528</v>
      </c>
      <c r="AD613" s="24" t="s">
        <v>528</v>
      </c>
      <c r="AE613" s="24" t="s">
        <v>529</v>
      </c>
      <c r="AF613" s="24">
        <v>0</v>
      </c>
      <c r="AG613" s="24" t="s">
        <v>529</v>
      </c>
      <c r="AH613" s="24">
        <v>1</v>
      </c>
      <c r="AI613" s="24" t="s">
        <v>529</v>
      </c>
      <c r="AJ613" s="24">
        <v>1</v>
      </c>
      <c r="AK613" s="24" t="s">
        <v>530</v>
      </c>
      <c r="AL613" s="24"/>
    </row>
    <row r="614" spans="1:38" ht="31.2" x14ac:dyDescent="0.3">
      <c r="A614" s="53">
        <v>607</v>
      </c>
      <c r="B614" s="24" t="s">
        <v>544</v>
      </c>
      <c r="C614" s="24" t="s">
        <v>521</v>
      </c>
      <c r="D614" s="82" t="s">
        <v>463</v>
      </c>
      <c r="E614" s="24" t="s">
        <v>1189</v>
      </c>
      <c r="F614" s="24" t="s">
        <v>200</v>
      </c>
      <c r="G614" s="24"/>
      <c r="H614" s="24" t="s">
        <v>1357</v>
      </c>
      <c r="I614" s="30" t="s">
        <v>525</v>
      </c>
      <c r="J614" s="24" t="s">
        <v>535</v>
      </c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102"/>
      <c r="AA614" s="24"/>
      <c r="AB614" s="24"/>
      <c r="AC614" s="24" t="s">
        <v>528</v>
      </c>
      <c r="AD614" s="24"/>
      <c r="AE614" s="24"/>
      <c r="AF614" s="24"/>
      <c r="AG614" s="24"/>
      <c r="AH614" s="24"/>
      <c r="AI614" s="24"/>
      <c r="AJ614" s="24"/>
      <c r="AK614" s="24"/>
      <c r="AL614" s="24"/>
    </row>
    <row r="615" spans="1:38" ht="31.2" x14ac:dyDescent="0.3">
      <c r="A615" s="53">
        <v>608</v>
      </c>
      <c r="B615" s="24" t="s">
        <v>544</v>
      </c>
      <c r="C615" s="24" t="s">
        <v>521</v>
      </c>
      <c r="D615" s="82" t="s">
        <v>463</v>
      </c>
      <c r="E615" s="24" t="s">
        <v>171</v>
      </c>
      <c r="F615" s="24" t="s">
        <v>200</v>
      </c>
      <c r="G615" s="24"/>
      <c r="H615" s="24" t="s">
        <v>1358</v>
      </c>
      <c r="I615" s="30" t="s">
        <v>525</v>
      </c>
      <c r="J615" s="24"/>
      <c r="K615" s="24" t="s">
        <v>199</v>
      </c>
      <c r="L615" s="24" t="s">
        <v>199</v>
      </c>
      <c r="M615" s="24">
        <v>1913</v>
      </c>
      <c r="N615" s="24" t="s">
        <v>527</v>
      </c>
      <c r="O615" s="24">
        <v>7</v>
      </c>
      <c r="P615" s="24">
        <v>0</v>
      </c>
      <c r="Q615" s="24">
        <v>4</v>
      </c>
      <c r="R615" s="24">
        <v>43</v>
      </c>
      <c r="S615" s="24">
        <v>4208.5</v>
      </c>
      <c r="T615" s="24">
        <v>4208.5</v>
      </c>
      <c r="U615" s="24">
        <v>4106.7</v>
      </c>
      <c r="V615" s="24">
        <v>101.8</v>
      </c>
      <c r="W615" s="24" t="s">
        <v>528</v>
      </c>
      <c r="X615" s="24" t="s">
        <v>528</v>
      </c>
      <c r="Y615" s="24" t="s">
        <v>529</v>
      </c>
      <c r="Z615" s="102" t="s">
        <v>528</v>
      </c>
      <c r="AA615" s="24" t="s">
        <v>528</v>
      </c>
      <c r="AB615" s="24" t="s">
        <v>528</v>
      </c>
      <c r="AC615" s="24" t="s">
        <v>528</v>
      </c>
      <c r="AD615" s="24" t="s">
        <v>528</v>
      </c>
      <c r="AE615" s="24" t="s">
        <v>529</v>
      </c>
      <c r="AF615" s="24">
        <v>0</v>
      </c>
      <c r="AG615" s="24" t="s">
        <v>529</v>
      </c>
      <c r="AH615" s="24">
        <v>1</v>
      </c>
      <c r="AI615" s="24" t="s">
        <v>529</v>
      </c>
      <c r="AJ615" s="24">
        <v>1</v>
      </c>
      <c r="AK615" s="24" t="s">
        <v>530</v>
      </c>
      <c r="AL615" s="24"/>
    </row>
    <row r="616" spans="1:38" ht="31.2" x14ac:dyDescent="0.3">
      <c r="A616" s="53">
        <v>609</v>
      </c>
      <c r="B616" s="24" t="s">
        <v>544</v>
      </c>
      <c r="C616" s="24" t="s">
        <v>521</v>
      </c>
      <c r="D616" s="82" t="s">
        <v>227</v>
      </c>
      <c r="E616" s="24" t="s">
        <v>1196</v>
      </c>
      <c r="F616" s="24" t="s">
        <v>200</v>
      </c>
      <c r="G616" s="24"/>
      <c r="H616" s="24" t="s">
        <v>1359</v>
      </c>
      <c r="I616" s="30" t="s">
        <v>525</v>
      </c>
      <c r="J616" s="24" t="s">
        <v>1360</v>
      </c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102"/>
      <c r="AA616" s="24"/>
      <c r="AB616" s="24"/>
      <c r="AC616" s="24" t="s">
        <v>528</v>
      </c>
      <c r="AD616" s="24"/>
      <c r="AE616" s="24"/>
      <c r="AF616" s="24"/>
      <c r="AG616" s="24"/>
      <c r="AH616" s="24"/>
      <c r="AI616" s="24"/>
      <c r="AJ616" s="24"/>
      <c r="AK616" s="24"/>
      <c r="AL616" s="24"/>
    </row>
    <row r="617" spans="1:38" ht="31.2" x14ac:dyDescent="0.3">
      <c r="A617" s="53">
        <v>610</v>
      </c>
      <c r="B617" s="24" t="s">
        <v>544</v>
      </c>
      <c r="C617" s="24" t="s">
        <v>653</v>
      </c>
      <c r="D617" s="82" t="s">
        <v>1361</v>
      </c>
      <c r="E617" s="24" t="s">
        <v>1362</v>
      </c>
      <c r="F617" s="24" t="s">
        <v>200</v>
      </c>
      <c r="G617" s="24"/>
      <c r="H617" s="24" t="s">
        <v>1363</v>
      </c>
      <c r="I617" s="30" t="s">
        <v>525</v>
      </c>
      <c r="J617" s="24"/>
      <c r="K617" s="24" t="s">
        <v>199</v>
      </c>
      <c r="L617" s="24" t="s">
        <v>199</v>
      </c>
      <c r="M617" s="24">
        <v>1903</v>
      </c>
      <c r="N617" s="24" t="s">
        <v>527</v>
      </c>
      <c r="O617" s="24">
        <v>4</v>
      </c>
      <c r="P617" s="24">
        <v>0</v>
      </c>
      <c r="Q617" s="24">
        <v>3</v>
      </c>
      <c r="R617" s="24">
        <v>28</v>
      </c>
      <c r="S617" s="24">
        <v>2055.1999999999998</v>
      </c>
      <c r="T617" s="24">
        <v>2055.1999999999998</v>
      </c>
      <c r="U617" s="24">
        <v>1692.2</v>
      </c>
      <c r="V617" s="24">
        <v>363</v>
      </c>
      <c r="W617" s="24" t="s">
        <v>528</v>
      </c>
      <c r="X617" s="24" t="s">
        <v>528</v>
      </c>
      <c r="Y617" s="24" t="s">
        <v>529</v>
      </c>
      <c r="Z617" s="102" t="s">
        <v>528</v>
      </c>
      <c r="AA617" s="24" t="s">
        <v>528</v>
      </c>
      <c r="AB617" s="24" t="s">
        <v>528</v>
      </c>
      <c r="AC617" s="24" t="s">
        <v>528</v>
      </c>
      <c r="AD617" s="24" t="s">
        <v>528</v>
      </c>
      <c r="AE617" s="24" t="s">
        <v>529</v>
      </c>
      <c r="AF617" s="24">
        <v>0</v>
      </c>
      <c r="AG617" s="24" t="s">
        <v>529</v>
      </c>
      <c r="AH617" s="24">
        <v>1</v>
      </c>
      <c r="AI617" s="24" t="s">
        <v>529</v>
      </c>
      <c r="AJ617" s="24">
        <v>1</v>
      </c>
      <c r="AK617" s="24" t="s">
        <v>530</v>
      </c>
      <c r="AL617" s="24"/>
    </row>
    <row r="618" spans="1:38" ht="31.2" x14ac:dyDescent="0.3">
      <c r="A618" s="53">
        <v>611</v>
      </c>
      <c r="B618" s="24" t="s">
        <v>544</v>
      </c>
      <c r="C618" s="24" t="s">
        <v>653</v>
      </c>
      <c r="D618" s="82" t="s">
        <v>1361</v>
      </c>
      <c r="E618" s="24" t="s">
        <v>1364</v>
      </c>
      <c r="F618" s="24" t="s">
        <v>200</v>
      </c>
      <c r="G618" s="24"/>
      <c r="H618" s="24" t="s">
        <v>1365</v>
      </c>
      <c r="I618" s="30" t="s">
        <v>525</v>
      </c>
      <c r="J618" s="24"/>
      <c r="K618" s="24" t="s">
        <v>199</v>
      </c>
      <c r="L618" s="24" t="s">
        <v>199</v>
      </c>
      <c r="M618" s="24">
        <v>1910</v>
      </c>
      <c r="N618" s="24" t="s">
        <v>527</v>
      </c>
      <c r="O618" s="24">
        <v>6</v>
      </c>
      <c r="P618" s="24">
        <v>0</v>
      </c>
      <c r="Q618" s="24">
        <v>2</v>
      </c>
      <c r="R618" s="24">
        <v>55</v>
      </c>
      <c r="S618" s="24">
        <v>5834.5</v>
      </c>
      <c r="T618" s="24">
        <v>5834.5</v>
      </c>
      <c r="U618" s="24">
        <v>3459.35</v>
      </c>
      <c r="V618" s="24">
        <v>2375</v>
      </c>
      <c r="W618" s="24" t="s">
        <v>528</v>
      </c>
      <c r="X618" s="24" t="s">
        <v>528</v>
      </c>
      <c r="Y618" s="24" t="s">
        <v>529</v>
      </c>
      <c r="Z618" s="102" t="s">
        <v>528</v>
      </c>
      <c r="AA618" s="24" t="s">
        <v>528</v>
      </c>
      <c r="AB618" s="24" t="s">
        <v>528</v>
      </c>
      <c r="AC618" s="24" t="s">
        <v>528</v>
      </c>
      <c r="AD618" s="24" t="s">
        <v>528</v>
      </c>
      <c r="AE618" s="24" t="s">
        <v>529</v>
      </c>
      <c r="AF618" s="24">
        <v>2</v>
      </c>
      <c r="AG618" s="24" t="s">
        <v>529</v>
      </c>
      <c r="AH618" s="24">
        <v>1</v>
      </c>
      <c r="AI618" s="24" t="s">
        <v>529</v>
      </c>
      <c r="AJ618" s="24">
        <v>1</v>
      </c>
      <c r="AK618" s="24" t="s">
        <v>530</v>
      </c>
      <c r="AL618" s="24"/>
    </row>
    <row r="619" spans="1:38" ht="31.2" x14ac:dyDescent="0.3">
      <c r="A619" s="53">
        <v>612</v>
      </c>
      <c r="B619" s="24" t="s">
        <v>544</v>
      </c>
      <c r="C619" s="24" t="s">
        <v>653</v>
      </c>
      <c r="D619" s="82" t="s">
        <v>1361</v>
      </c>
      <c r="E619" s="24" t="s">
        <v>1366</v>
      </c>
      <c r="F619" s="24" t="s">
        <v>200</v>
      </c>
      <c r="G619" s="24"/>
      <c r="H619" s="24" t="s">
        <v>1367</v>
      </c>
      <c r="I619" s="30" t="s">
        <v>525</v>
      </c>
      <c r="J619" s="24"/>
      <c r="K619" s="24" t="s">
        <v>199</v>
      </c>
      <c r="L619" s="24" t="s">
        <v>199</v>
      </c>
      <c r="M619" s="24">
        <v>1913</v>
      </c>
      <c r="N619" s="24" t="s">
        <v>527</v>
      </c>
      <c r="O619" s="24">
        <v>6</v>
      </c>
      <c r="P619" s="24">
        <v>0</v>
      </c>
      <c r="Q619" s="24">
        <v>2</v>
      </c>
      <c r="R619" s="24">
        <v>32</v>
      </c>
      <c r="S619" s="24">
        <v>2071</v>
      </c>
      <c r="T619" s="24">
        <v>2071</v>
      </c>
      <c r="U619" s="24">
        <v>1804</v>
      </c>
      <c r="V619" s="24">
        <v>267</v>
      </c>
      <c r="W619" s="24" t="s">
        <v>528</v>
      </c>
      <c r="X619" s="24" t="s">
        <v>528</v>
      </c>
      <c r="Y619" s="24" t="s">
        <v>529</v>
      </c>
      <c r="Z619" s="102" t="s">
        <v>528</v>
      </c>
      <c r="AA619" s="24" t="s">
        <v>528</v>
      </c>
      <c r="AB619" s="24" t="s">
        <v>528</v>
      </c>
      <c r="AC619" s="24" t="s">
        <v>528</v>
      </c>
      <c r="AD619" s="24" t="s">
        <v>528</v>
      </c>
      <c r="AE619" s="24" t="s">
        <v>529</v>
      </c>
      <c r="AF619" s="24">
        <v>2</v>
      </c>
      <c r="AG619" s="24" t="s">
        <v>529</v>
      </c>
      <c r="AH619" s="24">
        <v>1</v>
      </c>
      <c r="AI619" s="24" t="s">
        <v>529</v>
      </c>
      <c r="AJ619" s="24" t="s">
        <v>529</v>
      </c>
      <c r="AK619" s="24" t="s">
        <v>530</v>
      </c>
      <c r="AL619" s="24"/>
    </row>
    <row r="620" spans="1:38" ht="31.2" x14ac:dyDescent="0.3">
      <c r="A620" s="53">
        <v>613</v>
      </c>
      <c r="B620" s="24" t="s">
        <v>544</v>
      </c>
      <c r="C620" s="24" t="s">
        <v>545</v>
      </c>
      <c r="D620" s="82" t="s">
        <v>371</v>
      </c>
      <c r="E620" s="24">
        <v>34</v>
      </c>
      <c r="F620" s="24" t="s">
        <v>200</v>
      </c>
      <c r="G620" s="24"/>
      <c r="H620" s="24" t="s">
        <v>1368</v>
      </c>
      <c r="I620" s="30" t="s">
        <v>525</v>
      </c>
      <c r="J620" s="24"/>
      <c r="K620" s="24" t="s">
        <v>1138</v>
      </c>
      <c r="L620" s="24" t="s">
        <v>199</v>
      </c>
      <c r="M620" s="24">
        <v>1961</v>
      </c>
      <c r="N620" s="24" t="s">
        <v>527</v>
      </c>
      <c r="O620" s="24">
        <v>7</v>
      </c>
      <c r="P620" s="24">
        <v>0</v>
      </c>
      <c r="Q620" s="24">
        <v>6</v>
      </c>
      <c r="R620" s="24">
        <v>93</v>
      </c>
      <c r="S620" s="24">
        <v>7377.6</v>
      </c>
      <c r="T620" s="24">
        <v>7377.6</v>
      </c>
      <c r="U620" s="24">
        <v>5887.6</v>
      </c>
      <c r="V620" s="24">
        <v>1490</v>
      </c>
      <c r="W620" s="24" t="s">
        <v>528</v>
      </c>
      <c r="X620" s="24" t="s">
        <v>528</v>
      </c>
      <c r="Y620" s="24" t="s">
        <v>529</v>
      </c>
      <c r="Z620" s="102" t="s">
        <v>528</v>
      </c>
      <c r="AA620" s="24" t="s">
        <v>528</v>
      </c>
      <c r="AB620" s="24" t="s">
        <v>528</v>
      </c>
      <c r="AC620" s="24" t="s">
        <v>528</v>
      </c>
      <c r="AD620" s="24" t="s">
        <v>528</v>
      </c>
      <c r="AE620" s="24" t="s">
        <v>529</v>
      </c>
      <c r="AF620" s="24">
        <v>6</v>
      </c>
      <c r="AG620" s="24" t="s">
        <v>529</v>
      </c>
      <c r="AH620" s="24">
        <v>2</v>
      </c>
      <c r="AI620" s="24" t="s">
        <v>529</v>
      </c>
      <c r="AJ620" s="24">
        <v>2</v>
      </c>
      <c r="AK620" s="24" t="s">
        <v>530</v>
      </c>
      <c r="AL620" s="24"/>
    </row>
    <row r="621" spans="1:38" ht="31.2" x14ac:dyDescent="0.3">
      <c r="A621" s="53">
        <v>614</v>
      </c>
      <c r="B621" s="24" t="s">
        <v>544</v>
      </c>
      <c r="C621" s="24" t="s">
        <v>545</v>
      </c>
      <c r="D621" s="82" t="s">
        <v>371</v>
      </c>
      <c r="E621" s="24">
        <v>38</v>
      </c>
      <c r="F621" s="24" t="s">
        <v>200</v>
      </c>
      <c r="G621" s="24"/>
      <c r="H621" s="24" t="s">
        <v>1369</v>
      </c>
      <c r="I621" s="30" t="s">
        <v>525</v>
      </c>
      <c r="J621" s="24"/>
      <c r="K621" s="24" t="s">
        <v>1157</v>
      </c>
      <c r="L621" s="24" t="s">
        <v>199</v>
      </c>
      <c r="M621" s="24">
        <v>1934</v>
      </c>
      <c r="N621" s="24" t="s">
        <v>527</v>
      </c>
      <c r="O621" s="24">
        <v>5</v>
      </c>
      <c r="P621" s="24">
        <v>0</v>
      </c>
      <c r="Q621" s="24">
        <v>4</v>
      </c>
      <c r="R621" s="24">
        <v>39</v>
      </c>
      <c r="S621" s="24">
        <v>2398</v>
      </c>
      <c r="T621" s="24">
        <v>2398</v>
      </c>
      <c r="U621" s="24">
        <v>2398</v>
      </c>
      <c r="V621" s="24">
        <v>0</v>
      </c>
      <c r="W621" s="24" t="s">
        <v>528</v>
      </c>
      <c r="X621" s="24" t="s">
        <v>528</v>
      </c>
      <c r="Y621" s="24" t="s">
        <v>529</v>
      </c>
      <c r="Z621" s="102" t="s">
        <v>528</v>
      </c>
      <c r="AA621" s="24" t="s">
        <v>528</v>
      </c>
      <c r="AB621" s="24" t="s">
        <v>528</v>
      </c>
      <c r="AC621" s="24" t="s">
        <v>528</v>
      </c>
      <c r="AD621" s="24" t="s">
        <v>528</v>
      </c>
      <c r="AE621" s="24" t="s">
        <v>529</v>
      </c>
      <c r="AF621" s="24">
        <v>0</v>
      </c>
      <c r="AG621" s="24" t="s">
        <v>529</v>
      </c>
      <c r="AH621" s="24">
        <v>1</v>
      </c>
      <c r="AI621" s="24" t="s">
        <v>529</v>
      </c>
      <c r="AJ621" s="24" t="s">
        <v>529</v>
      </c>
      <c r="AK621" s="24" t="s">
        <v>530</v>
      </c>
      <c r="AL621" s="24"/>
    </row>
    <row r="622" spans="1:38" ht="31.2" x14ac:dyDescent="0.3">
      <c r="A622" s="53">
        <v>615</v>
      </c>
      <c r="B622" s="24" t="s">
        <v>544</v>
      </c>
      <c r="C622" s="24" t="s">
        <v>545</v>
      </c>
      <c r="D622" s="82" t="s">
        <v>371</v>
      </c>
      <c r="E622" s="24">
        <v>40</v>
      </c>
      <c r="F622" s="24" t="s">
        <v>200</v>
      </c>
      <c r="G622" s="24"/>
      <c r="H622" s="24" t="s">
        <v>1370</v>
      </c>
      <c r="I622" s="30" t="s">
        <v>525</v>
      </c>
      <c r="J622" s="24"/>
      <c r="K622" s="24" t="s">
        <v>199</v>
      </c>
      <c r="L622" s="24" t="s">
        <v>199</v>
      </c>
      <c r="M622" s="24">
        <v>1901</v>
      </c>
      <c r="N622" s="24" t="s">
        <v>527</v>
      </c>
      <c r="O622" s="24">
        <v>5</v>
      </c>
      <c r="P622" s="24">
        <v>0</v>
      </c>
      <c r="Q622" s="24">
        <v>3</v>
      </c>
      <c r="R622" s="24">
        <v>14</v>
      </c>
      <c r="S622" s="24">
        <v>1406.8</v>
      </c>
      <c r="T622" s="24">
        <v>1406.8</v>
      </c>
      <c r="U622" s="24">
        <v>1155.8</v>
      </c>
      <c r="V622" s="24">
        <v>251</v>
      </c>
      <c r="W622" s="24" t="s">
        <v>528</v>
      </c>
      <c r="X622" s="24" t="s">
        <v>528</v>
      </c>
      <c r="Y622" s="24" t="s">
        <v>529</v>
      </c>
      <c r="Z622" s="102" t="s">
        <v>528</v>
      </c>
      <c r="AA622" s="24" t="s">
        <v>528</v>
      </c>
      <c r="AB622" s="24" t="s">
        <v>528</v>
      </c>
      <c r="AC622" s="24" t="s">
        <v>528</v>
      </c>
      <c r="AD622" s="24" t="s">
        <v>528</v>
      </c>
      <c r="AE622" s="24" t="s">
        <v>529</v>
      </c>
      <c r="AF622" s="24">
        <v>0</v>
      </c>
      <c r="AG622" s="24" t="s">
        <v>529</v>
      </c>
      <c r="AH622" s="24">
        <v>1</v>
      </c>
      <c r="AI622" s="24" t="s">
        <v>529</v>
      </c>
      <c r="AJ622" s="24" t="s">
        <v>529</v>
      </c>
      <c r="AK622" s="24" t="s">
        <v>530</v>
      </c>
      <c r="AL622" s="24"/>
    </row>
    <row r="623" spans="1:38" ht="31.2" x14ac:dyDescent="0.3">
      <c r="A623" s="53">
        <v>616</v>
      </c>
      <c r="B623" s="24" t="s">
        <v>544</v>
      </c>
      <c r="C623" s="24" t="s">
        <v>545</v>
      </c>
      <c r="D623" s="82" t="s">
        <v>371</v>
      </c>
      <c r="E623" s="24">
        <v>40</v>
      </c>
      <c r="F623" s="24" t="s">
        <v>205</v>
      </c>
      <c r="G623" s="24"/>
      <c r="H623" s="24" t="s">
        <v>1371</v>
      </c>
      <c r="I623" s="30" t="s">
        <v>525</v>
      </c>
      <c r="J623" s="24"/>
      <c r="K623" s="24" t="s">
        <v>199</v>
      </c>
      <c r="L623" s="24" t="s">
        <v>199</v>
      </c>
      <c r="M623" s="24">
        <v>1901</v>
      </c>
      <c r="N623" s="24" t="s">
        <v>527</v>
      </c>
      <c r="O623" s="24">
        <v>4</v>
      </c>
      <c r="P623" s="24">
        <v>0</v>
      </c>
      <c r="Q623" s="24">
        <v>1</v>
      </c>
      <c r="R623" s="24">
        <v>8</v>
      </c>
      <c r="S623" s="24">
        <v>478.9</v>
      </c>
      <c r="T623" s="24">
        <v>478.9</v>
      </c>
      <c r="U623" s="24">
        <v>478.9</v>
      </c>
      <c r="V623" s="24">
        <v>0</v>
      </c>
      <c r="W623" s="24" t="s">
        <v>528</v>
      </c>
      <c r="X623" s="24" t="s">
        <v>528</v>
      </c>
      <c r="Y623" s="24" t="s">
        <v>529</v>
      </c>
      <c r="Z623" s="102" t="s">
        <v>528</v>
      </c>
      <c r="AA623" s="24" t="s">
        <v>528</v>
      </c>
      <c r="AB623" s="24" t="s">
        <v>528</v>
      </c>
      <c r="AC623" s="24" t="s">
        <v>528</v>
      </c>
      <c r="AD623" s="24" t="s">
        <v>528</v>
      </c>
      <c r="AE623" s="24" t="s">
        <v>529</v>
      </c>
      <c r="AF623" s="24">
        <v>0</v>
      </c>
      <c r="AG623" s="24" t="s">
        <v>529</v>
      </c>
      <c r="AH623" s="24" t="s">
        <v>529</v>
      </c>
      <c r="AI623" s="24" t="s">
        <v>529</v>
      </c>
      <c r="AJ623" s="24" t="s">
        <v>529</v>
      </c>
      <c r="AK623" s="24" t="s">
        <v>530</v>
      </c>
      <c r="AL623" s="24"/>
    </row>
    <row r="624" spans="1:38" ht="31.2" x14ac:dyDescent="0.3">
      <c r="A624" s="53">
        <v>617</v>
      </c>
      <c r="B624" s="24" t="s">
        <v>544</v>
      </c>
      <c r="C624" s="24" t="s">
        <v>545</v>
      </c>
      <c r="D624" s="82" t="s">
        <v>371</v>
      </c>
      <c r="E624" s="24">
        <v>42</v>
      </c>
      <c r="F624" s="24" t="s">
        <v>200</v>
      </c>
      <c r="G624" s="24"/>
      <c r="H624" s="24" t="s">
        <v>1372</v>
      </c>
      <c r="I624" s="30" t="s">
        <v>525</v>
      </c>
      <c r="J624" s="24"/>
      <c r="K624" s="24" t="s">
        <v>1157</v>
      </c>
      <c r="L624" s="24" t="s">
        <v>199</v>
      </c>
      <c r="M624" s="24">
        <v>1954</v>
      </c>
      <c r="N624" s="24" t="s">
        <v>527</v>
      </c>
      <c r="O624" s="24">
        <v>5</v>
      </c>
      <c r="P624" s="24">
        <v>0</v>
      </c>
      <c r="Q624" s="24">
        <v>2</v>
      </c>
      <c r="R624" s="24">
        <v>23</v>
      </c>
      <c r="S624" s="24">
        <v>1862.25</v>
      </c>
      <c r="T624" s="24">
        <v>1862.25</v>
      </c>
      <c r="U624" s="24">
        <v>1543.25</v>
      </c>
      <c r="V624" s="24">
        <v>319</v>
      </c>
      <c r="W624" s="24" t="s">
        <v>528</v>
      </c>
      <c r="X624" s="24" t="s">
        <v>528</v>
      </c>
      <c r="Y624" s="24" t="s">
        <v>529</v>
      </c>
      <c r="Z624" s="102" t="s">
        <v>528</v>
      </c>
      <c r="AA624" s="24" t="s">
        <v>528</v>
      </c>
      <c r="AB624" s="24" t="s">
        <v>528</v>
      </c>
      <c r="AC624" s="24" t="s">
        <v>528</v>
      </c>
      <c r="AD624" s="24" t="s">
        <v>528</v>
      </c>
      <c r="AE624" s="24" t="s">
        <v>529</v>
      </c>
      <c r="AF624" s="24">
        <v>2</v>
      </c>
      <c r="AG624" s="24" t="s">
        <v>529</v>
      </c>
      <c r="AH624" s="24">
        <v>1</v>
      </c>
      <c r="AI624" s="24" t="s">
        <v>529</v>
      </c>
      <c r="AJ624" s="24" t="s">
        <v>529</v>
      </c>
      <c r="AK624" s="24" t="s">
        <v>530</v>
      </c>
      <c r="AL624" s="24"/>
    </row>
    <row r="625" spans="1:38" ht="31.2" x14ac:dyDescent="0.3">
      <c r="A625" s="53">
        <v>618</v>
      </c>
      <c r="B625" s="24" t="s">
        <v>544</v>
      </c>
      <c r="C625" s="24" t="s">
        <v>545</v>
      </c>
      <c r="D625" s="82" t="s">
        <v>371</v>
      </c>
      <c r="E625" s="24">
        <v>44</v>
      </c>
      <c r="F625" s="24" t="s">
        <v>200</v>
      </c>
      <c r="G625" s="24"/>
      <c r="H625" s="24" t="s">
        <v>1373</v>
      </c>
      <c r="I625" s="30" t="s">
        <v>525</v>
      </c>
      <c r="J625" s="24"/>
      <c r="K625" s="24" t="s">
        <v>199</v>
      </c>
      <c r="L625" s="24" t="s">
        <v>199</v>
      </c>
      <c r="M625" s="24">
        <v>1912</v>
      </c>
      <c r="N625" s="24" t="s">
        <v>527</v>
      </c>
      <c r="O625" s="24">
        <v>6</v>
      </c>
      <c r="P625" s="24">
        <v>0</v>
      </c>
      <c r="Q625" s="24">
        <v>4</v>
      </c>
      <c r="R625" s="24">
        <v>33</v>
      </c>
      <c r="S625" s="24">
        <v>2722</v>
      </c>
      <c r="T625" s="24">
        <v>2722</v>
      </c>
      <c r="U625" s="24">
        <v>2469</v>
      </c>
      <c r="V625" s="24">
        <v>253</v>
      </c>
      <c r="W625" s="24" t="s">
        <v>528</v>
      </c>
      <c r="X625" s="24" t="s">
        <v>528</v>
      </c>
      <c r="Y625" s="24" t="s">
        <v>529</v>
      </c>
      <c r="Z625" s="102" t="s">
        <v>528</v>
      </c>
      <c r="AA625" s="24" t="s">
        <v>528</v>
      </c>
      <c r="AB625" s="24" t="s">
        <v>528</v>
      </c>
      <c r="AC625" s="24" t="s">
        <v>528</v>
      </c>
      <c r="AD625" s="24" t="s">
        <v>528</v>
      </c>
      <c r="AE625" s="24" t="s">
        <v>529</v>
      </c>
      <c r="AF625" s="24">
        <v>1</v>
      </c>
      <c r="AG625" s="24" t="s">
        <v>529</v>
      </c>
      <c r="AH625" s="24">
        <v>1</v>
      </c>
      <c r="AI625" s="24" t="s">
        <v>529</v>
      </c>
      <c r="AJ625" s="24">
        <v>1</v>
      </c>
      <c r="AK625" s="24" t="s">
        <v>530</v>
      </c>
      <c r="AL625" s="24"/>
    </row>
    <row r="626" spans="1:38" ht="31.2" x14ac:dyDescent="0.3">
      <c r="A626" s="53">
        <v>619</v>
      </c>
      <c r="B626" s="24" t="s">
        <v>544</v>
      </c>
      <c r="C626" s="24" t="s">
        <v>545</v>
      </c>
      <c r="D626" s="82" t="s">
        <v>392</v>
      </c>
      <c r="E626" s="24" t="s">
        <v>1374</v>
      </c>
      <c r="F626" s="24" t="s">
        <v>200</v>
      </c>
      <c r="G626" s="24"/>
      <c r="H626" s="24" t="s">
        <v>1375</v>
      </c>
      <c r="I626" s="30" t="s">
        <v>525</v>
      </c>
      <c r="J626" s="24"/>
      <c r="K626" s="24" t="s">
        <v>1238</v>
      </c>
      <c r="L626" s="24" t="s">
        <v>199</v>
      </c>
      <c r="M626" s="24">
        <v>1930</v>
      </c>
      <c r="N626" s="24" t="s">
        <v>527</v>
      </c>
      <c r="O626" s="24">
        <v>5</v>
      </c>
      <c r="P626" s="24">
        <v>0</v>
      </c>
      <c r="Q626" s="24">
        <v>4</v>
      </c>
      <c r="R626" s="24">
        <v>35</v>
      </c>
      <c r="S626" s="24">
        <v>2113.5</v>
      </c>
      <c r="T626" s="24">
        <v>2113.5</v>
      </c>
      <c r="U626" s="24">
        <v>1951.5</v>
      </c>
      <c r="V626" s="24">
        <v>162</v>
      </c>
      <c r="W626" s="24" t="s">
        <v>528</v>
      </c>
      <c r="X626" s="24" t="s">
        <v>528</v>
      </c>
      <c r="Y626" s="24" t="s">
        <v>529</v>
      </c>
      <c r="Z626" s="102" t="s">
        <v>528</v>
      </c>
      <c r="AA626" s="24" t="s">
        <v>528</v>
      </c>
      <c r="AB626" s="24" t="s">
        <v>528</v>
      </c>
      <c r="AC626" s="24" t="s">
        <v>528</v>
      </c>
      <c r="AD626" s="24" t="s">
        <v>528</v>
      </c>
      <c r="AE626" s="24" t="s">
        <v>529</v>
      </c>
      <c r="AF626" s="24">
        <v>0</v>
      </c>
      <c r="AG626" s="24" t="s">
        <v>529</v>
      </c>
      <c r="AH626" s="24">
        <v>1</v>
      </c>
      <c r="AI626" s="24" t="s">
        <v>529</v>
      </c>
      <c r="AJ626" s="24">
        <v>1</v>
      </c>
      <c r="AK626" s="24" t="s">
        <v>530</v>
      </c>
      <c r="AL626" s="24"/>
    </row>
    <row r="627" spans="1:38" ht="31.2" x14ac:dyDescent="0.3">
      <c r="A627" s="53">
        <v>620</v>
      </c>
      <c r="B627" s="24" t="s">
        <v>544</v>
      </c>
      <c r="C627" s="24" t="s">
        <v>545</v>
      </c>
      <c r="D627" s="82" t="s">
        <v>392</v>
      </c>
      <c r="E627" s="24" t="s">
        <v>1376</v>
      </c>
      <c r="F627" s="24" t="s">
        <v>200</v>
      </c>
      <c r="G627" s="24"/>
      <c r="H627" s="24" t="s">
        <v>1377</v>
      </c>
      <c r="I627" s="30" t="s">
        <v>525</v>
      </c>
      <c r="J627" s="24"/>
      <c r="K627" s="24" t="s">
        <v>199</v>
      </c>
      <c r="L627" s="24" t="s">
        <v>199</v>
      </c>
      <c r="M627" s="24">
        <v>1907</v>
      </c>
      <c r="N627" s="24" t="s">
        <v>527</v>
      </c>
      <c r="O627" s="24">
        <v>6</v>
      </c>
      <c r="P627" s="24">
        <v>0</v>
      </c>
      <c r="Q627" s="24">
        <v>3</v>
      </c>
      <c r="R627" s="24">
        <v>55</v>
      </c>
      <c r="S627" s="24">
        <v>3863.6</v>
      </c>
      <c r="T627" s="24">
        <v>3863.6</v>
      </c>
      <c r="U627" s="24">
        <v>3284.6</v>
      </c>
      <c r="V627" s="24">
        <v>579</v>
      </c>
      <c r="W627" s="24" t="s">
        <v>528</v>
      </c>
      <c r="X627" s="24" t="s">
        <v>528</v>
      </c>
      <c r="Y627" s="24" t="s">
        <v>529</v>
      </c>
      <c r="Z627" s="102" t="s">
        <v>528</v>
      </c>
      <c r="AA627" s="24" t="s">
        <v>528</v>
      </c>
      <c r="AB627" s="24" t="s">
        <v>528</v>
      </c>
      <c r="AC627" s="24" t="s">
        <v>528</v>
      </c>
      <c r="AD627" s="24" t="s">
        <v>528</v>
      </c>
      <c r="AE627" s="24" t="s">
        <v>529</v>
      </c>
      <c r="AF627" s="24">
        <v>3</v>
      </c>
      <c r="AG627" s="24" t="s">
        <v>529</v>
      </c>
      <c r="AH627" s="24">
        <v>1</v>
      </c>
      <c r="AI627" s="24" t="s">
        <v>529</v>
      </c>
      <c r="AJ627" s="24">
        <v>1</v>
      </c>
      <c r="AK627" s="24" t="s">
        <v>530</v>
      </c>
      <c r="AL627" s="24"/>
    </row>
    <row r="628" spans="1:38" ht="31.2" x14ac:dyDescent="0.3">
      <c r="A628" s="53">
        <v>621</v>
      </c>
      <c r="B628" s="24" t="s">
        <v>544</v>
      </c>
      <c r="C628" s="24" t="s">
        <v>653</v>
      </c>
      <c r="D628" s="82" t="s">
        <v>366</v>
      </c>
      <c r="E628" s="24" t="s">
        <v>1378</v>
      </c>
      <c r="F628" s="24" t="s">
        <v>200</v>
      </c>
      <c r="G628" s="24"/>
      <c r="H628" s="24" t="s">
        <v>1379</v>
      </c>
      <c r="I628" s="30" t="s">
        <v>525</v>
      </c>
      <c r="J628" s="24"/>
      <c r="K628" s="24" t="s">
        <v>199</v>
      </c>
      <c r="L628" s="24" t="s">
        <v>199</v>
      </c>
      <c r="M628" s="24">
        <v>1901</v>
      </c>
      <c r="N628" s="24" t="s">
        <v>527</v>
      </c>
      <c r="O628" s="24">
        <v>5</v>
      </c>
      <c r="P628" s="24">
        <v>0</v>
      </c>
      <c r="Q628" s="24">
        <v>1</v>
      </c>
      <c r="R628" s="24">
        <v>14</v>
      </c>
      <c r="S628" s="24">
        <v>952.6</v>
      </c>
      <c r="T628" s="24">
        <v>952.6</v>
      </c>
      <c r="U628" s="24">
        <v>897.6</v>
      </c>
      <c r="V628" s="24">
        <v>55</v>
      </c>
      <c r="W628" s="24" t="s">
        <v>528</v>
      </c>
      <c r="X628" s="24" t="s">
        <v>528</v>
      </c>
      <c r="Y628" s="24" t="s">
        <v>529</v>
      </c>
      <c r="Z628" s="102" t="s">
        <v>528</v>
      </c>
      <c r="AA628" s="24" t="s">
        <v>528</v>
      </c>
      <c r="AB628" s="24" t="s">
        <v>528</v>
      </c>
      <c r="AC628" s="24" t="s">
        <v>528</v>
      </c>
      <c r="AD628" s="24" t="s">
        <v>528</v>
      </c>
      <c r="AE628" s="24" t="s">
        <v>529</v>
      </c>
      <c r="AF628" s="24">
        <v>0</v>
      </c>
      <c r="AG628" s="24" t="s">
        <v>529</v>
      </c>
      <c r="AH628" s="24">
        <v>1</v>
      </c>
      <c r="AI628" s="24" t="s">
        <v>529</v>
      </c>
      <c r="AJ628" s="24">
        <v>1</v>
      </c>
      <c r="AK628" s="24" t="s">
        <v>530</v>
      </c>
      <c r="AL628" s="24"/>
    </row>
    <row r="629" spans="1:38" ht="31.2" x14ac:dyDescent="0.3">
      <c r="A629" s="53">
        <v>622</v>
      </c>
      <c r="B629" s="24" t="s">
        <v>544</v>
      </c>
      <c r="C629" s="24" t="s">
        <v>653</v>
      </c>
      <c r="D629" s="82" t="s">
        <v>366</v>
      </c>
      <c r="E629" s="24" t="s">
        <v>1378</v>
      </c>
      <c r="F629" s="24" t="s">
        <v>205</v>
      </c>
      <c r="G629" s="24"/>
      <c r="H629" s="24" t="s">
        <v>1380</v>
      </c>
      <c r="I629" s="30" t="s">
        <v>525</v>
      </c>
      <c r="J629" s="24"/>
      <c r="K629" s="24" t="s">
        <v>199</v>
      </c>
      <c r="L629" s="24" t="s">
        <v>199</v>
      </c>
      <c r="M629" s="24">
        <v>1901</v>
      </c>
      <c r="N629" s="24" t="s">
        <v>527</v>
      </c>
      <c r="O629" s="24">
        <v>5</v>
      </c>
      <c r="P629" s="24">
        <v>0</v>
      </c>
      <c r="Q629" s="24">
        <v>1</v>
      </c>
      <c r="R629" s="24">
        <v>10</v>
      </c>
      <c r="S629" s="24">
        <v>566.6</v>
      </c>
      <c r="T629" s="24">
        <v>566.6</v>
      </c>
      <c r="U629" s="24">
        <v>478.6</v>
      </c>
      <c r="V629" s="24">
        <v>88</v>
      </c>
      <c r="W629" s="24" t="s">
        <v>528</v>
      </c>
      <c r="X629" s="24" t="s">
        <v>528</v>
      </c>
      <c r="Y629" s="24" t="s">
        <v>529</v>
      </c>
      <c r="Z629" s="102" t="s">
        <v>528</v>
      </c>
      <c r="AA629" s="24" t="s">
        <v>528</v>
      </c>
      <c r="AB629" s="24" t="s">
        <v>528</v>
      </c>
      <c r="AC629" s="24" t="s">
        <v>528</v>
      </c>
      <c r="AD629" s="24" t="s">
        <v>528</v>
      </c>
      <c r="AE629" s="24" t="s">
        <v>529</v>
      </c>
      <c r="AF629" s="24">
        <v>0</v>
      </c>
      <c r="AG629" s="24" t="s">
        <v>529</v>
      </c>
      <c r="AH629" s="24" t="s">
        <v>529</v>
      </c>
      <c r="AI629" s="24" t="s">
        <v>529</v>
      </c>
      <c r="AJ629" s="24">
        <v>1</v>
      </c>
      <c r="AK629" s="24" t="s">
        <v>530</v>
      </c>
      <c r="AL629" s="24"/>
    </row>
    <row r="630" spans="1:38" ht="31.2" x14ac:dyDescent="0.3">
      <c r="A630" s="53">
        <v>623</v>
      </c>
      <c r="B630" s="24" t="s">
        <v>544</v>
      </c>
      <c r="C630" s="24" t="s">
        <v>653</v>
      </c>
      <c r="D630" s="82" t="s">
        <v>366</v>
      </c>
      <c r="E630" s="24" t="s">
        <v>1246</v>
      </c>
      <c r="F630" s="24" t="s">
        <v>200</v>
      </c>
      <c r="G630" s="24"/>
      <c r="H630" s="24" t="s">
        <v>1381</v>
      </c>
      <c r="I630" s="30" t="s">
        <v>525</v>
      </c>
      <c r="J630" s="24"/>
      <c r="K630" s="24" t="s">
        <v>199</v>
      </c>
      <c r="L630" s="24" t="s">
        <v>199</v>
      </c>
      <c r="M630" s="24">
        <v>1903</v>
      </c>
      <c r="N630" s="24" t="s">
        <v>527</v>
      </c>
      <c r="O630" s="24">
        <v>5</v>
      </c>
      <c r="P630" s="24">
        <v>0</v>
      </c>
      <c r="Q630" s="24">
        <v>2</v>
      </c>
      <c r="R630" s="24">
        <v>21</v>
      </c>
      <c r="S630" s="24">
        <v>1238.2</v>
      </c>
      <c r="T630" s="24">
        <v>1238.2</v>
      </c>
      <c r="U630" s="24">
        <v>1238.2</v>
      </c>
      <c r="V630" s="24">
        <v>0</v>
      </c>
      <c r="W630" s="24" t="s">
        <v>528</v>
      </c>
      <c r="X630" s="24" t="s">
        <v>528</v>
      </c>
      <c r="Y630" s="24" t="s">
        <v>529</v>
      </c>
      <c r="Z630" s="102" t="s">
        <v>528</v>
      </c>
      <c r="AA630" s="24" t="s">
        <v>528</v>
      </c>
      <c r="AB630" s="24" t="s">
        <v>528</v>
      </c>
      <c r="AC630" s="24" t="s">
        <v>528</v>
      </c>
      <c r="AD630" s="24" t="s">
        <v>528</v>
      </c>
      <c r="AE630" s="24" t="s">
        <v>529</v>
      </c>
      <c r="AF630" s="24">
        <v>0</v>
      </c>
      <c r="AG630" s="24" t="s">
        <v>529</v>
      </c>
      <c r="AH630" s="24">
        <v>1</v>
      </c>
      <c r="AI630" s="24" t="s">
        <v>529</v>
      </c>
      <c r="AJ630" s="24" t="s">
        <v>529</v>
      </c>
      <c r="AK630" s="24" t="s">
        <v>530</v>
      </c>
      <c r="AL630" s="24"/>
    </row>
    <row r="631" spans="1:38" ht="31.2" x14ac:dyDescent="0.3">
      <c r="A631" s="53">
        <v>624</v>
      </c>
      <c r="B631" s="24" t="s">
        <v>544</v>
      </c>
      <c r="C631" s="24" t="s">
        <v>653</v>
      </c>
      <c r="D631" s="82" t="s">
        <v>366</v>
      </c>
      <c r="E631" s="24" t="s">
        <v>712</v>
      </c>
      <c r="F631" s="24" t="s">
        <v>200</v>
      </c>
      <c r="G631" s="24"/>
      <c r="H631" s="24" t="s">
        <v>1382</v>
      </c>
      <c r="I631" s="30" t="s">
        <v>525</v>
      </c>
      <c r="J631" s="24"/>
      <c r="K631" s="24" t="s">
        <v>199</v>
      </c>
      <c r="L631" s="24" t="s">
        <v>199</v>
      </c>
      <c r="M631" s="24">
        <v>1909</v>
      </c>
      <c r="N631" s="24" t="s">
        <v>527</v>
      </c>
      <c r="O631" s="24">
        <v>6</v>
      </c>
      <c r="P631" s="24">
        <v>0</v>
      </c>
      <c r="Q631" s="24">
        <v>4</v>
      </c>
      <c r="R631" s="24">
        <v>35</v>
      </c>
      <c r="S631" s="24">
        <v>3184.45</v>
      </c>
      <c r="T631" s="24">
        <v>3184.45</v>
      </c>
      <c r="U631" s="24">
        <v>2717.45</v>
      </c>
      <c r="V631" s="24">
        <v>467</v>
      </c>
      <c r="W631" s="24" t="s">
        <v>528</v>
      </c>
      <c r="X631" s="24" t="s">
        <v>528</v>
      </c>
      <c r="Y631" s="24" t="s">
        <v>529</v>
      </c>
      <c r="Z631" s="102" t="s">
        <v>528</v>
      </c>
      <c r="AA631" s="24" t="s">
        <v>528</v>
      </c>
      <c r="AB631" s="24" t="s">
        <v>528</v>
      </c>
      <c r="AC631" s="24" t="s">
        <v>528</v>
      </c>
      <c r="AD631" s="24" t="s">
        <v>528</v>
      </c>
      <c r="AE631" s="24" t="s">
        <v>529</v>
      </c>
      <c r="AF631" s="24">
        <v>1</v>
      </c>
      <c r="AG631" s="24" t="s">
        <v>529</v>
      </c>
      <c r="AH631" s="24">
        <v>1</v>
      </c>
      <c r="AI631" s="24" t="s">
        <v>529</v>
      </c>
      <c r="AJ631" s="24">
        <v>1</v>
      </c>
      <c r="AK631" s="24" t="s">
        <v>530</v>
      </c>
      <c r="AL631" s="24"/>
    </row>
    <row r="632" spans="1:38" ht="31.2" x14ac:dyDescent="0.3">
      <c r="A632" s="53">
        <v>625</v>
      </c>
      <c r="B632" s="24" t="s">
        <v>544</v>
      </c>
      <c r="C632" s="24" t="s">
        <v>653</v>
      </c>
      <c r="D632" s="82" t="s">
        <v>366</v>
      </c>
      <c r="E632" s="24" t="s">
        <v>1153</v>
      </c>
      <c r="F632" s="24" t="s">
        <v>200</v>
      </c>
      <c r="G632" s="24"/>
      <c r="H632" s="24" t="s">
        <v>1383</v>
      </c>
      <c r="I632" s="30" t="s">
        <v>525</v>
      </c>
      <c r="J632" s="24"/>
      <c r="K632" s="24" t="s">
        <v>199</v>
      </c>
      <c r="L632" s="24" t="s">
        <v>199</v>
      </c>
      <c r="M632" s="24">
        <v>1913</v>
      </c>
      <c r="N632" s="24" t="s">
        <v>527</v>
      </c>
      <c r="O632" s="24">
        <v>7</v>
      </c>
      <c r="P632" s="24">
        <v>0</v>
      </c>
      <c r="Q632" s="24">
        <v>2</v>
      </c>
      <c r="R632" s="24">
        <v>34</v>
      </c>
      <c r="S632" s="24">
        <v>2730.08</v>
      </c>
      <c r="T632" s="24">
        <v>2730.08</v>
      </c>
      <c r="U632" s="24">
        <v>2450.58</v>
      </c>
      <c r="V632" s="24">
        <v>279.5</v>
      </c>
      <c r="W632" s="24" t="s">
        <v>528</v>
      </c>
      <c r="X632" s="24" t="s">
        <v>528</v>
      </c>
      <c r="Y632" s="24" t="s">
        <v>529</v>
      </c>
      <c r="Z632" s="102" t="s">
        <v>528</v>
      </c>
      <c r="AA632" s="24" t="s">
        <v>528</v>
      </c>
      <c r="AB632" s="24" t="s">
        <v>528</v>
      </c>
      <c r="AC632" s="24" t="s">
        <v>528</v>
      </c>
      <c r="AD632" s="24" t="s">
        <v>528</v>
      </c>
      <c r="AE632" s="24" t="s">
        <v>529</v>
      </c>
      <c r="AF632" s="24">
        <v>1</v>
      </c>
      <c r="AG632" s="24" t="s">
        <v>529</v>
      </c>
      <c r="AH632" s="24">
        <v>1</v>
      </c>
      <c r="AI632" s="24" t="s">
        <v>529</v>
      </c>
      <c r="AJ632" s="24">
        <v>1</v>
      </c>
      <c r="AK632" s="24" t="s">
        <v>530</v>
      </c>
      <c r="AL632" s="24"/>
    </row>
    <row r="633" spans="1:38" ht="31.2" x14ac:dyDescent="0.3">
      <c r="A633" s="53">
        <v>626</v>
      </c>
      <c r="B633" s="24" t="s">
        <v>544</v>
      </c>
      <c r="C633" s="24" t="s">
        <v>653</v>
      </c>
      <c r="D633" s="82" t="s">
        <v>366</v>
      </c>
      <c r="E633" s="24" t="s">
        <v>1384</v>
      </c>
      <c r="F633" s="24" t="s">
        <v>200</v>
      </c>
      <c r="G633" s="24"/>
      <c r="H633" s="24" t="s">
        <v>1385</v>
      </c>
      <c r="I633" s="30" t="s">
        <v>525</v>
      </c>
      <c r="J633" s="24"/>
      <c r="K633" s="24" t="s">
        <v>199</v>
      </c>
      <c r="L633" s="24" t="s">
        <v>199</v>
      </c>
      <c r="M633" s="24">
        <v>1896</v>
      </c>
      <c r="N633" s="24" t="s">
        <v>527</v>
      </c>
      <c r="O633" s="24">
        <v>4</v>
      </c>
      <c r="P633" s="24">
        <v>0</v>
      </c>
      <c r="Q633" s="24">
        <v>2</v>
      </c>
      <c r="R633" s="24">
        <v>20</v>
      </c>
      <c r="S633" s="24">
        <v>865.96</v>
      </c>
      <c r="T633" s="24">
        <v>865.96</v>
      </c>
      <c r="U633" s="24">
        <v>865.96</v>
      </c>
      <c r="V633" s="24">
        <v>0</v>
      </c>
      <c r="W633" s="24" t="s">
        <v>528</v>
      </c>
      <c r="X633" s="24" t="s">
        <v>528</v>
      </c>
      <c r="Y633" s="24" t="s">
        <v>529</v>
      </c>
      <c r="Z633" s="102" t="s">
        <v>528</v>
      </c>
      <c r="AA633" s="24" t="s">
        <v>528</v>
      </c>
      <c r="AB633" s="24" t="s">
        <v>528</v>
      </c>
      <c r="AC633" s="24" t="s">
        <v>528</v>
      </c>
      <c r="AD633" s="24" t="s">
        <v>528</v>
      </c>
      <c r="AE633" s="24" t="s">
        <v>529</v>
      </c>
      <c r="AF633" s="24">
        <v>0</v>
      </c>
      <c r="AG633" s="24" t="s">
        <v>529</v>
      </c>
      <c r="AH633" s="24">
        <v>1</v>
      </c>
      <c r="AI633" s="24" t="s">
        <v>529</v>
      </c>
      <c r="AJ633" s="24">
        <v>1</v>
      </c>
      <c r="AK633" s="24" t="s">
        <v>530</v>
      </c>
      <c r="AL633" s="24"/>
    </row>
    <row r="634" spans="1:38" ht="31.2" x14ac:dyDescent="0.3">
      <c r="A634" s="53">
        <v>627</v>
      </c>
      <c r="B634" s="24" t="s">
        <v>544</v>
      </c>
      <c r="C634" s="24" t="s">
        <v>653</v>
      </c>
      <c r="D634" s="82" t="s">
        <v>366</v>
      </c>
      <c r="E634" s="24" t="s">
        <v>1384</v>
      </c>
      <c r="F634" s="24" t="s">
        <v>205</v>
      </c>
      <c r="G634" s="24"/>
      <c r="H634" s="24" t="s">
        <v>1386</v>
      </c>
      <c r="I634" s="30" t="s">
        <v>525</v>
      </c>
      <c r="J634" s="24"/>
      <c r="K634" s="24" t="s">
        <v>199</v>
      </c>
      <c r="L634" s="24" t="s">
        <v>199</v>
      </c>
      <c r="M634" s="24">
        <v>1903</v>
      </c>
      <c r="N634" s="24" t="s">
        <v>527</v>
      </c>
      <c r="O634" s="24">
        <v>3</v>
      </c>
      <c r="P634" s="24">
        <v>0</v>
      </c>
      <c r="Q634" s="24">
        <v>1</v>
      </c>
      <c r="R634" s="24">
        <v>6</v>
      </c>
      <c r="S634" s="24">
        <v>186.7</v>
      </c>
      <c r="T634" s="24">
        <v>186.7</v>
      </c>
      <c r="U634" s="24">
        <v>186.7</v>
      </c>
      <c r="V634" s="24">
        <v>0</v>
      </c>
      <c r="W634" s="24" t="s">
        <v>528</v>
      </c>
      <c r="X634" s="24" t="s">
        <v>528</v>
      </c>
      <c r="Y634" s="24" t="s">
        <v>529</v>
      </c>
      <c r="Z634" s="102" t="s">
        <v>528</v>
      </c>
      <c r="AA634" s="24" t="s">
        <v>528</v>
      </c>
      <c r="AB634" s="24" t="s">
        <v>528</v>
      </c>
      <c r="AC634" s="24" t="s">
        <v>529</v>
      </c>
      <c r="AD634" s="24" t="s">
        <v>528</v>
      </c>
      <c r="AE634" s="24" t="s">
        <v>529</v>
      </c>
      <c r="AF634" s="24">
        <v>0</v>
      </c>
      <c r="AG634" s="24" t="s">
        <v>529</v>
      </c>
      <c r="AH634" s="24" t="s">
        <v>529</v>
      </c>
      <c r="AI634" s="24" t="s">
        <v>529</v>
      </c>
      <c r="AJ634" s="24" t="s">
        <v>529</v>
      </c>
      <c r="AK634" s="24" t="s">
        <v>530</v>
      </c>
      <c r="AL634" s="24"/>
    </row>
    <row r="635" spans="1:38" ht="31.2" x14ac:dyDescent="0.3">
      <c r="A635" s="53">
        <v>628</v>
      </c>
      <c r="B635" s="24" t="s">
        <v>544</v>
      </c>
      <c r="C635" s="24" t="s">
        <v>653</v>
      </c>
      <c r="D635" s="82" t="s">
        <v>366</v>
      </c>
      <c r="E635" s="24" t="s">
        <v>1387</v>
      </c>
      <c r="F635" s="24" t="s">
        <v>200</v>
      </c>
      <c r="G635" s="24"/>
      <c r="H635" s="24" t="s">
        <v>1388</v>
      </c>
      <c r="I635" s="30" t="s">
        <v>525</v>
      </c>
      <c r="J635" s="24" t="s">
        <v>535</v>
      </c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102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</row>
    <row r="636" spans="1:38" ht="31.2" x14ac:dyDescent="0.3">
      <c r="A636" s="53">
        <v>629</v>
      </c>
      <c r="B636" s="24" t="s">
        <v>544</v>
      </c>
      <c r="C636" s="24" t="s">
        <v>653</v>
      </c>
      <c r="D636" s="82" t="s">
        <v>366</v>
      </c>
      <c r="E636" s="24" t="s">
        <v>1389</v>
      </c>
      <c r="F636" s="24" t="s">
        <v>200</v>
      </c>
      <c r="G636" s="24"/>
      <c r="H636" s="24" t="s">
        <v>1390</v>
      </c>
      <c r="I636" s="30" t="s">
        <v>525</v>
      </c>
      <c r="J636" s="24"/>
      <c r="K636" s="24" t="s">
        <v>199</v>
      </c>
      <c r="L636" s="24" t="s">
        <v>199</v>
      </c>
      <c r="M636" s="24">
        <v>1911</v>
      </c>
      <c r="N636" s="24" t="s">
        <v>527</v>
      </c>
      <c r="O636" s="24">
        <v>6</v>
      </c>
      <c r="P636" s="24">
        <v>0</v>
      </c>
      <c r="Q636" s="24">
        <v>3</v>
      </c>
      <c r="R636" s="24">
        <v>27</v>
      </c>
      <c r="S636" s="24">
        <v>3044.4</v>
      </c>
      <c r="T636" s="24">
        <v>3044.4</v>
      </c>
      <c r="U636" s="24">
        <v>2699.4</v>
      </c>
      <c r="V636" s="24">
        <v>345</v>
      </c>
      <c r="W636" s="24" t="s">
        <v>528</v>
      </c>
      <c r="X636" s="24" t="s">
        <v>528</v>
      </c>
      <c r="Y636" s="24" t="s">
        <v>529</v>
      </c>
      <c r="Z636" s="102" t="s">
        <v>528</v>
      </c>
      <c r="AA636" s="24" t="s">
        <v>528</v>
      </c>
      <c r="AB636" s="24" t="s">
        <v>528</v>
      </c>
      <c r="AC636" s="24" t="s">
        <v>528</v>
      </c>
      <c r="AD636" s="24" t="s">
        <v>528</v>
      </c>
      <c r="AE636" s="24" t="s">
        <v>529</v>
      </c>
      <c r="AF636" s="24">
        <v>0</v>
      </c>
      <c r="AG636" s="24" t="s">
        <v>529</v>
      </c>
      <c r="AH636" s="24">
        <v>1</v>
      </c>
      <c r="AI636" s="24" t="s">
        <v>529</v>
      </c>
      <c r="AJ636" s="24">
        <v>1</v>
      </c>
      <c r="AK636" s="24" t="s">
        <v>530</v>
      </c>
      <c r="AL636" s="24"/>
    </row>
    <row r="637" spans="1:38" ht="31.2" x14ac:dyDescent="0.3">
      <c r="A637" s="53">
        <v>630</v>
      </c>
      <c r="B637" s="24" t="s">
        <v>544</v>
      </c>
      <c r="C637" s="24" t="s">
        <v>653</v>
      </c>
      <c r="D637" s="82" t="s">
        <v>366</v>
      </c>
      <c r="E637" s="24" t="s">
        <v>1222</v>
      </c>
      <c r="F637" s="24" t="s">
        <v>200</v>
      </c>
      <c r="G637" s="24"/>
      <c r="H637" s="24" t="s">
        <v>1391</v>
      </c>
      <c r="I637" s="30" t="s">
        <v>525</v>
      </c>
      <c r="J637" s="24"/>
      <c r="K637" s="24" t="s">
        <v>199</v>
      </c>
      <c r="L637" s="24" t="s">
        <v>199</v>
      </c>
      <c r="M637" s="24">
        <v>1901</v>
      </c>
      <c r="N637" s="24" t="s">
        <v>527</v>
      </c>
      <c r="O637" s="24">
        <v>5</v>
      </c>
      <c r="P637" s="24">
        <v>0</v>
      </c>
      <c r="Q637" s="24">
        <v>2</v>
      </c>
      <c r="R637" s="24">
        <v>19</v>
      </c>
      <c r="S637" s="24">
        <v>1536.8</v>
      </c>
      <c r="T637" s="24">
        <v>1536.8</v>
      </c>
      <c r="U637" s="24">
        <v>1477.5</v>
      </c>
      <c r="V637" s="24">
        <v>59.3</v>
      </c>
      <c r="W637" s="24" t="s">
        <v>528</v>
      </c>
      <c r="X637" s="24" t="s">
        <v>528</v>
      </c>
      <c r="Y637" s="24" t="s">
        <v>529</v>
      </c>
      <c r="Z637" s="102" t="s">
        <v>528</v>
      </c>
      <c r="AA637" s="24" t="s">
        <v>528</v>
      </c>
      <c r="AB637" s="24" t="s">
        <v>528</v>
      </c>
      <c r="AC637" s="24" t="s">
        <v>528</v>
      </c>
      <c r="AD637" s="24" t="s">
        <v>528</v>
      </c>
      <c r="AE637" s="24" t="s">
        <v>529</v>
      </c>
      <c r="AF637" s="24">
        <v>0</v>
      </c>
      <c r="AG637" s="24" t="s">
        <v>529</v>
      </c>
      <c r="AH637" s="24">
        <v>1</v>
      </c>
      <c r="AI637" s="24" t="s">
        <v>529</v>
      </c>
      <c r="AJ637" s="24" t="s">
        <v>529</v>
      </c>
      <c r="AK637" s="24" t="s">
        <v>530</v>
      </c>
      <c r="AL637" s="24"/>
    </row>
    <row r="638" spans="1:38" ht="31.2" x14ac:dyDescent="0.3">
      <c r="A638" s="53">
        <v>631</v>
      </c>
      <c r="B638" s="24" t="s">
        <v>544</v>
      </c>
      <c r="C638" s="24" t="s">
        <v>653</v>
      </c>
      <c r="D638" s="82" t="s">
        <v>366</v>
      </c>
      <c r="E638" s="24" t="s">
        <v>1392</v>
      </c>
      <c r="F638" s="24" t="s">
        <v>200</v>
      </c>
      <c r="G638" s="24"/>
      <c r="H638" s="24" t="s">
        <v>1393</v>
      </c>
      <c r="I638" s="30" t="s">
        <v>525</v>
      </c>
      <c r="J638" s="24"/>
      <c r="K638" s="24" t="s">
        <v>199</v>
      </c>
      <c r="L638" s="24" t="s">
        <v>199</v>
      </c>
      <c r="M638" s="24">
        <v>1900</v>
      </c>
      <c r="N638" s="24" t="s">
        <v>527</v>
      </c>
      <c r="O638" s="24">
        <v>5</v>
      </c>
      <c r="P638" s="24">
        <v>0</v>
      </c>
      <c r="Q638" s="24">
        <v>1</v>
      </c>
      <c r="R638" s="24">
        <v>20</v>
      </c>
      <c r="S638" s="24">
        <v>1856.3</v>
      </c>
      <c r="T638" s="24">
        <v>1856.3</v>
      </c>
      <c r="U638" s="24">
        <v>1856.3</v>
      </c>
      <c r="V638" s="24">
        <v>0</v>
      </c>
      <c r="W638" s="24" t="s">
        <v>528</v>
      </c>
      <c r="X638" s="24" t="s">
        <v>528</v>
      </c>
      <c r="Y638" s="24" t="s">
        <v>529</v>
      </c>
      <c r="Z638" s="102" t="s">
        <v>528</v>
      </c>
      <c r="AA638" s="24" t="s">
        <v>528</v>
      </c>
      <c r="AB638" s="24" t="s">
        <v>528</v>
      </c>
      <c r="AC638" s="24" t="s">
        <v>528</v>
      </c>
      <c r="AD638" s="24" t="s">
        <v>528</v>
      </c>
      <c r="AE638" s="24" t="s">
        <v>529</v>
      </c>
      <c r="AF638" s="24">
        <v>1</v>
      </c>
      <c r="AG638" s="24" t="s">
        <v>529</v>
      </c>
      <c r="AH638" s="24">
        <v>1</v>
      </c>
      <c r="AI638" s="24" t="s">
        <v>529</v>
      </c>
      <c r="AJ638" s="24">
        <v>1</v>
      </c>
      <c r="AK638" s="24" t="s">
        <v>530</v>
      </c>
      <c r="AL638" s="24"/>
    </row>
    <row r="639" spans="1:38" ht="31.2" x14ac:dyDescent="0.3">
      <c r="A639" s="53">
        <v>632</v>
      </c>
      <c r="B639" s="24" t="s">
        <v>544</v>
      </c>
      <c r="C639" s="24" t="s">
        <v>653</v>
      </c>
      <c r="D639" s="82" t="s">
        <v>1361</v>
      </c>
      <c r="E639" s="24" t="s">
        <v>1129</v>
      </c>
      <c r="F639" s="24" t="s">
        <v>200</v>
      </c>
      <c r="G639" s="24"/>
      <c r="H639" s="24" t="s">
        <v>1394</v>
      </c>
      <c r="I639" s="30" t="s">
        <v>525</v>
      </c>
      <c r="J639" s="24"/>
      <c r="K639" s="24" t="s">
        <v>199</v>
      </c>
      <c r="L639" s="24" t="s">
        <v>199</v>
      </c>
      <c r="M639" s="24">
        <v>1912</v>
      </c>
      <c r="N639" s="24" t="s">
        <v>527</v>
      </c>
      <c r="O639" s="24">
        <v>6</v>
      </c>
      <c r="P639" s="24">
        <v>0</v>
      </c>
      <c r="Q639" s="24">
        <v>4</v>
      </c>
      <c r="R639" s="24">
        <v>24</v>
      </c>
      <c r="S639" s="24">
        <v>2988.5</v>
      </c>
      <c r="T639" s="24">
        <v>2988.5</v>
      </c>
      <c r="U639" s="24">
        <v>2714.5</v>
      </c>
      <c r="V639" s="24">
        <v>274</v>
      </c>
      <c r="W639" s="24" t="s">
        <v>528</v>
      </c>
      <c r="X639" s="24" t="s">
        <v>528</v>
      </c>
      <c r="Y639" s="24" t="s">
        <v>529</v>
      </c>
      <c r="Z639" s="102" t="s">
        <v>528</v>
      </c>
      <c r="AA639" s="24" t="s">
        <v>528</v>
      </c>
      <c r="AB639" s="24" t="s">
        <v>528</v>
      </c>
      <c r="AC639" s="24" t="s">
        <v>528</v>
      </c>
      <c r="AD639" s="24" t="s">
        <v>528</v>
      </c>
      <c r="AE639" s="24" t="s">
        <v>529</v>
      </c>
      <c r="AF639" s="24">
        <v>2</v>
      </c>
      <c r="AG639" s="24" t="s">
        <v>529</v>
      </c>
      <c r="AH639" s="24">
        <v>1</v>
      </c>
      <c r="AI639" s="24" t="s">
        <v>529</v>
      </c>
      <c r="AJ639" s="24">
        <v>1</v>
      </c>
      <c r="AK639" s="24" t="s">
        <v>530</v>
      </c>
      <c r="AL639" s="24"/>
    </row>
    <row r="640" spans="1:38" ht="31.2" x14ac:dyDescent="0.3">
      <c r="A640" s="53">
        <v>633</v>
      </c>
      <c r="B640" s="24" t="s">
        <v>544</v>
      </c>
      <c r="C640" s="24" t="s">
        <v>653</v>
      </c>
      <c r="D640" s="82" t="s">
        <v>1361</v>
      </c>
      <c r="E640" s="24" t="s">
        <v>170</v>
      </c>
      <c r="F640" s="24" t="s">
        <v>200</v>
      </c>
      <c r="G640" s="24"/>
      <c r="H640" s="24" t="s">
        <v>1395</v>
      </c>
      <c r="I640" s="30" t="s">
        <v>525</v>
      </c>
      <c r="J640" s="24" t="s">
        <v>535</v>
      </c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102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</row>
    <row r="641" spans="1:38" ht="31.2" x14ac:dyDescent="0.3">
      <c r="A641" s="53">
        <v>634</v>
      </c>
      <c r="B641" s="24" t="s">
        <v>544</v>
      </c>
      <c r="C641" s="24" t="s">
        <v>653</v>
      </c>
      <c r="D641" s="82" t="s">
        <v>1361</v>
      </c>
      <c r="E641" s="24">
        <v>18</v>
      </c>
      <c r="F641" s="24" t="s">
        <v>200</v>
      </c>
      <c r="G641" s="24"/>
      <c r="H641" s="24" t="s">
        <v>1396</v>
      </c>
      <c r="I641" s="30" t="s">
        <v>525</v>
      </c>
      <c r="J641" s="24"/>
      <c r="K641" s="24" t="s">
        <v>199</v>
      </c>
      <c r="L641" s="24" t="s">
        <v>199</v>
      </c>
      <c r="M641" s="24">
        <v>1899</v>
      </c>
      <c r="N641" s="24" t="s">
        <v>527</v>
      </c>
      <c r="O641" s="24">
        <v>6</v>
      </c>
      <c r="P641" s="24">
        <v>0</v>
      </c>
      <c r="Q641" s="24">
        <v>5</v>
      </c>
      <c r="R641" s="24">
        <v>31</v>
      </c>
      <c r="S641" s="24">
        <v>3702.5</v>
      </c>
      <c r="T641" s="24">
        <v>3702.5</v>
      </c>
      <c r="U641" s="24">
        <v>3181.5</v>
      </c>
      <c r="V641" s="24">
        <v>521</v>
      </c>
      <c r="W641" s="24" t="s">
        <v>528</v>
      </c>
      <c r="X641" s="24" t="s">
        <v>528</v>
      </c>
      <c r="Y641" s="24" t="s">
        <v>529</v>
      </c>
      <c r="Z641" s="102" t="s">
        <v>528</v>
      </c>
      <c r="AA641" s="24" t="s">
        <v>528</v>
      </c>
      <c r="AB641" s="24" t="s">
        <v>528</v>
      </c>
      <c r="AC641" s="24" t="s">
        <v>528</v>
      </c>
      <c r="AD641" s="24" t="s">
        <v>528</v>
      </c>
      <c r="AE641" s="24" t="s">
        <v>529</v>
      </c>
      <c r="AF641" s="24">
        <v>3</v>
      </c>
      <c r="AG641" s="24" t="s">
        <v>529</v>
      </c>
      <c r="AH641" s="24">
        <v>1</v>
      </c>
      <c r="AI641" s="24" t="s">
        <v>529</v>
      </c>
      <c r="AJ641" s="24">
        <v>1</v>
      </c>
      <c r="AK641" s="24" t="s">
        <v>530</v>
      </c>
      <c r="AL641" s="24"/>
    </row>
    <row r="642" spans="1:38" ht="31.2" x14ac:dyDescent="0.3">
      <c r="A642" s="53">
        <v>635</v>
      </c>
      <c r="B642" s="24" t="s">
        <v>544</v>
      </c>
      <c r="C642" s="24" t="s">
        <v>653</v>
      </c>
      <c r="D642" s="82" t="s">
        <v>1361</v>
      </c>
      <c r="E642" s="24">
        <v>20</v>
      </c>
      <c r="F642" s="24" t="s">
        <v>200</v>
      </c>
      <c r="G642" s="24"/>
      <c r="H642" s="24" t="s">
        <v>1397</v>
      </c>
      <c r="I642" s="30" t="s">
        <v>525</v>
      </c>
      <c r="J642" s="24"/>
      <c r="K642" s="24" t="s">
        <v>199</v>
      </c>
      <c r="L642" s="24" t="s">
        <v>199</v>
      </c>
      <c r="M642" s="24">
        <v>1917</v>
      </c>
      <c r="N642" s="24" t="s">
        <v>527</v>
      </c>
      <c r="O642" s="24">
        <v>5</v>
      </c>
      <c r="P642" s="24">
        <v>0</v>
      </c>
      <c r="Q642" s="24">
        <v>1</v>
      </c>
      <c r="R642" s="24">
        <v>4</v>
      </c>
      <c r="S642" s="24">
        <v>322.8</v>
      </c>
      <c r="T642" s="24">
        <v>322.8</v>
      </c>
      <c r="U642" s="24">
        <v>284.8</v>
      </c>
      <c r="V642" s="24">
        <v>38</v>
      </c>
      <c r="W642" s="24" t="s">
        <v>528</v>
      </c>
      <c r="X642" s="24" t="s">
        <v>528</v>
      </c>
      <c r="Y642" s="24" t="s">
        <v>529</v>
      </c>
      <c r="Z642" s="102" t="s">
        <v>528</v>
      </c>
      <c r="AA642" s="24" t="s">
        <v>528</v>
      </c>
      <c r="AB642" s="24" t="s">
        <v>528</v>
      </c>
      <c r="AC642" s="24" t="s">
        <v>528</v>
      </c>
      <c r="AD642" s="24" t="s">
        <v>528</v>
      </c>
      <c r="AE642" s="24" t="s">
        <v>529</v>
      </c>
      <c r="AF642" s="24">
        <v>1</v>
      </c>
      <c r="AG642" s="24" t="s">
        <v>529</v>
      </c>
      <c r="AH642" s="24">
        <v>1</v>
      </c>
      <c r="AI642" s="24" t="s">
        <v>529</v>
      </c>
      <c r="AJ642" s="24">
        <v>1</v>
      </c>
      <c r="AK642" s="24" t="s">
        <v>530</v>
      </c>
      <c r="AL642" s="24"/>
    </row>
    <row r="643" spans="1:38" ht="31.2" x14ac:dyDescent="0.3">
      <c r="A643" s="53">
        <v>636</v>
      </c>
      <c r="B643" s="24" t="s">
        <v>544</v>
      </c>
      <c r="C643" s="24" t="s">
        <v>653</v>
      </c>
      <c r="D643" s="82" t="s">
        <v>1361</v>
      </c>
      <c r="E643" s="24">
        <v>22</v>
      </c>
      <c r="F643" s="24" t="s">
        <v>200</v>
      </c>
      <c r="G643" s="24"/>
      <c r="H643" s="24" t="s">
        <v>1398</v>
      </c>
      <c r="I643" s="30" t="s">
        <v>525</v>
      </c>
      <c r="J643" s="24"/>
      <c r="K643" s="24" t="s">
        <v>199</v>
      </c>
      <c r="L643" s="24" t="s">
        <v>199</v>
      </c>
      <c r="M643" s="24">
        <v>1911</v>
      </c>
      <c r="N643" s="24" t="s">
        <v>527</v>
      </c>
      <c r="O643" s="24">
        <v>6</v>
      </c>
      <c r="P643" s="24">
        <v>0</v>
      </c>
      <c r="Q643" s="24">
        <v>8</v>
      </c>
      <c r="R643" s="24">
        <v>45</v>
      </c>
      <c r="S643" s="24">
        <v>4992.2</v>
      </c>
      <c r="T643" s="24">
        <v>4992.2</v>
      </c>
      <c r="U643" s="24">
        <v>4456.2</v>
      </c>
      <c r="V643" s="24">
        <v>536</v>
      </c>
      <c r="W643" s="24" t="s">
        <v>528</v>
      </c>
      <c r="X643" s="24" t="s">
        <v>528</v>
      </c>
      <c r="Y643" s="24" t="s">
        <v>529</v>
      </c>
      <c r="Z643" s="102" t="s">
        <v>528</v>
      </c>
      <c r="AA643" s="24" t="s">
        <v>528</v>
      </c>
      <c r="AB643" s="24" t="s">
        <v>528</v>
      </c>
      <c r="AC643" s="24" t="s">
        <v>528</v>
      </c>
      <c r="AD643" s="24" t="s">
        <v>528</v>
      </c>
      <c r="AE643" s="24" t="s">
        <v>529</v>
      </c>
      <c r="AF643" s="24">
        <v>1</v>
      </c>
      <c r="AG643" s="24" t="s">
        <v>529</v>
      </c>
      <c r="AH643" s="24">
        <v>2</v>
      </c>
      <c r="AI643" s="24" t="s">
        <v>529</v>
      </c>
      <c r="AJ643" s="24">
        <v>1</v>
      </c>
      <c r="AK643" s="24" t="s">
        <v>530</v>
      </c>
      <c r="AL643" s="24"/>
    </row>
    <row r="644" spans="1:38" ht="31.2" x14ac:dyDescent="0.3">
      <c r="A644" s="53">
        <v>637</v>
      </c>
      <c r="B644" s="24" t="s">
        <v>544</v>
      </c>
      <c r="C644" s="24" t="s">
        <v>653</v>
      </c>
      <c r="D644" s="82" t="s">
        <v>1361</v>
      </c>
      <c r="E644" s="24">
        <v>27</v>
      </c>
      <c r="F644" s="24" t="s">
        <v>200</v>
      </c>
      <c r="G644" s="24"/>
      <c r="H644" s="24" t="s">
        <v>1399</v>
      </c>
      <c r="I644" s="30" t="s">
        <v>525</v>
      </c>
      <c r="J644" s="24"/>
      <c r="K644" s="24" t="s">
        <v>199</v>
      </c>
      <c r="L644" s="24" t="s">
        <v>199</v>
      </c>
      <c r="M644" s="24">
        <v>1911</v>
      </c>
      <c r="N644" s="24" t="s">
        <v>527</v>
      </c>
      <c r="O644" s="24">
        <v>6</v>
      </c>
      <c r="P644" s="24">
        <v>0</v>
      </c>
      <c r="Q644" s="24">
        <v>4</v>
      </c>
      <c r="R644" s="24">
        <v>69</v>
      </c>
      <c r="S644" s="24">
        <v>4774.6000000000004</v>
      </c>
      <c r="T644" s="24">
        <v>4774.6000000000004</v>
      </c>
      <c r="U644" s="24">
        <v>4225.6000000000004</v>
      </c>
      <c r="V644" s="24">
        <v>549</v>
      </c>
      <c r="W644" s="24" t="s">
        <v>528</v>
      </c>
      <c r="X644" s="24" t="s">
        <v>528</v>
      </c>
      <c r="Y644" s="24" t="s">
        <v>529</v>
      </c>
      <c r="Z644" s="102" t="s">
        <v>528</v>
      </c>
      <c r="AA644" s="24" t="s">
        <v>528</v>
      </c>
      <c r="AB644" s="24" t="s">
        <v>528</v>
      </c>
      <c r="AC644" s="24" t="s">
        <v>528</v>
      </c>
      <c r="AD644" s="24" t="s">
        <v>528</v>
      </c>
      <c r="AE644" s="24" t="s">
        <v>529</v>
      </c>
      <c r="AF644" s="24">
        <v>2</v>
      </c>
      <c r="AG644" s="24" t="s">
        <v>529</v>
      </c>
      <c r="AH644" s="24">
        <v>1</v>
      </c>
      <c r="AI644" s="24" t="s">
        <v>529</v>
      </c>
      <c r="AJ644" s="24">
        <v>2</v>
      </c>
      <c r="AK644" s="24" t="s">
        <v>530</v>
      </c>
      <c r="AL644" s="24"/>
    </row>
    <row r="645" spans="1:38" ht="31.2" x14ac:dyDescent="0.3">
      <c r="A645" s="53">
        <v>638</v>
      </c>
      <c r="B645" s="24" t="s">
        <v>544</v>
      </c>
      <c r="C645" s="24" t="s">
        <v>653</v>
      </c>
      <c r="D645" s="82" t="s">
        <v>1361</v>
      </c>
      <c r="E645" s="24" t="s">
        <v>575</v>
      </c>
      <c r="F645" s="24" t="s">
        <v>200</v>
      </c>
      <c r="G645" s="24"/>
      <c r="H645" s="24" t="s">
        <v>1400</v>
      </c>
      <c r="I645" s="30" t="s">
        <v>525</v>
      </c>
      <c r="J645" s="24"/>
      <c r="K645" s="24" t="s">
        <v>199</v>
      </c>
      <c r="L645" s="24" t="s">
        <v>199</v>
      </c>
      <c r="M645" s="24">
        <v>1910</v>
      </c>
      <c r="N645" s="24" t="s">
        <v>527</v>
      </c>
      <c r="O645" s="24">
        <v>7</v>
      </c>
      <c r="P645" s="24">
        <v>0</v>
      </c>
      <c r="Q645" s="24">
        <v>2</v>
      </c>
      <c r="R645" s="24">
        <v>80</v>
      </c>
      <c r="S645" s="24">
        <v>7788.7</v>
      </c>
      <c r="T645" s="24">
        <v>7788.7</v>
      </c>
      <c r="U645" s="24">
        <v>7237.7</v>
      </c>
      <c r="V645" s="24">
        <v>551</v>
      </c>
      <c r="W645" s="24" t="s">
        <v>528</v>
      </c>
      <c r="X645" s="24" t="s">
        <v>528</v>
      </c>
      <c r="Y645" s="24" t="s">
        <v>529</v>
      </c>
      <c r="Z645" s="102" t="s">
        <v>528</v>
      </c>
      <c r="AA645" s="24" t="s">
        <v>528</v>
      </c>
      <c r="AB645" s="24" t="s">
        <v>528</v>
      </c>
      <c r="AC645" s="24" t="s">
        <v>528</v>
      </c>
      <c r="AD645" s="24" t="s">
        <v>528</v>
      </c>
      <c r="AE645" s="24" t="s">
        <v>529</v>
      </c>
      <c r="AF645" s="24">
        <v>2</v>
      </c>
      <c r="AG645" s="24" t="s">
        <v>529</v>
      </c>
      <c r="AH645" s="24">
        <v>1</v>
      </c>
      <c r="AI645" s="24" t="s">
        <v>529</v>
      </c>
      <c r="AJ645" s="24">
        <v>1</v>
      </c>
      <c r="AK645" s="24" t="s">
        <v>530</v>
      </c>
      <c r="AL645" s="24"/>
    </row>
    <row r="646" spans="1:38" ht="31.2" x14ac:dyDescent="0.3">
      <c r="A646" s="53">
        <v>639</v>
      </c>
      <c r="B646" s="24" t="s">
        <v>544</v>
      </c>
      <c r="C646" s="24" t="s">
        <v>653</v>
      </c>
      <c r="D646" s="82" t="s">
        <v>1361</v>
      </c>
      <c r="E646" s="24">
        <v>35</v>
      </c>
      <c r="F646" s="24" t="s">
        <v>200</v>
      </c>
      <c r="G646" s="24"/>
      <c r="H646" s="24" t="s">
        <v>1401</v>
      </c>
      <c r="I646" s="30" t="s">
        <v>525</v>
      </c>
      <c r="J646" s="24"/>
      <c r="K646" s="24" t="s">
        <v>199</v>
      </c>
      <c r="L646" s="24" t="s">
        <v>199</v>
      </c>
      <c r="M646" s="24">
        <v>1907</v>
      </c>
      <c r="N646" s="24" t="s">
        <v>527</v>
      </c>
      <c r="O646" s="24">
        <v>6</v>
      </c>
      <c r="P646" s="24">
        <v>0</v>
      </c>
      <c r="Q646" s="24">
        <v>5</v>
      </c>
      <c r="R646" s="24">
        <v>20</v>
      </c>
      <c r="S646" s="24">
        <v>4291</v>
      </c>
      <c r="T646" s="24">
        <v>4291</v>
      </c>
      <c r="U646" s="24">
        <v>2355</v>
      </c>
      <c r="V646" s="24">
        <v>1936</v>
      </c>
      <c r="W646" s="24" t="s">
        <v>528</v>
      </c>
      <c r="X646" s="24" t="s">
        <v>528</v>
      </c>
      <c r="Y646" s="24" t="s">
        <v>529</v>
      </c>
      <c r="Z646" s="102" t="s">
        <v>528</v>
      </c>
      <c r="AA646" s="24" t="s">
        <v>528</v>
      </c>
      <c r="AB646" s="24" t="s">
        <v>528</v>
      </c>
      <c r="AC646" s="24" t="s">
        <v>528</v>
      </c>
      <c r="AD646" s="24" t="s">
        <v>528</v>
      </c>
      <c r="AE646" s="24" t="s">
        <v>529</v>
      </c>
      <c r="AF646" s="24">
        <v>0</v>
      </c>
      <c r="AG646" s="24" t="s">
        <v>529</v>
      </c>
      <c r="AH646" s="24">
        <v>1</v>
      </c>
      <c r="AI646" s="24" t="s">
        <v>529</v>
      </c>
      <c r="AJ646" s="24">
        <v>1</v>
      </c>
      <c r="AK646" s="24" t="s">
        <v>530</v>
      </c>
      <c r="AL646" s="24"/>
    </row>
    <row r="647" spans="1:38" ht="31.2" x14ac:dyDescent="0.3">
      <c r="A647" s="53">
        <v>640</v>
      </c>
      <c r="B647" s="24" t="s">
        <v>544</v>
      </c>
      <c r="C647" s="24" t="s">
        <v>521</v>
      </c>
      <c r="D647" s="82" t="s">
        <v>392</v>
      </c>
      <c r="E647" s="24" t="s">
        <v>1402</v>
      </c>
      <c r="F647" s="24" t="s">
        <v>206</v>
      </c>
      <c r="G647" s="24"/>
      <c r="H647" s="24" t="s">
        <v>1403</v>
      </c>
      <c r="I647" s="30" t="s">
        <v>525</v>
      </c>
      <c r="J647" s="24"/>
      <c r="K647" s="24" t="s">
        <v>199</v>
      </c>
      <c r="L647" s="24" t="s">
        <v>199</v>
      </c>
      <c r="M647" s="24">
        <v>1901</v>
      </c>
      <c r="N647" s="24" t="s">
        <v>527</v>
      </c>
      <c r="O647" s="24">
        <v>4</v>
      </c>
      <c r="P647" s="24">
        <v>0</v>
      </c>
      <c r="Q647" s="24">
        <v>1</v>
      </c>
      <c r="R647" s="24">
        <v>10</v>
      </c>
      <c r="S647" s="24">
        <v>483.09</v>
      </c>
      <c r="T647" s="24">
        <v>483.09</v>
      </c>
      <c r="U647" s="24">
        <v>483.09</v>
      </c>
      <c r="V647" s="24">
        <v>0</v>
      </c>
      <c r="W647" s="24" t="s">
        <v>528</v>
      </c>
      <c r="X647" s="24" t="s">
        <v>528</v>
      </c>
      <c r="Y647" s="24" t="s">
        <v>529</v>
      </c>
      <c r="Z647" s="102" t="s">
        <v>528</v>
      </c>
      <c r="AA647" s="24" t="s">
        <v>528</v>
      </c>
      <c r="AB647" s="24" t="s">
        <v>528</v>
      </c>
      <c r="AC647" s="24" t="s">
        <v>528</v>
      </c>
      <c r="AD647" s="24" t="s">
        <v>528</v>
      </c>
      <c r="AE647" s="24" t="s">
        <v>529</v>
      </c>
      <c r="AF647" s="24">
        <v>0</v>
      </c>
      <c r="AG647" s="24" t="s">
        <v>529</v>
      </c>
      <c r="AH647" s="24">
        <v>1</v>
      </c>
      <c r="AI647" s="24" t="s">
        <v>529</v>
      </c>
      <c r="AJ647" s="24" t="s">
        <v>529</v>
      </c>
      <c r="AK647" s="24" t="s">
        <v>530</v>
      </c>
      <c r="AL647" s="24"/>
    </row>
    <row r="648" spans="1:38" ht="31.2" x14ac:dyDescent="0.3">
      <c r="A648" s="53">
        <v>641</v>
      </c>
      <c r="B648" s="24" t="s">
        <v>544</v>
      </c>
      <c r="C648" s="24" t="s">
        <v>521</v>
      </c>
      <c r="D648" s="82" t="s">
        <v>392</v>
      </c>
      <c r="E648" s="24" t="s">
        <v>1402</v>
      </c>
      <c r="F648" s="24" t="s">
        <v>208</v>
      </c>
      <c r="G648" s="24"/>
      <c r="H648" s="24" t="s">
        <v>1404</v>
      </c>
      <c r="I648" s="30" t="s">
        <v>525</v>
      </c>
      <c r="J648" s="24"/>
      <c r="K648" s="24" t="s">
        <v>199</v>
      </c>
      <c r="L648" s="24" t="s">
        <v>199</v>
      </c>
      <c r="M648" s="24">
        <v>1901</v>
      </c>
      <c r="N648" s="24" t="s">
        <v>527</v>
      </c>
      <c r="O648" s="24">
        <v>5</v>
      </c>
      <c r="P648" s="24">
        <v>0</v>
      </c>
      <c r="Q648" s="24">
        <v>1</v>
      </c>
      <c r="R648" s="24">
        <v>16</v>
      </c>
      <c r="S648" s="24">
        <v>851.33</v>
      </c>
      <c r="T648" s="24">
        <v>851.33</v>
      </c>
      <c r="U648" s="24">
        <v>811.33</v>
      </c>
      <c r="V648" s="24">
        <v>40</v>
      </c>
      <c r="W648" s="24" t="s">
        <v>528</v>
      </c>
      <c r="X648" s="24" t="s">
        <v>528</v>
      </c>
      <c r="Y648" s="24" t="s">
        <v>529</v>
      </c>
      <c r="Z648" s="102" t="s">
        <v>528</v>
      </c>
      <c r="AA648" s="24" t="s">
        <v>528</v>
      </c>
      <c r="AB648" s="24" t="s">
        <v>528</v>
      </c>
      <c r="AC648" s="24" t="s">
        <v>528</v>
      </c>
      <c r="AD648" s="24" t="s">
        <v>528</v>
      </c>
      <c r="AE648" s="24" t="s">
        <v>529</v>
      </c>
      <c r="AF648" s="24">
        <v>0</v>
      </c>
      <c r="AG648" s="24" t="s">
        <v>529</v>
      </c>
      <c r="AH648" s="24" t="s">
        <v>529</v>
      </c>
      <c r="AI648" s="24" t="s">
        <v>529</v>
      </c>
      <c r="AJ648" s="24" t="s">
        <v>529</v>
      </c>
      <c r="AK648" s="24" t="s">
        <v>530</v>
      </c>
      <c r="AL648" s="24"/>
    </row>
    <row r="649" spans="1:38" ht="31.2" x14ac:dyDescent="0.3">
      <c r="A649" s="53">
        <v>642</v>
      </c>
      <c r="B649" s="24" t="s">
        <v>544</v>
      </c>
      <c r="C649" s="24" t="s">
        <v>653</v>
      </c>
      <c r="D649" s="82" t="s">
        <v>366</v>
      </c>
      <c r="E649" s="24" t="s">
        <v>1405</v>
      </c>
      <c r="F649" s="24" t="s">
        <v>200</v>
      </c>
      <c r="G649" s="24"/>
      <c r="H649" s="24" t="s">
        <v>1406</v>
      </c>
      <c r="I649" s="30" t="s">
        <v>525</v>
      </c>
      <c r="J649" s="24"/>
      <c r="K649" s="24" t="s">
        <v>199</v>
      </c>
      <c r="L649" s="24" t="s">
        <v>199</v>
      </c>
      <c r="M649" s="24">
        <v>1910</v>
      </c>
      <c r="N649" s="24" t="s">
        <v>527</v>
      </c>
      <c r="O649" s="24">
        <v>5</v>
      </c>
      <c r="P649" s="24">
        <v>0</v>
      </c>
      <c r="Q649" s="24">
        <v>3</v>
      </c>
      <c r="R649" s="24">
        <v>27</v>
      </c>
      <c r="S649" s="24">
        <v>2653.2</v>
      </c>
      <c r="T649" s="24">
        <v>2653.2</v>
      </c>
      <c r="U649" s="24">
        <v>2481.1999999999998</v>
      </c>
      <c r="V649" s="24">
        <v>172</v>
      </c>
      <c r="W649" s="24" t="s">
        <v>528</v>
      </c>
      <c r="X649" s="24" t="s">
        <v>528</v>
      </c>
      <c r="Y649" s="24" t="s">
        <v>529</v>
      </c>
      <c r="Z649" s="102" t="s">
        <v>528</v>
      </c>
      <c r="AA649" s="24" t="s">
        <v>528</v>
      </c>
      <c r="AB649" s="24" t="s">
        <v>528</v>
      </c>
      <c r="AC649" s="24" t="s">
        <v>528</v>
      </c>
      <c r="AD649" s="24" t="s">
        <v>528</v>
      </c>
      <c r="AE649" s="24" t="s">
        <v>529</v>
      </c>
      <c r="AF649" s="24">
        <v>1</v>
      </c>
      <c r="AG649" s="24" t="s">
        <v>529</v>
      </c>
      <c r="AH649" s="24">
        <v>1</v>
      </c>
      <c r="AI649" s="24" t="s">
        <v>529</v>
      </c>
      <c r="AJ649" s="24">
        <v>1</v>
      </c>
      <c r="AK649" s="24" t="s">
        <v>530</v>
      </c>
      <c r="AL649" s="24"/>
    </row>
    <row r="650" spans="1:38" ht="31.2" x14ac:dyDescent="0.3">
      <c r="A650" s="53">
        <v>643</v>
      </c>
      <c r="B650" s="24" t="s">
        <v>544</v>
      </c>
      <c r="C650" s="24" t="s">
        <v>653</v>
      </c>
      <c r="D650" s="82" t="s">
        <v>366</v>
      </c>
      <c r="E650" s="24" t="s">
        <v>1334</v>
      </c>
      <c r="F650" s="24" t="s">
        <v>200</v>
      </c>
      <c r="G650" s="24"/>
      <c r="H650" s="24" t="s">
        <v>1407</v>
      </c>
      <c r="I650" s="30" t="s">
        <v>525</v>
      </c>
      <c r="J650" s="24"/>
      <c r="K650" s="24" t="s">
        <v>199</v>
      </c>
      <c r="L650" s="24" t="s">
        <v>199</v>
      </c>
      <c r="M650" s="24">
        <v>1898</v>
      </c>
      <c r="N650" s="24" t="s">
        <v>527</v>
      </c>
      <c r="O650" s="24">
        <v>6</v>
      </c>
      <c r="P650" s="24">
        <v>0</v>
      </c>
      <c r="Q650" s="24">
        <v>3</v>
      </c>
      <c r="R650" s="24">
        <v>26</v>
      </c>
      <c r="S650" s="24">
        <v>3976.8</v>
      </c>
      <c r="T650" s="24">
        <v>3976.8</v>
      </c>
      <c r="U650" s="24">
        <v>2600.8000000000002</v>
      </c>
      <c r="V650" s="24">
        <v>1376</v>
      </c>
      <c r="W650" s="24" t="s">
        <v>528</v>
      </c>
      <c r="X650" s="24" t="s">
        <v>528</v>
      </c>
      <c r="Y650" s="24" t="s">
        <v>529</v>
      </c>
      <c r="Z650" s="102" t="s">
        <v>528</v>
      </c>
      <c r="AA650" s="24" t="s">
        <v>528</v>
      </c>
      <c r="AB650" s="24" t="s">
        <v>528</v>
      </c>
      <c r="AC650" s="24" t="s">
        <v>528</v>
      </c>
      <c r="AD650" s="24" t="s">
        <v>528</v>
      </c>
      <c r="AE650" s="24" t="s">
        <v>529</v>
      </c>
      <c r="AF650" s="24">
        <v>3</v>
      </c>
      <c r="AG650" s="24" t="s">
        <v>529</v>
      </c>
      <c r="AH650" s="24">
        <v>1</v>
      </c>
      <c r="AI650" s="24" t="s">
        <v>529</v>
      </c>
      <c r="AJ650" s="24">
        <v>1</v>
      </c>
      <c r="AK650" s="24" t="s">
        <v>530</v>
      </c>
      <c r="AL650" s="24"/>
    </row>
    <row r="651" spans="1:38" ht="31.2" x14ac:dyDescent="0.3">
      <c r="A651" s="53">
        <v>644</v>
      </c>
      <c r="B651" s="24" t="s">
        <v>544</v>
      </c>
      <c r="C651" s="24" t="s">
        <v>653</v>
      </c>
      <c r="D651" s="82" t="s">
        <v>1361</v>
      </c>
      <c r="E651" s="24" t="s">
        <v>171</v>
      </c>
      <c r="F651" s="24" t="s">
        <v>200</v>
      </c>
      <c r="G651" s="24"/>
      <c r="H651" s="24" t="s">
        <v>1408</v>
      </c>
      <c r="I651" s="30" t="s">
        <v>525</v>
      </c>
      <c r="J651" s="24"/>
      <c r="K651" s="24" t="s">
        <v>199</v>
      </c>
      <c r="L651" s="24" t="s">
        <v>199</v>
      </c>
      <c r="M651" s="24">
        <v>1914</v>
      </c>
      <c r="N651" s="24" t="s">
        <v>527</v>
      </c>
      <c r="O651" s="24">
        <v>7</v>
      </c>
      <c r="P651" s="24">
        <v>0</v>
      </c>
      <c r="Q651" s="24">
        <v>4</v>
      </c>
      <c r="R651" s="24">
        <v>46</v>
      </c>
      <c r="S651" s="24">
        <v>4460.3</v>
      </c>
      <c r="T651" s="24">
        <v>4460.3</v>
      </c>
      <c r="U651" s="24">
        <v>3974.3</v>
      </c>
      <c r="V651" s="24">
        <v>486</v>
      </c>
      <c r="W651" s="24" t="s">
        <v>528</v>
      </c>
      <c r="X651" s="24" t="s">
        <v>528</v>
      </c>
      <c r="Y651" s="24" t="s">
        <v>529</v>
      </c>
      <c r="Z651" s="102" t="s">
        <v>528</v>
      </c>
      <c r="AA651" s="24" t="s">
        <v>528</v>
      </c>
      <c r="AB651" s="24" t="s">
        <v>528</v>
      </c>
      <c r="AC651" s="24" t="s">
        <v>528</v>
      </c>
      <c r="AD651" s="24" t="s">
        <v>528</v>
      </c>
      <c r="AE651" s="24" t="s">
        <v>529</v>
      </c>
      <c r="AF651" s="24">
        <v>1</v>
      </c>
      <c r="AG651" s="24" t="s">
        <v>529</v>
      </c>
      <c r="AH651" s="24">
        <v>1</v>
      </c>
      <c r="AI651" s="24" t="s">
        <v>529</v>
      </c>
      <c r="AJ651" s="24">
        <v>1</v>
      </c>
      <c r="AK651" s="24" t="s">
        <v>530</v>
      </c>
      <c r="AL651" s="24"/>
    </row>
    <row r="652" spans="1:38" ht="31.2" x14ac:dyDescent="0.3">
      <c r="A652" s="53">
        <v>645</v>
      </c>
      <c r="B652" s="24" t="s">
        <v>544</v>
      </c>
      <c r="C652" s="24" t="s">
        <v>653</v>
      </c>
      <c r="D652" s="82" t="s">
        <v>1361</v>
      </c>
      <c r="E652" s="24" t="s">
        <v>173</v>
      </c>
      <c r="F652" s="24" t="s">
        <v>200</v>
      </c>
      <c r="G652" s="24"/>
      <c r="H652" s="24" t="s">
        <v>1409</v>
      </c>
      <c r="I652" s="30" t="s">
        <v>525</v>
      </c>
      <c r="J652" s="24"/>
      <c r="K652" s="24" t="s">
        <v>199</v>
      </c>
      <c r="L652" s="24" t="s">
        <v>199</v>
      </c>
      <c r="M652" s="24">
        <v>1908</v>
      </c>
      <c r="N652" s="24" t="s">
        <v>527</v>
      </c>
      <c r="O652" s="24">
        <v>6</v>
      </c>
      <c r="P652" s="24">
        <v>0</v>
      </c>
      <c r="Q652" s="24">
        <v>4</v>
      </c>
      <c r="R652" s="24">
        <v>31</v>
      </c>
      <c r="S652" s="24">
        <v>2897.5</v>
      </c>
      <c r="T652" s="24">
        <v>2897.5</v>
      </c>
      <c r="U652" s="24">
        <v>2584.5</v>
      </c>
      <c r="V652" s="24">
        <v>313</v>
      </c>
      <c r="W652" s="24" t="s">
        <v>528</v>
      </c>
      <c r="X652" s="24" t="s">
        <v>528</v>
      </c>
      <c r="Y652" s="24" t="s">
        <v>529</v>
      </c>
      <c r="Z652" s="102" t="s">
        <v>528</v>
      </c>
      <c r="AA652" s="24" t="s">
        <v>528</v>
      </c>
      <c r="AB652" s="24" t="s">
        <v>528</v>
      </c>
      <c r="AC652" s="24" t="s">
        <v>528</v>
      </c>
      <c r="AD652" s="24" t="s">
        <v>528</v>
      </c>
      <c r="AE652" s="24" t="s">
        <v>529</v>
      </c>
      <c r="AF652" s="24">
        <v>1</v>
      </c>
      <c r="AG652" s="24" t="s">
        <v>529</v>
      </c>
      <c r="AH652" s="24">
        <v>1</v>
      </c>
      <c r="AI652" s="24" t="s">
        <v>529</v>
      </c>
      <c r="AJ652" s="24">
        <v>1</v>
      </c>
      <c r="AK652" s="24" t="s">
        <v>530</v>
      </c>
      <c r="AL652" s="24"/>
    </row>
    <row r="653" spans="1:38" ht="31.2" x14ac:dyDescent="0.3">
      <c r="A653" s="53">
        <v>646</v>
      </c>
      <c r="B653" s="24" t="s">
        <v>544</v>
      </c>
      <c r="C653" s="24" t="s">
        <v>545</v>
      </c>
      <c r="D653" s="82" t="s">
        <v>371</v>
      </c>
      <c r="E653" s="24">
        <v>20</v>
      </c>
      <c r="F653" s="24" t="s">
        <v>200</v>
      </c>
      <c r="G653" s="24"/>
      <c r="H653" s="24" t="s">
        <v>1410</v>
      </c>
      <c r="I653" s="30" t="s">
        <v>525</v>
      </c>
      <c r="J653" s="24"/>
      <c r="K653" s="24" t="s">
        <v>1157</v>
      </c>
      <c r="L653" s="24" t="s">
        <v>199</v>
      </c>
      <c r="M653" s="24">
        <v>1956</v>
      </c>
      <c r="N653" s="24" t="s">
        <v>527</v>
      </c>
      <c r="O653" s="24">
        <v>6</v>
      </c>
      <c r="P653" s="24">
        <v>0</v>
      </c>
      <c r="Q653" s="24">
        <v>6</v>
      </c>
      <c r="R653" s="24">
        <v>112</v>
      </c>
      <c r="S653" s="24">
        <v>8957.43</v>
      </c>
      <c r="T653" s="24">
        <v>8957.43</v>
      </c>
      <c r="U653" s="24">
        <v>6870.43</v>
      </c>
      <c r="V653" s="24">
        <v>2087</v>
      </c>
      <c r="W653" s="24" t="s">
        <v>528</v>
      </c>
      <c r="X653" s="24" t="s">
        <v>528</v>
      </c>
      <c r="Y653" s="24" t="s">
        <v>529</v>
      </c>
      <c r="Z653" s="102" t="s">
        <v>528</v>
      </c>
      <c r="AA653" s="24" t="s">
        <v>528</v>
      </c>
      <c r="AB653" s="24" t="s">
        <v>528</v>
      </c>
      <c r="AC653" s="24" t="s">
        <v>528</v>
      </c>
      <c r="AD653" s="24" t="s">
        <v>528</v>
      </c>
      <c r="AE653" s="24" t="s">
        <v>529</v>
      </c>
      <c r="AF653" s="24">
        <v>5</v>
      </c>
      <c r="AG653" s="24" t="s">
        <v>529</v>
      </c>
      <c r="AH653" s="24">
        <v>1</v>
      </c>
      <c r="AI653" s="24" t="s">
        <v>529</v>
      </c>
      <c r="AJ653" s="24">
        <v>2</v>
      </c>
      <c r="AK653" s="24" t="s">
        <v>530</v>
      </c>
      <c r="AL653" s="24"/>
    </row>
    <row r="654" spans="1:38" ht="31.2" x14ac:dyDescent="0.3">
      <c r="A654" s="53">
        <v>647</v>
      </c>
      <c r="B654" s="24" t="s">
        <v>544</v>
      </c>
      <c r="C654" s="24" t="s">
        <v>545</v>
      </c>
      <c r="D654" s="82" t="s">
        <v>371</v>
      </c>
      <c r="E654" s="24">
        <v>24</v>
      </c>
      <c r="F654" s="24" t="s">
        <v>200</v>
      </c>
      <c r="G654" s="24"/>
      <c r="H654" s="24" t="s">
        <v>1411</v>
      </c>
      <c r="I654" s="30" t="s">
        <v>525</v>
      </c>
      <c r="J654" s="24"/>
      <c r="K654" s="24" t="s">
        <v>199</v>
      </c>
      <c r="L654" s="24" t="s">
        <v>199</v>
      </c>
      <c r="M654" s="24">
        <v>1900</v>
      </c>
      <c r="N654" s="24" t="s">
        <v>527</v>
      </c>
      <c r="O654" s="24">
        <v>5</v>
      </c>
      <c r="P654" s="24">
        <v>0</v>
      </c>
      <c r="Q654" s="24">
        <v>2</v>
      </c>
      <c r="R654" s="24">
        <v>12</v>
      </c>
      <c r="S654" s="24">
        <v>1028.5999999999999</v>
      </c>
      <c r="T654" s="24">
        <v>1028.5999999999999</v>
      </c>
      <c r="U654" s="24">
        <v>935.6</v>
      </c>
      <c r="V654" s="24">
        <v>93</v>
      </c>
      <c r="W654" s="24" t="s">
        <v>528</v>
      </c>
      <c r="X654" s="24" t="s">
        <v>528</v>
      </c>
      <c r="Y654" s="24" t="s">
        <v>529</v>
      </c>
      <c r="Z654" s="102" t="s">
        <v>528</v>
      </c>
      <c r="AA654" s="24" t="s">
        <v>528</v>
      </c>
      <c r="AB654" s="24" t="s">
        <v>528</v>
      </c>
      <c r="AC654" s="24" t="s">
        <v>528</v>
      </c>
      <c r="AD654" s="24" t="s">
        <v>528</v>
      </c>
      <c r="AE654" s="24" t="s">
        <v>529</v>
      </c>
      <c r="AF654" s="24">
        <v>0</v>
      </c>
      <c r="AG654" s="24" t="s">
        <v>529</v>
      </c>
      <c r="AH654" s="24">
        <v>1</v>
      </c>
      <c r="AI654" s="24" t="s">
        <v>529</v>
      </c>
      <c r="AJ654" s="24" t="s">
        <v>529</v>
      </c>
      <c r="AK654" s="24" t="s">
        <v>530</v>
      </c>
      <c r="AL654" s="24"/>
    </row>
    <row r="655" spans="1:38" ht="31.2" x14ac:dyDescent="0.3">
      <c r="A655" s="53">
        <v>648</v>
      </c>
      <c r="B655" s="24" t="s">
        <v>544</v>
      </c>
      <c r="C655" s="24" t="s">
        <v>545</v>
      </c>
      <c r="D655" s="82" t="s">
        <v>371</v>
      </c>
      <c r="E655" s="24">
        <v>26</v>
      </c>
      <c r="F655" s="24" t="s">
        <v>200</v>
      </c>
      <c r="G655" s="24"/>
      <c r="H655" s="24" t="s">
        <v>1412</v>
      </c>
      <c r="I655" s="30" t="s">
        <v>525</v>
      </c>
      <c r="J655" s="24"/>
      <c r="K655" s="24" t="s">
        <v>1157</v>
      </c>
      <c r="L655" s="24" t="s">
        <v>199</v>
      </c>
      <c r="M655" s="24">
        <v>1954</v>
      </c>
      <c r="N655" s="24" t="s">
        <v>527</v>
      </c>
      <c r="O655" s="24">
        <v>5</v>
      </c>
      <c r="P655" s="24">
        <v>0</v>
      </c>
      <c r="Q655" s="24">
        <v>2</v>
      </c>
      <c r="R655" s="24">
        <v>22</v>
      </c>
      <c r="S655" s="24">
        <v>1875.2</v>
      </c>
      <c r="T655" s="24">
        <v>1875.2</v>
      </c>
      <c r="U655" s="24">
        <v>1538.6</v>
      </c>
      <c r="V655" s="24">
        <v>336.6</v>
      </c>
      <c r="W655" s="24" t="s">
        <v>528</v>
      </c>
      <c r="X655" s="24" t="s">
        <v>528</v>
      </c>
      <c r="Y655" s="24" t="s">
        <v>529</v>
      </c>
      <c r="Z655" s="102" t="s">
        <v>528</v>
      </c>
      <c r="AA655" s="24" t="s">
        <v>528</v>
      </c>
      <c r="AB655" s="24" t="s">
        <v>528</v>
      </c>
      <c r="AC655" s="24" t="s">
        <v>528</v>
      </c>
      <c r="AD655" s="24" t="s">
        <v>528</v>
      </c>
      <c r="AE655" s="24" t="s">
        <v>529</v>
      </c>
      <c r="AF655" s="24">
        <v>0</v>
      </c>
      <c r="AG655" s="24" t="s">
        <v>529</v>
      </c>
      <c r="AH655" s="24">
        <v>1</v>
      </c>
      <c r="AI655" s="24" t="s">
        <v>529</v>
      </c>
      <c r="AJ655" s="24" t="s">
        <v>529</v>
      </c>
      <c r="AK655" s="24" t="s">
        <v>530</v>
      </c>
      <c r="AL655" s="24"/>
    </row>
    <row r="656" spans="1:38" ht="31.2" x14ac:dyDescent="0.3">
      <c r="A656" s="53">
        <v>649</v>
      </c>
      <c r="B656" s="24" t="s">
        <v>544</v>
      </c>
      <c r="C656" s="24" t="s">
        <v>653</v>
      </c>
      <c r="D656" s="82" t="s">
        <v>1361</v>
      </c>
      <c r="E656" s="24">
        <v>7</v>
      </c>
      <c r="F656" s="24" t="s">
        <v>200</v>
      </c>
      <c r="G656" s="24"/>
      <c r="H656" s="24" t="s">
        <v>1413</v>
      </c>
      <c r="I656" s="30" t="s">
        <v>525</v>
      </c>
      <c r="J656" s="24"/>
      <c r="K656" s="24" t="s">
        <v>199</v>
      </c>
      <c r="L656" s="24" t="s">
        <v>199</v>
      </c>
      <c r="M656" s="24">
        <v>1909</v>
      </c>
      <c r="N656" s="24" t="s">
        <v>527</v>
      </c>
      <c r="O656" s="24">
        <v>6</v>
      </c>
      <c r="P656" s="24">
        <v>0</v>
      </c>
      <c r="Q656" s="24">
        <v>4</v>
      </c>
      <c r="R656" s="24">
        <v>41</v>
      </c>
      <c r="S656" s="24">
        <v>3847.2</v>
      </c>
      <c r="T656" s="24">
        <v>3847.2</v>
      </c>
      <c r="U656" s="24">
        <v>3238.2</v>
      </c>
      <c r="V656" s="24">
        <v>609</v>
      </c>
      <c r="W656" s="24" t="s">
        <v>528</v>
      </c>
      <c r="X656" s="24" t="s">
        <v>528</v>
      </c>
      <c r="Y656" s="24" t="s">
        <v>529</v>
      </c>
      <c r="Z656" s="102" t="s">
        <v>528</v>
      </c>
      <c r="AA656" s="24" t="s">
        <v>528</v>
      </c>
      <c r="AB656" s="24" t="s">
        <v>528</v>
      </c>
      <c r="AC656" s="24" t="s">
        <v>528</v>
      </c>
      <c r="AD656" s="24" t="s">
        <v>528</v>
      </c>
      <c r="AE656" s="24" t="s">
        <v>529</v>
      </c>
      <c r="AF656" s="24">
        <v>2</v>
      </c>
      <c r="AG656" s="24" t="s">
        <v>529</v>
      </c>
      <c r="AH656" s="24">
        <v>1</v>
      </c>
      <c r="AI656" s="24" t="s">
        <v>529</v>
      </c>
      <c r="AJ656" s="24">
        <v>1</v>
      </c>
      <c r="AK656" s="24" t="s">
        <v>530</v>
      </c>
      <c r="AL656" s="24"/>
    </row>
    <row r="657" spans="1:38" ht="31.2" x14ac:dyDescent="0.3">
      <c r="A657" s="53">
        <v>650</v>
      </c>
      <c r="B657" s="24" t="s">
        <v>544</v>
      </c>
      <c r="C657" s="24" t="s">
        <v>653</v>
      </c>
      <c r="D657" s="82" t="s">
        <v>1361</v>
      </c>
      <c r="E657" s="24" t="s">
        <v>1414</v>
      </c>
      <c r="F657" s="24" t="s">
        <v>200</v>
      </c>
      <c r="G657" s="24"/>
      <c r="H657" s="24" t="s">
        <v>1415</v>
      </c>
      <c r="I657" s="30" t="s">
        <v>525</v>
      </c>
      <c r="J657" s="24"/>
      <c r="K657" s="24" t="s">
        <v>199</v>
      </c>
      <c r="L657" s="24" t="s">
        <v>199</v>
      </c>
      <c r="M657" s="24">
        <v>1911</v>
      </c>
      <c r="N657" s="24" t="s">
        <v>527</v>
      </c>
      <c r="O657" s="24">
        <v>6</v>
      </c>
      <c r="P657" s="24">
        <v>0</v>
      </c>
      <c r="Q657" s="24">
        <v>8</v>
      </c>
      <c r="R657" s="24">
        <v>72</v>
      </c>
      <c r="S657" s="24">
        <v>11548.7</v>
      </c>
      <c r="T657" s="24">
        <v>11548.7</v>
      </c>
      <c r="U657" s="24">
        <v>9514.7000000000007</v>
      </c>
      <c r="V657" s="24">
        <v>2034</v>
      </c>
      <c r="W657" s="24" t="s">
        <v>528</v>
      </c>
      <c r="X657" s="24" t="s">
        <v>528</v>
      </c>
      <c r="Y657" s="24" t="s">
        <v>529</v>
      </c>
      <c r="Z657" s="102" t="s">
        <v>528</v>
      </c>
      <c r="AA657" s="24" t="s">
        <v>528</v>
      </c>
      <c r="AB657" s="24" t="s">
        <v>528</v>
      </c>
      <c r="AC657" s="24" t="s">
        <v>528</v>
      </c>
      <c r="AD657" s="24" t="s">
        <v>528</v>
      </c>
      <c r="AE657" s="24" t="s">
        <v>529</v>
      </c>
      <c r="AF657" s="24">
        <v>3</v>
      </c>
      <c r="AG657" s="24" t="s">
        <v>529</v>
      </c>
      <c r="AH657" s="24">
        <v>2</v>
      </c>
      <c r="AI657" s="24" t="s">
        <v>529</v>
      </c>
      <c r="AJ657" s="24">
        <v>2</v>
      </c>
      <c r="AK657" s="24" t="s">
        <v>530</v>
      </c>
      <c r="AL657" s="24"/>
    </row>
    <row r="658" spans="1:38" ht="31.2" x14ac:dyDescent="0.3">
      <c r="A658" s="53">
        <v>651</v>
      </c>
      <c r="B658" s="24" t="s">
        <v>544</v>
      </c>
      <c r="C658" s="24" t="s">
        <v>653</v>
      </c>
      <c r="D658" s="82" t="s">
        <v>366</v>
      </c>
      <c r="E658" s="24" t="s">
        <v>1416</v>
      </c>
      <c r="F658" s="24" t="s">
        <v>200</v>
      </c>
      <c r="G658" s="24"/>
      <c r="H658" s="24" t="s">
        <v>1417</v>
      </c>
      <c r="I658" s="30" t="s">
        <v>525</v>
      </c>
      <c r="J658" s="24"/>
      <c r="K658" s="24" t="s">
        <v>199</v>
      </c>
      <c r="L658" s="24" t="s">
        <v>199</v>
      </c>
      <c r="M658" s="24">
        <v>1882</v>
      </c>
      <c r="N658" s="24" t="s">
        <v>527</v>
      </c>
      <c r="O658" s="24">
        <v>5</v>
      </c>
      <c r="P658" s="24">
        <v>0</v>
      </c>
      <c r="Q658" s="24">
        <v>4</v>
      </c>
      <c r="R658" s="24">
        <v>31</v>
      </c>
      <c r="S658" s="24">
        <v>3289.7</v>
      </c>
      <c r="T658" s="24">
        <v>3289.7</v>
      </c>
      <c r="U658" s="24">
        <v>848</v>
      </c>
      <c r="V658" s="24">
        <v>2441.6999999999998</v>
      </c>
      <c r="W658" s="24" t="s">
        <v>528</v>
      </c>
      <c r="X658" s="24" t="s">
        <v>528</v>
      </c>
      <c r="Y658" s="24" t="s">
        <v>529</v>
      </c>
      <c r="Z658" s="102" t="s">
        <v>528</v>
      </c>
      <c r="AA658" s="24" t="s">
        <v>528</v>
      </c>
      <c r="AB658" s="24" t="s">
        <v>528</v>
      </c>
      <c r="AC658" s="24" t="s">
        <v>528</v>
      </c>
      <c r="AD658" s="24" t="s">
        <v>528</v>
      </c>
      <c r="AE658" s="24" t="s">
        <v>529</v>
      </c>
      <c r="AF658" s="24">
        <v>0</v>
      </c>
      <c r="AG658" s="24" t="s">
        <v>529</v>
      </c>
      <c r="AH658" s="24">
        <v>1</v>
      </c>
      <c r="AI658" s="24" t="s">
        <v>529</v>
      </c>
      <c r="AJ658" s="24">
        <v>1</v>
      </c>
      <c r="AK658" s="24" t="s">
        <v>530</v>
      </c>
      <c r="AL658" s="24"/>
    </row>
    <row r="659" spans="1:38" ht="31.2" x14ac:dyDescent="0.3">
      <c r="A659" s="53">
        <v>652</v>
      </c>
      <c r="B659" s="24" t="s">
        <v>544</v>
      </c>
      <c r="C659" s="24" t="s">
        <v>653</v>
      </c>
      <c r="D659" s="82" t="s">
        <v>366</v>
      </c>
      <c r="E659" s="24">
        <v>3</v>
      </c>
      <c r="F659" s="24" t="s">
        <v>200</v>
      </c>
      <c r="G659" s="24"/>
      <c r="H659" s="24" t="s">
        <v>1418</v>
      </c>
      <c r="I659" s="30" t="s">
        <v>525</v>
      </c>
      <c r="J659" s="24"/>
      <c r="K659" s="24" t="s">
        <v>199</v>
      </c>
      <c r="L659" s="24" t="s">
        <v>199</v>
      </c>
      <c r="M659" s="24">
        <v>1906</v>
      </c>
      <c r="N659" s="24" t="s">
        <v>527</v>
      </c>
      <c r="O659" s="24">
        <v>5</v>
      </c>
      <c r="P659" s="24">
        <v>0</v>
      </c>
      <c r="Q659" s="24">
        <v>7</v>
      </c>
      <c r="R659" s="24">
        <v>47</v>
      </c>
      <c r="S659" s="24">
        <v>4794.1000000000004</v>
      </c>
      <c r="T659" s="24">
        <v>4794.1000000000004</v>
      </c>
      <c r="U659" s="24">
        <v>3894.1</v>
      </c>
      <c r="V659" s="24">
        <v>900</v>
      </c>
      <c r="W659" s="24" t="s">
        <v>528</v>
      </c>
      <c r="X659" s="24" t="s">
        <v>528</v>
      </c>
      <c r="Y659" s="24" t="s">
        <v>529</v>
      </c>
      <c r="Z659" s="102" t="s">
        <v>528</v>
      </c>
      <c r="AA659" s="24" t="s">
        <v>528</v>
      </c>
      <c r="AB659" s="24" t="s">
        <v>528</v>
      </c>
      <c r="AC659" s="24" t="s">
        <v>528</v>
      </c>
      <c r="AD659" s="24" t="s">
        <v>528</v>
      </c>
      <c r="AE659" s="24" t="s">
        <v>529</v>
      </c>
      <c r="AF659" s="24">
        <v>0</v>
      </c>
      <c r="AG659" s="24" t="s">
        <v>529</v>
      </c>
      <c r="AH659" s="24">
        <v>1</v>
      </c>
      <c r="AI659" s="24" t="s">
        <v>529</v>
      </c>
      <c r="AJ659" s="24">
        <v>1</v>
      </c>
      <c r="AK659" s="24" t="s">
        <v>530</v>
      </c>
      <c r="AL659" s="24"/>
    </row>
    <row r="660" spans="1:38" ht="31.2" x14ac:dyDescent="0.3">
      <c r="A660" s="53">
        <v>653</v>
      </c>
      <c r="B660" s="24" t="s">
        <v>544</v>
      </c>
      <c r="C660" s="24" t="s">
        <v>653</v>
      </c>
      <c r="D660" s="82" t="s">
        <v>366</v>
      </c>
      <c r="E660" s="24" t="s">
        <v>1419</v>
      </c>
      <c r="F660" s="24" t="s">
        <v>200</v>
      </c>
      <c r="G660" s="24"/>
      <c r="H660" s="24" t="s">
        <v>1420</v>
      </c>
      <c r="I660" s="30" t="s">
        <v>525</v>
      </c>
      <c r="J660" s="24"/>
      <c r="K660" s="24" t="s">
        <v>199</v>
      </c>
      <c r="L660" s="24" t="s">
        <v>199</v>
      </c>
      <c r="M660" s="24">
        <v>1899</v>
      </c>
      <c r="N660" s="24" t="s">
        <v>527</v>
      </c>
      <c r="O660" s="24">
        <v>4</v>
      </c>
      <c r="P660" s="24">
        <v>0</v>
      </c>
      <c r="Q660" s="24">
        <v>1</v>
      </c>
      <c r="R660" s="24">
        <v>12</v>
      </c>
      <c r="S660" s="24">
        <v>761</v>
      </c>
      <c r="T660" s="24">
        <v>761</v>
      </c>
      <c r="U660" s="24">
        <v>669</v>
      </c>
      <c r="V660" s="24">
        <v>92</v>
      </c>
      <c r="W660" s="24" t="s">
        <v>528</v>
      </c>
      <c r="X660" s="24" t="s">
        <v>528</v>
      </c>
      <c r="Y660" s="24" t="s">
        <v>529</v>
      </c>
      <c r="Z660" s="102" t="s">
        <v>528</v>
      </c>
      <c r="AA660" s="24" t="s">
        <v>528</v>
      </c>
      <c r="AB660" s="24" t="s">
        <v>528</v>
      </c>
      <c r="AC660" s="24" t="s">
        <v>528</v>
      </c>
      <c r="AD660" s="24" t="s">
        <v>528</v>
      </c>
      <c r="AE660" s="24" t="s">
        <v>529</v>
      </c>
      <c r="AF660" s="24">
        <v>0</v>
      </c>
      <c r="AG660" s="24" t="s">
        <v>529</v>
      </c>
      <c r="AH660" s="24">
        <v>1</v>
      </c>
      <c r="AI660" s="24" t="s">
        <v>529</v>
      </c>
      <c r="AJ660" s="24">
        <v>1</v>
      </c>
      <c r="AK660" s="24" t="s">
        <v>530</v>
      </c>
      <c r="AL660" s="24"/>
    </row>
    <row r="661" spans="1:38" ht="31.2" x14ac:dyDescent="0.3">
      <c r="A661" s="53">
        <v>654</v>
      </c>
      <c r="B661" s="24" t="s">
        <v>544</v>
      </c>
      <c r="C661" s="24" t="s">
        <v>653</v>
      </c>
      <c r="D661" s="82" t="s">
        <v>366</v>
      </c>
      <c r="E661" s="24" t="s">
        <v>1419</v>
      </c>
      <c r="F661" s="24" t="s">
        <v>206</v>
      </c>
      <c r="G661" s="24"/>
      <c r="H661" s="24" t="s">
        <v>1421</v>
      </c>
      <c r="I661" s="30" t="s">
        <v>525</v>
      </c>
      <c r="J661" s="24"/>
      <c r="K661" s="24" t="s">
        <v>199</v>
      </c>
      <c r="L661" s="24" t="s">
        <v>199</v>
      </c>
      <c r="M661" s="24">
        <v>1900</v>
      </c>
      <c r="N661" s="24" t="s">
        <v>527</v>
      </c>
      <c r="O661" s="24">
        <v>3</v>
      </c>
      <c r="P661" s="24">
        <v>0</v>
      </c>
      <c r="Q661" s="24">
        <v>1</v>
      </c>
      <c r="R661" s="24">
        <v>2</v>
      </c>
      <c r="S661" s="24">
        <v>69.2</v>
      </c>
      <c r="T661" s="24">
        <v>69.2</v>
      </c>
      <c r="U661" s="24">
        <v>46.2</v>
      </c>
      <c r="V661" s="24">
        <v>23</v>
      </c>
      <c r="W661" s="24" t="s">
        <v>528</v>
      </c>
      <c r="X661" s="24" t="s">
        <v>528</v>
      </c>
      <c r="Y661" s="24" t="s">
        <v>529</v>
      </c>
      <c r="Z661" s="102" t="s">
        <v>528</v>
      </c>
      <c r="AA661" s="24" t="s">
        <v>528</v>
      </c>
      <c r="AB661" s="24" t="s">
        <v>528</v>
      </c>
      <c r="AC661" s="24" t="s">
        <v>528</v>
      </c>
      <c r="AD661" s="24" t="s">
        <v>528</v>
      </c>
      <c r="AE661" s="24" t="s">
        <v>529</v>
      </c>
      <c r="AF661" s="24">
        <v>0</v>
      </c>
      <c r="AG661" s="24" t="s">
        <v>529</v>
      </c>
      <c r="AH661" s="24" t="s">
        <v>529</v>
      </c>
      <c r="AI661" s="24" t="s">
        <v>529</v>
      </c>
      <c r="AJ661" s="24" t="s">
        <v>529</v>
      </c>
      <c r="AK661" s="24" t="s">
        <v>530</v>
      </c>
      <c r="AL661" s="24"/>
    </row>
    <row r="662" spans="1:38" ht="31.2" x14ac:dyDescent="0.3">
      <c r="A662" s="53">
        <v>655</v>
      </c>
      <c r="B662" s="24" t="s">
        <v>544</v>
      </c>
      <c r="C662" s="24" t="s">
        <v>653</v>
      </c>
      <c r="D662" s="82" t="s">
        <v>366</v>
      </c>
      <c r="E662" s="24">
        <v>7</v>
      </c>
      <c r="F662" s="24" t="s">
        <v>200</v>
      </c>
      <c r="G662" s="24"/>
      <c r="H662" s="24" t="s">
        <v>1422</v>
      </c>
      <c r="I662" s="30" t="s">
        <v>525</v>
      </c>
      <c r="J662" s="24"/>
      <c r="K662" s="24" t="s">
        <v>199</v>
      </c>
      <c r="L662" s="24" t="s">
        <v>199</v>
      </c>
      <c r="M662" s="24">
        <v>1901</v>
      </c>
      <c r="N662" s="24" t="s">
        <v>527</v>
      </c>
      <c r="O662" s="24">
        <v>4</v>
      </c>
      <c r="P662" s="24">
        <v>0</v>
      </c>
      <c r="Q662" s="24">
        <v>3</v>
      </c>
      <c r="R662" s="24">
        <v>18</v>
      </c>
      <c r="S662" s="24">
        <v>1519.85</v>
      </c>
      <c r="T662" s="24">
        <v>1519.85</v>
      </c>
      <c r="U662" s="24">
        <v>1357.85</v>
      </c>
      <c r="V662" s="24">
        <v>162</v>
      </c>
      <c r="W662" s="24" t="s">
        <v>528</v>
      </c>
      <c r="X662" s="24" t="s">
        <v>528</v>
      </c>
      <c r="Y662" s="24" t="s">
        <v>529</v>
      </c>
      <c r="Z662" s="102" t="s">
        <v>528</v>
      </c>
      <c r="AA662" s="24" t="s">
        <v>528</v>
      </c>
      <c r="AB662" s="24" t="s">
        <v>528</v>
      </c>
      <c r="AC662" s="24" t="s">
        <v>528</v>
      </c>
      <c r="AD662" s="24" t="s">
        <v>528</v>
      </c>
      <c r="AE662" s="24" t="s">
        <v>529</v>
      </c>
      <c r="AF662" s="24">
        <v>0</v>
      </c>
      <c r="AG662" s="24" t="s">
        <v>529</v>
      </c>
      <c r="AH662" s="24">
        <v>1</v>
      </c>
      <c r="AI662" s="24" t="s">
        <v>529</v>
      </c>
      <c r="AJ662" s="24">
        <v>1</v>
      </c>
      <c r="AK662" s="24" t="s">
        <v>530</v>
      </c>
      <c r="AL662" s="24"/>
    </row>
    <row r="663" spans="1:38" ht="31.2" x14ac:dyDescent="0.3">
      <c r="A663" s="53">
        <v>656</v>
      </c>
      <c r="B663" s="24" t="s">
        <v>544</v>
      </c>
      <c r="C663" s="24" t="s">
        <v>653</v>
      </c>
      <c r="D663" s="82" t="s">
        <v>366</v>
      </c>
      <c r="E663" s="24">
        <v>8</v>
      </c>
      <c r="F663" s="24" t="s">
        <v>200</v>
      </c>
      <c r="G663" s="24"/>
      <c r="H663" s="24" t="s">
        <v>1423</v>
      </c>
      <c r="I663" s="30" t="s">
        <v>525</v>
      </c>
      <c r="J663" s="24"/>
      <c r="K663" s="24" t="s">
        <v>199</v>
      </c>
      <c r="L663" s="24" t="s">
        <v>199</v>
      </c>
      <c r="M663" s="24">
        <v>1911</v>
      </c>
      <c r="N663" s="24" t="s">
        <v>527</v>
      </c>
      <c r="O663" s="24">
        <v>6</v>
      </c>
      <c r="P663" s="24">
        <v>0</v>
      </c>
      <c r="Q663" s="24">
        <v>3</v>
      </c>
      <c r="R663" s="24">
        <v>26</v>
      </c>
      <c r="S663" s="24">
        <v>3279.2</v>
      </c>
      <c r="T663" s="24">
        <v>3279.2</v>
      </c>
      <c r="U663" s="24">
        <v>2958.4</v>
      </c>
      <c r="V663" s="24">
        <v>320.8</v>
      </c>
      <c r="W663" s="24" t="s">
        <v>528</v>
      </c>
      <c r="X663" s="24" t="s">
        <v>528</v>
      </c>
      <c r="Y663" s="24" t="s">
        <v>529</v>
      </c>
      <c r="Z663" s="102" t="s">
        <v>528</v>
      </c>
      <c r="AA663" s="24" t="s">
        <v>528</v>
      </c>
      <c r="AB663" s="24" t="s">
        <v>528</v>
      </c>
      <c r="AC663" s="24" t="s">
        <v>528</v>
      </c>
      <c r="AD663" s="24" t="s">
        <v>528</v>
      </c>
      <c r="AE663" s="24" t="s">
        <v>529</v>
      </c>
      <c r="AF663" s="24">
        <v>0</v>
      </c>
      <c r="AG663" s="24" t="s">
        <v>529</v>
      </c>
      <c r="AH663" s="24">
        <v>1</v>
      </c>
      <c r="AI663" s="24" t="s">
        <v>529</v>
      </c>
      <c r="AJ663" s="24">
        <v>1</v>
      </c>
      <c r="AK663" s="24" t="s">
        <v>530</v>
      </c>
      <c r="AL663" s="24"/>
    </row>
    <row r="664" spans="1:38" ht="31.2" x14ac:dyDescent="0.3">
      <c r="A664" s="53">
        <v>657</v>
      </c>
      <c r="B664" s="24" t="s">
        <v>544</v>
      </c>
      <c r="C664" s="24" t="s">
        <v>653</v>
      </c>
      <c r="D664" s="82" t="s">
        <v>366</v>
      </c>
      <c r="E664" s="24">
        <v>9</v>
      </c>
      <c r="F664" s="24" t="s">
        <v>200</v>
      </c>
      <c r="G664" s="24"/>
      <c r="H664" s="24" t="s">
        <v>1424</v>
      </c>
      <c r="I664" s="30" t="s">
        <v>525</v>
      </c>
      <c r="J664" s="24"/>
      <c r="K664" s="24" t="s">
        <v>199</v>
      </c>
      <c r="L664" s="24" t="s">
        <v>199</v>
      </c>
      <c r="M664" s="24">
        <v>1903</v>
      </c>
      <c r="N664" s="24" t="s">
        <v>527</v>
      </c>
      <c r="O664" s="24">
        <v>6</v>
      </c>
      <c r="P664" s="24">
        <v>0</v>
      </c>
      <c r="Q664" s="24">
        <v>3</v>
      </c>
      <c r="R664" s="24">
        <v>26</v>
      </c>
      <c r="S664" s="24">
        <v>2365.3000000000002</v>
      </c>
      <c r="T664" s="24">
        <v>2365.3000000000002</v>
      </c>
      <c r="U664" s="24">
        <v>2224.3000000000002</v>
      </c>
      <c r="V664" s="24">
        <v>141</v>
      </c>
      <c r="W664" s="24" t="s">
        <v>528</v>
      </c>
      <c r="X664" s="24" t="s">
        <v>528</v>
      </c>
      <c r="Y664" s="24" t="s">
        <v>529</v>
      </c>
      <c r="Z664" s="102" t="s">
        <v>528</v>
      </c>
      <c r="AA664" s="24" t="s">
        <v>528</v>
      </c>
      <c r="AB664" s="24" t="s">
        <v>528</v>
      </c>
      <c r="AC664" s="24" t="s">
        <v>528</v>
      </c>
      <c r="AD664" s="24" t="s">
        <v>528</v>
      </c>
      <c r="AE664" s="24" t="s">
        <v>529</v>
      </c>
      <c r="AF664" s="24">
        <v>0</v>
      </c>
      <c r="AG664" s="24" t="s">
        <v>529</v>
      </c>
      <c r="AH664" s="24">
        <v>1</v>
      </c>
      <c r="AI664" s="24" t="s">
        <v>529</v>
      </c>
      <c r="AJ664" s="24">
        <v>1</v>
      </c>
      <c r="AK664" s="24" t="s">
        <v>530</v>
      </c>
      <c r="AL664" s="24"/>
    </row>
    <row r="665" spans="1:38" ht="31.2" x14ac:dyDescent="0.3">
      <c r="A665" s="53">
        <v>658</v>
      </c>
      <c r="B665" s="24" t="s">
        <v>544</v>
      </c>
      <c r="C665" s="24" t="s">
        <v>653</v>
      </c>
      <c r="D665" s="82" t="s">
        <v>366</v>
      </c>
      <c r="E665" s="24">
        <v>14</v>
      </c>
      <c r="F665" s="24" t="s">
        <v>200</v>
      </c>
      <c r="G665" s="24"/>
      <c r="H665" s="24" t="s">
        <v>1425</v>
      </c>
      <c r="I665" s="30" t="s">
        <v>525</v>
      </c>
      <c r="J665" s="24"/>
      <c r="K665" s="24" t="s">
        <v>199</v>
      </c>
      <c r="L665" s="24" t="s">
        <v>199</v>
      </c>
      <c r="M665" s="24">
        <v>1903</v>
      </c>
      <c r="N665" s="24" t="s">
        <v>527</v>
      </c>
      <c r="O665" s="24">
        <v>5</v>
      </c>
      <c r="P665" s="24">
        <v>0</v>
      </c>
      <c r="Q665" s="24">
        <v>6</v>
      </c>
      <c r="R665" s="24">
        <v>28</v>
      </c>
      <c r="S665" s="24">
        <v>3273.4</v>
      </c>
      <c r="T665" s="24">
        <v>3273.4</v>
      </c>
      <c r="U665" s="24">
        <v>2916.4</v>
      </c>
      <c r="V665" s="24">
        <v>357</v>
      </c>
      <c r="W665" s="24" t="s">
        <v>528</v>
      </c>
      <c r="X665" s="24" t="s">
        <v>528</v>
      </c>
      <c r="Y665" s="24" t="s">
        <v>529</v>
      </c>
      <c r="Z665" s="102" t="s">
        <v>528</v>
      </c>
      <c r="AA665" s="24" t="s">
        <v>528</v>
      </c>
      <c r="AB665" s="24" t="s">
        <v>528</v>
      </c>
      <c r="AC665" s="24" t="s">
        <v>528</v>
      </c>
      <c r="AD665" s="24" t="s">
        <v>528</v>
      </c>
      <c r="AE665" s="24" t="s">
        <v>529</v>
      </c>
      <c r="AF665" s="24">
        <v>3</v>
      </c>
      <c r="AG665" s="24" t="s">
        <v>529</v>
      </c>
      <c r="AH665" s="24">
        <v>1</v>
      </c>
      <c r="AI665" s="24" t="s">
        <v>529</v>
      </c>
      <c r="AJ665" s="24">
        <v>1</v>
      </c>
      <c r="AK665" s="24" t="s">
        <v>530</v>
      </c>
      <c r="AL665" s="24"/>
    </row>
    <row r="666" spans="1:38" ht="31.2" x14ac:dyDescent="0.3">
      <c r="A666" s="53">
        <v>659</v>
      </c>
      <c r="B666" s="24" t="s">
        <v>544</v>
      </c>
      <c r="C666" s="24" t="s">
        <v>545</v>
      </c>
      <c r="D666" s="82" t="s">
        <v>371</v>
      </c>
      <c r="E666" s="24">
        <v>28</v>
      </c>
      <c r="F666" s="24" t="s">
        <v>200</v>
      </c>
      <c r="G666" s="24"/>
      <c r="H666" s="24" t="s">
        <v>1426</v>
      </c>
      <c r="I666" s="30" t="s">
        <v>525</v>
      </c>
      <c r="J666" s="24"/>
      <c r="K666" s="24" t="s">
        <v>199</v>
      </c>
      <c r="L666" s="24" t="s">
        <v>199</v>
      </c>
      <c r="M666" s="24">
        <v>1904</v>
      </c>
      <c r="N666" s="24" t="s">
        <v>527</v>
      </c>
      <c r="O666" s="24">
        <v>5</v>
      </c>
      <c r="P666" s="24">
        <v>0</v>
      </c>
      <c r="Q666" s="24">
        <v>6</v>
      </c>
      <c r="R666" s="24">
        <v>47</v>
      </c>
      <c r="S666" s="24">
        <v>5239.1000000000004</v>
      </c>
      <c r="T666" s="24">
        <v>5239.1000000000004</v>
      </c>
      <c r="U666" s="24">
        <v>4288.6000000000004</v>
      </c>
      <c r="V666" s="24">
        <v>950.5</v>
      </c>
      <c r="W666" s="24" t="s">
        <v>528</v>
      </c>
      <c r="X666" s="24" t="s">
        <v>528</v>
      </c>
      <c r="Y666" s="24" t="s">
        <v>529</v>
      </c>
      <c r="Z666" s="102" t="s">
        <v>528</v>
      </c>
      <c r="AA666" s="24" t="s">
        <v>528</v>
      </c>
      <c r="AB666" s="24" t="s">
        <v>528</v>
      </c>
      <c r="AC666" s="24" t="s">
        <v>528</v>
      </c>
      <c r="AD666" s="24" t="s">
        <v>528</v>
      </c>
      <c r="AE666" s="24" t="s">
        <v>529</v>
      </c>
      <c r="AF666" s="24">
        <v>0</v>
      </c>
      <c r="AG666" s="24" t="s">
        <v>529</v>
      </c>
      <c r="AH666" s="24">
        <v>1</v>
      </c>
      <c r="AI666" s="24" t="s">
        <v>529</v>
      </c>
      <c r="AJ666" s="24">
        <v>1</v>
      </c>
      <c r="AK666" s="24" t="s">
        <v>530</v>
      </c>
      <c r="AL666" s="24"/>
    </row>
    <row r="667" spans="1:38" ht="31.2" x14ac:dyDescent="0.3">
      <c r="A667" s="53">
        <v>660</v>
      </c>
      <c r="B667" s="24" t="s">
        <v>544</v>
      </c>
      <c r="C667" s="24" t="s">
        <v>545</v>
      </c>
      <c r="D667" s="82" t="s">
        <v>392</v>
      </c>
      <c r="E667" s="24" t="s">
        <v>1427</v>
      </c>
      <c r="F667" s="24" t="s">
        <v>200</v>
      </c>
      <c r="G667" s="24"/>
      <c r="H667" s="24" t="s">
        <v>1428</v>
      </c>
      <c r="I667" s="30" t="s">
        <v>525</v>
      </c>
      <c r="J667" s="24"/>
      <c r="K667" s="24" t="s">
        <v>199</v>
      </c>
      <c r="L667" s="24" t="s">
        <v>199</v>
      </c>
      <c r="M667" s="24">
        <v>1912</v>
      </c>
      <c r="N667" s="24" t="s">
        <v>527</v>
      </c>
      <c r="O667" s="24">
        <v>5</v>
      </c>
      <c r="P667" s="24">
        <v>0</v>
      </c>
      <c r="Q667" s="24">
        <v>5</v>
      </c>
      <c r="R667" s="24">
        <v>26</v>
      </c>
      <c r="S667" s="24">
        <v>2744.52</v>
      </c>
      <c r="T667" s="24">
        <v>2744.52</v>
      </c>
      <c r="U667" s="24">
        <v>2207.62</v>
      </c>
      <c r="V667" s="24">
        <v>536.9</v>
      </c>
      <c r="W667" s="24" t="s">
        <v>528</v>
      </c>
      <c r="X667" s="24" t="s">
        <v>528</v>
      </c>
      <c r="Y667" s="24" t="s">
        <v>529</v>
      </c>
      <c r="Z667" s="102" t="s">
        <v>528</v>
      </c>
      <c r="AA667" s="24" t="s">
        <v>528</v>
      </c>
      <c r="AB667" s="24" t="s">
        <v>528</v>
      </c>
      <c r="AC667" s="24" t="s">
        <v>528</v>
      </c>
      <c r="AD667" s="24" t="s">
        <v>528</v>
      </c>
      <c r="AE667" s="24" t="s">
        <v>529</v>
      </c>
      <c r="AF667" s="24">
        <v>0</v>
      </c>
      <c r="AG667" s="24" t="s">
        <v>529</v>
      </c>
      <c r="AH667" s="24">
        <v>1</v>
      </c>
      <c r="AI667" s="24" t="s">
        <v>529</v>
      </c>
      <c r="AJ667" s="24">
        <v>1</v>
      </c>
      <c r="AK667" s="24" t="s">
        <v>530</v>
      </c>
      <c r="AL667" s="24"/>
    </row>
    <row r="668" spans="1:38" ht="31.2" x14ac:dyDescent="0.3">
      <c r="A668" s="53">
        <v>661</v>
      </c>
      <c r="B668" s="24" t="s">
        <v>544</v>
      </c>
      <c r="C668" s="24" t="s">
        <v>653</v>
      </c>
      <c r="D668" s="82" t="s">
        <v>230</v>
      </c>
      <c r="E668" s="24" t="s">
        <v>1429</v>
      </c>
      <c r="F668" s="24" t="s">
        <v>200</v>
      </c>
      <c r="G668" s="24"/>
      <c r="H668" s="24" t="s">
        <v>1430</v>
      </c>
      <c r="I668" s="30" t="s">
        <v>525</v>
      </c>
      <c r="J668" s="24"/>
      <c r="K668" s="24" t="s">
        <v>199</v>
      </c>
      <c r="L668" s="24" t="s">
        <v>199</v>
      </c>
      <c r="M668" s="24">
        <v>1905</v>
      </c>
      <c r="N668" s="24" t="s">
        <v>527</v>
      </c>
      <c r="O668" s="24">
        <v>6</v>
      </c>
      <c r="P668" s="24">
        <v>0</v>
      </c>
      <c r="Q668" s="24">
        <v>5</v>
      </c>
      <c r="R668" s="24">
        <v>30</v>
      </c>
      <c r="S668" s="24">
        <v>4489.8</v>
      </c>
      <c r="T668" s="24">
        <v>4489.8</v>
      </c>
      <c r="U668" s="24">
        <v>2830.3</v>
      </c>
      <c r="V668" s="24">
        <v>1659.5</v>
      </c>
      <c r="W668" s="24" t="s">
        <v>528</v>
      </c>
      <c r="X668" s="24" t="s">
        <v>528</v>
      </c>
      <c r="Y668" s="24" t="s">
        <v>529</v>
      </c>
      <c r="Z668" s="102" t="s">
        <v>528</v>
      </c>
      <c r="AA668" s="24" t="s">
        <v>528</v>
      </c>
      <c r="AB668" s="24" t="s">
        <v>528</v>
      </c>
      <c r="AC668" s="24" t="s">
        <v>528</v>
      </c>
      <c r="AD668" s="24" t="s">
        <v>528</v>
      </c>
      <c r="AE668" s="24" t="s">
        <v>529</v>
      </c>
      <c r="AF668" s="24">
        <v>0</v>
      </c>
      <c r="AG668" s="24" t="s">
        <v>529</v>
      </c>
      <c r="AH668" s="24">
        <v>1</v>
      </c>
      <c r="AI668" s="24" t="s">
        <v>529</v>
      </c>
      <c r="AJ668" s="24">
        <v>1</v>
      </c>
      <c r="AK668" s="24" t="s">
        <v>530</v>
      </c>
      <c r="AL668" s="24"/>
    </row>
    <row r="669" spans="1:38" ht="31.2" x14ac:dyDescent="0.3">
      <c r="A669" s="53">
        <v>662</v>
      </c>
      <c r="B669" s="24" t="s">
        <v>544</v>
      </c>
      <c r="C669" s="24" t="s">
        <v>653</v>
      </c>
      <c r="D669" s="82" t="s">
        <v>230</v>
      </c>
      <c r="E669" s="24" t="s">
        <v>1241</v>
      </c>
      <c r="F669" s="24" t="s">
        <v>200</v>
      </c>
      <c r="G669" s="24"/>
      <c r="H669" s="24" t="s">
        <v>1431</v>
      </c>
      <c r="I669" s="30" t="s">
        <v>525</v>
      </c>
      <c r="J669" s="24" t="s">
        <v>535</v>
      </c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102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</row>
    <row r="670" spans="1:38" ht="31.2" x14ac:dyDescent="0.3">
      <c r="A670" s="53">
        <v>663</v>
      </c>
      <c r="B670" s="24" t="s">
        <v>544</v>
      </c>
      <c r="C670" s="24" t="s">
        <v>653</v>
      </c>
      <c r="D670" s="82" t="s">
        <v>1361</v>
      </c>
      <c r="E670" s="24" t="s">
        <v>1432</v>
      </c>
      <c r="F670" s="24" t="s">
        <v>200</v>
      </c>
      <c r="G670" s="24"/>
      <c r="H670" s="24" t="s">
        <v>1433</v>
      </c>
      <c r="I670" s="30" t="s">
        <v>525</v>
      </c>
      <c r="J670" s="24"/>
      <c r="K670" s="24" t="s">
        <v>199</v>
      </c>
      <c r="L670" s="24" t="s">
        <v>199</v>
      </c>
      <c r="M670" s="24">
        <v>1903</v>
      </c>
      <c r="N670" s="24" t="s">
        <v>527</v>
      </c>
      <c r="O670" s="24">
        <v>6</v>
      </c>
      <c r="P670" s="24">
        <v>0</v>
      </c>
      <c r="Q670" s="24">
        <v>5</v>
      </c>
      <c r="R670" s="24">
        <v>31</v>
      </c>
      <c r="S670" s="24">
        <v>3497.9</v>
      </c>
      <c r="T670" s="24">
        <v>3497.9</v>
      </c>
      <c r="U670" s="24">
        <v>2850.9</v>
      </c>
      <c r="V670" s="24">
        <v>647</v>
      </c>
      <c r="W670" s="24" t="s">
        <v>528</v>
      </c>
      <c r="X670" s="24" t="s">
        <v>528</v>
      </c>
      <c r="Y670" s="24" t="s">
        <v>529</v>
      </c>
      <c r="Z670" s="102" t="s">
        <v>528</v>
      </c>
      <c r="AA670" s="24" t="s">
        <v>528</v>
      </c>
      <c r="AB670" s="24" t="s">
        <v>528</v>
      </c>
      <c r="AC670" s="24" t="s">
        <v>528</v>
      </c>
      <c r="AD670" s="24" t="s">
        <v>528</v>
      </c>
      <c r="AE670" s="24" t="s">
        <v>529</v>
      </c>
      <c r="AF670" s="24">
        <v>0</v>
      </c>
      <c r="AG670" s="24" t="s">
        <v>529</v>
      </c>
      <c r="AH670" s="24">
        <v>1</v>
      </c>
      <c r="AI670" s="24" t="s">
        <v>529</v>
      </c>
      <c r="AJ670" s="24">
        <v>1</v>
      </c>
      <c r="AK670" s="24" t="s">
        <v>530</v>
      </c>
      <c r="AL670" s="24"/>
    </row>
    <row r="671" spans="1:38" ht="31.2" x14ac:dyDescent="0.3">
      <c r="A671" s="53">
        <v>664</v>
      </c>
      <c r="B671" s="24" t="s">
        <v>544</v>
      </c>
      <c r="C671" s="24" t="s">
        <v>653</v>
      </c>
      <c r="D671" s="82" t="s">
        <v>1361</v>
      </c>
      <c r="E671" s="24" t="s">
        <v>1189</v>
      </c>
      <c r="F671" s="24" t="s">
        <v>200</v>
      </c>
      <c r="G671" s="24"/>
      <c r="H671" s="24" t="s">
        <v>1434</v>
      </c>
      <c r="I671" s="30" t="s">
        <v>525</v>
      </c>
      <c r="J671" s="24"/>
      <c r="K671" s="24" t="s">
        <v>1238</v>
      </c>
      <c r="L671" s="24" t="s">
        <v>199</v>
      </c>
      <c r="M671" s="24">
        <v>1975</v>
      </c>
      <c r="N671" s="24" t="s">
        <v>527</v>
      </c>
      <c r="O671" s="24">
        <v>6</v>
      </c>
      <c r="P671" s="24">
        <v>0</v>
      </c>
      <c r="Q671" s="24">
        <v>2</v>
      </c>
      <c r="R671" s="24">
        <v>36</v>
      </c>
      <c r="S671" s="24">
        <v>1751.3</v>
      </c>
      <c r="T671" s="24">
        <v>1751.3</v>
      </c>
      <c r="U671" s="24">
        <v>1670.3</v>
      </c>
      <c r="V671" s="24">
        <v>81</v>
      </c>
      <c r="W671" s="24" t="s">
        <v>528</v>
      </c>
      <c r="X671" s="24" t="s">
        <v>528</v>
      </c>
      <c r="Y671" s="24" t="s">
        <v>529</v>
      </c>
      <c r="Z671" s="102" t="s">
        <v>528</v>
      </c>
      <c r="AA671" s="24" t="s">
        <v>528</v>
      </c>
      <c r="AB671" s="24" t="s">
        <v>528</v>
      </c>
      <c r="AC671" s="24" t="s">
        <v>528</v>
      </c>
      <c r="AD671" s="24" t="s">
        <v>528</v>
      </c>
      <c r="AE671" s="24" t="s">
        <v>529</v>
      </c>
      <c r="AF671" s="24">
        <v>2</v>
      </c>
      <c r="AG671" s="24" t="s">
        <v>529</v>
      </c>
      <c r="AH671" s="24">
        <v>1</v>
      </c>
      <c r="AI671" s="24" t="s">
        <v>529</v>
      </c>
      <c r="AJ671" s="24">
        <v>1</v>
      </c>
      <c r="AK671" s="24" t="s">
        <v>530</v>
      </c>
      <c r="AL671" s="24"/>
    </row>
    <row r="672" spans="1:38" ht="31.2" x14ac:dyDescent="0.3">
      <c r="A672" s="53">
        <v>665</v>
      </c>
      <c r="B672" s="24" t="s">
        <v>544</v>
      </c>
      <c r="C672" s="24" t="s">
        <v>653</v>
      </c>
      <c r="D672" s="82" t="s">
        <v>1361</v>
      </c>
      <c r="E672" s="24" t="s">
        <v>1293</v>
      </c>
      <c r="F672" s="24" t="s">
        <v>200</v>
      </c>
      <c r="G672" s="24"/>
      <c r="H672" s="24" t="s">
        <v>1435</v>
      </c>
      <c r="I672" s="30" t="s">
        <v>525</v>
      </c>
      <c r="J672" s="24"/>
      <c r="K672" s="24" t="s">
        <v>199</v>
      </c>
      <c r="L672" s="24" t="s">
        <v>199</v>
      </c>
      <c r="M672" s="24">
        <v>1908</v>
      </c>
      <c r="N672" s="24" t="s">
        <v>527</v>
      </c>
      <c r="O672" s="24">
        <v>5</v>
      </c>
      <c r="P672" s="24">
        <v>0</v>
      </c>
      <c r="Q672" s="24">
        <v>4</v>
      </c>
      <c r="R672" s="24">
        <v>25</v>
      </c>
      <c r="S672" s="24">
        <v>2213.1999999999998</v>
      </c>
      <c r="T672" s="24">
        <v>2213.1999999999998</v>
      </c>
      <c r="U672" s="24">
        <v>2104.1999999999998</v>
      </c>
      <c r="V672" s="24">
        <v>109</v>
      </c>
      <c r="W672" s="24" t="s">
        <v>528</v>
      </c>
      <c r="X672" s="24" t="s">
        <v>528</v>
      </c>
      <c r="Y672" s="24" t="s">
        <v>529</v>
      </c>
      <c r="Z672" s="102" t="s">
        <v>528</v>
      </c>
      <c r="AA672" s="24" t="s">
        <v>528</v>
      </c>
      <c r="AB672" s="24" t="s">
        <v>528</v>
      </c>
      <c r="AC672" s="24" t="s">
        <v>528</v>
      </c>
      <c r="AD672" s="24" t="s">
        <v>528</v>
      </c>
      <c r="AE672" s="24" t="s">
        <v>529</v>
      </c>
      <c r="AF672" s="24">
        <v>0</v>
      </c>
      <c r="AG672" s="24" t="s">
        <v>529</v>
      </c>
      <c r="AH672" s="24">
        <v>1</v>
      </c>
      <c r="AI672" s="24" t="s">
        <v>529</v>
      </c>
      <c r="AJ672" s="24">
        <v>1</v>
      </c>
      <c r="AK672" s="24" t="s">
        <v>530</v>
      </c>
      <c r="AL672" s="24"/>
    </row>
    <row r="673" spans="1:38" ht="31.2" x14ac:dyDescent="0.3">
      <c r="A673" s="53">
        <v>666</v>
      </c>
      <c r="B673" s="24" t="s">
        <v>544</v>
      </c>
      <c r="C673" s="24" t="s">
        <v>653</v>
      </c>
      <c r="D673" s="82" t="s">
        <v>1361</v>
      </c>
      <c r="E673" s="24" t="s">
        <v>1132</v>
      </c>
      <c r="F673" s="24" t="s">
        <v>200</v>
      </c>
      <c r="G673" s="24"/>
      <c r="H673" s="24" t="s">
        <v>1436</v>
      </c>
      <c r="I673" s="30" t="s">
        <v>525</v>
      </c>
      <c r="J673" s="24"/>
      <c r="K673" s="24" t="s">
        <v>199</v>
      </c>
      <c r="L673" s="24" t="s">
        <v>199</v>
      </c>
      <c r="M673" s="24">
        <v>1912</v>
      </c>
      <c r="N673" s="24" t="s">
        <v>527</v>
      </c>
      <c r="O673" s="24">
        <v>5</v>
      </c>
      <c r="P673" s="24">
        <v>0</v>
      </c>
      <c r="Q673" s="24">
        <v>4</v>
      </c>
      <c r="R673" s="24">
        <v>31</v>
      </c>
      <c r="S673" s="24">
        <v>2185.98</v>
      </c>
      <c r="T673" s="24">
        <v>2185.98</v>
      </c>
      <c r="U673" s="24">
        <v>2185.98</v>
      </c>
      <c r="V673" s="24">
        <v>0</v>
      </c>
      <c r="W673" s="24" t="s">
        <v>528</v>
      </c>
      <c r="X673" s="24" t="s">
        <v>528</v>
      </c>
      <c r="Y673" s="24" t="s">
        <v>529</v>
      </c>
      <c r="Z673" s="102" t="s">
        <v>528</v>
      </c>
      <c r="AA673" s="24" t="s">
        <v>528</v>
      </c>
      <c r="AB673" s="24" t="s">
        <v>528</v>
      </c>
      <c r="AC673" s="24" t="s">
        <v>528</v>
      </c>
      <c r="AD673" s="24" t="s">
        <v>528</v>
      </c>
      <c r="AE673" s="24" t="s">
        <v>529</v>
      </c>
      <c r="AF673" s="24">
        <v>0</v>
      </c>
      <c r="AG673" s="24" t="s">
        <v>529</v>
      </c>
      <c r="AH673" s="24">
        <v>1</v>
      </c>
      <c r="AI673" s="24" t="s">
        <v>529</v>
      </c>
      <c r="AJ673" s="24">
        <v>1</v>
      </c>
      <c r="AK673" s="24" t="s">
        <v>530</v>
      </c>
      <c r="AL673" s="24"/>
    </row>
    <row r="674" spans="1:38" ht="31.2" x14ac:dyDescent="0.3">
      <c r="A674" s="53">
        <v>667</v>
      </c>
      <c r="B674" s="24" t="s">
        <v>544</v>
      </c>
      <c r="C674" s="24" t="s">
        <v>653</v>
      </c>
      <c r="D674" s="82" t="s">
        <v>1361</v>
      </c>
      <c r="E674" s="24" t="s">
        <v>169</v>
      </c>
      <c r="F674" s="24" t="s">
        <v>200</v>
      </c>
      <c r="G674" s="24"/>
      <c r="H674" s="24" t="s">
        <v>1437</v>
      </c>
      <c r="I674" s="30" t="s">
        <v>525</v>
      </c>
      <c r="J674" s="24"/>
      <c r="K674" s="24" t="s">
        <v>199</v>
      </c>
      <c r="L674" s="24" t="s">
        <v>199</v>
      </c>
      <c r="M674" s="24">
        <v>1901</v>
      </c>
      <c r="N674" s="24" t="s">
        <v>527</v>
      </c>
      <c r="O674" s="24">
        <v>5</v>
      </c>
      <c r="P674" s="24">
        <v>0</v>
      </c>
      <c r="Q674" s="24">
        <v>2</v>
      </c>
      <c r="R674" s="24">
        <v>27</v>
      </c>
      <c r="S674" s="24">
        <v>1688.1</v>
      </c>
      <c r="T674" s="24">
        <v>1688.1</v>
      </c>
      <c r="U674" s="24">
        <v>1631.1</v>
      </c>
      <c r="V674" s="24">
        <v>57</v>
      </c>
      <c r="W674" s="24" t="s">
        <v>528</v>
      </c>
      <c r="X674" s="24" t="s">
        <v>528</v>
      </c>
      <c r="Y674" s="24" t="s">
        <v>529</v>
      </c>
      <c r="Z674" s="102" t="s">
        <v>528</v>
      </c>
      <c r="AA674" s="24" t="s">
        <v>528</v>
      </c>
      <c r="AB674" s="24" t="s">
        <v>528</v>
      </c>
      <c r="AC674" s="24" t="s">
        <v>528</v>
      </c>
      <c r="AD674" s="24" t="s">
        <v>528</v>
      </c>
      <c r="AE674" s="24" t="s">
        <v>529</v>
      </c>
      <c r="AF674" s="24">
        <v>0</v>
      </c>
      <c r="AG674" s="24" t="s">
        <v>529</v>
      </c>
      <c r="AH674" s="24">
        <v>1</v>
      </c>
      <c r="AI674" s="24" t="s">
        <v>529</v>
      </c>
      <c r="AJ674" s="24" t="s">
        <v>529</v>
      </c>
      <c r="AK674" s="24" t="s">
        <v>530</v>
      </c>
      <c r="AL674" s="24"/>
    </row>
    <row r="675" spans="1:38" ht="31.2" x14ac:dyDescent="0.3">
      <c r="A675" s="53">
        <v>668</v>
      </c>
      <c r="B675" s="24" t="s">
        <v>544</v>
      </c>
      <c r="C675" s="24" t="s">
        <v>521</v>
      </c>
      <c r="D675" s="82" t="s">
        <v>392</v>
      </c>
      <c r="E675" s="24" t="s">
        <v>1438</v>
      </c>
      <c r="F675" s="24" t="s">
        <v>200</v>
      </c>
      <c r="G675" s="24"/>
      <c r="H675" s="24" t="s">
        <v>1439</v>
      </c>
      <c r="I675" s="30" t="s">
        <v>525</v>
      </c>
      <c r="J675" s="24"/>
      <c r="K675" s="24" t="s">
        <v>199</v>
      </c>
      <c r="L675" s="24" t="s">
        <v>199</v>
      </c>
      <c r="M675" s="24">
        <v>1912</v>
      </c>
      <c r="N675" s="24" t="s">
        <v>527</v>
      </c>
      <c r="O675" s="24">
        <v>7</v>
      </c>
      <c r="P675" s="24">
        <v>0</v>
      </c>
      <c r="Q675" s="24">
        <v>2</v>
      </c>
      <c r="R675" s="24">
        <v>23</v>
      </c>
      <c r="S675" s="24">
        <v>2001.4</v>
      </c>
      <c r="T675" s="24">
        <v>2001.4</v>
      </c>
      <c r="U675" s="24">
        <v>1590.4</v>
      </c>
      <c r="V675" s="24">
        <v>411</v>
      </c>
      <c r="W675" s="24" t="s">
        <v>528</v>
      </c>
      <c r="X675" s="24" t="s">
        <v>528</v>
      </c>
      <c r="Y675" s="24" t="s">
        <v>529</v>
      </c>
      <c r="Z675" s="102" t="s">
        <v>528</v>
      </c>
      <c r="AA675" s="24" t="s">
        <v>528</v>
      </c>
      <c r="AB675" s="24" t="s">
        <v>528</v>
      </c>
      <c r="AC675" s="24" t="s">
        <v>528</v>
      </c>
      <c r="AD675" s="24" t="s">
        <v>528</v>
      </c>
      <c r="AE675" s="24" t="s">
        <v>529</v>
      </c>
      <c r="AF675" s="24">
        <v>1</v>
      </c>
      <c r="AG675" s="24" t="s">
        <v>529</v>
      </c>
      <c r="AH675" s="24">
        <v>1</v>
      </c>
      <c r="AI675" s="24" t="s">
        <v>529</v>
      </c>
      <c r="AJ675" s="24" t="s">
        <v>529</v>
      </c>
      <c r="AK675" s="24" t="s">
        <v>530</v>
      </c>
      <c r="AL675" s="24"/>
    </row>
    <row r="676" spans="1:38" ht="31.2" x14ac:dyDescent="0.3">
      <c r="A676" s="53">
        <v>669</v>
      </c>
      <c r="B676" s="24" t="s">
        <v>544</v>
      </c>
      <c r="C676" s="24" t="s">
        <v>521</v>
      </c>
      <c r="D676" s="82" t="s">
        <v>392</v>
      </c>
      <c r="E676" s="24" t="s">
        <v>1440</v>
      </c>
      <c r="F676" s="24" t="s">
        <v>200</v>
      </c>
      <c r="G676" s="24"/>
      <c r="H676" s="24" t="s">
        <v>1441</v>
      </c>
      <c r="I676" s="30" t="s">
        <v>525</v>
      </c>
      <c r="J676" s="24"/>
      <c r="K676" s="24" t="s">
        <v>199</v>
      </c>
      <c r="L676" s="24" t="s">
        <v>199</v>
      </c>
      <c r="M676" s="24">
        <v>1912</v>
      </c>
      <c r="N676" s="24" t="s">
        <v>527</v>
      </c>
      <c r="O676" s="24">
        <v>5</v>
      </c>
      <c r="P676" s="24">
        <v>0</v>
      </c>
      <c r="Q676" s="24">
        <v>3</v>
      </c>
      <c r="R676" s="24">
        <v>25</v>
      </c>
      <c r="S676" s="24">
        <v>2539.1999999999998</v>
      </c>
      <c r="T676" s="24">
        <v>2539.1999999999998</v>
      </c>
      <c r="U676" s="24">
        <v>2118.1999999999998</v>
      </c>
      <c r="V676" s="24">
        <v>421</v>
      </c>
      <c r="W676" s="24" t="s">
        <v>528</v>
      </c>
      <c r="X676" s="24" t="s">
        <v>528</v>
      </c>
      <c r="Y676" s="24" t="s">
        <v>529</v>
      </c>
      <c r="Z676" s="102" t="s">
        <v>528</v>
      </c>
      <c r="AA676" s="24" t="s">
        <v>528</v>
      </c>
      <c r="AB676" s="24" t="s">
        <v>528</v>
      </c>
      <c r="AC676" s="24" t="s">
        <v>528</v>
      </c>
      <c r="AD676" s="24" t="s">
        <v>528</v>
      </c>
      <c r="AE676" s="24" t="s">
        <v>529</v>
      </c>
      <c r="AF676" s="24">
        <v>0</v>
      </c>
      <c r="AG676" s="24" t="s">
        <v>529</v>
      </c>
      <c r="AH676" s="24">
        <v>1</v>
      </c>
      <c r="AI676" s="24" t="s">
        <v>529</v>
      </c>
      <c r="AJ676" s="24">
        <v>1</v>
      </c>
      <c r="AK676" s="24" t="s">
        <v>530</v>
      </c>
      <c r="AL676" s="24"/>
    </row>
    <row r="677" spans="1:38" ht="31.2" x14ac:dyDescent="0.3">
      <c r="A677" s="53">
        <v>670</v>
      </c>
      <c r="B677" s="24" t="s">
        <v>544</v>
      </c>
      <c r="C677" s="24" t="s">
        <v>653</v>
      </c>
      <c r="D677" s="82" t="s">
        <v>414</v>
      </c>
      <c r="E677" s="24" t="s">
        <v>536</v>
      </c>
      <c r="F677" s="24" t="s">
        <v>200</v>
      </c>
      <c r="G677" s="24"/>
      <c r="H677" s="24" t="s">
        <v>1442</v>
      </c>
      <c r="I677" s="30" t="s">
        <v>525</v>
      </c>
      <c r="J677" s="24"/>
      <c r="K677" s="24" t="s">
        <v>199</v>
      </c>
      <c r="L677" s="24" t="s">
        <v>199</v>
      </c>
      <c r="M677" s="24">
        <v>1901</v>
      </c>
      <c r="N677" s="24" t="s">
        <v>527</v>
      </c>
      <c r="O677" s="24">
        <v>4</v>
      </c>
      <c r="P677" s="24">
        <v>0</v>
      </c>
      <c r="Q677" s="24">
        <v>3</v>
      </c>
      <c r="R677" s="24">
        <v>23</v>
      </c>
      <c r="S677" s="24">
        <v>1474.7</v>
      </c>
      <c r="T677" s="24">
        <v>1474.7</v>
      </c>
      <c r="U677" s="24">
        <v>1474.7</v>
      </c>
      <c r="V677" s="24">
        <v>0</v>
      </c>
      <c r="W677" s="24" t="s">
        <v>528</v>
      </c>
      <c r="X677" s="24" t="s">
        <v>528</v>
      </c>
      <c r="Y677" s="24" t="s">
        <v>529</v>
      </c>
      <c r="Z677" s="102" t="s">
        <v>528</v>
      </c>
      <c r="AA677" s="24" t="s">
        <v>528</v>
      </c>
      <c r="AB677" s="24" t="s">
        <v>528</v>
      </c>
      <c r="AC677" s="24" t="s">
        <v>528</v>
      </c>
      <c r="AD677" s="24" t="s">
        <v>528</v>
      </c>
      <c r="AE677" s="24" t="s">
        <v>529</v>
      </c>
      <c r="AF677" s="24">
        <v>0</v>
      </c>
      <c r="AG677" s="24" t="s">
        <v>529</v>
      </c>
      <c r="AH677" s="24">
        <v>1</v>
      </c>
      <c r="AI677" s="24" t="s">
        <v>529</v>
      </c>
      <c r="AJ677" s="24">
        <v>1</v>
      </c>
      <c r="AK677" s="24" t="s">
        <v>530</v>
      </c>
      <c r="AL677" s="24"/>
    </row>
    <row r="678" spans="1:38" ht="31.2" x14ac:dyDescent="0.3">
      <c r="A678" s="53">
        <v>671</v>
      </c>
      <c r="B678" s="24" t="s">
        <v>544</v>
      </c>
      <c r="C678" s="24" t="s">
        <v>653</v>
      </c>
      <c r="D678" s="82" t="s">
        <v>414</v>
      </c>
      <c r="E678" s="24" t="s">
        <v>1443</v>
      </c>
      <c r="F678" s="24" t="s">
        <v>205</v>
      </c>
      <c r="G678" s="24"/>
      <c r="H678" s="24" t="s">
        <v>1444</v>
      </c>
      <c r="I678" s="30" t="s">
        <v>525</v>
      </c>
      <c r="J678" s="24"/>
      <c r="K678" s="24" t="s">
        <v>199</v>
      </c>
      <c r="L678" s="24" t="s">
        <v>199</v>
      </c>
      <c r="M678" s="24">
        <v>1898</v>
      </c>
      <c r="N678" s="24" t="s">
        <v>527</v>
      </c>
      <c r="O678" s="24">
        <v>2</v>
      </c>
      <c r="P678" s="24">
        <v>0</v>
      </c>
      <c r="Q678" s="24">
        <v>1</v>
      </c>
      <c r="R678" s="24">
        <v>1</v>
      </c>
      <c r="S678" s="24">
        <v>326</v>
      </c>
      <c r="T678" s="24">
        <v>326</v>
      </c>
      <c r="U678" s="24">
        <v>326</v>
      </c>
      <c r="V678" s="24">
        <v>0</v>
      </c>
      <c r="W678" s="24" t="s">
        <v>528</v>
      </c>
      <c r="X678" s="24" t="s">
        <v>528</v>
      </c>
      <c r="Y678" s="24" t="s">
        <v>529</v>
      </c>
      <c r="Z678" s="102" t="s">
        <v>528</v>
      </c>
      <c r="AA678" s="24" t="s">
        <v>528</v>
      </c>
      <c r="AB678" s="24" t="s">
        <v>528</v>
      </c>
      <c r="AC678" s="24" t="s">
        <v>529</v>
      </c>
      <c r="AD678" s="24" t="s">
        <v>528</v>
      </c>
      <c r="AE678" s="24" t="s">
        <v>529</v>
      </c>
      <c r="AF678" s="24">
        <v>0</v>
      </c>
      <c r="AG678" s="24" t="s">
        <v>529</v>
      </c>
      <c r="AH678" s="24" t="s">
        <v>529</v>
      </c>
      <c r="AI678" s="24" t="s">
        <v>529</v>
      </c>
      <c r="AJ678" s="24">
        <v>1</v>
      </c>
      <c r="AK678" s="24" t="s">
        <v>530</v>
      </c>
      <c r="AL678" s="24"/>
    </row>
    <row r="679" spans="1:38" ht="31.2" x14ac:dyDescent="0.3">
      <c r="A679" s="53">
        <v>672</v>
      </c>
      <c r="B679" s="24" t="s">
        <v>544</v>
      </c>
      <c r="C679" s="24" t="s">
        <v>653</v>
      </c>
      <c r="D679" s="82" t="s">
        <v>414</v>
      </c>
      <c r="E679" s="24" t="s">
        <v>172</v>
      </c>
      <c r="F679" s="24" t="s">
        <v>200</v>
      </c>
      <c r="G679" s="24"/>
      <c r="H679" s="24" t="s">
        <v>1445</v>
      </c>
      <c r="I679" s="30" t="s">
        <v>525</v>
      </c>
      <c r="J679" s="24"/>
      <c r="K679" s="24" t="s">
        <v>199</v>
      </c>
      <c r="L679" s="24" t="s">
        <v>199</v>
      </c>
      <c r="M679" s="24">
        <v>1903</v>
      </c>
      <c r="N679" s="24" t="s">
        <v>527</v>
      </c>
      <c r="O679" s="24">
        <v>5</v>
      </c>
      <c r="P679" s="24">
        <v>0</v>
      </c>
      <c r="Q679" s="24">
        <v>2</v>
      </c>
      <c r="R679" s="24">
        <v>18</v>
      </c>
      <c r="S679" s="24">
        <v>1488</v>
      </c>
      <c r="T679" s="24">
        <v>1488</v>
      </c>
      <c r="U679" s="24">
        <v>146.6</v>
      </c>
      <c r="V679" s="24"/>
      <c r="W679" s="24" t="s">
        <v>528</v>
      </c>
      <c r="X679" s="24" t="s">
        <v>528</v>
      </c>
      <c r="Y679" s="24" t="s">
        <v>529</v>
      </c>
      <c r="Z679" s="102" t="s">
        <v>528</v>
      </c>
      <c r="AA679" s="24" t="s">
        <v>528</v>
      </c>
      <c r="AB679" s="24" t="s">
        <v>528</v>
      </c>
      <c r="AC679" s="24" t="s">
        <v>528</v>
      </c>
      <c r="AD679" s="24" t="s">
        <v>528</v>
      </c>
      <c r="AE679" s="24" t="s">
        <v>529</v>
      </c>
      <c r="AF679" s="24">
        <v>0</v>
      </c>
      <c r="AG679" s="24" t="s">
        <v>529</v>
      </c>
      <c r="AH679" s="24">
        <v>1</v>
      </c>
      <c r="AI679" s="24" t="s">
        <v>529</v>
      </c>
      <c r="AJ679" s="24">
        <v>1</v>
      </c>
      <c r="AK679" s="24" t="s">
        <v>530</v>
      </c>
      <c r="AL679" s="24"/>
    </row>
    <row r="680" spans="1:38" ht="31.2" x14ac:dyDescent="0.3">
      <c r="A680" s="53">
        <v>673</v>
      </c>
      <c r="B680" s="24" t="s">
        <v>544</v>
      </c>
      <c r="C680" s="24" t="s">
        <v>653</v>
      </c>
      <c r="D680" s="82" t="s">
        <v>461</v>
      </c>
      <c r="E680" s="24" t="s">
        <v>1446</v>
      </c>
      <c r="F680" s="24" t="s">
        <v>200</v>
      </c>
      <c r="G680" s="24"/>
      <c r="H680" s="24" t="s">
        <v>1447</v>
      </c>
      <c r="I680" s="30" t="s">
        <v>525</v>
      </c>
      <c r="J680" s="24"/>
      <c r="K680" s="24" t="s">
        <v>199</v>
      </c>
      <c r="L680" s="24" t="s">
        <v>199</v>
      </c>
      <c r="M680" s="24">
        <v>1904</v>
      </c>
      <c r="N680" s="24" t="s">
        <v>527</v>
      </c>
      <c r="O680" s="24">
        <v>4</v>
      </c>
      <c r="P680" s="24">
        <v>0</v>
      </c>
      <c r="Q680" s="24">
        <v>2</v>
      </c>
      <c r="R680" s="24">
        <v>20</v>
      </c>
      <c r="S680" s="24">
        <v>1180.7</v>
      </c>
      <c r="T680" s="24">
        <v>1180.7</v>
      </c>
      <c r="U680" s="24">
        <v>58</v>
      </c>
      <c r="V680" s="24"/>
      <c r="W680" s="24" t="s">
        <v>528</v>
      </c>
      <c r="X680" s="24" t="s">
        <v>528</v>
      </c>
      <c r="Y680" s="24" t="s">
        <v>529</v>
      </c>
      <c r="Z680" s="102" t="s">
        <v>528</v>
      </c>
      <c r="AA680" s="24" t="s">
        <v>528</v>
      </c>
      <c r="AB680" s="24" t="s">
        <v>528</v>
      </c>
      <c r="AC680" s="24" t="s">
        <v>528</v>
      </c>
      <c r="AD680" s="24" t="s">
        <v>528</v>
      </c>
      <c r="AE680" s="24" t="s">
        <v>529</v>
      </c>
      <c r="AF680" s="24">
        <v>0</v>
      </c>
      <c r="AG680" s="24" t="s">
        <v>529</v>
      </c>
      <c r="AH680" s="24">
        <v>1</v>
      </c>
      <c r="AI680" s="24" t="s">
        <v>529</v>
      </c>
      <c r="AJ680" s="24" t="s">
        <v>529</v>
      </c>
      <c r="AK680" s="24" t="s">
        <v>530</v>
      </c>
      <c r="AL680" s="24"/>
    </row>
    <row r="681" spans="1:38" ht="31.2" x14ac:dyDescent="0.3">
      <c r="A681" s="53">
        <v>674</v>
      </c>
      <c r="B681" s="24" t="s">
        <v>544</v>
      </c>
      <c r="C681" s="24" t="s">
        <v>653</v>
      </c>
      <c r="D681" s="82" t="s">
        <v>471</v>
      </c>
      <c r="E681" s="24" t="s">
        <v>1448</v>
      </c>
      <c r="F681" s="24" t="s">
        <v>200</v>
      </c>
      <c r="G681" s="24"/>
      <c r="H681" s="24" t="s">
        <v>1449</v>
      </c>
      <c r="I681" s="30" t="s">
        <v>525</v>
      </c>
      <c r="J681" s="24"/>
      <c r="K681" s="24" t="s">
        <v>199</v>
      </c>
      <c r="L681" s="24" t="s">
        <v>199</v>
      </c>
      <c r="M681" s="24">
        <v>1912</v>
      </c>
      <c r="N681" s="24" t="s">
        <v>527</v>
      </c>
      <c r="O681" s="24">
        <v>6</v>
      </c>
      <c r="P681" s="24">
        <v>0</v>
      </c>
      <c r="Q681" s="24">
        <v>1</v>
      </c>
      <c r="R681" s="24">
        <v>30</v>
      </c>
      <c r="S681" s="24">
        <v>1848.6</v>
      </c>
      <c r="T681" s="24">
        <v>1848.6</v>
      </c>
      <c r="U681" s="24">
        <v>277</v>
      </c>
      <c r="V681" s="24"/>
      <c r="W681" s="24" t="s">
        <v>528</v>
      </c>
      <c r="X681" s="24" t="s">
        <v>528</v>
      </c>
      <c r="Y681" s="24" t="s">
        <v>529</v>
      </c>
      <c r="Z681" s="102" t="s">
        <v>528</v>
      </c>
      <c r="AA681" s="24" t="s">
        <v>528</v>
      </c>
      <c r="AB681" s="24" t="s">
        <v>528</v>
      </c>
      <c r="AC681" s="24" t="s">
        <v>528</v>
      </c>
      <c r="AD681" s="24" t="s">
        <v>528</v>
      </c>
      <c r="AE681" s="24" t="s">
        <v>529</v>
      </c>
      <c r="AF681" s="24">
        <v>0</v>
      </c>
      <c r="AG681" s="24" t="s">
        <v>529</v>
      </c>
      <c r="AH681" s="24">
        <v>1</v>
      </c>
      <c r="AI681" s="24" t="s">
        <v>529</v>
      </c>
      <c r="AJ681" s="24" t="s">
        <v>529</v>
      </c>
      <c r="AK681" s="24" t="s">
        <v>530</v>
      </c>
      <c r="AL681" s="24"/>
    </row>
    <row r="682" spans="1:38" ht="31.2" x14ac:dyDescent="0.3">
      <c r="A682" s="53">
        <v>675</v>
      </c>
      <c r="B682" s="24" t="s">
        <v>544</v>
      </c>
      <c r="C682" s="24" t="s">
        <v>653</v>
      </c>
      <c r="D682" s="82" t="s">
        <v>471</v>
      </c>
      <c r="E682" s="24" t="s">
        <v>1450</v>
      </c>
      <c r="F682" s="24" t="s">
        <v>200</v>
      </c>
      <c r="G682" s="24"/>
      <c r="H682" s="24" t="s">
        <v>1451</v>
      </c>
      <c r="I682" s="30" t="s">
        <v>525</v>
      </c>
      <c r="J682" s="24"/>
      <c r="K682" s="24" t="s">
        <v>199</v>
      </c>
      <c r="L682" s="24" t="s">
        <v>199</v>
      </c>
      <c r="M682" s="24">
        <v>1903</v>
      </c>
      <c r="N682" s="24" t="s">
        <v>527</v>
      </c>
      <c r="O682" s="24">
        <v>6</v>
      </c>
      <c r="P682" s="24">
        <v>0</v>
      </c>
      <c r="Q682" s="24">
        <v>4</v>
      </c>
      <c r="R682" s="24">
        <v>30</v>
      </c>
      <c r="S682" s="24">
        <v>3216.3</v>
      </c>
      <c r="T682" s="24">
        <v>3216.3</v>
      </c>
      <c r="U682" s="24">
        <v>580</v>
      </c>
      <c r="V682" s="24"/>
      <c r="W682" s="24" t="s">
        <v>528</v>
      </c>
      <c r="X682" s="24" t="s">
        <v>528</v>
      </c>
      <c r="Y682" s="24" t="s">
        <v>529</v>
      </c>
      <c r="Z682" s="102" t="s">
        <v>528</v>
      </c>
      <c r="AA682" s="24" t="s">
        <v>528</v>
      </c>
      <c r="AB682" s="24" t="s">
        <v>528</v>
      </c>
      <c r="AC682" s="24" t="s">
        <v>528</v>
      </c>
      <c r="AD682" s="24" t="s">
        <v>528</v>
      </c>
      <c r="AE682" s="24" t="s">
        <v>529</v>
      </c>
      <c r="AF682" s="24">
        <v>0</v>
      </c>
      <c r="AG682" s="24" t="s">
        <v>529</v>
      </c>
      <c r="AH682" s="24">
        <v>1</v>
      </c>
      <c r="AI682" s="24" t="s">
        <v>529</v>
      </c>
      <c r="AJ682" s="24">
        <v>1</v>
      </c>
      <c r="AK682" s="24" t="s">
        <v>530</v>
      </c>
      <c r="AL682" s="24"/>
    </row>
    <row r="683" spans="1:38" ht="31.2" x14ac:dyDescent="0.3">
      <c r="A683" s="53">
        <v>676</v>
      </c>
      <c r="B683" s="24" t="s">
        <v>544</v>
      </c>
      <c r="C683" s="24" t="s">
        <v>653</v>
      </c>
      <c r="D683" s="82" t="s">
        <v>471</v>
      </c>
      <c r="E683" s="24" t="s">
        <v>1129</v>
      </c>
      <c r="F683" s="24" t="s">
        <v>200</v>
      </c>
      <c r="G683" s="24"/>
      <c r="H683" s="24" t="s">
        <v>1452</v>
      </c>
      <c r="I683" s="30" t="s">
        <v>525</v>
      </c>
      <c r="J683" s="24"/>
      <c r="K683" s="24" t="s">
        <v>199</v>
      </c>
      <c r="L683" s="24" t="s">
        <v>199</v>
      </c>
      <c r="M683" s="24">
        <v>1905</v>
      </c>
      <c r="N683" s="24" t="s">
        <v>527</v>
      </c>
      <c r="O683" s="24">
        <v>4</v>
      </c>
      <c r="P683" s="24">
        <v>0</v>
      </c>
      <c r="Q683" s="24">
        <v>4</v>
      </c>
      <c r="R683" s="24">
        <v>17</v>
      </c>
      <c r="S683" s="24">
        <v>2024</v>
      </c>
      <c r="T683" s="24">
        <v>2024</v>
      </c>
      <c r="U683" s="24">
        <v>166</v>
      </c>
      <c r="V683" s="24"/>
      <c r="W683" s="24" t="s">
        <v>528</v>
      </c>
      <c r="X683" s="24" t="s">
        <v>528</v>
      </c>
      <c r="Y683" s="24" t="s">
        <v>529</v>
      </c>
      <c r="Z683" s="102" t="s">
        <v>528</v>
      </c>
      <c r="AA683" s="24" t="s">
        <v>528</v>
      </c>
      <c r="AB683" s="24" t="s">
        <v>528</v>
      </c>
      <c r="AC683" s="24" t="s">
        <v>528</v>
      </c>
      <c r="AD683" s="24" t="s">
        <v>528</v>
      </c>
      <c r="AE683" s="24" t="s">
        <v>529</v>
      </c>
      <c r="AF683" s="24">
        <v>0</v>
      </c>
      <c r="AG683" s="24" t="s">
        <v>529</v>
      </c>
      <c r="AH683" s="24">
        <v>1</v>
      </c>
      <c r="AI683" s="24" t="s">
        <v>529</v>
      </c>
      <c r="AJ683" s="24" t="s">
        <v>529</v>
      </c>
      <c r="AK683" s="24" t="s">
        <v>530</v>
      </c>
      <c r="AL683" s="24"/>
    </row>
    <row r="684" spans="1:38" ht="31.2" x14ac:dyDescent="0.3">
      <c r="A684" s="53">
        <v>677</v>
      </c>
      <c r="B684" s="24" t="s">
        <v>544</v>
      </c>
      <c r="C684" s="24" t="s">
        <v>653</v>
      </c>
      <c r="D684" s="82" t="s">
        <v>471</v>
      </c>
      <c r="E684" s="24" t="s">
        <v>1453</v>
      </c>
      <c r="F684" s="24" t="s">
        <v>200</v>
      </c>
      <c r="G684" s="24"/>
      <c r="H684" s="24" t="s">
        <v>1454</v>
      </c>
      <c r="I684" s="30" t="s">
        <v>525</v>
      </c>
      <c r="J684" s="24"/>
      <c r="K684" s="24" t="s">
        <v>199</v>
      </c>
      <c r="L684" s="24" t="s">
        <v>199</v>
      </c>
      <c r="M684" s="24">
        <v>1911</v>
      </c>
      <c r="N684" s="24" t="s">
        <v>527</v>
      </c>
      <c r="O684" s="24">
        <v>5</v>
      </c>
      <c r="P684" s="24">
        <v>0</v>
      </c>
      <c r="Q684" s="24">
        <v>1</v>
      </c>
      <c r="R684" s="24">
        <v>19</v>
      </c>
      <c r="S684" s="24">
        <v>1457.1</v>
      </c>
      <c r="T684" s="24">
        <v>1457.1</v>
      </c>
      <c r="U684" s="24">
        <v>53</v>
      </c>
      <c r="V684" s="24"/>
      <c r="W684" s="24" t="s">
        <v>528</v>
      </c>
      <c r="X684" s="24" t="s">
        <v>528</v>
      </c>
      <c r="Y684" s="24" t="s">
        <v>529</v>
      </c>
      <c r="Z684" s="102" t="s">
        <v>528</v>
      </c>
      <c r="AA684" s="24" t="s">
        <v>528</v>
      </c>
      <c r="AB684" s="24" t="s">
        <v>528</v>
      </c>
      <c r="AC684" s="24" t="s">
        <v>528</v>
      </c>
      <c r="AD684" s="24" t="s">
        <v>528</v>
      </c>
      <c r="AE684" s="24" t="s">
        <v>529</v>
      </c>
      <c r="AF684" s="24">
        <v>0</v>
      </c>
      <c r="AG684" s="24" t="s">
        <v>529</v>
      </c>
      <c r="AH684" s="24">
        <v>1</v>
      </c>
      <c r="AI684" s="24" t="s">
        <v>529</v>
      </c>
      <c r="AJ684" s="24" t="s">
        <v>529</v>
      </c>
      <c r="AK684" s="24" t="s">
        <v>530</v>
      </c>
      <c r="AL684" s="24"/>
    </row>
    <row r="685" spans="1:38" ht="31.2" x14ac:dyDescent="0.3">
      <c r="A685" s="53">
        <v>678</v>
      </c>
      <c r="B685" s="24" t="s">
        <v>544</v>
      </c>
      <c r="C685" s="24" t="s">
        <v>653</v>
      </c>
      <c r="D685" s="82" t="s">
        <v>471</v>
      </c>
      <c r="E685" s="24" t="s">
        <v>1453</v>
      </c>
      <c r="F685" s="24" t="s">
        <v>205</v>
      </c>
      <c r="G685" s="24"/>
      <c r="H685" s="24" t="s">
        <v>1455</v>
      </c>
      <c r="I685" s="30" t="s">
        <v>525</v>
      </c>
      <c r="J685" s="24"/>
      <c r="K685" s="24" t="s">
        <v>199</v>
      </c>
      <c r="L685" s="24" t="s">
        <v>199</v>
      </c>
      <c r="M685" s="24">
        <v>1898</v>
      </c>
      <c r="N685" s="24" t="s">
        <v>527</v>
      </c>
      <c r="O685" s="24">
        <v>3</v>
      </c>
      <c r="P685" s="24">
        <v>0</v>
      </c>
      <c r="Q685" s="24">
        <v>1</v>
      </c>
      <c r="R685" s="24">
        <v>6</v>
      </c>
      <c r="S685" s="24">
        <v>459.67</v>
      </c>
      <c r="T685" s="24">
        <v>459.67</v>
      </c>
      <c r="U685" s="24">
        <v>0</v>
      </c>
      <c r="V685" s="24"/>
      <c r="W685" s="24" t="s">
        <v>528</v>
      </c>
      <c r="X685" s="24" t="s">
        <v>528</v>
      </c>
      <c r="Y685" s="24" t="s">
        <v>529</v>
      </c>
      <c r="Z685" s="102" t="s">
        <v>528</v>
      </c>
      <c r="AA685" s="24" t="s">
        <v>528</v>
      </c>
      <c r="AB685" s="24" t="s">
        <v>528</v>
      </c>
      <c r="AC685" s="24" t="s">
        <v>528</v>
      </c>
      <c r="AD685" s="24" t="s">
        <v>528</v>
      </c>
      <c r="AE685" s="24" t="s">
        <v>529</v>
      </c>
      <c r="AF685" s="24">
        <v>0</v>
      </c>
      <c r="AG685" s="24" t="s">
        <v>529</v>
      </c>
      <c r="AH685" s="24" t="s">
        <v>529</v>
      </c>
      <c r="AI685" s="24" t="s">
        <v>529</v>
      </c>
      <c r="AJ685" s="24" t="s">
        <v>529</v>
      </c>
      <c r="AK685" s="24" t="s">
        <v>530</v>
      </c>
      <c r="AL685" s="24"/>
    </row>
    <row r="686" spans="1:38" ht="31.2" x14ac:dyDescent="0.3">
      <c r="A686" s="53">
        <v>679</v>
      </c>
      <c r="B686" s="24" t="s">
        <v>544</v>
      </c>
      <c r="C686" s="24" t="s">
        <v>653</v>
      </c>
      <c r="D686" s="82" t="s">
        <v>471</v>
      </c>
      <c r="E686" s="24" t="s">
        <v>170</v>
      </c>
      <c r="F686" s="24" t="s">
        <v>200</v>
      </c>
      <c r="G686" s="24"/>
      <c r="H686" s="24" t="s">
        <v>1456</v>
      </c>
      <c r="I686" s="30" t="s">
        <v>525</v>
      </c>
      <c r="J686" s="24"/>
      <c r="K686" s="24" t="s">
        <v>199</v>
      </c>
      <c r="L686" s="24" t="s">
        <v>199</v>
      </c>
      <c r="M686" s="24">
        <v>1906</v>
      </c>
      <c r="N686" s="24" t="s">
        <v>527</v>
      </c>
      <c r="O686" s="24">
        <v>5</v>
      </c>
      <c r="P686" s="24">
        <v>0</v>
      </c>
      <c r="Q686" s="24">
        <v>3</v>
      </c>
      <c r="R686" s="24">
        <v>20</v>
      </c>
      <c r="S686" s="24">
        <v>2819.8</v>
      </c>
      <c r="T686" s="24">
        <v>2819.8</v>
      </c>
      <c r="U686" s="24">
        <v>696</v>
      </c>
      <c r="V686" s="24"/>
      <c r="W686" s="24" t="s">
        <v>528</v>
      </c>
      <c r="X686" s="24" t="s">
        <v>528</v>
      </c>
      <c r="Y686" s="24" t="s">
        <v>529</v>
      </c>
      <c r="Z686" s="102" t="s">
        <v>528</v>
      </c>
      <c r="AA686" s="24" t="s">
        <v>528</v>
      </c>
      <c r="AB686" s="24" t="s">
        <v>528</v>
      </c>
      <c r="AC686" s="24" t="s">
        <v>528</v>
      </c>
      <c r="AD686" s="24" t="s">
        <v>528</v>
      </c>
      <c r="AE686" s="24" t="s">
        <v>529</v>
      </c>
      <c r="AF686" s="24">
        <v>0</v>
      </c>
      <c r="AG686" s="24" t="s">
        <v>529</v>
      </c>
      <c r="AH686" s="24">
        <v>1</v>
      </c>
      <c r="AI686" s="24" t="s">
        <v>529</v>
      </c>
      <c r="AJ686" s="24">
        <v>1</v>
      </c>
      <c r="AK686" s="24" t="s">
        <v>530</v>
      </c>
      <c r="AL686" s="24"/>
    </row>
    <row r="687" spans="1:38" ht="31.2" x14ac:dyDescent="0.3">
      <c r="A687" s="53">
        <v>680</v>
      </c>
      <c r="B687" s="24" t="s">
        <v>544</v>
      </c>
      <c r="C687" s="24" t="s">
        <v>653</v>
      </c>
      <c r="D687" s="82" t="s">
        <v>471</v>
      </c>
      <c r="E687" s="24" t="s">
        <v>171</v>
      </c>
      <c r="F687" s="24" t="s">
        <v>200</v>
      </c>
      <c r="G687" s="24"/>
      <c r="H687" s="24" t="s">
        <v>1457</v>
      </c>
      <c r="I687" s="30" t="s">
        <v>525</v>
      </c>
      <c r="J687" s="24"/>
      <c r="K687" s="24" t="s">
        <v>199</v>
      </c>
      <c r="L687" s="24" t="s">
        <v>199</v>
      </c>
      <c r="M687" s="24">
        <v>1905</v>
      </c>
      <c r="N687" s="24" t="s">
        <v>527</v>
      </c>
      <c r="O687" s="24">
        <v>5</v>
      </c>
      <c r="P687" s="24">
        <v>0</v>
      </c>
      <c r="Q687" s="24">
        <v>2</v>
      </c>
      <c r="R687" s="24">
        <v>23</v>
      </c>
      <c r="S687" s="24">
        <v>1762.6</v>
      </c>
      <c r="T687" s="24">
        <v>1762.6</v>
      </c>
      <c r="U687" s="24">
        <v>278</v>
      </c>
      <c r="V687" s="24"/>
      <c r="W687" s="24" t="s">
        <v>528</v>
      </c>
      <c r="X687" s="24" t="s">
        <v>528</v>
      </c>
      <c r="Y687" s="24" t="s">
        <v>529</v>
      </c>
      <c r="Z687" s="102" t="s">
        <v>528</v>
      </c>
      <c r="AA687" s="24" t="s">
        <v>528</v>
      </c>
      <c r="AB687" s="24" t="s">
        <v>528</v>
      </c>
      <c r="AC687" s="24" t="s">
        <v>528</v>
      </c>
      <c r="AD687" s="24" t="s">
        <v>528</v>
      </c>
      <c r="AE687" s="24" t="s">
        <v>529</v>
      </c>
      <c r="AF687" s="24">
        <v>0</v>
      </c>
      <c r="AG687" s="24" t="s">
        <v>529</v>
      </c>
      <c r="AH687" s="24">
        <v>1</v>
      </c>
      <c r="AI687" s="24" t="s">
        <v>529</v>
      </c>
      <c r="AJ687" s="24">
        <v>1</v>
      </c>
      <c r="AK687" s="24" t="s">
        <v>530</v>
      </c>
      <c r="AL687" s="24"/>
    </row>
    <row r="688" spans="1:38" ht="31.2" x14ac:dyDescent="0.3">
      <c r="A688" s="53">
        <v>681</v>
      </c>
      <c r="B688" s="24" t="s">
        <v>544</v>
      </c>
      <c r="C688" s="24" t="s">
        <v>653</v>
      </c>
      <c r="D688" s="82" t="s">
        <v>471</v>
      </c>
      <c r="E688" s="24" t="s">
        <v>1458</v>
      </c>
      <c r="F688" s="24" t="s">
        <v>200</v>
      </c>
      <c r="G688" s="24"/>
      <c r="H688" s="24" t="s">
        <v>1459</v>
      </c>
      <c r="I688" s="30" t="s">
        <v>525</v>
      </c>
      <c r="J688" s="24"/>
      <c r="K688" s="24" t="s">
        <v>199</v>
      </c>
      <c r="L688" s="24" t="s">
        <v>199</v>
      </c>
      <c r="M688" s="24">
        <v>1904</v>
      </c>
      <c r="N688" s="24" t="s">
        <v>527</v>
      </c>
      <c r="O688" s="24">
        <v>5</v>
      </c>
      <c r="P688" s="24">
        <v>0</v>
      </c>
      <c r="Q688" s="24">
        <v>1</v>
      </c>
      <c r="R688" s="24">
        <v>10</v>
      </c>
      <c r="S688" s="24">
        <v>1065.4000000000001</v>
      </c>
      <c r="T688" s="24">
        <v>1065.4000000000001</v>
      </c>
      <c r="U688" s="24">
        <v>145</v>
      </c>
      <c r="V688" s="24"/>
      <c r="W688" s="24" t="s">
        <v>528</v>
      </c>
      <c r="X688" s="24" t="s">
        <v>528</v>
      </c>
      <c r="Y688" s="24" t="s">
        <v>529</v>
      </c>
      <c r="Z688" s="102" t="s">
        <v>528</v>
      </c>
      <c r="AA688" s="24" t="s">
        <v>528</v>
      </c>
      <c r="AB688" s="24" t="s">
        <v>528</v>
      </c>
      <c r="AC688" s="24" t="s">
        <v>528</v>
      </c>
      <c r="AD688" s="24" t="s">
        <v>528</v>
      </c>
      <c r="AE688" s="24" t="s">
        <v>529</v>
      </c>
      <c r="AF688" s="24">
        <v>0</v>
      </c>
      <c r="AG688" s="24" t="s">
        <v>529</v>
      </c>
      <c r="AH688" s="24">
        <v>1</v>
      </c>
      <c r="AI688" s="24" t="s">
        <v>529</v>
      </c>
      <c r="AJ688" s="24">
        <v>1</v>
      </c>
      <c r="AK688" s="24" t="s">
        <v>530</v>
      </c>
      <c r="AL688" s="24"/>
    </row>
    <row r="689" spans="1:38" ht="31.2" x14ac:dyDescent="0.3">
      <c r="A689" s="53">
        <v>682</v>
      </c>
      <c r="B689" s="24" t="s">
        <v>544</v>
      </c>
      <c r="C689" s="24" t="s">
        <v>653</v>
      </c>
      <c r="D689" s="82" t="s">
        <v>471</v>
      </c>
      <c r="E689" s="24" t="s">
        <v>1460</v>
      </c>
      <c r="F689" s="24" t="s">
        <v>205</v>
      </c>
      <c r="G689" s="24"/>
      <c r="H689" s="24" t="s">
        <v>1461</v>
      </c>
      <c r="I689" s="30" t="s">
        <v>525</v>
      </c>
      <c r="J689" s="24"/>
      <c r="K689" s="24" t="s">
        <v>199</v>
      </c>
      <c r="L689" s="24" t="s">
        <v>199</v>
      </c>
      <c r="M689" s="24">
        <v>1909</v>
      </c>
      <c r="N689" s="24" t="s">
        <v>527</v>
      </c>
      <c r="O689" s="24">
        <v>5</v>
      </c>
      <c r="P689" s="24">
        <v>0</v>
      </c>
      <c r="Q689" s="24">
        <v>3</v>
      </c>
      <c r="R689" s="24">
        <v>21</v>
      </c>
      <c r="S689" s="24">
        <v>1928.2</v>
      </c>
      <c r="T689" s="24">
        <v>1928.2</v>
      </c>
      <c r="U689" s="24">
        <v>240</v>
      </c>
      <c r="V689" s="24"/>
      <c r="W689" s="24" t="s">
        <v>528</v>
      </c>
      <c r="X689" s="24" t="s">
        <v>528</v>
      </c>
      <c r="Y689" s="24" t="s">
        <v>529</v>
      </c>
      <c r="Z689" s="102" t="s">
        <v>528</v>
      </c>
      <c r="AA689" s="24" t="s">
        <v>528</v>
      </c>
      <c r="AB689" s="24" t="s">
        <v>528</v>
      </c>
      <c r="AC689" s="24" t="s">
        <v>528</v>
      </c>
      <c r="AD689" s="24" t="s">
        <v>528</v>
      </c>
      <c r="AE689" s="24" t="s">
        <v>529</v>
      </c>
      <c r="AF689" s="24">
        <v>0</v>
      </c>
      <c r="AG689" s="24" t="s">
        <v>529</v>
      </c>
      <c r="AH689" s="24">
        <v>1</v>
      </c>
      <c r="AI689" s="24" t="s">
        <v>529</v>
      </c>
      <c r="AJ689" s="24" t="s">
        <v>529</v>
      </c>
      <c r="AK689" s="24" t="s">
        <v>530</v>
      </c>
      <c r="AL689" s="24"/>
    </row>
    <row r="690" spans="1:38" ht="31.2" x14ac:dyDescent="0.3">
      <c r="A690" s="53">
        <v>683</v>
      </c>
      <c r="B690" s="24" t="s">
        <v>544</v>
      </c>
      <c r="C690" s="24" t="s">
        <v>653</v>
      </c>
      <c r="D690" s="82" t="s">
        <v>471</v>
      </c>
      <c r="E690" s="24" t="s">
        <v>176</v>
      </c>
      <c r="F690" s="24" t="s">
        <v>200</v>
      </c>
      <c r="G690" s="24"/>
      <c r="H690" s="24" t="s">
        <v>1462</v>
      </c>
      <c r="I690" s="30" t="s">
        <v>525</v>
      </c>
      <c r="J690" s="24" t="s">
        <v>535</v>
      </c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102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</row>
    <row r="691" spans="1:38" ht="31.2" x14ac:dyDescent="0.3">
      <c r="A691" s="53">
        <v>684</v>
      </c>
      <c r="B691" s="24" t="s">
        <v>544</v>
      </c>
      <c r="C691" s="24" t="s">
        <v>552</v>
      </c>
      <c r="D691" s="82" t="s">
        <v>1463</v>
      </c>
      <c r="E691" s="24" t="s">
        <v>1464</v>
      </c>
      <c r="F691" s="24" t="s">
        <v>200</v>
      </c>
      <c r="G691" s="24"/>
      <c r="H691" s="24" t="s">
        <v>1465</v>
      </c>
      <c r="I691" s="30" t="s">
        <v>525</v>
      </c>
      <c r="J691" s="24"/>
      <c r="K691" s="24" t="s">
        <v>199</v>
      </c>
      <c r="L691" s="24" t="s">
        <v>199</v>
      </c>
      <c r="M691" s="24">
        <v>1902</v>
      </c>
      <c r="N691" s="24" t="s">
        <v>527</v>
      </c>
      <c r="O691" s="24">
        <v>6</v>
      </c>
      <c r="P691" s="24">
        <v>0</v>
      </c>
      <c r="Q691" s="24">
        <v>5</v>
      </c>
      <c r="R691" s="24">
        <v>24</v>
      </c>
      <c r="S691" s="24">
        <v>3732</v>
      </c>
      <c r="T691" s="24">
        <v>3732</v>
      </c>
      <c r="U691" s="24">
        <v>842</v>
      </c>
      <c r="V691" s="24"/>
      <c r="W691" s="24" t="s">
        <v>528</v>
      </c>
      <c r="X691" s="24" t="s">
        <v>528</v>
      </c>
      <c r="Y691" s="24" t="s">
        <v>529</v>
      </c>
      <c r="Z691" s="102" t="s">
        <v>528</v>
      </c>
      <c r="AA691" s="24" t="s">
        <v>528</v>
      </c>
      <c r="AB691" s="24" t="s">
        <v>528</v>
      </c>
      <c r="AC691" s="24" t="s">
        <v>528</v>
      </c>
      <c r="AD691" s="24" t="s">
        <v>528</v>
      </c>
      <c r="AE691" s="24" t="s">
        <v>529</v>
      </c>
      <c r="AF691" s="24">
        <v>2</v>
      </c>
      <c r="AG691" s="24" t="s">
        <v>529</v>
      </c>
      <c r="AH691" s="24">
        <v>1</v>
      </c>
      <c r="AI691" s="24" t="s">
        <v>529</v>
      </c>
      <c r="AJ691" s="24">
        <v>1</v>
      </c>
      <c r="AK691" s="24" t="s">
        <v>530</v>
      </c>
      <c r="AL691" s="24"/>
    </row>
    <row r="692" spans="1:38" ht="31.2" x14ac:dyDescent="0.3">
      <c r="A692" s="53">
        <v>685</v>
      </c>
      <c r="B692" s="24" t="s">
        <v>544</v>
      </c>
      <c r="C692" s="24" t="s">
        <v>552</v>
      </c>
      <c r="D692" s="82" t="s">
        <v>1463</v>
      </c>
      <c r="E692" s="24" t="s">
        <v>536</v>
      </c>
      <c r="F692" s="24" t="s">
        <v>200</v>
      </c>
      <c r="G692" s="24"/>
      <c r="H692" s="24" t="s">
        <v>1466</v>
      </c>
      <c r="I692" s="30" t="s">
        <v>525</v>
      </c>
      <c r="J692" s="24"/>
      <c r="K692" s="24" t="s">
        <v>199</v>
      </c>
      <c r="L692" s="24" t="s">
        <v>199</v>
      </c>
      <c r="M692" s="24">
        <v>1899</v>
      </c>
      <c r="N692" s="24" t="s">
        <v>527</v>
      </c>
      <c r="O692" s="24">
        <v>5</v>
      </c>
      <c r="P692" s="24">
        <v>0</v>
      </c>
      <c r="Q692" s="24">
        <v>3</v>
      </c>
      <c r="R692" s="24">
        <v>15</v>
      </c>
      <c r="S692" s="24">
        <v>1635.2</v>
      </c>
      <c r="T692" s="24">
        <v>1635.2</v>
      </c>
      <c r="U692" s="24">
        <v>174</v>
      </c>
      <c r="V692" s="24"/>
      <c r="W692" s="24" t="s">
        <v>528</v>
      </c>
      <c r="X692" s="24" t="s">
        <v>528</v>
      </c>
      <c r="Y692" s="24" t="s">
        <v>529</v>
      </c>
      <c r="Z692" s="102" t="s">
        <v>528</v>
      </c>
      <c r="AA692" s="24" t="s">
        <v>528</v>
      </c>
      <c r="AB692" s="24" t="s">
        <v>528</v>
      </c>
      <c r="AC692" s="24" t="s">
        <v>528</v>
      </c>
      <c r="AD692" s="24" t="s">
        <v>528</v>
      </c>
      <c r="AE692" s="24" t="s">
        <v>529</v>
      </c>
      <c r="AF692" s="24">
        <v>0</v>
      </c>
      <c r="AG692" s="24" t="s">
        <v>529</v>
      </c>
      <c r="AH692" s="24">
        <v>1</v>
      </c>
      <c r="AI692" s="24" t="s">
        <v>529</v>
      </c>
      <c r="AJ692" s="24">
        <v>1</v>
      </c>
      <c r="AK692" s="24" t="s">
        <v>530</v>
      </c>
      <c r="AL692" s="24"/>
    </row>
    <row r="693" spans="1:38" ht="31.2" x14ac:dyDescent="0.3">
      <c r="A693" s="53">
        <v>686</v>
      </c>
      <c r="B693" s="24" t="s">
        <v>544</v>
      </c>
      <c r="C693" s="24" t="s">
        <v>552</v>
      </c>
      <c r="D693" s="82" t="s">
        <v>1463</v>
      </c>
      <c r="E693" s="24" t="s">
        <v>1208</v>
      </c>
      <c r="F693" s="24" t="s">
        <v>200</v>
      </c>
      <c r="G693" s="24"/>
      <c r="H693" s="24" t="s">
        <v>1467</v>
      </c>
      <c r="I693" s="30" t="s">
        <v>525</v>
      </c>
      <c r="J693" s="24"/>
      <c r="K693" s="24" t="s">
        <v>199</v>
      </c>
      <c r="L693" s="24" t="s">
        <v>199</v>
      </c>
      <c r="M693" s="24">
        <v>1913</v>
      </c>
      <c r="N693" s="24" t="s">
        <v>527</v>
      </c>
      <c r="O693" s="24">
        <v>6</v>
      </c>
      <c r="P693" s="24">
        <v>0</v>
      </c>
      <c r="Q693" s="24">
        <v>3</v>
      </c>
      <c r="R693" s="24">
        <v>42</v>
      </c>
      <c r="S693" s="24">
        <v>3035.3</v>
      </c>
      <c r="T693" s="24">
        <v>3035.3</v>
      </c>
      <c r="U693" s="24">
        <v>242</v>
      </c>
      <c r="V693" s="24"/>
      <c r="W693" s="24" t="s">
        <v>528</v>
      </c>
      <c r="X693" s="24" t="s">
        <v>528</v>
      </c>
      <c r="Y693" s="24" t="s">
        <v>529</v>
      </c>
      <c r="Z693" s="102" t="s">
        <v>528</v>
      </c>
      <c r="AA693" s="24" t="s">
        <v>528</v>
      </c>
      <c r="AB693" s="24" t="s">
        <v>528</v>
      </c>
      <c r="AC693" s="24" t="s">
        <v>528</v>
      </c>
      <c r="AD693" s="24" t="s">
        <v>528</v>
      </c>
      <c r="AE693" s="24" t="s">
        <v>529</v>
      </c>
      <c r="AF693" s="24">
        <v>2</v>
      </c>
      <c r="AG693" s="24" t="s">
        <v>529</v>
      </c>
      <c r="AH693" s="24">
        <v>1</v>
      </c>
      <c r="AI693" s="24" t="s">
        <v>529</v>
      </c>
      <c r="AJ693" s="24">
        <v>1</v>
      </c>
      <c r="AK693" s="24" t="s">
        <v>530</v>
      </c>
      <c r="AL693" s="24"/>
    </row>
    <row r="694" spans="1:38" ht="31.2" x14ac:dyDescent="0.3">
      <c r="A694" s="53">
        <v>687</v>
      </c>
      <c r="B694" s="24" t="s">
        <v>544</v>
      </c>
      <c r="C694" s="24" t="s">
        <v>552</v>
      </c>
      <c r="D694" s="82" t="s">
        <v>1463</v>
      </c>
      <c r="E694" s="24" t="s">
        <v>1129</v>
      </c>
      <c r="F694" s="24" t="s">
        <v>200</v>
      </c>
      <c r="G694" s="24"/>
      <c r="H694" s="24" t="s">
        <v>1468</v>
      </c>
      <c r="I694" s="30" t="s">
        <v>525</v>
      </c>
      <c r="J694" s="24" t="s">
        <v>535</v>
      </c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102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</row>
    <row r="695" spans="1:38" ht="31.2" x14ac:dyDescent="0.3">
      <c r="A695" s="53">
        <v>688</v>
      </c>
      <c r="B695" s="24" t="s">
        <v>544</v>
      </c>
      <c r="C695" s="24" t="s">
        <v>552</v>
      </c>
      <c r="D695" s="82" t="s">
        <v>1463</v>
      </c>
      <c r="E695" s="24" t="s">
        <v>172</v>
      </c>
      <c r="F695" s="24" t="s">
        <v>200</v>
      </c>
      <c r="G695" s="24"/>
      <c r="H695" s="24" t="s">
        <v>1469</v>
      </c>
      <c r="I695" s="30" t="s">
        <v>525</v>
      </c>
      <c r="J695" s="24" t="s">
        <v>535</v>
      </c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102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</row>
    <row r="696" spans="1:38" ht="31.2" x14ac:dyDescent="0.3">
      <c r="A696" s="53">
        <v>689</v>
      </c>
      <c r="B696" s="24" t="s">
        <v>544</v>
      </c>
      <c r="C696" s="24" t="s">
        <v>552</v>
      </c>
      <c r="D696" s="82" t="s">
        <v>1463</v>
      </c>
      <c r="E696" s="24" t="s">
        <v>1470</v>
      </c>
      <c r="F696" s="24" t="s">
        <v>200</v>
      </c>
      <c r="G696" s="24"/>
      <c r="H696" s="24" t="s">
        <v>1471</v>
      </c>
      <c r="I696" s="30" t="s">
        <v>525</v>
      </c>
      <c r="J696" s="24"/>
      <c r="K696" s="24" t="s">
        <v>199</v>
      </c>
      <c r="L696" s="24" t="s">
        <v>199</v>
      </c>
      <c r="M696" s="24">
        <v>1911</v>
      </c>
      <c r="N696" s="24" t="s">
        <v>527</v>
      </c>
      <c r="O696" s="24">
        <v>6</v>
      </c>
      <c r="P696" s="24">
        <v>0</v>
      </c>
      <c r="Q696" s="24">
        <v>8</v>
      </c>
      <c r="R696" s="24">
        <v>52</v>
      </c>
      <c r="S696" s="24">
        <v>6994.9</v>
      </c>
      <c r="T696" s="24">
        <v>6994.9</v>
      </c>
      <c r="U696" s="24">
        <v>1229</v>
      </c>
      <c r="V696" s="24"/>
      <c r="W696" s="24" t="s">
        <v>528</v>
      </c>
      <c r="X696" s="24" t="s">
        <v>528</v>
      </c>
      <c r="Y696" s="24" t="s">
        <v>529</v>
      </c>
      <c r="Z696" s="102" t="s">
        <v>528</v>
      </c>
      <c r="AA696" s="24" t="s">
        <v>528</v>
      </c>
      <c r="AB696" s="24" t="s">
        <v>528</v>
      </c>
      <c r="AC696" s="24" t="s">
        <v>528</v>
      </c>
      <c r="AD696" s="24" t="s">
        <v>528</v>
      </c>
      <c r="AE696" s="24" t="s">
        <v>529</v>
      </c>
      <c r="AF696" s="24">
        <v>5</v>
      </c>
      <c r="AG696" s="24" t="s">
        <v>529</v>
      </c>
      <c r="AH696" s="24">
        <v>1</v>
      </c>
      <c r="AI696" s="24" t="s">
        <v>529</v>
      </c>
      <c r="AJ696" s="24">
        <v>1</v>
      </c>
      <c r="AK696" s="24" t="s">
        <v>530</v>
      </c>
      <c r="AL696" s="24"/>
    </row>
    <row r="697" spans="1:38" ht="31.2" x14ac:dyDescent="0.3">
      <c r="A697" s="53">
        <v>690</v>
      </c>
      <c r="B697" s="24" t="s">
        <v>544</v>
      </c>
      <c r="C697" s="24" t="s">
        <v>653</v>
      </c>
      <c r="D697" s="82" t="s">
        <v>327</v>
      </c>
      <c r="E697" s="24" t="s">
        <v>174</v>
      </c>
      <c r="F697" s="24" t="s">
        <v>200</v>
      </c>
      <c r="G697" s="24"/>
      <c r="H697" s="24" t="s">
        <v>1472</v>
      </c>
      <c r="I697" s="30" t="s">
        <v>525</v>
      </c>
      <c r="J697" s="24"/>
      <c r="K697" s="24" t="s">
        <v>199</v>
      </c>
      <c r="L697" s="24" t="s">
        <v>199</v>
      </c>
      <c r="M697" s="24">
        <v>1902</v>
      </c>
      <c r="N697" s="24" t="s">
        <v>527</v>
      </c>
      <c r="O697" s="24">
        <v>5</v>
      </c>
      <c r="P697" s="24">
        <v>0</v>
      </c>
      <c r="Q697" s="24">
        <v>8</v>
      </c>
      <c r="R697" s="24">
        <v>77</v>
      </c>
      <c r="S697" s="24">
        <v>5018.8999999999996</v>
      </c>
      <c r="T697" s="24">
        <v>5018.8999999999996</v>
      </c>
      <c r="U697" s="24">
        <v>825.1</v>
      </c>
      <c r="V697" s="24"/>
      <c r="W697" s="24" t="s">
        <v>528</v>
      </c>
      <c r="X697" s="24" t="s">
        <v>528</v>
      </c>
      <c r="Y697" s="24" t="s">
        <v>529</v>
      </c>
      <c r="Z697" s="102" t="s">
        <v>528</v>
      </c>
      <c r="AA697" s="24" t="s">
        <v>528</v>
      </c>
      <c r="AB697" s="24" t="s">
        <v>528</v>
      </c>
      <c r="AC697" s="24" t="s">
        <v>528</v>
      </c>
      <c r="AD697" s="24" t="s">
        <v>528</v>
      </c>
      <c r="AE697" s="24" t="s">
        <v>529</v>
      </c>
      <c r="AF697" s="24">
        <v>0</v>
      </c>
      <c r="AG697" s="24" t="s">
        <v>529</v>
      </c>
      <c r="AH697" s="24">
        <v>1</v>
      </c>
      <c r="AI697" s="24" t="s">
        <v>529</v>
      </c>
      <c r="AJ697" s="24">
        <v>3</v>
      </c>
      <c r="AK697" s="24" t="s">
        <v>530</v>
      </c>
      <c r="AL697" s="24"/>
    </row>
    <row r="698" spans="1:38" ht="31.2" x14ac:dyDescent="0.3">
      <c r="A698" s="53">
        <v>691</v>
      </c>
      <c r="B698" s="24" t="s">
        <v>544</v>
      </c>
      <c r="C698" s="24" t="s">
        <v>653</v>
      </c>
      <c r="D698" s="82" t="s">
        <v>327</v>
      </c>
      <c r="E698" s="24" t="s">
        <v>176</v>
      </c>
      <c r="F698" s="24" t="s">
        <v>200</v>
      </c>
      <c r="G698" s="24"/>
      <c r="H698" s="24" t="s">
        <v>1473</v>
      </c>
      <c r="I698" s="30" t="s">
        <v>525</v>
      </c>
      <c r="J698" s="24"/>
      <c r="K698" s="24" t="s">
        <v>199</v>
      </c>
      <c r="L698" s="24" t="s">
        <v>199</v>
      </c>
      <c r="M698" s="24">
        <v>1906</v>
      </c>
      <c r="N698" s="24" t="s">
        <v>527</v>
      </c>
      <c r="O698" s="24">
        <v>5</v>
      </c>
      <c r="P698" s="24">
        <v>0</v>
      </c>
      <c r="Q698" s="24">
        <v>3</v>
      </c>
      <c r="R698" s="24">
        <v>20</v>
      </c>
      <c r="S698" s="24">
        <v>1741</v>
      </c>
      <c r="T698" s="24">
        <v>1741</v>
      </c>
      <c r="U698" s="24">
        <v>125</v>
      </c>
      <c r="V698" s="24"/>
      <c r="W698" s="24" t="s">
        <v>528</v>
      </c>
      <c r="X698" s="24" t="s">
        <v>528</v>
      </c>
      <c r="Y698" s="24" t="s">
        <v>529</v>
      </c>
      <c r="Z698" s="102" t="s">
        <v>528</v>
      </c>
      <c r="AA698" s="24" t="s">
        <v>528</v>
      </c>
      <c r="AB698" s="24" t="s">
        <v>528</v>
      </c>
      <c r="AC698" s="24" t="s">
        <v>528</v>
      </c>
      <c r="AD698" s="24" t="s">
        <v>528</v>
      </c>
      <c r="AE698" s="24" t="s">
        <v>529</v>
      </c>
      <c r="AF698" s="24">
        <v>1</v>
      </c>
      <c r="AG698" s="24" t="s">
        <v>529</v>
      </c>
      <c r="AH698" s="24">
        <v>1</v>
      </c>
      <c r="AI698" s="24" t="s">
        <v>529</v>
      </c>
      <c r="AJ698" s="24">
        <v>1</v>
      </c>
      <c r="AK698" s="24" t="s">
        <v>530</v>
      </c>
      <c r="AL698" s="24"/>
    </row>
    <row r="699" spans="1:38" ht="31.2" x14ac:dyDescent="0.3">
      <c r="A699" s="53">
        <v>692</v>
      </c>
      <c r="B699" s="24" t="s">
        <v>544</v>
      </c>
      <c r="C699" s="24" t="s">
        <v>653</v>
      </c>
      <c r="D699" s="82" t="s">
        <v>327</v>
      </c>
      <c r="E699" s="24" t="s">
        <v>177</v>
      </c>
      <c r="F699" s="24" t="s">
        <v>200</v>
      </c>
      <c r="G699" s="24"/>
      <c r="H699" s="24" t="s">
        <v>1474</v>
      </c>
      <c r="I699" s="30" t="s">
        <v>525</v>
      </c>
      <c r="J699" s="24"/>
      <c r="K699" s="24" t="s">
        <v>1138</v>
      </c>
      <c r="L699" s="24" t="s">
        <v>199</v>
      </c>
      <c r="M699" s="24">
        <v>1959</v>
      </c>
      <c r="N699" s="24" t="s">
        <v>527</v>
      </c>
      <c r="O699" s="24">
        <v>5</v>
      </c>
      <c r="P699" s="24">
        <v>0</v>
      </c>
      <c r="Q699" s="24">
        <v>2</v>
      </c>
      <c r="R699" s="24">
        <v>40</v>
      </c>
      <c r="S699" s="24">
        <v>1613</v>
      </c>
      <c r="T699" s="24">
        <v>1613</v>
      </c>
      <c r="U699" s="24">
        <v>33</v>
      </c>
      <c r="V699" s="24"/>
      <c r="W699" s="24" t="s">
        <v>528</v>
      </c>
      <c r="X699" s="24" t="s">
        <v>528</v>
      </c>
      <c r="Y699" s="24" t="s">
        <v>529</v>
      </c>
      <c r="Z699" s="102" t="s">
        <v>528</v>
      </c>
      <c r="AA699" s="24" t="s">
        <v>528</v>
      </c>
      <c r="AB699" s="24" t="s">
        <v>528</v>
      </c>
      <c r="AC699" s="24" t="s">
        <v>528</v>
      </c>
      <c r="AD699" s="24" t="s">
        <v>528</v>
      </c>
      <c r="AE699" s="24" t="s">
        <v>529</v>
      </c>
      <c r="AF699" s="24">
        <v>0</v>
      </c>
      <c r="AG699" s="24" t="s">
        <v>529</v>
      </c>
      <c r="AH699" s="24">
        <v>1</v>
      </c>
      <c r="AI699" s="24" t="s">
        <v>529</v>
      </c>
      <c r="AJ699" s="24" t="s">
        <v>529</v>
      </c>
      <c r="AK699" s="24" t="s">
        <v>530</v>
      </c>
      <c r="AL699" s="24"/>
    </row>
    <row r="700" spans="1:38" ht="31.2" x14ac:dyDescent="0.3">
      <c r="A700" s="53">
        <v>693</v>
      </c>
      <c r="B700" s="24" t="s">
        <v>544</v>
      </c>
      <c r="C700" s="24" t="s">
        <v>653</v>
      </c>
      <c r="D700" s="82" t="s">
        <v>327</v>
      </c>
      <c r="E700" s="24" t="s">
        <v>1246</v>
      </c>
      <c r="F700" s="24" t="s">
        <v>200</v>
      </c>
      <c r="G700" s="24"/>
      <c r="H700" s="24" t="s">
        <v>1475</v>
      </c>
      <c r="I700" s="30" t="s">
        <v>525</v>
      </c>
      <c r="J700" s="24"/>
      <c r="K700" s="24" t="s">
        <v>1238</v>
      </c>
      <c r="L700" s="24" t="s">
        <v>199</v>
      </c>
      <c r="M700" s="24">
        <v>1977</v>
      </c>
      <c r="N700" s="24" t="s">
        <v>527</v>
      </c>
      <c r="O700" s="24">
        <v>7</v>
      </c>
      <c r="P700" s="24">
        <v>0</v>
      </c>
      <c r="Q700" s="24">
        <v>2</v>
      </c>
      <c r="R700" s="24">
        <v>48</v>
      </c>
      <c r="S700" s="24">
        <v>3155.9</v>
      </c>
      <c r="T700" s="24">
        <v>3155.9</v>
      </c>
      <c r="U700" s="24">
        <v>466</v>
      </c>
      <c r="V700" s="24"/>
      <c r="W700" s="24" t="s">
        <v>528</v>
      </c>
      <c r="X700" s="24" t="s">
        <v>528</v>
      </c>
      <c r="Y700" s="24" t="s">
        <v>529</v>
      </c>
      <c r="Z700" s="102" t="s">
        <v>528</v>
      </c>
      <c r="AA700" s="24" t="s">
        <v>528</v>
      </c>
      <c r="AB700" s="24" t="s">
        <v>528</v>
      </c>
      <c r="AC700" s="24" t="s">
        <v>528</v>
      </c>
      <c r="AD700" s="24" t="s">
        <v>528</v>
      </c>
      <c r="AE700" s="24" t="s">
        <v>529</v>
      </c>
      <c r="AF700" s="24">
        <v>2</v>
      </c>
      <c r="AG700" s="24" t="s">
        <v>529</v>
      </c>
      <c r="AH700" s="24">
        <v>1</v>
      </c>
      <c r="AI700" s="24" t="s">
        <v>529</v>
      </c>
      <c r="AJ700" s="24">
        <v>1</v>
      </c>
      <c r="AK700" s="24" t="s">
        <v>530</v>
      </c>
      <c r="AL700" s="24"/>
    </row>
    <row r="701" spans="1:38" ht="31.2" x14ac:dyDescent="0.3">
      <c r="A701" s="53">
        <v>694</v>
      </c>
      <c r="B701" s="24" t="s">
        <v>544</v>
      </c>
      <c r="C701" s="24" t="s">
        <v>653</v>
      </c>
      <c r="D701" s="82" t="s">
        <v>327</v>
      </c>
      <c r="E701" s="24" t="s">
        <v>1476</v>
      </c>
      <c r="F701" s="24" t="s">
        <v>200</v>
      </c>
      <c r="G701" s="24"/>
      <c r="H701" s="24" t="s">
        <v>1477</v>
      </c>
      <c r="I701" s="30" t="s">
        <v>525</v>
      </c>
      <c r="J701" s="24"/>
      <c r="K701" s="24" t="s">
        <v>199</v>
      </c>
      <c r="L701" s="24" t="s">
        <v>199</v>
      </c>
      <c r="M701" s="24">
        <v>1911</v>
      </c>
      <c r="N701" s="24" t="s">
        <v>527</v>
      </c>
      <c r="O701" s="24">
        <v>7</v>
      </c>
      <c r="P701" s="24">
        <v>0</v>
      </c>
      <c r="Q701" s="24">
        <v>3</v>
      </c>
      <c r="R701" s="24">
        <v>36</v>
      </c>
      <c r="S701" s="24">
        <v>2902.1</v>
      </c>
      <c r="T701" s="24">
        <v>2902.1</v>
      </c>
      <c r="U701" s="24">
        <v>241</v>
      </c>
      <c r="V701" s="24"/>
      <c r="W701" s="24" t="s">
        <v>528</v>
      </c>
      <c r="X701" s="24" t="s">
        <v>528</v>
      </c>
      <c r="Y701" s="24" t="s">
        <v>529</v>
      </c>
      <c r="Z701" s="102" t="s">
        <v>528</v>
      </c>
      <c r="AA701" s="24" t="s">
        <v>528</v>
      </c>
      <c r="AB701" s="24" t="s">
        <v>528</v>
      </c>
      <c r="AC701" s="24" t="s">
        <v>528</v>
      </c>
      <c r="AD701" s="24" t="s">
        <v>528</v>
      </c>
      <c r="AE701" s="24" t="s">
        <v>529</v>
      </c>
      <c r="AF701" s="24">
        <v>1</v>
      </c>
      <c r="AG701" s="24" t="s">
        <v>529</v>
      </c>
      <c r="AH701" s="24">
        <v>1</v>
      </c>
      <c r="AI701" s="24" t="s">
        <v>529</v>
      </c>
      <c r="AJ701" s="24">
        <v>1</v>
      </c>
      <c r="AK701" s="24" t="s">
        <v>530</v>
      </c>
      <c r="AL701" s="24"/>
    </row>
    <row r="702" spans="1:38" ht="31.2" x14ac:dyDescent="0.3">
      <c r="A702" s="53">
        <v>695</v>
      </c>
      <c r="B702" s="24" t="s">
        <v>544</v>
      </c>
      <c r="C702" s="24" t="s">
        <v>653</v>
      </c>
      <c r="D702" s="82" t="s">
        <v>327</v>
      </c>
      <c r="E702" s="24" t="s">
        <v>1086</v>
      </c>
      <c r="F702" s="24" t="s">
        <v>200</v>
      </c>
      <c r="G702" s="24"/>
      <c r="H702" s="24" t="s">
        <v>1478</v>
      </c>
      <c r="I702" s="30" t="s">
        <v>525</v>
      </c>
      <c r="J702" s="24"/>
      <c r="K702" s="24" t="s">
        <v>1238</v>
      </c>
      <c r="L702" s="24" t="s">
        <v>199</v>
      </c>
      <c r="M702" s="24">
        <v>1977</v>
      </c>
      <c r="N702" s="24" t="s">
        <v>527</v>
      </c>
      <c r="O702" s="24">
        <v>7</v>
      </c>
      <c r="P702" s="24">
        <v>0</v>
      </c>
      <c r="Q702" s="24">
        <v>1</v>
      </c>
      <c r="R702" s="24">
        <v>12</v>
      </c>
      <c r="S702" s="24">
        <v>761.8</v>
      </c>
      <c r="T702" s="24">
        <v>761.8</v>
      </c>
      <c r="U702" s="24">
        <v>123</v>
      </c>
      <c r="V702" s="24"/>
      <c r="W702" s="24" t="s">
        <v>528</v>
      </c>
      <c r="X702" s="24" t="s">
        <v>528</v>
      </c>
      <c r="Y702" s="24" t="s">
        <v>529</v>
      </c>
      <c r="Z702" s="102" t="s">
        <v>528</v>
      </c>
      <c r="AA702" s="24" t="s">
        <v>528</v>
      </c>
      <c r="AB702" s="24" t="s">
        <v>528</v>
      </c>
      <c r="AC702" s="24" t="s">
        <v>528</v>
      </c>
      <c r="AD702" s="24" t="s">
        <v>528</v>
      </c>
      <c r="AE702" s="24" t="s">
        <v>529</v>
      </c>
      <c r="AF702" s="24">
        <v>1</v>
      </c>
      <c r="AG702" s="24" t="s">
        <v>529</v>
      </c>
      <c r="AH702" s="24">
        <v>1</v>
      </c>
      <c r="AI702" s="24" t="s">
        <v>529</v>
      </c>
      <c r="AJ702" s="24" t="s">
        <v>529</v>
      </c>
      <c r="AK702" s="24" t="s">
        <v>530</v>
      </c>
      <c r="AL702" s="24"/>
    </row>
    <row r="703" spans="1:38" ht="31.2" x14ac:dyDescent="0.3">
      <c r="A703" s="53">
        <v>696</v>
      </c>
      <c r="B703" s="24" t="s">
        <v>544</v>
      </c>
      <c r="C703" s="24" t="s">
        <v>653</v>
      </c>
      <c r="D703" s="82" t="s">
        <v>327</v>
      </c>
      <c r="E703" s="24" t="s">
        <v>1366</v>
      </c>
      <c r="F703" s="24" t="s">
        <v>200</v>
      </c>
      <c r="G703" s="24"/>
      <c r="H703" s="24" t="s">
        <v>1479</v>
      </c>
      <c r="I703" s="30" t="s">
        <v>525</v>
      </c>
      <c r="J703" s="24"/>
      <c r="K703" s="24" t="s">
        <v>199</v>
      </c>
      <c r="L703" s="24" t="s">
        <v>199</v>
      </c>
      <c r="M703" s="24">
        <v>1911</v>
      </c>
      <c r="N703" s="24" t="s">
        <v>527</v>
      </c>
      <c r="O703" s="24">
        <v>6</v>
      </c>
      <c r="P703" s="24">
        <v>0</v>
      </c>
      <c r="Q703" s="24">
        <v>1</v>
      </c>
      <c r="R703" s="24">
        <v>21</v>
      </c>
      <c r="S703" s="24">
        <v>2064.6</v>
      </c>
      <c r="T703" s="24">
        <v>2064.6</v>
      </c>
      <c r="U703" s="24">
        <v>338</v>
      </c>
      <c r="V703" s="24"/>
      <c r="W703" s="24" t="s">
        <v>528</v>
      </c>
      <c r="X703" s="24" t="s">
        <v>528</v>
      </c>
      <c r="Y703" s="24" t="s">
        <v>529</v>
      </c>
      <c r="Z703" s="102" t="s">
        <v>528</v>
      </c>
      <c r="AA703" s="24" t="s">
        <v>528</v>
      </c>
      <c r="AB703" s="24" t="s">
        <v>528</v>
      </c>
      <c r="AC703" s="24" t="s">
        <v>528</v>
      </c>
      <c r="AD703" s="24" t="s">
        <v>528</v>
      </c>
      <c r="AE703" s="24" t="s">
        <v>529</v>
      </c>
      <c r="AF703" s="24">
        <v>0</v>
      </c>
      <c r="AG703" s="24" t="s">
        <v>529</v>
      </c>
      <c r="AH703" s="24">
        <v>1</v>
      </c>
      <c r="AI703" s="24" t="s">
        <v>529</v>
      </c>
      <c r="AJ703" s="24">
        <v>1</v>
      </c>
      <c r="AK703" s="24" t="s">
        <v>530</v>
      </c>
      <c r="AL703" s="24"/>
    </row>
    <row r="704" spans="1:38" ht="31.2" x14ac:dyDescent="0.3">
      <c r="A704" s="53">
        <v>697</v>
      </c>
      <c r="B704" s="24" t="s">
        <v>544</v>
      </c>
      <c r="C704" s="24" t="s">
        <v>653</v>
      </c>
      <c r="D704" s="82" t="s">
        <v>327</v>
      </c>
      <c r="E704" s="24" t="s">
        <v>1480</v>
      </c>
      <c r="F704" s="24" t="s">
        <v>200</v>
      </c>
      <c r="G704" s="24"/>
      <c r="H704" s="24" t="s">
        <v>1481</v>
      </c>
      <c r="I704" s="30" t="s">
        <v>525</v>
      </c>
      <c r="J704" s="24"/>
      <c r="K704" s="24" t="s">
        <v>199</v>
      </c>
      <c r="L704" s="24" t="s">
        <v>199</v>
      </c>
      <c r="M704" s="24">
        <v>1903</v>
      </c>
      <c r="N704" s="24" t="s">
        <v>527</v>
      </c>
      <c r="O704" s="24">
        <v>6</v>
      </c>
      <c r="P704" s="24">
        <v>0</v>
      </c>
      <c r="Q704" s="24">
        <v>7</v>
      </c>
      <c r="R704" s="24">
        <v>41</v>
      </c>
      <c r="S704" s="24">
        <v>4193</v>
      </c>
      <c r="T704" s="24">
        <v>4193</v>
      </c>
      <c r="U704" s="24">
        <v>321</v>
      </c>
      <c r="V704" s="24"/>
      <c r="W704" s="24" t="s">
        <v>528</v>
      </c>
      <c r="X704" s="24" t="s">
        <v>528</v>
      </c>
      <c r="Y704" s="24" t="s">
        <v>529</v>
      </c>
      <c r="Z704" s="102" t="s">
        <v>528</v>
      </c>
      <c r="AA704" s="24" t="s">
        <v>528</v>
      </c>
      <c r="AB704" s="24" t="s">
        <v>528</v>
      </c>
      <c r="AC704" s="24" t="s">
        <v>528</v>
      </c>
      <c r="AD704" s="24" t="s">
        <v>528</v>
      </c>
      <c r="AE704" s="24" t="s">
        <v>529</v>
      </c>
      <c r="AF704" s="24">
        <v>0</v>
      </c>
      <c r="AG704" s="24" t="s">
        <v>529</v>
      </c>
      <c r="AH704" s="24">
        <v>1</v>
      </c>
      <c r="AI704" s="24" t="s">
        <v>529</v>
      </c>
      <c r="AJ704" s="24">
        <v>1</v>
      </c>
      <c r="AK704" s="24" t="s">
        <v>530</v>
      </c>
      <c r="AL704" s="24"/>
    </row>
    <row r="705" spans="1:38" ht="31.2" x14ac:dyDescent="0.3">
      <c r="A705" s="53">
        <v>698</v>
      </c>
      <c r="B705" s="24" t="s">
        <v>544</v>
      </c>
      <c r="C705" s="24" t="s">
        <v>653</v>
      </c>
      <c r="D705" s="82" t="s">
        <v>414</v>
      </c>
      <c r="E705" s="24" t="s">
        <v>945</v>
      </c>
      <c r="F705" s="24" t="s">
        <v>200</v>
      </c>
      <c r="G705" s="24"/>
      <c r="H705" s="24" t="s">
        <v>1482</v>
      </c>
      <c r="I705" s="30" t="s">
        <v>525</v>
      </c>
      <c r="J705" s="24"/>
      <c r="K705" s="24" t="s">
        <v>199</v>
      </c>
      <c r="L705" s="24" t="s">
        <v>199</v>
      </c>
      <c r="M705" s="24">
        <v>1912</v>
      </c>
      <c r="N705" s="24" t="s">
        <v>527</v>
      </c>
      <c r="O705" s="24">
        <v>6</v>
      </c>
      <c r="P705" s="24">
        <v>0</v>
      </c>
      <c r="Q705" s="24">
        <v>6</v>
      </c>
      <c r="R705" s="24">
        <v>33</v>
      </c>
      <c r="S705" s="24">
        <v>3666.1</v>
      </c>
      <c r="T705" s="24">
        <v>3666.1</v>
      </c>
      <c r="U705" s="24">
        <v>104</v>
      </c>
      <c r="V705" s="24"/>
      <c r="W705" s="24" t="s">
        <v>528</v>
      </c>
      <c r="X705" s="24" t="s">
        <v>528</v>
      </c>
      <c r="Y705" s="24" t="s">
        <v>529</v>
      </c>
      <c r="Z705" s="102" t="s">
        <v>528</v>
      </c>
      <c r="AA705" s="24" t="s">
        <v>528</v>
      </c>
      <c r="AB705" s="24" t="s">
        <v>528</v>
      </c>
      <c r="AC705" s="24" t="s">
        <v>528</v>
      </c>
      <c r="AD705" s="24" t="s">
        <v>528</v>
      </c>
      <c r="AE705" s="24" t="s">
        <v>529</v>
      </c>
      <c r="AF705" s="24">
        <v>0</v>
      </c>
      <c r="AG705" s="24" t="s">
        <v>529</v>
      </c>
      <c r="AH705" s="24">
        <v>1</v>
      </c>
      <c r="AI705" s="24" t="s">
        <v>529</v>
      </c>
      <c r="AJ705" s="24">
        <v>1</v>
      </c>
      <c r="AK705" s="24" t="s">
        <v>530</v>
      </c>
      <c r="AL705" s="24"/>
    </row>
    <row r="706" spans="1:38" ht="31.2" x14ac:dyDescent="0.3">
      <c r="A706" s="53">
        <v>699</v>
      </c>
      <c r="B706" s="24" t="s">
        <v>544</v>
      </c>
      <c r="C706" s="24" t="s">
        <v>653</v>
      </c>
      <c r="D706" s="82" t="s">
        <v>414</v>
      </c>
      <c r="E706" s="24" t="s">
        <v>1378</v>
      </c>
      <c r="F706" s="24" t="s">
        <v>205</v>
      </c>
      <c r="G706" s="24"/>
      <c r="H706" s="24" t="s">
        <v>1483</v>
      </c>
      <c r="I706" s="30" t="s">
        <v>525</v>
      </c>
      <c r="J706" s="24"/>
      <c r="K706" s="24" t="s">
        <v>199</v>
      </c>
      <c r="L706" s="24" t="s">
        <v>199</v>
      </c>
      <c r="M706" s="24">
        <v>1910</v>
      </c>
      <c r="N706" s="24" t="s">
        <v>527</v>
      </c>
      <c r="O706" s="24">
        <v>5</v>
      </c>
      <c r="P706" s="24">
        <v>0</v>
      </c>
      <c r="Q706" s="24">
        <v>1</v>
      </c>
      <c r="R706" s="24">
        <v>9</v>
      </c>
      <c r="S706" s="24">
        <v>938.1</v>
      </c>
      <c r="T706" s="24">
        <v>938.1</v>
      </c>
      <c r="U706" s="24">
        <v>177.8</v>
      </c>
      <c r="V706" s="24"/>
      <c r="W706" s="24" t="s">
        <v>528</v>
      </c>
      <c r="X706" s="24" t="s">
        <v>528</v>
      </c>
      <c r="Y706" s="24" t="s">
        <v>529</v>
      </c>
      <c r="Z706" s="102" t="s">
        <v>528</v>
      </c>
      <c r="AA706" s="24" t="s">
        <v>528</v>
      </c>
      <c r="AB706" s="24" t="s">
        <v>528</v>
      </c>
      <c r="AC706" s="24" t="s">
        <v>528</v>
      </c>
      <c r="AD706" s="24" t="s">
        <v>528</v>
      </c>
      <c r="AE706" s="24" t="s">
        <v>529</v>
      </c>
      <c r="AF706" s="24">
        <v>0</v>
      </c>
      <c r="AG706" s="24" t="s">
        <v>529</v>
      </c>
      <c r="AH706" s="24">
        <v>1</v>
      </c>
      <c r="AI706" s="24" t="s">
        <v>529</v>
      </c>
      <c r="AJ706" s="24" t="s">
        <v>529</v>
      </c>
      <c r="AK706" s="24" t="s">
        <v>530</v>
      </c>
      <c r="AL706" s="24"/>
    </row>
    <row r="707" spans="1:38" ht="31.2" x14ac:dyDescent="0.3">
      <c r="A707" s="53">
        <v>700</v>
      </c>
      <c r="B707" s="24" t="s">
        <v>544</v>
      </c>
      <c r="C707" s="24" t="s">
        <v>653</v>
      </c>
      <c r="D707" s="82" t="s">
        <v>414</v>
      </c>
      <c r="E707" s="24" t="s">
        <v>1378</v>
      </c>
      <c r="F707" s="24" t="s">
        <v>206</v>
      </c>
      <c r="G707" s="24"/>
      <c r="H707" s="24" t="s">
        <v>1484</v>
      </c>
      <c r="I707" s="30" t="s">
        <v>525</v>
      </c>
      <c r="J707" s="24"/>
      <c r="K707" s="24" t="s">
        <v>199</v>
      </c>
      <c r="L707" s="24" t="s">
        <v>199</v>
      </c>
      <c r="M707" s="24">
        <v>1910</v>
      </c>
      <c r="N707" s="24" t="s">
        <v>527</v>
      </c>
      <c r="O707" s="24">
        <v>5</v>
      </c>
      <c r="P707" s="24">
        <v>0</v>
      </c>
      <c r="Q707" s="24">
        <v>1</v>
      </c>
      <c r="R707" s="24">
        <v>10</v>
      </c>
      <c r="S707" s="24">
        <v>1212.9000000000001</v>
      </c>
      <c r="T707" s="24">
        <v>1212.9000000000001</v>
      </c>
      <c r="U707" s="24">
        <v>181</v>
      </c>
      <c r="V707" s="24"/>
      <c r="W707" s="24" t="s">
        <v>528</v>
      </c>
      <c r="X707" s="24" t="s">
        <v>528</v>
      </c>
      <c r="Y707" s="24" t="s">
        <v>529</v>
      </c>
      <c r="Z707" s="102" t="s">
        <v>528</v>
      </c>
      <c r="AA707" s="24" t="s">
        <v>528</v>
      </c>
      <c r="AB707" s="24" t="s">
        <v>528</v>
      </c>
      <c r="AC707" s="24" t="s">
        <v>528</v>
      </c>
      <c r="AD707" s="24" t="s">
        <v>528</v>
      </c>
      <c r="AE707" s="24" t="s">
        <v>529</v>
      </c>
      <c r="AF707" s="24">
        <v>0</v>
      </c>
      <c r="AG707" s="24" t="s">
        <v>529</v>
      </c>
      <c r="AH707" s="24" t="s">
        <v>529</v>
      </c>
      <c r="AI707" s="24" t="s">
        <v>529</v>
      </c>
      <c r="AJ707" s="24" t="s">
        <v>529</v>
      </c>
      <c r="AK707" s="24" t="s">
        <v>530</v>
      </c>
      <c r="AL707" s="24"/>
    </row>
    <row r="708" spans="1:38" ht="31.2" x14ac:dyDescent="0.3">
      <c r="A708" s="53">
        <v>701</v>
      </c>
      <c r="B708" s="24" t="s">
        <v>544</v>
      </c>
      <c r="C708" s="24" t="s">
        <v>552</v>
      </c>
      <c r="D708" s="82" t="s">
        <v>1463</v>
      </c>
      <c r="E708" s="24" t="s">
        <v>1485</v>
      </c>
      <c r="F708" s="24" t="s">
        <v>200</v>
      </c>
      <c r="G708" s="24"/>
      <c r="H708" s="24" t="s">
        <v>1486</v>
      </c>
      <c r="I708" s="30" t="s">
        <v>525</v>
      </c>
      <c r="J708" s="24"/>
      <c r="K708" s="24" t="s">
        <v>199</v>
      </c>
      <c r="L708" s="24" t="s">
        <v>199</v>
      </c>
      <c r="M708" s="24">
        <v>1913</v>
      </c>
      <c r="N708" s="24" t="s">
        <v>527</v>
      </c>
      <c r="O708" s="24">
        <v>6</v>
      </c>
      <c r="P708" s="24">
        <v>0</v>
      </c>
      <c r="Q708" s="24">
        <v>5</v>
      </c>
      <c r="R708" s="24">
        <v>39</v>
      </c>
      <c r="S708" s="24">
        <v>4276.8999999999996</v>
      </c>
      <c r="T708" s="24">
        <v>4276.8999999999996</v>
      </c>
      <c r="U708" s="24">
        <v>884</v>
      </c>
      <c r="V708" s="24"/>
      <c r="W708" s="24" t="s">
        <v>528</v>
      </c>
      <c r="X708" s="24" t="s">
        <v>528</v>
      </c>
      <c r="Y708" s="24" t="s">
        <v>529</v>
      </c>
      <c r="Z708" s="102" t="s">
        <v>528</v>
      </c>
      <c r="AA708" s="24" t="s">
        <v>528</v>
      </c>
      <c r="AB708" s="24" t="s">
        <v>528</v>
      </c>
      <c r="AC708" s="24" t="s">
        <v>528</v>
      </c>
      <c r="AD708" s="24" t="s">
        <v>528</v>
      </c>
      <c r="AE708" s="24" t="s">
        <v>529</v>
      </c>
      <c r="AF708" s="24">
        <v>2</v>
      </c>
      <c r="AG708" s="24" t="s">
        <v>529</v>
      </c>
      <c r="AH708" s="24">
        <v>1</v>
      </c>
      <c r="AI708" s="24" t="s">
        <v>529</v>
      </c>
      <c r="AJ708" s="24">
        <v>1</v>
      </c>
      <c r="AK708" s="24" t="s">
        <v>530</v>
      </c>
      <c r="AL708" s="24"/>
    </row>
    <row r="709" spans="1:38" ht="31.2" x14ac:dyDescent="0.3">
      <c r="A709" s="53">
        <v>702</v>
      </c>
      <c r="B709" s="24" t="s">
        <v>544</v>
      </c>
      <c r="C709" s="24" t="s">
        <v>552</v>
      </c>
      <c r="D709" s="82" t="s">
        <v>1463</v>
      </c>
      <c r="E709" s="24" t="s">
        <v>1189</v>
      </c>
      <c r="F709" s="24" t="s">
        <v>200</v>
      </c>
      <c r="G709" s="24"/>
      <c r="H709" s="24" t="s">
        <v>1487</v>
      </c>
      <c r="I709" s="30" t="s">
        <v>525</v>
      </c>
      <c r="J709" s="24"/>
      <c r="K709" s="24" t="s">
        <v>199</v>
      </c>
      <c r="L709" s="24" t="s">
        <v>199</v>
      </c>
      <c r="M709" s="24">
        <v>1906</v>
      </c>
      <c r="N709" s="24" t="s">
        <v>527</v>
      </c>
      <c r="O709" s="24">
        <v>6</v>
      </c>
      <c r="P709" s="24">
        <v>0</v>
      </c>
      <c r="Q709" s="24">
        <v>1</v>
      </c>
      <c r="R709" s="24">
        <v>28</v>
      </c>
      <c r="S709" s="24">
        <v>2118.89</v>
      </c>
      <c r="T709" s="24">
        <v>2118.89</v>
      </c>
      <c r="U709" s="24">
        <v>247</v>
      </c>
      <c r="V709" s="24"/>
      <c r="W709" s="24" t="s">
        <v>528</v>
      </c>
      <c r="X709" s="24" t="s">
        <v>528</v>
      </c>
      <c r="Y709" s="24" t="s">
        <v>529</v>
      </c>
      <c r="Z709" s="102" t="s">
        <v>528</v>
      </c>
      <c r="AA709" s="24" t="s">
        <v>528</v>
      </c>
      <c r="AB709" s="24" t="s">
        <v>528</v>
      </c>
      <c r="AC709" s="24" t="s">
        <v>528</v>
      </c>
      <c r="AD709" s="24" t="s">
        <v>528</v>
      </c>
      <c r="AE709" s="24" t="s">
        <v>529</v>
      </c>
      <c r="AF709" s="24">
        <v>1</v>
      </c>
      <c r="AG709" s="24" t="s">
        <v>529</v>
      </c>
      <c r="AH709" s="24">
        <v>1</v>
      </c>
      <c r="AI709" s="24" t="s">
        <v>529</v>
      </c>
      <c r="AJ709" s="24">
        <v>1</v>
      </c>
      <c r="AK709" s="24" t="s">
        <v>530</v>
      </c>
      <c r="AL709" s="24"/>
    </row>
    <row r="710" spans="1:38" ht="31.2" x14ac:dyDescent="0.3">
      <c r="A710" s="53">
        <v>703</v>
      </c>
      <c r="B710" s="24" t="s">
        <v>544</v>
      </c>
      <c r="C710" s="24" t="s">
        <v>552</v>
      </c>
      <c r="D710" s="82" t="s">
        <v>1463</v>
      </c>
      <c r="E710" s="24" t="s">
        <v>1488</v>
      </c>
      <c r="F710" s="24" t="s">
        <v>200</v>
      </c>
      <c r="G710" s="24"/>
      <c r="H710" s="24" t="s">
        <v>1489</v>
      </c>
      <c r="I710" s="30" t="s">
        <v>525</v>
      </c>
      <c r="J710" s="24"/>
      <c r="K710" s="24" t="s">
        <v>199</v>
      </c>
      <c r="L710" s="24" t="s">
        <v>199</v>
      </c>
      <c r="M710" s="24">
        <v>1901</v>
      </c>
      <c r="N710" s="24" t="s">
        <v>527</v>
      </c>
      <c r="O710" s="24">
        <v>4</v>
      </c>
      <c r="P710" s="24">
        <v>0</v>
      </c>
      <c r="Q710" s="24">
        <v>2</v>
      </c>
      <c r="R710" s="24">
        <v>13</v>
      </c>
      <c r="S710" s="24">
        <v>1169.7</v>
      </c>
      <c r="T710" s="24">
        <v>1169.7</v>
      </c>
      <c r="U710" s="24">
        <v>264.5</v>
      </c>
      <c r="V710" s="24"/>
      <c r="W710" s="24" t="s">
        <v>528</v>
      </c>
      <c r="X710" s="24" t="s">
        <v>528</v>
      </c>
      <c r="Y710" s="24" t="s">
        <v>529</v>
      </c>
      <c r="Z710" s="102" t="s">
        <v>528</v>
      </c>
      <c r="AA710" s="24" t="s">
        <v>528</v>
      </c>
      <c r="AB710" s="24" t="s">
        <v>528</v>
      </c>
      <c r="AC710" s="24" t="s">
        <v>528</v>
      </c>
      <c r="AD710" s="24" t="s">
        <v>528</v>
      </c>
      <c r="AE710" s="24" t="s">
        <v>529</v>
      </c>
      <c r="AF710" s="24">
        <v>0</v>
      </c>
      <c r="AG710" s="24" t="s">
        <v>529</v>
      </c>
      <c r="AH710" s="24">
        <v>1</v>
      </c>
      <c r="AI710" s="24" t="s">
        <v>529</v>
      </c>
      <c r="AJ710" s="24" t="s">
        <v>529</v>
      </c>
      <c r="AK710" s="24" t="s">
        <v>530</v>
      </c>
      <c r="AL710" s="24"/>
    </row>
    <row r="711" spans="1:38" ht="31.2" x14ac:dyDescent="0.3">
      <c r="A711" s="53">
        <v>704</v>
      </c>
      <c r="B711" s="24" t="s">
        <v>544</v>
      </c>
      <c r="C711" s="24" t="s">
        <v>552</v>
      </c>
      <c r="D711" s="82" t="s">
        <v>1463</v>
      </c>
      <c r="E711" s="24" t="s">
        <v>1488</v>
      </c>
      <c r="F711" s="24" t="s">
        <v>205</v>
      </c>
      <c r="G711" s="24"/>
      <c r="H711" s="24" t="s">
        <v>1490</v>
      </c>
      <c r="I711" s="30" t="s">
        <v>525</v>
      </c>
      <c r="J711" s="24"/>
      <c r="K711" s="24" t="s">
        <v>199</v>
      </c>
      <c r="L711" s="24" t="s">
        <v>199</v>
      </c>
      <c r="M711" s="24">
        <v>1912</v>
      </c>
      <c r="N711" s="24" t="s">
        <v>527</v>
      </c>
      <c r="O711" s="24">
        <v>5</v>
      </c>
      <c r="P711" s="24">
        <v>0</v>
      </c>
      <c r="Q711" s="24">
        <v>2</v>
      </c>
      <c r="R711" s="24">
        <v>20</v>
      </c>
      <c r="S711" s="24">
        <v>1413</v>
      </c>
      <c r="T711" s="24">
        <v>1413</v>
      </c>
      <c r="U711" s="24">
        <v>56</v>
      </c>
      <c r="V711" s="24"/>
      <c r="W711" s="24" t="s">
        <v>528</v>
      </c>
      <c r="X711" s="24" t="s">
        <v>528</v>
      </c>
      <c r="Y711" s="24" t="s">
        <v>529</v>
      </c>
      <c r="Z711" s="102" t="s">
        <v>528</v>
      </c>
      <c r="AA711" s="24" t="s">
        <v>528</v>
      </c>
      <c r="AB711" s="24" t="s">
        <v>528</v>
      </c>
      <c r="AC711" s="24" t="s">
        <v>528</v>
      </c>
      <c r="AD711" s="24" t="s">
        <v>528</v>
      </c>
      <c r="AE711" s="24" t="s">
        <v>529</v>
      </c>
      <c r="AF711" s="24">
        <v>0</v>
      </c>
      <c r="AG711" s="24" t="s">
        <v>529</v>
      </c>
      <c r="AH711" s="24" t="s">
        <v>529</v>
      </c>
      <c r="AI711" s="24" t="s">
        <v>529</v>
      </c>
      <c r="AJ711" s="24" t="s">
        <v>529</v>
      </c>
      <c r="AK711" s="24" t="s">
        <v>530</v>
      </c>
      <c r="AL711" s="24"/>
    </row>
    <row r="712" spans="1:38" ht="31.2" x14ac:dyDescent="0.3">
      <c r="A712" s="53">
        <v>705</v>
      </c>
      <c r="B712" s="24" t="s">
        <v>544</v>
      </c>
      <c r="C712" s="24" t="s">
        <v>552</v>
      </c>
      <c r="D712" s="82" t="s">
        <v>1491</v>
      </c>
      <c r="E712" s="24" t="s">
        <v>1196</v>
      </c>
      <c r="F712" s="24" t="s">
        <v>200</v>
      </c>
      <c r="G712" s="24"/>
      <c r="H712" s="24" t="s">
        <v>1492</v>
      </c>
      <c r="I712" s="30" t="s">
        <v>525</v>
      </c>
      <c r="J712" s="24"/>
      <c r="K712" s="24" t="s">
        <v>199</v>
      </c>
      <c r="L712" s="24" t="s">
        <v>199</v>
      </c>
      <c r="M712" s="24">
        <v>1908</v>
      </c>
      <c r="N712" s="24" t="s">
        <v>527</v>
      </c>
      <c r="O712" s="24">
        <v>6</v>
      </c>
      <c r="P712" s="24">
        <v>0</v>
      </c>
      <c r="Q712" s="24">
        <v>3</v>
      </c>
      <c r="R712" s="24">
        <v>23</v>
      </c>
      <c r="S712" s="24">
        <v>1726.86</v>
      </c>
      <c r="T712" s="24">
        <v>1726.86</v>
      </c>
      <c r="U712" s="24">
        <v>98</v>
      </c>
      <c r="V712" s="24"/>
      <c r="W712" s="24" t="s">
        <v>528</v>
      </c>
      <c r="X712" s="24" t="s">
        <v>528</v>
      </c>
      <c r="Y712" s="24" t="s">
        <v>529</v>
      </c>
      <c r="Z712" s="102" t="s">
        <v>528</v>
      </c>
      <c r="AA712" s="24" t="s">
        <v>528</v>
      </c>
      <c r="AB712" s="24" t="s">
        <v>528</v>
      </c>
      <c r="AC712" s="24" t="s">
        <v>528</v>
      </c>
      <c r="AD712" s="24" t="s">
        <v>528</v>
      </c>
      <c r="AE712" s="24" t="s">
        <v>529</v>
      </c>
      <c r="AF712" s="24">
        <v>1</v>
      </c>
      <c r="AG712" s="24" t="s">
        <v>529</v>
      </c>
      <c r="AH712" s="24">
        <v>1</v>
      </c>
      <c r="AI712" s="24" t="s">
        <v>529</v>
      </c>
      <c r="AJ712" s="24">
        <v>1</v>
      </c>
      <c r="AK712" s="24" t="s">
        <v>530</v>
      </c>
      <c r="AL712" s="24"/>
    </row>
    <row r="713" spans="1:38" ht="31.2" x14ac:dyDescent="0.3">
      <c r="A713" s="53">
        <v>706</v>
      </c>
      <c r="B713" s="24" t="s">
        <v>544</v>
      </c>
      <c r="C713" s="24" t="s">
        <v>552</v>
      </c>
      <c r="D713" s="82" t="s">
        <v>1491</v>
      </c>
      <c r="E713" s="24" t="s">
        <v>1493</v>
      </c>
      <c r="F713" s="24" t="s">
        <v>200</v>
      </c>
      <c r="G713" s="24"/>
      <c r="H713" s="24" t="s">
        <v>1494</v>
      </c>
      <c r="I713" s="30" t="s">
        <v>525</v>
      </c>
      <c r="J713" s="24" t="s">
        <v>1195</v>
      </c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102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</row>
    <row r="714" spans="1:38" ht="31.2" x14ac:dyDescent="0.3">
      <c r="A714" s="53">
        <v>707</v>
      </c>
      <c r="B714" s="24" t="s">
        <v>544</v>
      </c>
      <c r="C714" s="24" t="s">
        <v>521</v>
      </c>
      <c r="D714" s="82" t="s">
        <v>392</v>
      </c>
      <c r="E714" s="24" t="s">
        <v>1495</v>
      </c>
      <c r="F714" s="24" t="s">
        <v>200</v>
      </c>
      <c r="G714" s="24"/>
      <c r="H714" s="24" t="s">
        <v>1496</v>
      </c>
      <c r="I714" s="30" t="s">
        <v>525</v>
      </c>
      <c r="J714" s="24"/>
      <c r="K714" s="24" t="s">
        <v>199</v>
      </c>
      <c r="L714" s="24" t="s">
        <v>199</v>
      </c>
      <c r="M714" s="24">
        <v>1909</v>
      </c>
      <c r="N714" s="24" t="s">
        <v>527</v>
      </c>
      <c r="O714" s="24">
        <v>6</v>
      </c>
      <c r="P714" s="24">
        <v>0</v>
      </c>
      <c r="Q714" s="24">
        <v>1</v>
      </c>
      <c r="R714" s="24">
        <v>29</v>
      </c>
      <c r="S714" s="24">
        <v>2985.2</v>
      </c>
      <c r="T714" s="24">
        <v>2985.2</v>
      </c>
      <c r="U714" s="24">
        <v>438.1</v>
      </c>
      <c r="V714" s="24"/>
      <c r="W714" s="24" t="s">
        <v>528</v>
      </c>
      <c r="X714" s="24" t="s">
        <v>528</v>
      </c>
      <c r="Y714" s="24" t="s">
        <v>529</v>
      </c>
      <c r="Z714" s="102" t="s">
        <v>528</v>
      </c>
      <c r="AA714" s="24" t="s">
        <v>528</v>
      </c>
      <c r="AB714" s="24" t="s">
        <v>528</v>
      </c>
      <c r="AC714" s="24" t="s">
        <v>528</v>
      </c>
      <c r="AD714" s="24" t="s">
        <v>528</v>
      </c>
      <c r="AE714" s="24" t="s">
        <v>529</v>
      </c>
      <c r="AF714" s="24">
        <v>1</v>
      </c>
      <c r="AG714" s="24" t="s">
        <v>529</v>
      </c>
      <c r="AH714" s="24">
        <v>1</v>
      </c>
      <c r="AI714" s="24" t="s">
        <v>529</v>
      </c>
      <c r="AJ714" s="24">
        <v>1</v>
      </c>
      <c r="AK714" s="24" t="s">
        <v>530</v>
      </c>
      <c r="AL714" s="24"/>
    </row>
    <row r="715" spans="1:38" ht="31.2" x14ac:dyDescent="0.3">
      <c r="A715" s="53">
        <v>708</v>
      </c>
      <c r="B715" s="24" t="s">
        <v>544</v>
      </c>
      <c r="C715" s="24" t="s">
        <v>521</v>
      </c>
      <c r="D715" s="82" t="s">
        <v>392</v>
      </c>
      <c r="E715" s="24" t="s">
        <v>1495</v>
      </c>
      <c r="F715" s="24" t="s">
        <v>205</v>
      </c>
      <c r="G715" s="24"/>
      <c r="H715" s="24" t="s">
        <v>1497</v>
      </c>
      <c r="I715" s="30" t="s">
        <v>525</v>
      </c>
      <c r="J715" s="24"/>
      <c r="K715" s="24" t="s">
        <v>199</v>
      </c>
      <c r="L715" s="24" t="s">
        <v>199</v>
      </c>
      <c r="M715" s="24">
        <v>1913</v>
      </c>
      <c r="N715" s="24" t="s">
        <v>527</v>
      </c>
      <c r="O715" s="24">
        <v>6</v>
      </c>
      <c r="P715" s="24">
        <v>0</v>
      </c>
      <c r="Q715" s="24">
        <v>3</v>
      </c>
      <c r="R715" s="24">
        <v>24</v>
      </c>
      <c r="S715" s="24">
        <v>1738.8</v>
      </c>
      <c r="T715" s="24">
        <v>1738.8</v>
      </c>
      <c r="U715" s="24">
        <v>0</v>
      </c>
      <c r="V715" s="24"/>
      <c r="W715" s="24" t="s">
        <v>528</v>
      </c>
      <c r="X715" s="24" t="s">
        <v>528</v>
      </c>
      <c r="Y715" s="24" t="s">
        <v>529</v>
      </c>
      <c r="Z715" s="102" t="s">
        <v>528</v>
      </c>
      <c r="AA715" s="24" t="s">
        <v>528</v>
      </c>
      <c r="AB715" s="24" t="s">
        <v>528</v>
      </c>
      <c r="AC715" s="24" t="s">
        <v>528</v>
      </c>
      <c r="AD715" s="24" t="s">
        <v>528</v>
      </c>
      <c r="AE715" s="24" t="s">
        <v>529</v>
      </c>
      <c r="AF715" s="24">
        <v>1</v>
      </c>
      <c r="AG715" s="24" t="s">
        <v>529</v>
      </c>
      <c r="AH715" s="24" t="s">
        <v>529</v>
      </c>
      <c r="AI715" s="24" t="s">
        <v>529</v>
      </c>
      <c r="AJ715" s="24" t="s">
        <v>529</v>
      </c>
      <c r="AK715" s="24" t="s">
        <v>530</v>
      </c>
      <c r="AL715" s="24"/>
    </row>
    <row r="716" spans="1:38" ht="31.2" x14ac:dyDescent="0.3">
      <c r="A716" s="53">
        <v>709</v>
      </c>
      <c r="B716" s="24" t="s">
        <v>544</v>
      </c>
      <c r="C716" s="24" t="s">
        <v>521</v>
      </c>
      <c r="D716" s="82" t="s">
        <v>392</v>
      </c>
      <c r="E716" s="24" t="s">
        <v>1495</v>
      </c>
      <c r="F716" s="24" t="s">
        <v>206</v>
      </c>
      <c r="G716" s="24"/>
      <c r="H716" s="24" t="s">
        <v>1498</v>
      </c>
      <c r="I716" s="30" t="s">
        <v>525</v>
      </c>
      <c r="J716" s="24"/>
      <c r="K716" s="24" t="s">
        <v>199</v>
      </c>
      <c r="L716" s="24" t="s">
        <v>199</v>
      </c>
      <c r="M716" s="24">
        <v>1909</v>
      </c>
      <c r="N716" s="24" t="s">
        <v>527</v>
      </c>
      <c r="O716" s="24">
        <v>6</v>
      </c>
      <c r="P716" s="24">
        <v>0</v>
      </c>
      <c r="Q716" s="24">
        <v>3</v>
      </c>
      <c r="R716" s="24">
        <v>27</v>
      </c>
      <c r="S716" s="24">
        <v>2889.5</v>
      </c>
      <c r="T716" s="24">
        <v>2889.5</v>
      </c>
      <c r="U716" s="24">
        <v>466.1</v>
      </c>
      <c r="V716" s="24"/>
      <c r="W716" s="24" t="s">
        <v>528</v>
      </c>
      <c r="X716" s="24" t="s">
        <v>528</v>
      </c>
      <c r="Y716" s="24" t="s">
        <v>529</v>
      </c>
      <c r="Z716" s="102" t="s">
        <v>528</v>
      </c>
      <c r="AA716" s="24" t="s">
        <v>528</v>
      </c>
      <c r="AB716" s="24" t="s">
        <v>528</v>
      </c>
      <c r="AC716" s="24" t="s">
        <v>528</v>
      </c>
      <c r="AD716" s="24" t="s">
        <v>528</v>
      </c>
      <c r="AE716" s="24" t="s">
        <v>529</v>
      </c>
      <c r="AF716" s="24">
        <v>1</v>
      </c>
      <c r="AG716" s="24" t="s">
        <v>529</v>
      </c>
      <c r="AH716" s="24" t="s">
        <v>529</v>
      </c>
      <c r="AI716" s="24" t="s">
        <v>529</v>
      </c>
      <c r="AJ716" s="24" t="s">
        <v>529</v>
      </c>
      <c r="AK716" s="24" t="s">
        <v>530</v>
      </c>
      <c r="AL716" s="24"/>
    </row>
    <row r="717" spans="1:38" ht="31.2" x14ac:dyDescent="0.3">
      <c r="A717" s="53">
        <v>710</v>
      </c>
      <c r="B717" s="24" t="s">
        <v>544</v>
      </c>
      <c r="C717" s="24" t="s">
        <v>653</v>
      </c>
      <c r="D717" s="82" t="s">
        <v>1499</v>
      </c>
      <c r="E717" s="24" t="s">
        <v>1500</v>
      </c>
      <c r="F717" s="24" t="s">
        <v>200</v>
      </c>
      <c r="G717" s="24"/>
      <c r="H717" s="24" t="s">
        <v>1501</v>
      </c>
      <c r="I717" s="30" t="s">
        <v>525</v>
      </c>
      <c r="J717" s="24"/>
      <c r="K717" s="24" t="s">
        <v>199</v>
      </c>
      <c r="L717" s="24" t="s">
        <v>199</v>
      </c>
      <c r="M717" s="24">
        <v>1912</v>
      </c>
      <c r="N717" s="24" t="s">
        <v>527</v>
      </c>
      <c r="O717" s="24">
        <v>6</v>
      </c>
      <c r="P717" s="24">
        <v>0</v>
      </c>
      <c r="Q717" s="24">
        <v>6</v>
      </c>
      <c r="R717" s="24">
        <v>41</v>
      </c>
      <c r="S717" s="24">
        <v>4555.7</v>
      </c>
      <c r="T717" s="24">
        <v>4555.7</v>
      </c>
      <c r="U717" s="24">
        <v>671.8</v>
      </c>
      <c r="V717" s="24"/>
      <c r="W717" s="24" t="s">
        <v>528</v>
      </c>
      <c r="X717" s="24" t="s">
        <v>528</v>
      </c>
      <c r="Y717" s="24" t="s">
        <v>529</v>
      </c>
      <c r="Z717" s="102" t="s">
        <v>528</v>
      </c>
      <c r="AA717" s="24" t="s">
        <v>528</v>
      </c>
      <c r="AB717" s="24" t="s">
        <v>528</v>
      </c>
      <c r="AC717" s="24" t="s">
        <v>528</v>
      </c>
      <c r="AD717" s="24" t="s">
        <v>528</v>
      </c>
      <c r="AE717" s="24" t="s">
        <v>529</v>
      </c>
      <c r="AF717" s="24">
        <v>2</v>
      </c>
      <c r="AG717" s="24" t="s">
        <v>529</v>
      </c>
      <c r="AH717" s="24">
        <v>1</v>
      </c>
      <c r="AI717" s="24" t="s">
        <v>529</v>
      </c>
      <c r="AJ717" s="24">
        <v>1</v>
      </c>
      <c r="AK717" s="24" t="s">
        <v>530</v>
      </c>
      <c r="AL717" s="24"/>
    </row>
    <row r="718" spans="1:38" ht="31.2" x14ac:dyDescent="0.3">
      <c r="A718" s="53">
        <v>711</v>
      </c>
      <c r="B718" s="24" t="s">
        <v>544</v>
      </c>
      <c r="C718" s="24" t="s">
        <v>653</v>
      </c>
      <c r="D718" s="82" t="s">
        <v>1499</v>
      </c>
      <c r="E718" s="24" t="s">
        <v>1502</v>
      </c>
      <c r="F718" s="24" t="s">
        <v>200</v>
      </c>
      <c r="G718" s="24"/>
      <c r="H718" s="24" t="s">
        <v>1503</v>
      </c>
      <c r="I718" s="30" t="s">
        <v>525</v>
      </c>
      <c r="J718" s="24"/>
      <c r="K718" s="24" t="s">
        <v>199</v>
      </c>
      <c r="L718" s="24" t="s">
        <v>199</v>
      </c>
      <c r="M718" s="24">
        <v>1903</v>
      </c>
      <c r="N718" s="24" t="s">
        <v>527</v>
      </c>
      <c r="O718" s="24">
        <v>4</v>
      </c>
      <c r="P718" s="24">
        <v>0</v>
      </c>
      <c r="Q718" s="24">
        <v>1</v>
      </c>
      <c r="R718" s="24">
        <v>11</v>
      </c>
      <c r="S718" s="24">
        <v>668.2</v>
      </c>
      <c r="T718" s="24">
        <v>668.2</v>
      </c>
      <c r="U718" s="24">
        <v>117</v>
      </c>
      <c r="V718" s="24"/>
      <c r="W718" s="24" t="s">
        <v>528</v>
      </c>
      <c r="X718" s="24" t="s">
        <v>528</v>
      </c>
      <c r="Y718" s="24" t="s">
        <v>529</v>
      </c>
      <c r="Z718" s="102" t="s">
        <v>528</v>
      </c>
      <c r="AA718" s="24" t="s">
        <v>528</v>
      </c>
      <c r="AB718" s="24" t="s">
        <v>528</v>
      </c>
      <c r="AC718" s="24" t="s">
        <v>528</v>
      </c>
      <c r="AD718" s="24" t="s">
        <v>528</v>
      </c>
      <c r="AE718" s="24" t="s">
        <v>529</v>
      </c>
      <c r="AF718" s="24">
        <v>0</v>
      </c>
      <c r="AG718" s="24" t="s">
        <v>529</v>
      </c>
      <c r="AH718" s="24">
        <v>1</v>
      </c>
      <c r="AI718" s="24" t="s">
        <v>529</v>
      </c>
      <c r="AJ718" s="24" t="s">
        <v>529</v>
      </c>
      <c r="AK718" s="24" t="s">
        <v>530</v>
      </c>
      <c r="AL718" s="24"/>
    </row>
    <row r="719" spans="1:38" ht="31.2" x14ac:dyDescent="0.3">
      <c r="A719" s="53">
        <v>712</v>
      </c>
      <c r="B719" s="24" t="s">
        <v>544</v>
      </c>
      <c r="C719" s="24" t="s">
        <v>653</v>
      </c>
      <c r="D719" s="82" t="s">
        <v>1499</v>
      </c>
      <c r="E719" s="24" t="s">
        <v>1178</v>
      </c>
      <c r="F719" s="24" t="s">
        <v>200</v>
      </c>
      <c r="G719" s="24"/>
      <c r="H719" s="24" t="s">
        <v>1504</v>
      </c>
      <c r="I719" s="30" t="s">
        <v>525</v>
      </c>
      <c r="J719" s="24"/>
      <c r="K719" s="24" t="s">
        <v>199</v>
      </c>
      <c r="L719" s="24" t="s">
        <v>199</v>
      </c>
      <c r="M719" s="24">
        <v>1900</v>
      </c>
      <c r="N719" s="24" t="s">
        <v>527</v>
      </c>
      <c r="O719" s="24">
        <v>4</v>
      </c>
      <c r="P719" s="24">
        <v>0</v>
      </c>
      <c r="Q719" s="24">
        <v>1</v>
      </c>
      <c r="R719" s="24">
        <v>12</v>
      </c>
      <c r="S719" s="24">
        <v>909.5</v>
      </c>
      <c r="T719" s="24">
        <v>909.5</v>
      </c>
      <c r="U719" s="24">
        <v>153</v>
      </c>
      <c r="V719" s="24"/>
      <c r="W719" s="24" t="s">
        <v>528</v>
      </c>
      <c r="X719" s="24" t="s">
        <v>528</v>
      </c>
      <c r="Y719" s="24" t="s">
        <v>529</v>
      </c>
      <c r="Z719" s="102" t="s">
        <v>528</v>
      </c>
      <c r="AA719" s="24" t="s">
        <v>528</v>
      </c>
      <c r="AB719" s="24" t="s">
        <v>528</v>
      </c>
      <c r="AC719" s="24" t="s">
        <v>528</v>
      </c>
      <c r="AD719" s="24" t="s">
        <v>528</v>
      </c>
      <c r="AE719" s="24" t="s">
        <v>529</v>
      </c>
      <c r="AF719" s="24">
        <v>0</v>
      </c>
      <c r="AG719" s="24" t="s">
        <v>529</v>
      </c>
      <c r="AH719" s="24">
        <v>1</v>
      </c>
      <c r="AI719" s="24" t="s">
        <v>529</v>
      </c>
      <c r="AJ719" s="24" t="s">
        <v>529</v>
      </c>
      <c r="AK719" s="24" t="s">
        <v>530</v>
      </c>
      <c r="AL719" s="24"/>
    </row>
    <row r="720" spans="1:38" ht="31.2" x14ac:dyDescent="0.3">
      <c r="A720" s="53">
        <v>713</v>
      </c>
      <c r="B720" s="24" t="s">
        <v>544</v>
      </c>
      <c r="C720" s="24" t="s">
        <v>653</v>
      </c>
      <c r="D720" s="82" t="s">
        <v>1499</v>
      </c>
      <c r="E720" s="24" t="s">
        <v>1384</v>
      </c>
      <c r="F720" s="24" t="s">
        <v>200</v>
      </c>
      <c r="G720" s="24"/>
      <c r="H720" s="24" t="s">
        <v>1505</v>
      </c>
      <c r="I720" s="30" t="s">
        <v>525</v>
      </c>
      <c r="J720" s="24"/>
      <c r="K720" s="24" t="s">
        <v>199</v>
      </c>
      <c r="L720" s="24" t="s">
        <v>199</v>
      </c>
      <c r="M720" s="24">
        <v>1908</v>
      </c>
      <c r="N720" s="24" t="s">
        <v>527</v>
      </c>
      <c r="O720" s="24">
        <v>6</v>
      </c>
      <c r="P720" s="24">
        <v>0</v>
      </c>
      <c r="Q720" s="24">
        <v>5</v>
      </c>
      <c r="R720" s="24">
        <v>32</v>
      </c>
      <c r="S720" s="24">
        <v>2950.9</v>
      </c>
      <c r="T720" s="24">
        <v>2950.9</v>
      </c>
      <c r="U720" s="24">
        <v>113</v>
      </c>
      <c r="V720" s="24"/>
      <c r="W720" s="24" t="s">
        <v>528</v>
      </c>
      <c r="X720" s="24" t="s">
        <v>528</v>
      </c>
      <c r="Y720" s="24" t="s">
        <v>529</v>
      </c>
      <c r="Z720" s="102" t="s">
        <v>528</v>
      </c>
      <c r="AA720" s="24" t="s">
        <v>528</v>
      </c>
      <c r="AB720" s="24" t="s">
        <v>528</v>
      </c>
      <c r="AC720" s="24" t="s">
        <v>528</v>
      </c>
      <c r="AD720" s="24" t="s">
        <v>528</v>
      </c>
      <c r="AE720" s="24" t="s">
        <v>529</v>
      </c>
      <c r="AF720" s="24">
        <v>3</v>
      </c>
      <c r="AG720" s="24" t="s">
        <v>529</v>
      </c>
      <c r="AH720" s="24">
        <v>1</v>
      </c>
      <c r="AI720" s="24" t="s">
        <v>529</v>
      </c>
      <c r="AJ720" s="24">
        <v>1</v>
      </c>
      <c r="AK720" s="24" t="s">
        <v>530</v>
      </c>
      <c r="AL720" s="24"/>
    </row>
    <row r="721" spans="1:38" ht="31.2" x14ac:dyDescent="0.3">
      <c r="A721" s="53">
        <v>714</v>
      </c>
      <c r="B721" s="24" t="s">
        <v>544</v>
      </c>
      <c r="C721" s="24" t="s">
        <v>653</v>
      </c>
      <c r="D721" s="82" t="s">
        <v>1499</v>
      </c>
      <c r="E721" s="24" t="s">
        <v>1181</v>
      </c>
      <c r="F721" s="24" t="s">
        <v>200</v>
      </c>
      <c r="G721" s="24"/>
      <c r="H721" s="24" t="s">
        <v>1506</v>
      </c>
      <c r="I721" s="30" t="s">
        <v>525</v>
      </c>
      <c r="J721" s="24"/>
      <c r="K721" s="24" t="s">
        <v>199</v>
      </c>
      <c r="L721" s="24" t="s">
        <v>199</v>
      </c>
      <c r="M721" s="24">
        <v>1910</v>
      </c>
      <c r="N721" s="24" t="s">
        <v>527</v>
      </c>
      <c r="O721" s="24">
        <v>7</v>
      </c>
      <c r="P721" s="24">
        <v>0</v>
      </c>
      <c r="Q721" s="24">
        <v>7</v>
      </c>
      <c r="R721" s="24">
        <v>40</v>
      </c>
      <c r="S721" s="24">
        <v>4596.2</v>
      </c>
      <c r="T721" s="24">
        <v>4596.2</v>
      </c>
      <c r="U721" s="24">
        <v>652</v>
      </c>
      <c r="V721" s="24"/>
      <c r="W721" s="24" t="s">
        <v>528</v>
      </c>
      <c r="X721" s="24" t="s">
        <v>528</v>
      </c>
      <c r="Y721" s="24" t="s">
        <v>529</v>
      </c>
      <c r="Z721" s="102" t="s">
        <v>528</v>
      </c>
      <c r="AA721" s="24" t="s">
        <v>528</v>
      </c>
      <c r="AB721" s="24" t="s">
        <v>528</v>
      </c>
      <c r="AC721" s="24" t="s">
        <v>528</v>
      </c>
      <c r="AD721" s="24" t="s">
        <v>528</v>
      </c>
      <c r="AE721" s="24" t="s">
        <v>529</v>
      </c>
      <c r="AF721" s="24">
        <v>0</v>
      </c>
      <c r="AG721" s="24" t="s">
        <v>529</v>
      </c>
      <c r="AH721" s="24">
        <v>1</v>
      </c>
      <c r="AI721" s="24" t="s">
        <v>529</v>
      </c>
      <c r="AJ721" s="24">
        <v>1</v>
      </c>
      <c r="AK721" s="24" t="s">
        <v>530</v>
      </c>
      <c r="AL721" s="24"/>
    </row>
    <row r="722" spans="1:38" ht="31.2" x14ac:dyDescent="0.3">
      <c r="A722" s="53">
        <v>715</v>
      </c>
      <c r="B722" s="24" t="s">
        <v>544</v>
      </c>
      <c r="C722" s="24" t="s">
        <v>653</v>
      </c>
      <c r="D722" s="82" t="s">
        <v>1499</v>
      </c>
      <c r="E722" s="24" t="s">
        <v>1164</v>
      </c>
      <c r="F722" s="24" t="s">
        <v>200</v>
      </c>
      <c r="G722" s="24"/>
      <c r="H722" s="24" t="s">
        <v>1507</v>
      </c>
      <c r="I722" s="30" t="s">
        <v>525</v>
      </c>
      <c r="J722" s="24"/>
      <c r="K722" s="24" t="s">
        <v>199</v>
      </c>
      <c r="L722" s="24" t="s">
        <v>199</v>
      </c>
      <c r="M722" s="24">
        <v>1907</v>
      </c>
      <c r="N722" s="24" t="s">
        <v>527</v>
      </c>
      <c r="O722" s="24">
        <v>5</v>
      </c>
      <c r="P722" s="24">
        <v>0</v>
      </c>
      <c r="Q722" s="24">
        <v>1</v>
      </c>
      <c r="R722" s="24">
        <v>10</v>
      </c>
      <c r="S722" s="24">
        <v>774.02</v>
      </c>
      <c r="T722" s="24">
        <v>774.02</v>
      </c>
      <c r="U722" s="24">
        <v>0</v>
      </c>
      <c r="V722" s="24"/>
      <c r="W722" s="24" t="s">
        <v>528</v>
      </c>
      <c r="X722" s="24" t="s">
        <v>528</v>
      </c>
      <c r="Y722" s="24" t="s">
        <v>529</v>
      </c>
      <c r="Z722" s="102" t="s">
        <v>528</v>
      </c>
      <c r="AA722" s="24" t="s">
        <v>528</v>
      </c>
      <c r="AB722" s="24" t="s">
        <v>528</v>
      </c>
      <c r="AC722" s="24" t="s">
        <v>528</v>
      </c>
      <c r="AD722" s="24" t="s">
        <v>528</v>
      </c>
      <c r="AE722" s="24" t="s">
        <v>529</v>
      </c>
      <c r="AF722" s="24">
        <v>0</v>
      </c>
      <c r="AG722" s="24" t="s">
        <v>529</v>
      </c>
      <c r="AH722" s="24">
        <v>1</v>
      </c>
      <c r="AI722" s="24" t="s">
        <v>529</v>
      </c>
      <c r="AJ722" s="24" t="s">
        <v>529</v>
      </c>
      <c r="AK722" s="24" t="s">
        <v>530</v>
      </c>
      <c r="AL722" s="24"/>
    </row>
    <row r="723" spans="1:38" ht="31.2" x14ac:dyDescent="0.3">
      <c r="A723" s="53">
        <v>716</v>
      </c>
      <c r="B723" s="24" t="s">
        <v>544</v>
      </c>
      <c r="C723" s="24" t="s">
        <v>653</v>
      </c>
      <c r="D723" s="82" t="s">
        <v>1499</v>
      </c>
      <c r="E723" s="24" t="s">
        <v>1392</v>
      </c>
      <c r="F723" s="24" t="s">
        <v>200</v>
      </c>
      <c r="G723" s="24"/>
      <c r="H723" s="24" t="s">
        <v>1508</v>
      </c>
      <c r="I723" s="30" t="s">
        <v>525</v>
      </c>
      <c r="J723" s="24"/>
      <c r="K723" s="24" t="s">
        <v>199</v>
      </c>
      <c r="L723" s="24" t="s">
        <v>199</v>
      </c>
      <c r="M723" s="24">
        <v>1904</v>
      </c>
      <c r="N723" s="24" t="s">
        <v>527</v>
      </c>
      <c r="O723" s="24">
        <v>6</v>
      </c>
      <c r="P723" s="24">
        <v>0</v>
      </c>
      <c r="Q723" s="24">
        <v>2</v>
      </c>
      <c r="R723" s="24">
        <v>21</v>
      </c>
      <c r="S723" s="24">
        <v>1669.2</v>
      </c>
      <c r="T723" s="24">
        <v>1669.2</v>
      </c>
      <c r="U723" s="24">
        <v>221</v>
      </c>
      <c r="V723" s="24"/>
      <c r="W723" s="24" t="s">
        <v>528</v>
      </c>
      <c r="X723" s="24" t="s">
        <v>528</v>
      </c>
      <c r="Y723" s="24" t="s">
        <v>529</v>
      </c>
      <c r="Z723" s="102" t="s">
        <v>528</v>
      </c>
      <c r="AA723" s="24" t="s">
        <v>528</v>
      </c>
      <c r="AB723" s="24" t="s">
        <v>528</v>
      </c>
      <c r="AC723" s="24" t="s">
        <v>528</v>
      </c>
      <c r="AD723" s="24" t="s">
        <v>528</v>
      </c>
      <c r="AE723" s="24" t="s">
        <v>529</v>
      </c>
      <c r="AF723" s="24">
        <v>2</v>
      </c>
      <c r="AG723" s="24" t="s">
        <v>529</v>
      </c>
      <c r="AH723" s="24">
        <v>1</v>
      </c>
      <c r="AI723" s="24" t="s">
        <v>529</v>
      </c>
      <c r="AJ723" s="24">
        <v>1</v>
      </c>
      <c r="AK723" s="24" t="s">
        <v>530</v>
      </c>
      <c r="AL723" s="24"/>
    </row>
    <row r="724" spans="1:38" ht="31.2" x14ac:dyDescent="0.3">
      <c r="A724" s="53">
        <v>717</v>
      </c>
      <c r="B724" s="24" t="s">
        <v>544</v>
      </c>
      <c r="C724" s="24" t="s">
        <v>653</v>
      </c>
      <c r="D724" s="82" t="s">
        <v>1499</v>
      </c>
      <c r="E724" s="24" t="s">
        <v>1405</v>
      </c>
      <c r="F724" s="24" t="s">
        <v>200</v>
      </c>
      <c r="G724" s="24"/>
      <c r="H724" s="24" t="s">
        <v>1509</v>
      </c>
      <c r="I724" s="30" t="s">
        <v>525</v>
      </c>
      <c r="J724" s="24"/>
      <c r="K724" s="24" t="s">
        <v>199</v>
      </c>
      <c r="L724" s="24" t="s">
        <v>199</v>
      </c>
      <c r="M724" s="24">
        <v>1904</v>
      </c>
      <c r="N724" s="24" t="s">
        <v>527</v>
      </c>
      <c r="O724" s="24">
        <v>5</v>
      </c>
      <c r="P724" s="24">
        <v>0</v>
      </c>
      <c r="Q724" s="24">
        <v>1</v>
      </c>
      <c r="R724" s="24">
        <v>16</v>
      </c>
      <c r="S724" s="24">
        <v>1186.5999999999999</v>
      </c>
      <c r="T724" s="24">
        <v>1186.5999999999999</v>
      </c>
      <c r="U724" s="24">
        <v>198.1</v>
      </c>
      <c r="V724" s="24"/>
      <c r="W724" s="24" t="s">
        <v>528</v>
      </c>
      <c r="X724" s="24" t="s">
        <v>528</v>
      </c>
      <c r="Y724" s="24" t="s">
        <v>529</v>
      </c>
      <c r="Z724" s="102" t="s">
        <v>528</v>
      </c>
      <c r="AA724" s="24" t="s">
        <v>528</v>
      </c>
      <c r="AB724" s="24" t="s">
        <v>528</v>
      </c>
      <c r="AC724" s="24" t="s">
        <v>528</v>
      </c>
      <c r="AD724" s="24" t="s">
        <v>528</v>
      </c>
      <c r="AE724" s="24" t="s">
        <v>529</v>
      </c>
      <c r="AF724" s="24">
        <v>0</v>
      </c>
      <c r="AG724" s="24" t="s">
        <v>529</v>
      </c>
      <c r="AH724" s="24">
        <v>1</v>
      </c>
      <c r="AI724" s="24" t="s">
        <v>529</v>
      </c>
      <c r="AJ724" s="24" t="s">
        <v>529</v>
      </c>
      <c r="AK724" s="24" t="s">
        <v>530</v>
      </c>
      <c r="AL724" s="24"/>
    </row>
    <row r="725" spans="1:38" ht="31.2" x14ac:dyDescent="0.3">
      <c r="A725" s="53">
        <v>718</v>
      </c>
      <c r="B725" s="24" t="s">
        <v>544</v>
      </c>
      <c r="C725" s="24" t="s">
        <v>552</v>
      </c>
      <c r="D725" s="82" t="s">
        <v>469</v>
      </c>
      <c r="E725" s="24" t="s">
        <v>1510</v>
      </c>
      <c r="F725" s="24" t="s">
        <v>200</v>
      </c>
      <c r="G725" s="24"/>
      <c r="H725" s="24" t="s">
        <v>1511</v>
      </c>
      <c r="I725" s="30" t="s">
        <v>525</v>
      </c>
      <c r="J725" s="24"/>
      <c r="K725" s="24" t="s">
        <v>199</v>
      </c>
      <c r="L725" s="24" t="s">
        <v>199</v>
      </c>
      <c r="M725" s="24">
        <v>1900</v>
      </c>
      <c r="N725" s="24" t="s">
        <v>527</v>
      </c>
      <c r="O725" s="24">
        <v>5</v>
      </c>
      <c r="P725" s="24">
        <v>0</v>
      </c>
      <c r="Q725" s="24">
        <v>2</v>
      </c>
      <c r="R725" s="24">
        <v>37</v>
      </c>
      <c r="S725" s="24">
        <v>3045</v>
      </c>
      <c r="T725" s="24">
        <v>3045</v>
      </c>
      <c r="U725" s="24">
        <v>286.39999999999998</v>
      </c>
      <c r="V725" s="24"/>
      <c r="W725" s="24" t="s">
        <v>528</v>
      </c>
      <c r="X725" s="24" t="s">
        <v>528</v>
      </c>
      <c r="Y725" s="24" t="s">
        <v>529</v>
      </c>
      <c r="Z725" s="102" t="s">
        <v>528</v>
      </c>
      <c r="AA725" s="24" t="s">
        <v>528</v>
      </c>
      <c r="AB725" s="24" t="s">
        <v>528</v>
      </c>
      <c r="AC725" s="24" t="s">
        <v>528</v>
      </c>
      <c r="AD725" s="24" t="s">
        <v>528</v>
      </c>
      <c r="AE725" s="24" t="s">
        <v>529</v>
      </c>
      <c r="AF725" s="24">
        <v>2</v>
      </c>
      <c r="AG725" s="24" t="s">
        <v>529</v>
      </c>
      <c r="AH725" s="24">
        <v>1</v>
      </c>
      <c r="AI725" s="24" t="s">
        <v>529</v>
      </c>
      <c r="AJ725" s="24">
        <v>1</v>
      </c>
      <c r="AK725" s="24" t="s">
        <v>530</v>
      </c>
      <c r="AL725" s="24"/>
    </row>
    <row r="726" spans="1:38" ht="31.2" x14ac:dyDescent="0.3">
      <c r="A726" s="53">
        <v>719</v>
      </c>
      <c r="B726" s="24" t="s">
        <v>544</v>
      </c>
      <c r="C726" s="24" t="s">
        <v>552</v>
      </c>
      <c r="D726" s="82" t="s">
        <v>469</v>
      </c>
      <c r="E726" s="24" t="s">
        <v>1512</v>
      </c>
      <c r="F726" s="24" t="s">
        <v>200</v>
      </c>
      <c r="G726" s="24"/>
      <c r="H726" s="24" t="s">
        <v>1513</v>
      </c>
      <c r="I726" s="30" t="s">
        <v>525</v>
      </c>
      <c r="J726" s="24"/>
      <c r="K726" s="24" t="s">
        <v>199</v>
      </c>
      <c r="L726" s="24" t="s">
        <v>199</v>
      </c>
      <c r="M726" s="24">
        <v>1904</v>
      </c>
      <c r="N726" s="24" t="s">
        <v>527</v>
      </c>
      <c r="O726" s="24">
        <v>5</v>
      </c>
      <c r="P726" s="24">
        <v>0</v>
      </c>
      <c r="Q726" s="24">
        <v>3</v>
      </c>
      <c r="R726" s="24">
        <v>35</v>
      </c>
      <c r="S726" s="24">
        <v>3199.17</v>
      </c>
      <c r="T726" s="24">
        <v>3199.17</v>
      </c>
      <c r="U726" s="24">
        <v>502</v>
      </c>
      <c r="V726" s="24"/>
      <c r="W726" s="24" t="s">
        <v>528</v>
      </c>
      <c r="X726" s="24" t="s">
        <v>528</v>
      </c>
      <c r="Y726" s="24" t="s">
        <v>529</v>
      </c>
      <c r="Z726" s="102" t="s">
        <v>528</v>
      </c>
      <c r="AA726" s="24" t="s">
        <v>528</v>
      </c>
      <c r="AB726" s="24" t="s">
        <v>528</v>
      </c>
      <c r="AC726" s="24" t="s">
        <v>528</v>
      </c>
      <c r="AD726" s="24" t="s">
        <v>528</v>
      </c>
      <c r="AE726" s="24" t="s">
        <v>529</v>
      </c>
      <c r="AF726" s="24">
        <v>0</v>
      </c>
      <c r="AG726" s="24" t="s">
        <v>529</v>
      </c>
      <c r="AH726" s="24">
        <v>1</v>
      </c>
      <c r="AI726" s="24" t="s">
        <v>529</v>
      </c>
      <c r="AJ726" s="24">
        <v>1</v>
      </c>
      <c r="AK726" s="24" t="s">
        <v>530</v>
      </c>
      <c r="AL726" s="24"/>
    </row>
    <row r="727" spans="1:38" ht="31.2" x14ac:dyDescent="0.3">
      <c r="A727" s="53">
        <v>720</v>
      </c>
      <c r="B727" s="24" t="s">
        <v>544</v>
      </c>
      <c r="C727" s="24" t="s">
        <v>653</v>
      </c>
      <c r="D727" s="82" t="s">
        <v>431</v>
      </c>
      <c r="E727" s="24" t="s">
        <v>1514</v>
      </c>
      <c r="F727" s="24" t="s">
        <v>200</v>
      </c>
      <c r="G727" s="24"/>
      <c r="H727" s="24" t="s">
        <v>1515</v>
      </c>
      <c r="I727" s="30" t="s">
        <v>525</v>
      </c>
      <c r="J727" s="24"/>
      <c r="K727" s="24" t="s">
        <v>199</v>
      </c>
      <c r="L727" s="24" t="s">
        <v>199</v>
      </c>
      <c r="M727" s="24">
        <v>1909</v>
      </c>
      <c r="N727" s="24" t="s">
        <v>527</v>
      </c>
      <c r="O727" s="24">
        <v>6</v>
      </c>
      <c r="P727" s="24">
        <v>0</v>
      </c>
      <c r="Q727" s="24">
        <v>4</v>
      </c>
      <c r="R727" s="24">
        <v>38</v>
      </c>
      <c r="S727" s="24">
        <v>5001</v>
      </c>
      <c r="T727" s="24">
        <v>5001</v>
      </c>
      <c r="U727" s="24">
        <v>874</v>
      </c>
      <c r="V727" s="24"/>
      <c r="W727" s="24" t="s">
        <v>528</v>
      </c>
      <c r="X727" s="24" t="s">
        <v>528</v>
      </c>
      <c r="Y727" s="24" t="s">
        <v>529</v>
      </c>
      <c r="Z727" s="102" t="s">
        <v>528</v>
      </c>
      <c r="AA727" s="24" t="s">
        <v>528</v>
      </c>
      <c r="AB727" s="24" t="s">
        <v>528</v>
      </c>
      <c r="AC727" s="24" t="s">
        <v>528</v>
      </c>
      <c r="AD727" s="24" t="s">
        <v>528</v>
      </c>
      <c r="AE727" s="24" t="s">
        <v>529</v>
      </c>
      <c r="AF727" s="24">
        <v>3</v>
      </c>
      <c r="AG727" s="24" t="s">
        <v>529</v>
      </c>
      <c r="AH727" s="24">
        <v>1</v>
      </c>
      <c r="AI727" s="24" t="s">
        <v>529</v>
      </c>
      <c r="AJ727" s="24">
        <v>1</v>
      </c>
      <c r="AK727" s="24" t="s">
        <v>530</v>
      </c>
      <c r="AL727" s="24"/>
    </row>
    <row r="728" spans="1:38" ht="31.2" x14ac:dyDescent="0.3">
      <c r="A728" s="53">
        <v>721</v>
      </c>
      <c r="B728" s="24" t="s">
        <v>544</v>
      </c>
      <c r="C728" s="24" t="s">
        <v>552</v>
      </c>
      <c r="D728" s="82" t="s">
        <v>1491</v>
      </c>
      <c r="E728" s="24" t="s">
        <v>1516</v>
      </c>
      <c r="F728" s="24" t="s">
        <v>200</v>
      </c>
      <c r="G728" s="24"/>
      <c r="H728" s="24" t="s">
        <v>1517</v>
      </c>
      <c r="I728" s="30" t="s">
        <v>525</v>
      </c>
      <c r="J728" s="24"/>
      <c r="K728" s="24" t="s">
        <v>199</v>
      </c>
      <c r="L728" s="24" t="s">
        <v>199</v>
      </c>
      <c r="M728" s="24">
        <v>1911</v>
      </c>
      <c r="N728" s="24" t="s">
        <v>527</v>
      </c>
      <c r="O728" s="24">
        <v>7</v>
      </c>
      <c r="P728" s="24">
        <v>0</v>
      </c>
      <c r="Q728" s="24">
        <v>5</v>
      </c>
      <c r="R728" s="24">
        <v>39</v>
      </c>
      <c r="S728" s="24">
        <v>3465.19</v>
      </c>
      <c r="T728" s="24">
        <v>3465.19</v>
      </c>
      <c r="U728" s="24">
        <v>360.9</v>
      </c>
      <c r="V728" s="24"/>
      <c r="W728" s="24" t="s">
        <v>528</v>
      </c>
      <c r="X728" s="24" t="s">
        <v>528</v>
      </c>
      <c r="Y728" s="24" t="s">
        <v>529</v>
      </c>
      <c r="Z728" s="102" t="s">
        <v>528</v>
      </c>
      <c r="AA728" s="24" t="s">
        <v>528</v>
      </c>
      <c r="AB728" s="24" t="s">
        <v>528</v>
      </c>
      <c r="AC728" s="24" t="s">
        <v>528</v>
      </c>
      <c r="AD728" s="24" t="s">
        <v>528</v>
      </c>
      <c r="AE728" s="24" t="s">
        <v>529</v>
      </c>
      <c r="AF728" s="24">
        <v>4</v>
      </c>
      <c r="AG728" s="24" t="s">
        <v>529</v>
      </c>
      <c r="AH728" s="24">
        <v>1</v>
      </c>
      <c r="AI728" s="24" t="s">
        <v>529</v>
      </c>
      <c r="AJ728" s="24">
        <v>1</v>
      </c>
      <c r="AK728" s="24" t="s">
        <v>530</v>
      </c>
      <c r="AL728" s="24"/>
    </row>
    <row r="729" spans="1:38" ht="31.2" x14ac:dyDescent="0.3">
      <c r="A729" s="53">
        <v>722</v>
      </c>
      <c r="B729" s="24" t="s">
        <v>544</v>
      </c>
      <c r="C729" s="24" t="s">
        <v>521</v>
      </c>
      <c r="D729" s="82" t="s">
        <v>1518</v>
      </c>
      <c r="E729" s="24" t="s">
        <v>1196</v>
      </c>
      <c r="F729" s="24" t="s">
        <v>200</v>
      </c>
      <c r="G729" s="24"/>
      <c r="H729" s="24" t="s">
        <v>1519</v>
      </c>
      <c r="I729" s="30" t="s">
        <v>525</v>
      </c>
      <c r="J729" s="24"/>
      <c r="K729" s="24" t="s">
        <v>199</v>
      </c>
      <c r="L729" s="24" t="s">
        <v>199</v>
      </c>
      <c r="M729" s="24">
        <v>1903</v>
      </c>
      <c r="N729" s="24" t="s">
        <v>527</v>
      </c>
      <c r="O729" s="24">
        <v>4</v>
      </c>
      <c r="P729" s="24">
        <v>0</v>
      </c>
      <c r="Q729" s="24">
        <v>1</v>
      </c>
      <c r="R729" s="24">
        <v>11</v>
      </c>
      <c r="S729" s="24">
        <v>616.5</v>
      </c>
      <c r="T729" s="24">
        <v>616.5</v>
      </c>
      <c r="U729" s="24">
        <v>0</v>
      </c>
      <c r="V729" s="24"/>
      <c r="W729" s="24" t="s">
        <v>528</v>
      </c>
      <c r="X729" s="24" t="s">
        <v>528</v>
      </c>
      <c r="Y729" s="24" t="s">
        <v>529</v>
      </c>
      <c r="Z729" s="102" t="s">
        <v>528</v>
      </c>
      <c r="AA729" s="24" t="s">
        <v>528</v>
      </c>
      <c r="AB729" s="24" t="s">
        <v>528</v>
      </c>
      <c r="AC729" s="24" t="s">
        <v>529</v>
      </c>
      <c r="AD729" s="24" t="s">
        <v>528</v>
      </c>
      <c r="AE729" s="24" t="s">
        <v>529</v>
      </c>
      <c r="AF729" s="24">
        <v>0</v>
      </c>
      <c r="AG729" s="24" t="s">
        <v>529</v>
      </c>
      <c r="AH729" s="24">
        <v>1</v>
      </c>
      <c r="AI729" s="24" t="s">
        <v>529</v>
      </c>
      <c r="AJ729" s="24">
        <v>1</v>
      </c>
      <c r="AK729" s="24" t="s">
        <v>530</v>
      </c>
      <c r="AL729" s="24"/>
    </row>
    <row r="730" spans="1:38" ht="31.2" x14ac:dyDescent="0.3">
      <c r="A730" s="53">
        <v>723</v>
      </c>
      <c r="B730" s="24" t="s">
        <v>544</v>
      </c>
      <c r="C730" s="24" t="s">
        <v>552</v>
      </c>
      <c r="D730" s="82" t="s">
        <v>1491</v>
      </c>
      <c r="E730" s="24" t="s">
        <v>1419</v>
      </c>
      <c r="F730" s="24" t="s">
        <v>205</v>
      </c>
      <c r="G730" s="24"/>
      <c r="H730" s="24" t="s">
        <v>1520</v>
      </c>
      <c r="I730" s="30" t="s">
        <v>525</v>
      </c>
      <c r="J730" s="24"/>
      <c r="K730" s="24" t="s">
        <v>199</v>
      </c>
      <c r="L730" s="24" t="s">
        <v>199</v>
      </c>
      <c r="M730" s="24">
        <v>1903</v>
      </c>
      <c r="N730" s="24" t="s">
        <v>527</v>
      </c>
      <c r="O730" s="24">
        <v>6</v>
      </c>
      <c r="P730" s="24">
        <v>0</v>
      </c>
      <c r="Q730" s="24">
        <v>4</v>
      </c>
      <c r="R730" s="24">
        <v>19</v>
      </c>
      <c r="S730" s="24">
        <v>1780.2</v>
      </c>
      <c r="T730" s="24">
        <v>1780.2</v>
      </c>
      <c r="U730" s="24">
        <v>307.60000000000002</v>
      </c>
      <c r="V730" s="24"/>
      <c r="W730" s="24" t="s">
        <v>528</v>
      </c>
      <c r="X730" s="24" t="s">
        <v>528</v>
      </c>
      <c r="Y730" s="24" t="s">
        <v>529</v>
      </c>
      <c r="Z730" s="102" t="s">
        <v>528</v>
      </c>
      <c r="AA730" s="24" t="s">
        <v>528</v>
      </c>
      <c r="AB730" s="24" t="s">
        <v>528</v>
      </c>
      <c r="AC730" s="24" t="s">
        <v>528</v>
      </c>
      <c r="AD730" s="24" t="s">
        <v>528</v>
      </c>
      <c r="AE730" s="24" t="s">
        <v>529</v>
      </c>
      <c r="AF730" s="24">
        <v>3</v>
      </c>
      <c r="AG730" s="24" t="s">
        <v>529</v>
      </c>
      <c r="AH730" s="24">
        <v>1</v>
      </c>
      <c r="AI730" s="24" t="s">
        <v>529</v>
      </c>
      <c r="AJ730" s="24">
        <v>1</v>
      </c>
      <c r="AK730" s="24" t="s">
        <v>530</v>
      </c>
      <c r="AL730" s="24"/>
    </row>
    <row r="731" spans="1:38" ht="31.2" x14ac:dyDescent="0.3">
      <c r="A731" s="53">
        <v>724</v>
      </c>
      <c r="B731" s="24" t="s">
        <v>544</v>
      </c>
      <c r="C731" s="24" t="s">
        <v>653</v>
      </c>
      <c r="D731" s="82" t="s">
        <v>230</v>
      </c>
      <c r="E731" s="24" t="s">
        <v>1521</v>
      </c>
      <c r="F731" s="24" t="s">
        <v>200</v>
      </c>
      <c r="G731" s="24"/>
      <c r="H731" s="24" t="s">
        <v>1522</v>
      </c>
      <c r="I731" s="30" t="s">
        <v>525</v>
      </c>
      <c r="J731" s="24"/>
      <c r="K731" s="24" t="s">
        <v>1157</v>
      </c>
      <c r="L731" s="24" t="s">
        <v>199</v>
      </c>
      <c r="M731" s="24">
        <v>1953</v>
      </c>
      <c r="N731" s="24" t="s">
        <v>527</v>
      </c>
      <c r="O731" s="24">
        <v>6</v>
      </c>
      <c r="P731" s="24">
        <v>0</v>
      </c>
      <c r="Q731" s="24">
        <v>2</v>
      </c>
      <c r="R731" s="24">
        <v>38</v>
      </c>
      <c r="S731" s="24">
        <v>3766.5</v>
      </c>
      <c r="T731" s="24">
        <v>3766.5</v>
      </c>
      <c r="U731" s="24">
        <v>754</v>
      </c>
      <c r="V731" s="24"/>
      <c r="W731" s="24" t="s">
        <v>528</v>
      </c>
      <c r="X731" s="24" t="s">
        <v>528</v>
      </c>
      <c r="Y731" s="24" t="s">
        <v>529</v>
      </c>
      <c r="Z731" s="102" t="s">
        <v>528</v>
      </c>
      <c r="AA731" s="24" t="s">
        <v>528</v>
      </c>
      <c r="AB731" s="24" t="s">
        <v>528</v>
      </c>
      <c r="AC731" s="24" t="s">
        <v>528</v>
      </c>
      <c r="AD731" s="24" t="s">
        <v>528</v>
      </c>
      <c r="AE731" s="24" t="s">
        <v>529</v>
      </c>
      <c r="AF731" s="24">
        <v>2</v>
      </c>
      <c r="AG731" s="24" t="s">
        <v>529</v>
      </c>
      <c r="AH731" s="24">
        <v>1</v>
      </c>
      <c r="AI731" s="24" t="s">
        <v>529</v>
      </c>
      <c r="AJ731" s="24">
        <v>1</v>
      </c>
      <c r="AK731" s="24" t="s">
        <v>530</v>
      </c>
      <c r="AL731" s="24"/>
    </row>
    <row r="732" spans="1:38" ht="31.2" x14ac:dyDescent="0.3">
      <c r="A732" s="53">
        <v>725</v>
      </c>
      <c r="B732" s="24" t="s">
        <v>544</v>
      </c>
      <c r="C732" s="24" t="s">
        <v>653</v>
      </c>
      <c r="D732" s="82" t="s">
        <v>230</v>
      </c>
      <c r="E732" s="24" t="s">
        <v>885</v>
      </c>
      <c r="F732" s="24" t="s">
        <v>200</v>
      </c>
      <c r="G732" s="24"/>
      <c r="H732" s="24" t="s">
        <v>1523</v>
      </c>
      <c r="I732" s="30" t="s">
        <v>525</v>
      </c>
      <c r="J732" s="24"/>
      <c r="K732" s="24" t="s">
        <v>199</v>
      </c>
      <c r="L732" s="24" t="s">
        <v>199</v>
      </c>
      <c r="M732" s="24">
        <v>1912</v>
      </c>
      <c r="N732" s="24" t="s">
        <v>527</v>
      </c>
      <c r="O732" s="24">
        <v>6</v>
      </c>
      <c r="P732" s="24">
        <v>0</v>
      </c>
      <c r="Q732" s="24">
        <v>9</v>
      </c>
      <c r="R732" s="24">
        <v>90</v>
      </c>
      <c r="S732" s="24">
        <v>7849.72</v>
      </c>
      <c r="T732" s="24">
        <v>7849.72</v>
      </c>
      <c r="U732" s="24">
        <v>1764.1</v>
      </c>
      <c r="V732" s="24"/>
      <c r="W732" s="24" t="s">
        <v>528</v>
      </c>
      <c r="X732" s="24" t="s">
        <v>528</v>
      </c>
      <c r="Y732" s="24" t="s">
        <v>529</v>
      </c>
      <c r="Z732" s="102" t="s">
        <v>528</v>
      </c>
      <c r="AA732" s="24" t="s">
        <v>528</v>
      </c>
      <c r="AB732" s="24" t="s">
        <v>528</v>
      </c>
      <c r="AC732" s="24" t="s">
        <v>528</v>
      </c>
      <c r="AD732" s="24" t="s">
        <v>528</v>
      </c>
      <c r="AE732" s="24" t="s">
        <v>529</v>
      </c>
      <c r="AF732" s="24">
        <v>4</v>
      </c>
      <c r="AG732" s="24" t="s">
        <v>529</v>
      </c>
      <c r="AH732" s="24">
        <v>2</v>
      </c>
      <c r="AI732" s="24" t="s">
        <v>529</v>
      </c>
      <c r="AJ732" s="24">
        <v>1</v>
      </c>
      <c r="AK732" s="24" t="s">
        <v>530</v>
      </c>
      <c r="AL732" s="24"/>
    </row>
    <row r="733" spans="1:38" ht="31.2" x14ac:dyDescent="0.3">
      <c r="A733" s="53">
        <v>726</v>
      </c>
      <c r="B733" s="24" t="s">
        <v>544</v>
      </c>
      <c r="C733" s="24" t="s">
        <v>555</v>
      </c>
      <c r="D733" s="82" t="s">
        <v>1524</v>
      </c>
      <c r="E733" s="24" t="s">
        <v>1208</v>
      </c>
      <c r="F733" s="24" t="s">
        <v>200</v>
      </c>
      <c r="G733" s="24"/>
      <c r="H733" s="24" t="s">
        <v>1525</v>
      </c>
      <c r="I733" s="30" t="s">
        <v>525</v>
      </c>
      <c r="J733" s="24"/>
      <c r="K733" s="24" t="s">
        <v>1157</v>
      </c>
      <c r="L733" s="24" t="s">
        <v>199</v>
      </c>
      <c r="M733" s="24">
        <v>1956</v>
      </c>
      <c r="N733" s="24" t="s">
        <v>527</v>
      </c>
      <c r="O733" s="24">
        <v>6</v>
      </c>
      <c r="P733" s="24">
        <v>0</v>
      </c>
      <c r="Q733" s="24">
        <v>2</v>
      </c>
      <c r="R733" s="24">
        <v>63</v>
      </c>
      <c r="S733" s="24">
        <v>4982.6000000000004</v>
      </c>
      <c r="T733" s="24">
        <v>4982.6000000000004</v>
      </c>
      <c r="U733" s="24">
        <v>1058</v>
      </c>
      <c r="V733" s="24"/>
      <c r="W733" s="24" t="s">
        <v>528</v>
      </c>
      <c r="X733" s="24" t="s">
        <v>528</v>
      </c>
      <c r="Y733" s="24" t="s">
        <v>529</v>
      </c>
      <c r="Z733" s="102" t="s">
        <v>528</v>
      </c>
      <c r="AA733" s="24" t="s">
        <v>528</v>
      </c>
      <c r="AB733" s="24" t="s">
        <v>528</v>
      </c>
      <c r="AC733" s="24" t="s">
        <v>528</v>
      </c>
      <c r="AD733" s="24" t="s">
        <v>528</v>
      </c>
      <c r="AE733" s="24" t="s">
        <v>529</v>
      </c>
      <c r="AF733" s="24">
        <v>2</v>
      </c>
      <c r="AG733" s="24" t="s">
        <v>529</v>
      </c>
      <c r="AH733" s="24">
        <v>1</v>
      </c>
      <c r="AI733" s="24" t="s">
        <v>529</v>
      </c>
      <c r="AJ733" s="24">
        <v>1</v>
      </c>
      <c r="AK733" s="24" t="s">
        <v>530</v>
      </c>
      <c r="AL733" s="24"/>
    </row>
    <row r="734" spans="1:38" ht="31.2" x14ac:dyDescent="0.3">
      <c r="A734" s="53">
        <v>727</v>
      </c>
      <c r="B734" s="24" t="s">
        <v>544</v>
      </c>
      <c r="C734" s="24" t="s">
        <v>555</v>
      </c>
      <c r="D734" s="82" t="s">
        <v>1524</v>
      </c>
      <c r="E734" s="24" t="s">
        <v>170</v>
      </c>
      <c r="F734" s="24" t="s">
        <v>200</v>
      </c>
      <c r="G734" s="24"/>
      <c r="H734" s="24" t="s">
        <v>1526</v>
      </c>
      <c r="I734" s="30" t="s">
        <v>525</v>
      </c>
      <c r="J734" s="24"/>
      <c r="K734" s="24" t="s">
        <v>199</v>
      </c>
      <c r="L734" s="24" t="s">
        <v>199</v>
      </c>
      <c r="M734" s="24">
        <v>1906</v>
      </c>
      <c r="N734" s="24" t="s">
        <v>527</v>
      </c>
      <c r="O734" s="24">
        <v>4</v>
      </c>
      <c r="P734" s="24">
        <v>0</v>
      </c>
      <c r="Q734" s="24">
        <v>3</v>
      </c>
      <c r="R734" s="24">
        <v>24</v>
      </c>
      <c r="S734" s="24">
        <v>1467.2</v>
      </c>
      <c r="T734" s="24">
        <v>1467.2</v>
      </c>
      <c r="U734" s="24">
        <v>70.099999999999994</v>
      </c>
      <c r="V734" s="24"/>
      <c r="W734" s="24" t="s">
        <v>528</v>
      </c>
      <c r="X734" s="24" t="s">
        <v>528</v>
      </c>
      <c r="Y734" s="24" t="s">
        <v>529</v>
      </c>
      <c r="Z734" s="102" t="s">
        <v>528</v>
      </c>
      <c r="AA734" s="24" t="s">
        <v>528</v>
      </c>
      <c r="AB734" s="24" t="s">
        <v>528</v>
      </c>
      <c r="AC734" s="24" t="s">
        <v>528</v>
      </c>
      <c r="AD734" s="24" t="s">
        <v>528</v>
      </c>
      <c r="AE734" s="24" t="s">
        <v>529</v>
      </c>
      <c r="AF734" s="24">
        <v>0</v>
      </c>
      <c r="AG734" s="24" t="s">
        <v>529</v>
      </c>
      <c r="AH734" s="24">
        <v>1</v>
      </c>
      <c r="AI734" s="24" t="s">
        <v>529</v>
      </c>
      <c r="AJ734" s="24">
        <v>1</v>
      </c>
      <c r="AK734" s="24" t="s">
        <v>530</v>
      </c>
      <c r="AL734" s="24"/>
    </row>
    <row r="735" spans="1:38" ht="31.2" x14ac:dyDescent="0.3">
      <c r="A735" s="53">
        <v>728</v>
      </c>
      <c r="B735" s="24" t="s">
        <v>544</v>
      </c>
      <c r="C735" s="24" t="s">
        <v>555</v>
      </c>
      <c r="D735" s="82" t="s">
        <v>1524</v>
      </c>
      <c r="E735" s="24" t="s">
        <v>1527</v>
      </c>
      <c r="F735" s="24" t="s">
        <v>200</v>
      </c>
      <c r="G735" s="24"/>
      <c r="H735" s="24" t="s">
        <v>1528</v>
      </c>
      <c r="I735" s="30" t="s">
        <v>525</v>
      </c>
      <c r="J735" s="24"/>
      <c r="K735" s="24" t="s">
        <v>199</v>
      </c>
      <c r="L735" s="24" t="s">
        <v>199</v>
      </c>
      <c r="M735" s="24">
        <v>1912</v>
      </c>
      <c r="N735" s="24" t="s">
        <v>527</v>
      </c>
      <c r="O735" s="24">
        <v>5</v>
      </c>
      <c r="P735" s="24">
        <v>0</v>
      </c>
      <c r="Q735" s="24">
        <v>3</v>
      </c>
      <c r="R735" s="24">
        <v>43</v>
      </c>
      <c r="S735" s="24">
        <v>4029.8</v>
      </c>
      <c r="T735" s="24">
        <v>4029.8</v>
      </c>
      <c r="U735" s="24">
        <v>814.7</v>
      </c>
      <c r="V735" s="24"/>
      <c r="W735" s="24" t="s">
        <v>528</v>
      </c>
      <c r="X735" s="24" t="s">
        <v>528</v>
      </c>
      <c r="Y735" s="24" t="s">
        <v>529</v>
      </c>
      <c r="Z735" s="102" t="s">
        <v>528</v>
      </c>
      <c r="AA735" s="24" t="s">
        <v>528</v>
      </c>
      <c r="AB735" s="24" t="s">
        <v>528</v>
      </c>
      <c r="AC735" s="24" t="s">
        <v>528</v>
      </c>
      <c r="AD735" s="24" t="s">
        <v>528</v>
      </c>
      <c r="AE735" s="24" t="s">
        <v>529</v>
      </c>
      <c r="AF735" s="24">
        <v>2</v>
      </c>
      <c r="AG735" s="24" t="s">
        <v>529</v>
      </c>
      <c r="AH735" s="24">
        <v>1</v>
      </c>
      <c r="AI735" s="24" t="s">
        <v>529</v>
      </c>
      <c r="AJ735" s="24">
        <v>1</v>
      </c>
      <c r="AK735" s="24" t="s">
        <v>530</v>
      </c>
      <c r="AL735" s="24"/>
    </row>
    <row r="736" spans="1:38" ht="31.2" x14ac:dyDescent="0.3">
      <c r="A736" s="53">
        <v>729</v>
      </c>
      <c r="B736" s="24" t="s">
        <v>544</v>
      </c>
      <c r="C736" s="24" t="s">
        <v>555</v>
      </c>
      <c r="D736" s="82" t="s">
        <v>1524</v>
      </c>
      <c r="E736" s="24" t="s">
        <v>1527</v>
      </c>
      <c r="F736" s="24" t="s">
        <v>205</v>
      </c>
      <c r="G736" s="24"/>
      <c r="H736" s="24" t="s">
        <v>1529</v>
      </c>
      <c r="I736" s="30" t="s">
        <v>525</v>
      </c>
      <c r="J736" s="24"/>
      <c r="K736" s="24" t="s">
        <v>199</v>
      </c>
      <c r="L736" s="24" t="s">
        <v>199</v>
      </c>
      <c r="M736" s="24">
        <v>1912</v>
      </c>
      <c r="N736" s="24" t="s">
        <v>527</v>
      </c>
      <c r="O736" s="24">
        <v>6</v>
      </c>
      <c r="P736" s="24">
        <v>0</v>
      </c>
      <c r="Q736" s="24">
        <v>1</v>
      </c>
      <c r="R736" s="24">
        <v>25</v>
      </c>
      <c r="S736" s="24">
        <v>2044.5</v>
      </c>
      <c r="T736" s="24">
        <v>2044.5</v>
      </c>
      <c r="U736" s="24">
        <v>232</v>
      </c>
      <c r="V736" s="24"/>
      <c r="W736" s="24" t="s">
        <v>528</v>
      </c>
      <c r="X736" s="24" t="s">
        <v>528</v>
      </c>
      <c r="Y736" s="24" t="s">
        <v>529</v>
      </c>
      <c r="Z736" s="102" t="s">
        <v>528</v>
      </c>
      <c r="AA736" s="24" t="s">
        <v>528</v>
      </c>
      <c r="AB736" s="24" t="s">
        <v>528</v>
      </c>
      <c r="AC736" s="24" t="s">
        <v>528</v>
      </c>
      <c r="AD736" s="24" t="s">
        <v>528</v>
      </c>
      <c r="AE736" s="24" t="s">
        <v>529</v>
      </c>
      <c r="AF736" s="24">
        <v>1</v>
      </c>
      <c r="AG736" s="24" t="s">
        <v>529</v>
      </c>
      <c r="AH736" s="24">
        <v>1</v>
      </c>
      <c r="AI736" s="24" t="s">
        <v>529</v>
      </c>
      <c r="AJ736" s="24">
        <v>1</v>
      </c>
      <c r="AK736" s="24" t="s">
        <v>530</v>
      </c>
      <c r="AL736" s="24"/>
    </row>
    <row r="737" spans="1:38" ht="31.2" x14ac:dyDescent="0.3">
      <c r="A737" s="53">
        <v>730</v>
      </c>
      <c r="B737" s="24" t="s">
        <v>544</v>
      </c>
      <c r="C737" s="24" t="s">
        <v>653</v>
      </c>
      <c r="D737" s="82" t="s">
        <v>327</v>
      </c>
      <c r="E737" s="24" t="s">
        <v>1208</v>
      </c>
      <c r="F737" s="24" t="s">
        <v>200</v>
      </c>
      <c r="G737" s="24"/>
      <c r="H737" s="24" t="s">
        <v>1530</v>
      </c>
      <c r="I737" s="30" t="s">
        <v>525</v>
      </c>
      <c r="J737" s="24"/>
      <c r="K737" s="24" t="s">
        <v>199</v>
      </c>
      <c r="L737" s="24" t="s">
        <v>199</v>
      </c>
      <c r="M737" s="24">
        <v>1882</v>
      </c>
      <c r="N737" s="24" t="s">
        <v>527</v>
      </c>
      <c r="O737" s="24">
        <v>3</v>
      </c>
      <c r="P737" s="24">
        <v>0</v>
      </c>
      <c r="Q737" s="24">
        <v>1</v>
      </c>
      <c r="R737" s="24">
        <v>5</v>
      </c>
      <c r="S737" s="24">
        <v>383.6</v>
      </c>
      <c r="T737" s="24">
        <v>383.6</v>
      </c>
      <c r="U737" s="24">
        <v>0</v>
      </c>
      <c r="V737" s="24"/>
      <c r="W737" s="24" t="s">
        <v>528</v>
      </c>
      <c r="X737" s="24" t="s">
        <v>528</v>
      </c>
      <c r="Y737" s="24" t="s">
        <v>529</v>
      </c>
      <c r="Z737" s="102" t="s">
        <v>528</v>
      </c>
      <c r="AA737" s="24" t="s">
        <v>528</v>
      </c>
      <c r="AB737" s="24" t="s">
        <v>528</v>
      </c>
      <c r="AC737" s="24" t="s">
        <v>529</v>
      </c>
      <c r="AD737" s="24" t="s">
        <v>528</v>
      </c>
      <c r="AE737" s="24" t="s">
        <v>529</v>
      </c>
      <c r="AF737" s="24">
        <v>0</v>
      </c>
      <c r="AG737" s="24" t="s">
        <v>529</v>
      </c>
      <c r="AH737" s="24">
        <v>1</v>
      </c>
      <c r="AI737" s="24" t="s">
        <v>529</v>
      </c>
      <c r="AJ737" s="24" t="s">
        <v>529</v>
      </c>
      <c r="AK737" s="24" t="s">
        <v>530</v>
      </c>
      <c r="AL737" s="24"/>
    </row>
    <row r="738" spans="1:38" ht="31.2" x14ac:dyDescent="0.3">
      <c r="A738" s="53">
        <v>731</v>
      </c>
      <c r="B738" s="24" t="s">
        <v>544</v>
      </c>
      <c r="C738" s="24" t="s">
        <v>653</v>
      </c>
      <c r="D738" s="82" t="s">
        <v>327</v>
      </c>
      <c r="E738" s="24" t="s">
        <v>169</v>
      </c>
      <c r="F738" s="24" t="s">
        <v>200</v>
      </c>
      <c r="G738" s="24"/>
      <c r="H738" s="24" t="s">
        <v>1531</v>
      </c>
      <c r="I738" s="30" t="s">
        <v>525</v>
      </c>
      <c r="J738" s="24"/>
      <c r="K738" s="24" t="s">
        <v>199</v>
      </c>
      <c r="L738" s="24" t="s">
        <v>199</v>
      </c>
      <c r="M738" s="24">
        <v>1911</v>
      </c>
      <c r="N738" s="24" t="s">
        <v>527</v>
      </c>
      <c r="O738" s="24">
        <v>5</v>
      </c>
      <c r="P738" s="24">
        <v>0</v>
      </c>
      <c r="Q738" s="24">
        <v>1</v>
      </c>
      <c r="R738" s="24">
        <v>19</v>
      </c>
      <c r="S738" s="24">
        <v>1550.9</v>
      </c>
      <c r="T738" s="24">
        <v>1550.9</v>
      </c>
      <c r="U738" s="24">
        <v>13</v>
      </c>
      <c r="V738" s="24"/>
      <c r="W738" s="24" t="s">
        <v>528</v>
      </c>
      <c r="X738" s="24" t="s">
        <v>528</v>
      </c>
      <c r="Y738" s="24" t="s">
        <v>529</v>
      </c>
      <c r="Z738" s="102" t="s">
        <v>528</v>
      </c>
      <c r="AA738" s="24" t="s">
        <v>528</v>
      </c>
      <c r="AB738" s="24" t="s">
        <v>528</v>
      </c>
      <c r="AC738" s="24" t="s">
        <v>528</v>
      </c>
      <c r="AD738" s="24" t="s">
        <v>528</v>
      </c>
      <c r="AE738" s="24" t="s">
        <v>529</v>
      </c>
      <c r="AF738" s="24">
        <v>0</v>
      </c>
      <c r="AG738" s="24" t="s">
        <v>529</v>
      </c>
      <c r="AH738" s="24">
        <v>1</v>
      </c>
      <c r="AI738" s="24" t="s">
        <v>529</v>
      </c>
      <c r="AJ738" s="24">
        <v>1</v>
      </c>
      <c r="AK738" s="24" t="s">
        <v>530</v>
      </c>
      <c r="AL738" s="24"/>
    </row>
    <row r="739" spans="1:38" ht="31.2" x14ac:dyDescent="0.3">
      <c r="A739" s="53">
        <v>732</v>
      </c>
      <c r="B739" s="24" t="s">
        <v>544</v>
      </c>
      <c r="C739" s="24" t="s">
        <v>653</v>
      </c>
      <c r="D739" s="82" t="s">
        <v>327</v>
      </c>
      <c r="E739" s="24" t="s">
        <v>1532</v>
      </c>
      <c r="F739" s="24" t="s">
        <v>200</v>
      </c>
      <c r="G739" s="24"/>
      <c r="H739" s="24" t="s">
        <v>1533</v>
      </c>
      <c r="I739" s="30" t="s">
        <v>525</v>
      </c>
      <c r="J739" s="24"/>
      <c r="K739" s="24" t="s">
        <v>199</v>
      </c>
      <c r="L739" s="24" t="s">
        <v>199</v>
      </c>
      <c r="M739" s="24">
        <v>1912</v>
      </c>
      <c r="N739" s="24" t="s">
        <v>527</v>
      </c>
      <c r="O739" s="24">
        <v>6</v>
      </c>
      <c r="P739" s="24">
        <v>0</v>
      </c>
      <c r="Q739" s="24">
        <v>1</v>
      </c>
      <c r="R739" s="24">
        <v>16</v>
      </c>
      <c r="S739" s="24">
        <v>1103.8</v>
      </c>
      <c r="T739" s="24">
        <v>1103.8</v>
      </c>
      <c r="U739" s="24">
        <v>112</v>
      </c>
      <c r="V739" s="24"/>
      <c r="W739" s="24" t="s">
        <v>528</v>
      </c>
      <c r="X739" s="24" t="s">
        <v>528</v>
      </c>
      <c r="Y739" s="24" t="s">
        <v>529</v>
      </c>
      <c r="Z739" s="102" t="s">
        <v>528</v>
      </c>
      <c r="AA739" s="24" t="s">
        <v>528</v>
      </c>
      <c r="AB739" s="24" t="s">
        <v>528</v>
      </c>
      <c r="AC739" s="24" t="s">
        <v>528</v>
      </c>
      <c r="AD739" s="24" t="s">
        <v>528</v>
      </c>
      <c r="AE739" s="24" t="s">
        <v>529</v>
      </c>
      <c r="AF739" s="24">
        <v>1</v>
      </c>
      <c r="AG739" s="24" t="s">
        <v>529</v>
      </c>
      <c r="AH739" s="24">
        <v>1</v>
      </c>
      <c r="AI739" s="24" t="s">
        <v>529</v>
      </c>
      <c r="AJ739" s="24">
        <v>1</v>
      </c>
      <c r="AK739" s="24" t="s">
        <v>530</v>
      </c>
      <c r="AL739" s="24"/>
    </row>
    <row r="740" spans="1:38" ht="31.2" x14ac:dyDescent="0.3">
      <c r="A740" s="53">
        <v>733</v>
      </c>
      <c r="B740" s="24" t="s">
        <v>544</v>
      </c>
      <c r="C740" s="24" t="s">
        <v>653</v>
      </c>
      <c r="D740" s="82" t="s">
        <v>1499</v>
      </c>
      <c r="E740" s="24" t="s">
        <v>1534</v>
      </c>
      <c r="F740" s="24" t="s">
        <v>200</v>
      </c>
      <c r="G740" s="24"/>
      <c r="H740" s="24" t="s">
        <v>1535</v>
      </c>
      <c r="I740" s="30" t="s">
        <v>525</v>
      </c>
      <c r="J740" s="24"/>
      <c r="K740" s="24" t="s">
        <v>199</v>
      </c>
      <c r="L740" s="24" t="s">
        <v>199</v>
      </c>
      <c r="M740" s="24">
        <v>1905</v>
      </c>
      <c r="N740" s="24" t="s">
        <v>527</v>
      </c>
      <c r="O740" s="24">
        <v>6</v>
      </c>
      <c r="P740" s="24">
        <v>0</v>
      </c>
      <c r="Q740" s="24">
        <v>8</v>
      </c>
      <c r="R740" s="24">
        <v>24</v>
      </c>
      <c r="S740" s="24">
        <v>6741.7</v>
      </c>
      <c r="T740" s="24">
        <v>6741.7</v>
      </c>
      <c r="U740" s="24">
        <v>3490</v>
      </c>
      <c r="V740" s="24"/>
      <c r="W740" s="24" t="s">
        <v>528</v>
      </c>
      <c r="X740" s="24" t="s">
        <v>528</v>
      </c>
      <c r="Y740" s="24" t="s">
        <v>529</v>
      </c>
      <c r="Z740" s="102" t="s">
        <v>528</v>
      </c>
      <c r="AA740" s="24" t="s">
        <v>528</v>
      </c>
      <c r="AB740" s="24" t="s">
        <v>528</v>
      </c>
      <c r="AC740" s="24" t="s">
        <v>528</v>
      </c>
      <c r="AD740" s="24" t="s">
        <v>528</v>
      </c>
      <c r="AE740" s="24" t="s">
        <v>529</v>
      </c>
      <c r="AF740" s="24">
        <v>0</v>
      </c>
      <c r="AG740" s="24" t="s">
        <v>529</v>
      </c>
      <c r="AH740" s="24">
        <v>1</v>
      </c>
      <c r="AI740" s="24" t="s">
        <v>529</v>
      </c>
      <c r="AJ740" s="24">
        <v>1</v>
      </c>
      <c r="AK740" s="24" t="s">
        <v>530</v>
      </c>
      <c r="AL740" s="24"/>
    </row>
    <row r="741" spans="1:38" ht="31.2" x14ac:dyDescent="0.3">
      <c r="A741" s="53">
        <v>734</v>
      </c>
      <c r="B741" s="24" t="s">
        <v>544</v>
      </c>
      <c r="C741" s="24" t="s">
        <v>653</v>
      </c>
      <c r="D741" s="82" t="s">
        <v>1499</v>
      </c>
      <c r="E741" s="24" t="s">
        <v>1536</v>
      </c>
      <c r="F741" s="24" t="s">
        <v>200</v>
      </c>
      <c r="G741" s="24"/>
      <c r="H741" s="24" t="s">
        <v>1537</v>
      </c>
      <c r="I741" s="30" t="s">
        <v>525</v>
      </c>
      <c r="J741" s="24"/>
      <c r="K741" s="24" t="s">
        <v>199</v>
      </c>
      <c r="L741" s="24" t="s">
        <v>199</v>
      </c>
      <c r="M741" s="24">
        <v>1899</v>
      </c>
      <c r="N741" s="24" t="s">
        <v>527</v>
      </c>
      <c r="O741" s="24">
        <v>4</v>
      </c>
      <c r="P741" s="24">
        <v>0</v>
      </c>
      <c r="Q741" s="24">
        <v>2</v>
      </c>
      <c r="R741" s="24">
        <v>19</v>
      </c>
      <c r="S741" s="24">
        <v>1181.0999999999999</v>
      </c>
      <c r="T741" s="24">
        <v>1181.0999999999999</v>
      </c>
      <c r="U741" s="24">
        <v>116.9</v>
      </c>
      <c r="V741" s="24"/>
      <c r="W741" s="24" t="s">
        <v>528</v>
      </c>
      <c r="X741" s="24" t="s">
        <v>528</v>
      </c>
      <c r="Y741" s="24" t="s">
        <v>529</v>
      </c>
      <c r="Z741" s="102" t="s">
        <v>528</v>
      </c>
      <c r="AA741" s="24" t="s">
        <v>528</v>
      </c>
      <c r="AB741" s="24" t="s">
        <v>528</v>
      </c>
      <c r="AC741" s="24" t="s">
        <v>528</v>
      </c>
      <c r="AD741" s="24" t="s">
        <v>528</v>
      </c>
      <c r="AE741" s="24" t="s">
        <v>529</v>
      </c>
      <c r="AF741" s="24">
        <v>0</v>
      </c>
      <c r="AG741" s="24" t="s">
        <v>529</v>
      </c>
      <c r="AH741" s="24">
        <v>1</v>
      </c>
      <c r="AI741" s="24" t="s">
        <v>529</v>
      </c>
      <c r="AJ741" s="24" t="s">
        <v>529</v>
      </c>
      <c r="AK741" s="24" t="s">
        <v>530</v>
      </c>
      <c r="AL741" s="24"/>
    </row>
    <row r="742" spans="1:38" ht="31.2" x14ac:dyDescent="0.3">
      <c r="A742" s="53">
        <v>735</v>
      </c>
      <c r="B742" s="24" t="s">
        <v>544</v>
      </c>
      <c r="C742" s="24" t="s">
        <v>653</v>
      </c>
      <c r="D742" s="82" t="s">
        <v>1499</v>
      </c>
      <c r="E742" s="24" t="s">
        <v>1536</v>
      </c>
      <c r="F742" s="24" t="s">
        <v>205</v>
      </c>
      <c r="G742" s="24"/>
      <c r="H742" s="24" t="s">
        <v>1538</v>
      </c>
      <c r="I742" s="30" t="s">
        <v>525</v>
      </c>
      <c r="J742" s="24"/>
      <c r="K742" s="24" t="s">
        <v>199</v>
      </c>
      <c r="L742" s="24" t="s">
        <v>199</v>
      </c>
      <c r="M742" s="24">
        <v>1897</v>
      </c>
      <c r="N742" s="24" t="s">
        <v>527</v>
      </c>
      <c r="O742" s="24">
        <v>3</v>
      </c>
      <c r="P742" s="24">
        <v>0</v>
      </c>
      <c r="Q742" s="24">
        <v>1</v>
      </c>
      <c r="R742" s="24">
        <v>4</v>
      </c>
      <c r="S742" s="24">
        <v>351.3</v>
      </c>
      <c r="T742" s="24">
        <v>351.3</v>
      </c>
      <c r="U742" s="24">
        <v>116</v>
      </c>
      <c r="V742" s="24"/>
      <c r="W742" s="24" t="s">
        <v>528</v>
      </c>
      <c r="X742" s="24" t="s">
        <v>528</v>
      </c>
      <c r="Y742" s="24" t="s">
        <v>529</v>
      </c>
      <c r="Z742" s="102" t="s">
        <v>528</v>
      </c>
      <c r="AA742" s="24" t="s">
        <v>528</v>
      </c>
      <c r="AB742" s="24" t="s">
        <v>528</v>
      </c>
      <c r="AC742" s="24" t="s">
        <v>528</v>
      </c>
      <c r="AD742" s="24" t="s">
        <v>528</v>
      </c>
      <c r="AE742" s="24" t="s">
        <v>529</v>
      </c>
      <c r="AF742" s="24">
        <v>0</v>
      </c>
      <c r="AG742" s="24" t="s">
        <v>529</v>
      </c>
      <c r="AH742" s="24">
        <v>1</v>
      </c>
      <c r="AI742" s="24" t="s">
        <v>529</v>
      </c>
      <c r="AJ742" s="24" t="s">
        <v>529</v>
      </c>
      <c r="AK742" s="24" t="s">
        <v>530</v>
      </c>
      <c r="AL742" s="24"/>
    </row>
    <row r="743" spans="1:38" ht="31.2" x14ac:dyDescent="0.3">
      <c r="A743" s="53">
        <v>736</v>
      </c>
      <c r="B743" s="24" t="s">
        <v>544</v>
      </c>
      <c r="C743" s="24" t="s">
        <v>653</v>
      </c>
      <c r="D743" s="82" t="s">
        <v>1499</v>
      </c>
      <c r="E743" s="24" t="s">
        <v>170</v>
      </c>
      <c r="F743" s="24" t="s">
        <v>200</v>
      </c>
      <c r="G743" s="24"/>
      <c r="H743" s="24" t="s">
        <v>1539</v>
      </c>
      <c r="I743" s="30" t="s">
        <v>525</v>
      </c>
      <c r="J743" s="24"/>
      <c r="K743" s="24" t="s">
        <v>199</v>
      </c>
      <c r="L743" s="24" t="s">
        <v>199</v>
      </c>
      <c r="M743" s="24">
        <v>1899</v>
      </c>
      <c r="N743" s="24" t="s">
        <v>527</v>
      </c>
      <c r="O743" s="24">
        <v>5</v>
      </c>
      <c r="P743" s="24">
        <v>0</v>
      </c>
      <c r="Q743" s="24">
        <v>2</v>
      </c>
      <c r="R743" s="24">
        <v>11</v>
      </c>
      <c r="S743" s="24">
        <v>1395.4</v>
      </c>
      <c r="T743" s="24">
        <v>1395.4</v>
      </c>
      <c r="U743" s="24">
        <v>592</v>
      </c>
      <c r="V743" s="24"/>
      <c r="W743" s="24" t="s">
        <v>528</v>
      </c>
      <c r="X743" s="24" t="s">
        <v>528</v>
      </c>
      <c r="Y743" s="24" t="s">
        <v>529</v>
      </c>
      <c r="Z743" s="102" t="s">
        <v>528</v>
      </c>
      <c r="AA743" s="24" t="s">
        <v>528</v>
      </c>
      <c r="AB743" s="24" t="s">
        <v>528</v>
      </c>
      <c r="AC743" s="24" t="s">
        <v>528</v>
      </c>
      <c r="AD743" s="24" t="s">
        <v>528</v>
      </c>
      <c r="AE743" s="24" t="s">
        <v>529</v>
      </c>
      <c r="AF743" s="24">
        <v>0</v>
      </c>
      <c r="AG743" s="24" t="s">
        <v>529</v>
      </c>
      <c r="AH743" s="24">
        <v>1</v>
      </c>
      <c r="AI743" s="24" t="s">
        <v>529</v>
      </c>
      <c r="AJ743" s="24" t="s">
        <v>529</v>
      </c>
      <c r="AK743" s="24" t="s">
        <v>530</v>
      </c>
      <c r="AL743" s="24"/>
    </row>
    <row r="744" spans="1:38" ht="31.2" x14ac:dyDescent="0.3">
      <c r="A744" s="53">
        <v>737</v>
      </c>
      <c r="B744" s="24" t="s">
        <v>544</v>
      </c>
      <c r="C744" s="24" t="s">
        <v>653</v>
      </c>
      <c r="D744" s="82" t="s">
        <v>1499</v>
      </c>
      <c r="E744" s="24" t="s">
        <v>172</v>
      </c>
      <c r="F744" s="24" t="s">
        <v>200</v>
      </c>
      <c r="G744" s="24"/>
      <c r="H744" s="24" t="s">
        <v>1540</v>
      </c>
      <c r="I744" s="30" t="s">
        <v>525</v>
      </c>
      <c r="J744" s="24"/>
      <c r="K744" s="24" t="s">
        <v>199</v>
      </c>
      <c r="L744" s="24" t="s">
        <v>199</v>
      </c>
      <c r="M744" s="24">
        <v>1905</v>
      </c>
      <c r="N744" s="24" t="s">
        <v>527</v>
      </c>
      <c r="O744" s="24">
        <v>4</v>
      </c>
      <c r="P744" s="24">
        <v>0</v>
      </c>
      <c r="Q744" s="24">
        <v>1</v>
      </c>
      <c r="R744" s="24">
        <v>14</v>
      </c>
      <c r="S744" s="24">
        <v>909</v>
      </c>
      <c r="T744" s="24">
        <v>909</v>
      </c>
      <c r="U744" s="24">
        <v>39</v>
      </c>
      <c r="V744" s="24"/>
      <c r="W744" s="24" t="s">
        <v>528</v>
      </c>
      <c r="X744" s="24" t="s">
        <v>528</v>
      </c>
      <c r="Y744" s="24" t="s">
        <v>529</v>
      </c>
      <c r="Z744" s="102" t="s">
        <v>528</v>
      </c>
      <c r="AA744" s="24" t="s">
        <v>528</v>
      </c>
      <c r="AB744" s="24" t="s">
        <v>528</v>
      </c>
      <c r="AC744" s="24" t="s">
        <v>528</v>
      </c>
      <c r="AD744" s="24" t="s">
        <v>528</v>
      </c>
      <c r="AE744" s="24" t="s">
        <v>529</v>
      </c>
      <c r="AF744" s="24">
        <v>0</v>
      </c>
      <c r="AG744" s="24" t="s">
        <v>529</v>
      </c>
      <c r="AH744" s="24">
        <v>1</v>
      </c>
      <c r="AI744" s="24" t="s">
        <v>529</v>
      </c>
      <c r="AJ744" s="24" t="s">
        <v>529</v>
      </c>
      <c r="AK744" s="24" t="s">
        <v>530</v>
      </c>
      <c r="AL744" s="24"/>
    </row>
    <row r="745" spans="1:38" ht="31.2" x14ac:dyDescent="0.3">
      <c r="A745" s="53">
        <v>738</v>
      </c>
      <c r="B745" s="24" t="s">
        <v>544</v>
      </c>
      <c r="C745" s="24" t="s">
        <v>653</v>
      </c>
      <c r="D745" s="82" t="s">
        <v>1499</v>
      </c>
      <c r="E745" s="24" t="s">
        <v>174</v>
      </c>
      <c r="F745" s="24" t="s">
        <v>200</v>
      </c>
      <c r="G745" s="24"/>
      <c r="H745" s="24" t="s">
        <v>1541</v>
      </c>
      <c r="I745" s="30" t="s">
        <v>525</v>
      </c>
      <c r="J745" s="24"/>
      <c r="K745" s="24" t="s">
        <v>199</v>
      </c>
      <c r="L745" s="24" t="s">
        <v>199</v>
      </c>
      <c r="M745" s="24">
        <v>1901</v>
      </c>
      <c r="N745" s="24" t="s">
        <v>527</v>
      </c>
      <c r="O745" s="24">
        <v>3</v>
      </c>
      <c r="P745" s="24">
        <v>0</v>
      </c>
      <c r="Q745" s="24">
        <v>1</v>
      </c>
      <c r="R745" s="24">
        <v>11</v>
      </c>
      <c r="S745" s="24">
        <v>452.6</v>
      </c>
      <c r="T745" s="24">
        <v>452.6</v>
      </c>
      <c r="U745" s="24">
        <v>0</v>
      </c>
      <c r="V745" s="24"/>
      <c r="W745" s="24" t="s">
        <v>528</v>
      </c>
      <c r="X745" s="24" t="s">
        <v>528</v>
      </c>
      <c r="Y745" s="24" t="s">
        <v>529</v>
      </c>
      <c r="Z745" s="102" t="s">
        <v>528</v>
      </c>
      <c r="AA745" s="24" t="s">
        <v>528</v>
      </c>
      <c r="AB745" s="24" t="s">
        <v>528</v>
      </c>
      <c r="AC745" s="24" t="s">
        <v>528</v>
      </c>
      <c r="AD745" s="24" t="s">
        <v>528</v>
      </c>
      <c r="AE745" s="24" t="s">
        <v>529</v>
      </c>
      <c r="AF745" s="24">
        <v>0</v>
      </c>
      <c r="AG745" s="24" t="s">
        <v>529</v>
      </c>
      <c r="AH745" s="24">
        <v>1</v>
      </c>
      <c r="AI745" s="24" t="s">
        <v>529</v>
      </c>
      <c r="AJ745" s="24" t="s">
        <v>529</v>
      </c>
      <c r="AK745" s="24" t="s">
        <v>530</v>
      </c>
      <c r="AL745" s="24"/>
    </row>
    <row r="746" spans="1:38" ht="31.2" x14ac:dyDescent="0.3">
      <c r="A746" s="53">
        <v>739</v>
      </c>
      <c r="B746" s="24" t="s">
        <v>544</v>
      </c>
      <c r="C746" s="24" t="s">
        <v>653</v>
      </c>
      <c r="D746" s="82" t="s">
        <v>1542</v>
      </c>
      <c r="E746" s="24" t="s">
        <v>1189</v>
      </c>
      <c r="F746" s="24" t="s">
        <v>200</v>
      </c>
      <c r="G746" s="24"/>
      <c r="H746" s="24" t="s">
        <v>1543</v>
      </c>
      <c r="I746" s="30" t="s">
        <v>525</v>
      </c>
      <c r="J746" s="24"/>
      <c r="K746" s="24" t="s">
        <v>199</v>
      </c>
      <c r="L746" s="24" t="s">
        <v>199</v>
      </c>
      <c r="M746" s="24">
        <v>1911</v>
      </c>
      <c r="N746" s="24" t="s">
        <v>527</v>
      </c>
      <c r="O746" s="24">
        <v>7</v>
      </c>
      <c r="P746" s="24">
        <v>0</v>
      </c>
      <c r="Q746" s="24">
        <v>3</v>
      </c>
      <c r="R746" s="24">
        <v>11</v>
      </c>
      <c r="S746" s="24">
        <v>1785.51</v>
      </c>
      <c r="T746" s="24">
        <v>1785.51</v>
      </c>
      <c r="U746" s="24">
        <v>262</v>
      </c>
      <c r="V746" s="24"/>
      <c r="W746" s="24" t="s">
        <v>528</v>
      </c>
      <c r="X746" s="24" t="s">
        <v>528</v>
      </c>
      <c r="Y746" s="24" t="s">
        <v>529</v>
      </c>
      <c r="Z746" s="102" t="s">
        <v>528</v>
      </c>
      <c r="AA746" s="24" t="s">
        <v>528</v>
      </c>
      <c r="AB746" s="24" t="s">
        <v>528</v>
      </c>
      <c r="AC746" s="24" t="s">
        <v>528</v>
      </c>
      <c r="AD746" s="24" t="s">
        <v>528</v>
      </c>
      <c r="AE746" s="24" t="s">
        <v>529</v>
      </c>
      <c r="AF746" s="24">
        <v>1</v>
      </c>
      <c r="AG746" s="24" t="s">
        <v>529</v>
      </c>
      <c r="AH746" s="24">
        <v>1</v>
      </c>
      <c r="AI746" s="24" t="s">
        <v>529</v>
      </c>
      <c r="AJ746" s="24" t="s">
        <v>529</v>
      </c>
      <c r="AK746" s="24" t="s">
        <v>530</v>
      </c>
      <c r="AL746" s="24"/>
    </row>
    <row r="747" spans="1:38" ht="31.2" x14ac:dyDescent="0.3">
      <c r="A747" s="53">
        <v>740</v>
      </c>
      <c r="B747" s="24" t="s">
        <v>544</v>
      </c>
      <c r="C747" s="24" t="s">
        <v>653</v>
      </c>
      <c r="D747" s="82" t="s">
        <v>1542</v>
      </c>
      <c r="E747" s="24" t="s">
        <v>536</v>
      </c>
      <c r="F747" s="24" t="s">
        <v>200</v>
      </c>
      <c r="G747" s="24"/>
      <c r="H747" s="24" t="s">
        <v>1544</v>
      </c>
      <c r="I747" s="30" t="s">
        <v>525</v>
      </c>
      <c r="J747" s="24"/>
      <c r="K747" s="24" t="s">
        <v>199</v>
      </c>
      <c r="L747" s="24" t="s">
        <v>199</v>
      </c>
      <c r="M747" s="24">
        <v>1913</v>
      </c>
      <c r="N747" s="24" t="s">
        <v>527</v>
      </c>
      <c r="O747" s="24">
        <v>7</v>
      </c>
      <c r="P747" s="24">
        <v>0</v>
      </c>
      <c r="Q747" s="24">
        <v>3</v>
      </c>
      <c r="R747" s="24">
        <v>20</v>
      </c>
      <c r="S747" s="24">
        <v>1927.1</v>
      </c>
      <c r="T747" s="24">
        <v>1927.1</v>
      </c>
      <c r="U747" s="24">
        <v>338</v>
      </c>
      <c r="V747" s="24"/>
      <c r="W747" s="24" t="s">
        <v>528</v>
      </c>
      <c r="X747" s="24" t="s">
        <v>528</v>
      </c>
      <c r="Y747" s="24" t="s">
        <v>529</v>
      </c>
      <c r="Z747" s="102" t="s">
        <v>528</v>
      </c>
      <c r="AA747" s="24" t="s">
        <v>528</v>
      </c>
      <c r="AB747" s="24" t="s">
        <v>528</v>
      </c>
      <c r="AC747" s="24" t="s">
        <v>528</v>
      </c>
      <c r="AD747" s="24" t="s">
        <v>528</v>
      </c>
      <c r="AE747" s="24" t="s">
        <v>529</v>
      </c>
      <c r="AF747" s="24">
        <v>1</v>
      </c>
      <c r="AG747" s="24" t="s">
        <v>529</v>
      </c>
      <c r="AH747" s="24">
        <v>1</v>
      </c>
      <c r="AI747" s="24" t="s">
        <v>529</v>
      </c>
      <c r="AJ747" s="24" t="s">
        <v>529</v>
      </c>
      <c r="AK747" s="24" t="s">
        <v>530</v>
      </c>
      <c r="AL747" s="24"/>
    </row>
    <row r="748" spans="1:38" ht="31.2" x14ac:dyDescent="0.3">
      <c r="A748" s="53">
        <v>741</v>
      </c>
      <c r="B748" s="24" t="s">
        <v>544</v>
      </c>
      <c r="C748" s="24" t="s">
        <v>653</v>
      </c>
      <c r="D748" s="82" t="s">
        <v>1542</v>
      </c>
      <c r="E748" s="24" t="s">
        <v>1208</v>
      </c>
      <c r="F748" s="24" t="s">
        <v>1545</v>
      </c>
      <c r="G748" s="24"/>
      <c r="H748" s="24" t="s">
        <v>1546</v>
      </c>
      <c r="I748" s="30" t="s">
        <v>525</v>
      </c>
      <c r="J748" s="24"/>
      <c r="K748" s="24" t="s">
        <v>199</v>
      </c>
      <c r="L748" s="24" t="s">
        <v>199</v>
      </c>
      <c r="M748" s="24">
        <v>1911</v>
      </c>
      <c r="N748" s="24" t="s">
        <v>527</v>
      </c>
      <c r="O748" s="24">
        <v>5</v>
      </c>
      <c r="P748" s="24">
        <v>0</v>
      </c>
      <c r="Q748" s="24">
        <v>2</v>
      </c>
      <c r="R748" s="24">
        <v>24</v>
      </c>
      <c r="S748" s="24">
        <v>2940.21</v>
      </c>
      <c r="T748" s="24">
        <v>2940.21</v>
      </c>
      <c r="U748" s="24">
        <v>713.2</v>
      </c>
      <c r="V748" s="24"/>
      <c r="W748" s="24" t="s">
        <v>528</v>
      </c>
      <c r="X748" s="24" t="s">
        <v>528</v>
      </c>
      <c r="Y748" s="24" t="s">
        <v>529</v>
      </c>
      <c r="Z748" s="102" t="s">
        <v>528</v>
      </c>
      <c r="AA748" s="24" t="s">
        <v>528</v>
      </c>
      <c r="AB748" s="24" t="s">
        <v>528</v>
      </c>
      <c r="AC748" s="24" t="s">
        <v>528</v>
      </c>
      <c r="AD748" s="24" t="s">
        <v>528</v>
      </c>
      <c r="AE748" s="24" t="s">
        <v>529</v>
      </c>
      <c r="AF748" s="24">
        <v>0</v>
      </c>
      <c r="AG748" s="24" t="s">
        <v>529</v>
      </c>
      <c r="AH748" s="24">
        <v>1</v>
      </c>
      <c r="AI748" s="24" t="s">
        <v>529</v>
      </c>
      <c r="AJ748" s="24">
        <v>1</v>
      </c>
      <c r="AK748" s="24" t="s">
        <v>530</v>
      </c>
      <c r="AL748" s="24"/>
    </row>
    <row r="749" spans="1:38" ht="31.2" x14ac:dyDescent="0.3">
      <c r="A749" s="53">
        <v>742</v>
      </c>
      <c r="B749" s="24" t="s">
        <v>544</v>
      </c>
      <c r="C749" s="24" t="s">
        <v>653</v>
      </c>
      <c r="D749" s="82" t="s">
        <v>1542</v>
      </c>
      <c r="E749" s="24" t="s">
        <v>1547</v>
      </c>
      <c r="F749" s="24" t="s">
        <v>205</v>
      </c>
      <c r="G749" s="24"/>
      <c r="H749" s="24" t="s">
        <v>1548</v>
      </c>
      <c r="I749" s="30" t="s">
        <v>525</v>
      </c>
      <c r="J749" s="24"/>
      <c r="K749" s="24" t="s">
        <v>199</v>
      </c>
      <c r="L749" s="24" t="s">
        <v>199</v>
      </c>
      <c r="M749" s="24">
        <v>1899</v>
      </c>
      <c r="N749" s="24" t="s">
        <v>527</v>
      </c>
      <c r="O749" s="24">
        <v>6</v>
      </c>
      <c r="P749" s="24">
        <v>0</v>
      </c>
      <c r="Q749" s="24">
        <v>4</v>
      </c>
      <c r="R749" s="24">
        <v>60</v>
      </c>
      <c r="S749" s="24">
        <v>4565.3</v>
      </c>
      <c r="T749" s="24">
        <v>4565.3</v>
      </c>
      <c r="U749" s="24">
        <v>446</v>
      </c>
      <c r="V749" s="24"/>
      <c r="W749" s="24" t="s">
        <v>528</v>
      </c>
      <c r="X749" s="24" t="s">
        <v>528</v>
      </c>
      <c r="Y749" s="24" t="s">
        <v>529</v>
      </c>
      <c r="Z749" s="102" t="s">
        <v>528</v>
      </c>
      <c r="AA749" s="24" t="s">
        <v>528</v>
      </c>
      <c r="AB749" s="24" t="s">
        <v>528</v>
      </c>
      <c r="AC749" s="24" t="s">
        <v>528</v>
      </c>
      <c r="AD749" s="24" t="s">
        <v>528</v>
      </c>
      <c r="AE749" s="24" t="s">
        <v>529</v>
      </c>
      <c r="AF749" s="24">
        <v>0</v>
      </c>
      <c r="AG749" s="24" t="s">
        <v>529</v>
      </c>
      <c r="AH749" s="24">
        <v>1</v>
      </c>
      <c r="AI749" s="24" t="s">
        <v>529</v>
      </c>
      <c r="AJ749" s="24">
        <v>1</v>
      </c>
      <c r="AK749" s="24" t="s">
        <v>530</v>
      </c>
      <c r="AL749" s="24"/>
    </row>
    <row r="750" spans="1:38" ht="31.2" x14ac:dyDescent="0.3">
      <c r="A750" s="53">
        <v>743</v>
      </c>
      <c r="B750" s="24" t="s">
        <v>544</v>
      </c>
      <c r="C750" s="24" t="s">
        <v>653</v>
      </c>
      <c r="D750" s="82" t="s">
        <v>1542</v>
      </c>
      <c r="E750" s="24" t="s">
        <v>169</v>
      </c>
      <c r="F750" s="24" t="s">
        <v>200</v>
      </c>
      <c r="G750" s="24"/>
      <c r="H750" s="24" t="s">
        <v>1549</v>
      </c>
      <c r="I750" s="30" t="s">
        <v>525</v>
      </c>
      <c r="J750" s="24" t="s">
        <v>535</v>
      </c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102"/>
      <c r="AA750" s="24"/>
      <c r="AB750" s="24"/>
      <c r="AC750" s="24"/>
      <c r="AD750" s="24"/>
      <c r="AE750" s="24" t="s">
        <v>529</v>
      </c>
      <c r="AF750" s="24"/>
      <c r="AG750" s="24"/>
      <c r="AH750" s="24"/>
      <c r="AI750" s="24"/>
      <c r="AJ750" s="24"/>
      <c r="AK750" s="24"/>
      <c r="AL750" s="24"/>
    </row>
    <row r="751" spans="1:38" ht="31.2" x14ac:dyDescent="0.3">
      <c r="A751" s="53">
        <v>744</v>
      </c>
      <c r="B751" s="24" t="s">
        <v>544</v>
      </c>
      <c r="C751" s="24" t="s">
        <v>653</v>
      </c>
      <c r="D751" s="82" t="s">
        <v>1542</v>
      </c>
      <c r="E751" s="24" t="s">
        <v>1288</v>
      </c>
      <c r="F751" s="24" t="s">
        <v>200</v>
      </c>
      <c r="G751" s="24"/>
      <c r="H751" s="24" t="s">
        <v>1550</v>
      </c>
      <c r="I751" s="30" t="s">
        <v>525</v>
      </c>
      <c r="J751" s="24"/>
      <c r="K751" s="24" t="s">
        <v>199</v>
      </c>
      <c r="L751" s="24" t="s">
        <v>199</v>
      </c>
      <c r="M751" s="24">
        <v>1903</v>
      </c>
      <c r="N751" s="24" t="s">
        <v>527</v>
      </c>
      <c r="O751" s="24">
        <v>4</v>
      </c>
      <c r="P751" s="24">
        <v>0</v>
      </c>
      <c r="Q751" s="24">
        <v>1</v>
      </c>
      <c r="R751" s="24">
        <v>14</v>
      </c>
      <c r="S751" s="24">
        <v>1648.9</v>
      </c>
      <c r="T751" s="24">
        <v>1648.9</v>
      </c>
      <c r="U751" s="24">
        <v>444</v>
      </c>
      <c r="V751" s="24"/>
      <c r="W751" s="24" t="s">
        <v>528</v>
      </c>
      <c r="X751" s="24" t="s">
        <v>528</v>
      </c>
      <c r="Y751" s="24" t="s">
        <v>529</v>
      </c>
      <c r="Z751" s="102" t="s">
        <v>528</v>
      </c>
      <c r="AA751" s="24" t="s">
        <v>528</v>
      </c>
      <c r="AB751" s="24" t="s">
        <v>528</v>
      </c>
      <c r="AC751" s="24" t="s">
        <v>528</v>
      </c>
      <c r="AD751" s="24" t="s">
        <v>528</v>
      </c>
      <c r="AE751" s="24" t="s">
        <v>529</v>
      </c>
      <c r="AF751" s="24">
        <v>0</v>
      </c>
      <c r="AG751" s="24" t="s">
        <v>529</v>
      </c>
      <c r="AH751" s="24">
        <v>1</v>
      </c>
      <c r="AI751" s="24" t="s">
        <v>529</v>
      </c>
      <c r="AJ751" s="24" t="s">
        <v>529</v>
      </c>
      <c r="AK751" s="24" t="s">
        <v>530</v>
      </c>
      <c r="AL751" s="24"/>
    </row>
    <row r="752" spans="1:38" ht="31.2" x14ac:dyDescent="0.3">
      <c r="A752" s="53">
        <v>745</v>
      </c>
      <c r="B752" s="24" t="s">
        <v>544</v>
      </c>
      <c r="C752" s="24" t="s">
        <v>653</v>
      </c>
      <c r="D752" s="82" t="s">
        <v>1542</v>
      </c>
      <c r="E752" s="24" t="s">
        <v>1288</v>
      </c>
      <c r="F752" s="24" t="s">
        <v>205</v>
      </c>
      <c r="G752" s="24"/>
      <c r="H752" s="24" t="s">
        <v>1551</v>
      </c>
      <c r="I752" s="30" t="s">
        <v>525</v>
      </c>
      <c r="J752" s="24"/>
      <c r="K752" s="24" t="s">
        <v>199</v>
      </c>
      <c r="L752" s="24" t="s">
        <v>199</v>
      </c>
      <c r="M752" s="24">
        <v>1900</v>
      </c>
      <c r="N752" s="24" t="s">
        <v>527</v>
      </c>
      <c r="O752" s="24">
        <v>4</v>
      </c>
      <c r="P752" s="24">
        <v>0</v>
      </c>
      <c r="Q752" s="24">
        <v>3</v>
      </c>
      <c r="R752" s="24">
        <v>7</v>
      </c>
      <c r="S752" s="24">
        <v>681.2</v>
      </c>
      <c r="T752" s="24">
        <v>681.2</v>
      </c>
      <c r="U752" s="24">
        <v>96</v>
      </c>
      <c r="V752" s="24"/>
      <c r="W752" s="24" t="s">
        <v>528</v>
      </c>
      <c r="X752" s="24" t="s">
        <v>528</v>
      </c>
      <c r="Y752" s="24" t="s">
        <v>529</v>
      </c>
      <c r="Z752" s="102" t="s">
        <v>528</v>
      </c>
      <c r="AA752" s="24" t="s">
        <v>528</v>
      </c>
      <c r="AB752" s="24" t="s">
        <v>528</v>
      </c>
      <c r="AC752" s="24" t="s">
        <v>528</v>
      </c>
      <c r="AD752" s="24" t="s">
        <v>528</v>
      </c>
      <c r="AE752" s="24" t="s">
        <v>529</v>
      </c>
      <c r="AF752" s="24">
        <v>0</v>
      </c>
      <c r="AG752" s="24" t="s">
        <v>529</v>
      </c>
      <c r="AH752" s="24" t="s">
        <v>529</v>
      </c>
      <c r="AI752" s="24" t="s">
        <v>529</v>
      </c>
      <c r="AJ752" s="24" t="s">
        <v>529</v>
      </c>
      <c r="AK752" s="24" t="s">
        <v>530</v>
      </c>
      <c r="AL752" s="24"/>
    </row>
    <row r="753" spans="1:38" ht="31.2" x14ac:dyDescent="0.3">
      <c r="A753" s="53">
        <v>746</v>
      </c>
      <c r="B753" s="24" t="s">
        <v>544</v>
      </c>
      <c r="C753" s="24" t="s">
        <v>653</v>
      </c>
      <c r="D753" s="82" t="s">
        <v>461</v>
      </c>
      <c r="E753" s="24" t="s">
        <v>1552</v>
      </c>
      <c r="F753" s="24" t="s">
        <v>200</v>
      </c>
      <c r="G753" s="24"/>
      <c r="H753" s="24" t="s">
        <v>1553</v>
      </c>
      <c r="I753" s="30" t="s">
        <v>525</v>
      </c>
      <c r="J753" s="24"/>
      <c r="K753" s="24" t="s">
        <v>199</v>
      </c>
      <c r="L753" s="24" t="s">
        <v>199</v>
      </c>
      <c r="M753" s="24">
        <v>1888</v>
      </c>
      <c r="N753" s="24" t="s">
        <v>527</v>
      </c>
      <c r="O753" s="24">
        <v>3</v>
      </c>
      <c r="P753" s="24">
        <v>0</v>
      </c>
      <c r="Q753" s="24">
        <v>4</v>
      </c>
      <c r="R753" s="24">
        <v>15</v>
      </c>
      <c r="S753" s="24">
        <v>1957.8</v>
      </c>
      <c r="T753" s="24">
        <v>1957.8</v>
      </c>
      <c r="U753" s="24">
        <v>493</v>
      </c>
      <c r="V753" s="24"/>
      <c r="W753" s="24" t="s">
        <v>528</v>
      </c>
      <c r="X753" s="24" t="s">
        <v>528</v>
      </c>
      <c r="Y753" s="24" t="s">
        <v>529</v>
      </c>
      <c r="Z753" s="102" t="s">
        <v>528</v>
      </c>
      <c r="AA753" s="24" t="s">
        <v>528</v>
      </c>
      <c r="AB753" s="24" t="s">
        <v>528</v>
      </c>
      <c r="AC753" s="24" t="s">
        <v>528</v>
      </c>
      <c r="AD753" s="24" t="s">
        <v>528</v>
      </c>
      <c r="AE753" s="24" t="s">
        <v>529</v>
      </c>
      <c r="AF753" s="24">
        <v>0</v>
      </c>
      <c r="AG753" s="24" t="s">
        <v>529</v>
      </c>
      <c r="AH753" s="24">
        <v>1</v>
      </c>
      <c r="AI753" s="24" t="s">
        <v>529</v>
      </c>
      <c r="AJ753" s="24" t="s">
        <v>529</v>
      </c>
      <c r="AK753" s="24" t="s">
        <v>530</v>
      </c>
      <c r="AL753" s="24"/>
    </row>
    <row r="754" spans="1:38" ht="31.2" x14ac:dyDescent="0.3">
      <c r="A754" s="53">
        <v>747</v>
      </c>
      <c r="B754" s="24" t="s">
        <v>544</v>
      </c>
      <c r="C754" s="24" t="s">
        <v>653</v>
      </c>
      <c r="D754" s="82" t="s">
        <v>461</v>
      </c>
      <c r="E754" s="24" t="s">
        <v>1554</v>
      </c>
      <c r="F754" s="24" t="s">
        <v>200</v>
      </c>
      <c r="G754" s="24"/>
      <c r="H754" s="24" t="s">
        <v>1555</v>
      </c>
      <c r="I754" s="30" t="s">
        <v>525</v>
      </c>
      <c r="J754" s="24"/>
      <c r="K754" s="24" t="s">
        <v>199</v>
      </c>
      <c r="L754" s="24" t="s">
        <v>199</v>
      </c>
      <c r="M754" s="24">
        <v>1888</v>
      </c>
      <c r="N754" s="24" t="s">
        <v>527</v>
      </c>
      <c r="O754" s="24">
        <v>1</v>
      </c>
      <c r="P754" s="24">
        <v>0</v>
      </c>
      <c r="Q754" s="24">
        <v>1</v>
      </c>
      <c r="R754" s="24">
        <v>1</v>
      </c>
      <c r="S754" s="24">
        <v>61.6</v>
      </c>
      <c r="T754" s="24">
        <v>61.6</v>
      </c>
      <c r="U754" s="24">
        <v>21</v>
      </c>
      <c r="V754" s="24"/>
      <c r="W754" s="24" t="s">
        <v>528</v>
      </c>
      <c r="X754" s="24" t="s">
        <v>528</v>
      </c>
      <c r="Y754" s="24" t="s">
        <v>529</v>
      </c>
      <c r="Z754" s="102" t="s">
        <v>528</v>
      </c>
      <c r="AA754" s="24" t="s">
        <v>528</v>
      </c>
      <c r="AB754" s="24" t="s">
        <v>528</v>
      </c>
      <c r="AC754" s="24" t="s">
        <v>528</v>
      </c>
      <c r="AD754" s="24" t="s">
        <v>528</v>
      </c>
      <c r="AE754" s="24" t="s">
        <v>529</v>
      </c>
      <c r="AF754" s="24">
        <v>0</v>
      </c>
      <c r="AG754" s="24" t="s">
        <v>529</v>
      </c>
      <c r="AH754" s="24" t="s">
        <v>529</v>
      </c>
      <c r="AI754" s="24" t="s">
        <v>529</v>
      </c>
      <c r="AJ754" s="24" t="s">
        <v>529</v>
      </c>
      <c r="AK754" s="24" t="s">
        <v>530</v>
      </c>
      <c r="AL754" s="24"/>
    </row>
    <row r="755" spans="1:38" ht="31.2" x14ac:dyDescent="0.3">
      <c r="A755" s="53">
        <v>748</v>
      </c>
      <c r="B755" s="24" t="s">
        <v>544</v>
      </c>
      <c r="C755" s="24" t="s">
        <v>653</v>
      </c>
      <c r="D755" s="82" t="s">
        <v>461</v>
      </c>
      <c r="E755" s="24" t="s">
        <v>169</v>
      </c>
      <c r="F755" s="24" t="s">
        <v>200</v>
      </c>
      <c r="G755" s="24"/>
      <c r="H755" s="24" t="s">
        <v>1556</v>
      </c>
      <c r="I755" s="30" t="s">
        <v>525</v>
      </c>
      <c r="J755" s="24"/>
      <c r="K755" s="24" t="s">
        <v>199</v>
      </c>
      <c r="L755" s="24" t="s">
        <v>199</v>
      </c>
      <c r="M755" s="24">
        <v>1903</v>
      </c>
      <c r="N755" s="24" t="s">
        <v>527</v>
      </c>
      <c r="O755" s="24">
        <v>5</v>
      </c>
      <c r="P755" s="24">
        <v>0</v>
      </c>
      <c r="Q755" s="24">
        <v>2</v>
      </c>
      <c r="R755" s="24">
        <v>29</v>
      </c>
      <c r="S755" s="24">
        <v>2095.4</v>
      </c>
      <c r="T755" s="24">
        <v>2095.4</v>
      </c>
      <c r="U755" s="24">
        <v>0</v>
      </c>
      <c r="V755" s="24"/>
      <c r="W755" s="24" t="s">
        <v>528</v>
      </c>
      <c r="X755" s="24" t="s">
        <v>528</v>
      </c>
      <c r="Y755" s="24" t="s">
        <v>529</v>
      </c>
      <c r="Z755" s="102" t="s">
        <v>528</v>
      </c>
      <c r="AA755" s="24" t="s">
        <v>528</v>
      </c>
      <c r="AB755" s="24" t="s">
        <v>528</v>
      </c>
      <c r="AC755" s="24" t="s">
        <v>528</v>
      </c>
      <c r="AD755" s="24" t="s">
        <v>528</v>
      </c>
      <c r="AE755" s="24" t="s">
        <v>529</v>
      </c>
      <c r="AF755" s="24">
        <v>2</v>
      </c>
      <c r="AG755" s="24" t="s">
        <v>529</v>
      </c>
      <c r="AH755" s="24">
        <v>1</v>
      </c>
      <c r="AI755" s="24" t="s">
        <v>529</v>
      </c>
      <c r="AJ755" s="24">
        <v>1</v>
      </c>
      <c r="AK755" s="24" t="s">
        <v>530</v>
      </c>
      <c r="AL755" s="24"/>
    </row>
    <row r="756" spans="1:38" ht="31.2" x14ac:dyDescent="0.3">
      <c r="A756" s="53">
        <v>749</v>
      </c>
      <c r="B756" s="24" t="s">
        <v>544</v>
      </c>
      <c r="C756" s="24" t="s">
        <v>521</v>
      </c>
      <c r="D756" s="82" t="s">
        <v>392</v>
      </c>
      <c r="E756" s="24" t="s">
        <v>1557</v>
      </c>
      <c r="F756" s="24" t="s">
        <v>200</v>
      </c>
      <c r="G756" s="24"/>
      <c r="H756" s="24" t="s">
        <v>1558</v>
      </c>
      <c r="I756" s="30" t="s">
        <v>525</v>
      </c>
      <c r="J756" s="24"/>
      <c r="K756" s="24" t="s">
        <v>1138</v>
      </c>
      <c r="L756" s="24" t="s">
        <v>199</v>
      </c>
      <c r="M756" s="24">
        <v>1957</v>
      </c>
      <c r="N756" s="24" t="s">
        <v>527</v>
      </c>
      <c r="O756" s="24">
        <v>5</v>
      </c>
      <c r="P756" s="24">
        <v>0</v>
      </c>
      <c r="Q756" s="24">
        <v>2</v>
      </c>
      <c r="R756" s="24">
        <v>40</v>
      </c>
      <c r="S756" s="24">
        <v>2936.8</v>
      </c>
      <c r="T756" s="24">
        <v>2936.8</v>
      </c>
      <c r="U756" s="24">
        <v>445</v>
      </c>
      <c r="V756" s="24"/>
      <c r="W756" s="24" t="s">
        <v>528</v>
      </c>
      <c r="X756" s="24" t="s">
        <v>528</v>
      </c>
      <c r="Y756" s="24" t="s">
        <v>529</v>
      </c>
      <c r="Z756" s="102" t="s">
        <v>528</v>
      </c>
      <c r="AA756" s="24" t="s">
        <v>528</v>
      </c>
      <c r="AB756" s="24" t="s">
        <v>528</v>
      </c>
      <c r="AC756" s="24" t="s">
        <v>528</v>
      </c>
      <c r="AD756" s="24" t="s">
        <v>528</v>
      </c>
      <c r="AE756" s="24" t="s">
        <v>529</v>
      </c>
      <c r="AF756" s="24">
        <v>0</v>
      </c>
      <c r="AG756" s="24" t="s">
        <v>529</v>
      </c>
      <c r="AH756" s="24">
        <v>1</v>
      </c>
      <c r="AI756" s="24" t="s">
        <v>529</v>
      </c>
      <c r="AJ756" s="24">
        <v>1</v>
      </c>
      <c r="AK756" s="24" t="s">
        <v>530</v>
      </c>
      <c r="AL756" s="24"/>
    </row>
    <row r="757" spans="1:38" ht="31.2" x14ac:dyDescent="0.3">
      <c r="A757" s="53">
        <v>750</v>
      </c>
      <c r="B757" s="24" t="s">
        <v>544</v>
      </c>
      <c r="C757" s="24" t="s">
        <v>653</v>
      </c>
      <c r="D757" s="82" t="s">
        <v>230</v>
      </c>
      <c r="E757" s="24" t="s">
        <v>1559</v>
      </c>
      <c r="F757" s="24" t="s">
        <v>200</v>
      </c>
      <c r="G757" s="24"/>
      <c r="H757" s="24" t="s">
        <v>1560</v>
      </c>
      <c r="I757" s="30" t="s">
        <v>525</v>
      </c>
      <c r="J757" s="24"/>
      <c r="K757" s="24" t="s">
        <v>199</v>
      </c>
      <c r="L757" s="24" t="s">
        <v>199</v>
      </c>
      <c r="M757" s="24">
        <v>1898</v>
      </c>
      <c r="N757" s="24" t="s">
        <v>527</v>
      </c>
      <c r="O757" s="24">
        <v>4</v>
      </c>
      <c r="P757" s="24">
        <v>0</v>
      </c>
      <c r="Q757" s="24">
        <v>7</v>
      </c>
      <c r="R757" s="24">
        <v>24</v>
      </c>
      <c r="S757" s="24">
        <v>3478.6</v>
      </c>
      <c r="T757" s="24">
        <v>3478.6</v>
      </c>
      <c r="U757" s="24">
        <v>1006</v>
      </c>
      <c r="V757" s="24"/>
      <c r="W757" s="24" t="s">
        <v>528</v>
      </c>
      <c r="X757" s="24" t="s">
        <v>528</v>
      </c>
      <c r="Y757" s="24" t="s">
        <v>529</v>
      </c>
      <c r="Z757" s="102" t="s">
        <v>528</v>
      </c>
      <c r="AA757" s="24" t="s">
        <v>528</v>
      </c>
      <c r="AB757" s="24" t="s">
        <v>528</v>
      </c>
      <c r="AC757" s="24" t="s">
        <v>528</v>
      </c>
      <c r="AD757" s="24" t="s">
        <v>528</v>
      </c>
      <c r="AE757" s="24" t="s">
        <v>529</v>
      </c>
      <c r="AF757" s="24">
        <v>0</v>
      </c>
      <c r="AG757" s="24" t="s">
        <v>529</v>
      </c>
      <c r="AH757" s="24">
        <v>1</v>
      </c>
      <c r="AI757" s="24" t="s">
        <v>529</v>
      </c>
      <c r="AJ757" s="24">
        <v>2</v>
      </c>
      <c r="AK757" s="24" t="s">
        <v>530</v>
      </c>
      <c r="AL757" s="24"/>
    </row>
    <row r="758" spans="1:38" ht="31.2" x14ac:dyDescent="0.3">
      <c r="A758" s="53">
        <v>751</v>
      </c>
      <c r="B758" s="24" t="s">
        <v>544</v>
      </c>
      <c r="C758" s="24" t="s">
        <v>653</v>
      </c>
      <c r="D758" s="82" t="s">
        <v>230</v>
      </c>
      <c r="E758" s="24" t="s">
        <v>1189</v>
      </c>
      <c r="F758" s="24" t="s">
        <v>200</v>
      </c>
      <c r="G758" s="24"/>
      <c r="H758" s="24" t="s">
        <v>1561</v>
      </c>
      <c r="I758" s="30" t="s">
        <v>525</v>
      </c>
      <c r="J758" s="24"/>
      <c r="K758" s="24" t="s">
        <v>199</v>
      </c>
      <c r="L758" s="24" t="s">
        <v>199</v>
      </c>
      <c r="M758" s="24">
        <v>1898</v>
      </c>
      <c r="N758" s="24" t="s">
        <v>527</v>
      </c>
      <c r="O758" s="24">
        <v>6</v>
      </c>
      <c r="P758" s="24">
        <v>0</v>
      </c>
      <c r="Q758" s="24">
        <v>4</v>
      </c>
      <c r="R758" s="24">
        <v>24</v>
      </c>
      <c r="S758" s="24">
        <v>3389.12</v>
      </c>
      <c r="T758" s="24">
        <v>3389.12</v>
      </c>
      <c r="U758" s="24">
        <v>428</v>
      </c>
      <c r="V758" s="24"/>
      <c r="W758" s="24" t="s">
        <v>528</v>
      </c>
      <c r="X758" s="24" t="s">
        <v>528</v>
      </c>
      <c r="Y758" s="24" t="s">
        <v>529</v>
      </c>
      <c r="Z758" s="102" t="s">
        <v>528</v>
      </c>
      <c r="AA758" s="24" t="s">
        <v>528</v>
      </c>
      <c r="AB758" s="24" t="s">
        <v>528</v>
      </c>
      <c r="AC758" s="24" t="s">
        <v>528</v>
      </c>
      <c r="AD758" s="24" t="s">
        <v>528</v>
      </c>
      <c r="AE758" s="24" t="s">
        <v>529</v>
      </c>
      <c r="AF758" s="24">
        <v>1</v>
      </c>
      <c r="AG758" s="24" t="s">
        <v>529</v>
      </c>
      <c r="AH758" s="24">
        <v>1</v>
      </c>
      <c r="AI758" s="24" t="s">
        <v>529</v>
      </c>
      <c r="AJ758" s="24">
        <v>1</v>
      </c>
      <c r="AK758" s="24" t="s">
        <v>530</v>
      </c>
      <c r="AL758" s="24"/>
    </row>
    <row r="759" spans="1:38" ht="31.2" x14ac:dyDescent="0.3">
      <c r="A759" s="53">
        <v>752</v>
      </c>
      <c r="B759" s="24" t="s">
        <v>544</v>
      </c>
      <c r="C759" s="24" t="s">
        <v>653</v>
      </c>
      <c r="D759" s="82" t="s">
        <v>230</v>
      </c>
      <c r="E759" s="24" t="s">
        <v>1547</v>
      </c>
      <c r="F759" s="24" t="s">
        <v>200</v>
      </c>
      <c r="G759" s="24"/>
      <c r="H759" s="24" t="s">
        <v>1562</v>
      </c>
      <c r="I759" s="30" t="s">
        <v>525</v>
      </c>
      <c r="J759" s="24"/>
      <c r="K759" s="24" t="s">
        <v>199</v>
      </c>
      <c r="L759" s="24" t="s">
        <v>199</v>
      </c>
      <c r="M759" s="24">
        <v>1899</v>
      </c>
      <c r="N759" s="24" t="s">
        <v>527</v>
      </c>
      <c r="O759" s="24">
        <v>4</v>
      </c>
      <c r="P759" s="24">
        <v>0</v>
      </c>
      <c r="Q759" s="24">
        <v>2</v>
      </c>
      <c r="R759" s="24">
        <v>19</v>
      </c>
      <c r="S759" s="24">
        <v>1700.1</v>
      </c>
      <c r="T759" s="24">
        <v>1700.1</v>
      </c>
      <c r="U759" s="24">
        <v>274</v>
      </c>
      <c r="V759" s="24"/>
      <c r="W759" s="24" t="s">
        <v>528</v>
      </c>
      <c r="X759" s="24" t="s">
        <v>528</v>
      </c>
      <c r="Y759" s="24" t="s">
        <v>529</v>
      </c>
      <c r="Z759" s="102" t="s">
        <v>528</v>
      </c>
      <c r="AA759" s="24" t="s">
        <v>528</v>
      </c>
      <c r="AB759" s="24" t="s">
        <v>528</v>
      </c>
      <c r="AC759" s="24" t="s">
        <v>528</v>
      </c>
      <c r="AD759" s="24" t="s">
        <v>528</v>
      </c>
      <c r="AE759" s="24" t="s">
        <v>529</v>
      </c>
      <c r="AF759" s="24">
        <v>0</v>
      </c>
      <c r="AG759" s="24" t="s">
        <v>529</v>
      </c>
      <c r="AH759" s="24">
        <v>1</v>
      </c>
      <c r="AI759" s="24" t="s">
        <v>529</v>
      </c>
      <c r="AJ759" s="24">
        <v>1</v>
      </c>
      <c r="AK759" s="24" t="s">
        <v>530</v>
      </c>
      <c r="AL759" s="24"/>
    </row>
    <row r="760" spans="1:38" ht="31.2" x14ac:dyDescent="0.3">
      <c r="A760" s="53">
        <v>753</v>
      </c>
      <c r="B760" s="24" t="s">
        <v>544</v>
      </c>
      <c r="C760" s="24" t="s">
        <v>653</v>
      </c>
      <c r="D760" s="82" t="s">
        <v>230</v>
      </c>
      <c r="E760" s="24" t="s">
        <v>1547</v>
      </c>
      <c r="F760" s="24" t="s">
        <v>205</v>
      </c>
      <c r="G760" s="24"/>
      <c r="H760" s="24" t="s">
        <v>1563</v>
      </c>
      <c r="I760" s="30" t="s">
        <v>525</v>
      </c>
      <c r="J760" s="24"/>
      <c r="K760" s="24" t="s">
        <v>199</v>
      </c>
      <c r="L760" s="24" t="s">
        <v>199</v>
      </c>
      <c r="M760" s="24">
        <v>1860</v>
      </c>
      <c r="N760" s="24" t="s">
        <v>527</v>
      </c>
      <c r="O760" s="24">
        <v>5</v>
      </c>
      <c r="P760" s="24">
        <v>0</v>
      </c>
      <c r="Q760" s="24">
        <v>2</v>
      </c>
      <c r="R760" s="24">
        <v>12</v>
      </c>
      <c r="S760" s="24">
        <v>1273.5999999999999</v>
      </c>
      <c r="T760" s="24">
        <v>1273.5999999999999</v>
      </c>
      <c r="U760" s="24">
        <v>188</v>
      </c>
      <c r="V760" s="24"/>
      <c r="W760" s="24" t="s">
        <v>528</v>
      </c>
      <c r="X760" s="24" t="s">
        <v>528</v>
      </c>
      <c r="Y760" s="24" t="s">
        <v>529</v>
      </c>
      <c r="Z760" s="102" t="s">
        <v>528</v>
      </c>
      <c r="AA760" s="24" t="s">
        <v>528</v>
      </c>
      <c r="AB760" s="24" t="s">
        <v>528</v>
      </c>
      <c r="AC760" s="24" t="s">
        <v>528</v>
      </c>
      <c r="AD760" s="24" t="s">
        <v>528</v>
      </c>
      <c r="AE760" s="24" t="s">
        <v>529</v>
      </c>
      <c r="AF760" s="24">
        <v>0</v>
      </c>
      <c r="AG760" s="24" t="s">
        <v>529</v>
      </c>
      <c r="AH760" s="24" t="s">
        <v>529</v>
      </c>
      <c r="AI760" s="24" t="s">
        <v>529</v>
      </c>
      <c r="AJ760" s="24">
        <v>1</v>
      </c>
      <c r="AK760" s="24" t="s">
        <v>530</v>
      </c>
      <c r="AL760" s="24"/>
    </row>
    <row r="761" spans="1:38" ht="31.2" x14ac:dyDescent="0.3">
      <c r="A761" s="53">
        <v>754</v>
      </c>
      <c r="B761" s="24" t="s">
        <v>544</v>
      </c>
      <c r="C761" s="24" t="s">
        <v>653</v>
      </c>
      <c r="D761" s="82" t="s">
        <v>230</v>
      </c>
      <c r="E761" s="24" t="s">
        <v>1453</v>
      </c>
      <c r="F761" s="24" t="s">
        <v>200</v>
      </c>
      <c r="G761" s="24"/>
      <c r="H761" s="24" t="s">
        <v>1564</v>
      </c>
      <c r="I761" s="30" t="s">
        <v>525</v>
      </c>
      <c r="J761" s="24"/>
      <c r="K761" s="24" t="s">
        <v>199</v>
      </c>
      <c r="L761" s="24" t="s">
        <v>199</v>
      </c>
      <c r="M761" s="24">
        <v>1905</v>
      </c>
      <c r="N761" s="24" t="s">
        <v>527</v>
      </c>
      <c r="O761" s="24">
        <v>5</v>
      </c>
      <c r="P761" s="24">
        <v>0</v>
      </c>
      <c r="Q761" s="24">
        <v>5</v>
      </c>
      <c r="R761" s="24">
        <v>35</v>
      </c>
      <c r="S761" s="24">
        <v>6115.1</v>
      </c>
      <c r="T761" s="24">
        <v>6115.1</v>
      </c>
      <c r="U761" s="24">
        <v>3349</v>
      </c>
      <c r="V761" s="24"/>
      <c r="W761" s="24" t="s">
        <v>528</v>
      </c>
      <c r="X761" s="24" t="s">
        <v>528</v>
      </c>
      <c r="Y761" s="24" t="s">
        <v>529</v>
      </c>
      <c r="Z761" s="102" t="s">
        <v>528</v>
      </c>
      <c r="AA761" s="24" t="s">
        <v>528</v>
      </c>
      <c r="AB761" s="24" t="s">
        <v>528</v>
      </c>
      <c r="AC761" s="24" t="s">
        <v>528</v>
      </c>
      <c r="AD761" s="24" t="s">
        <v>528</v>
      </c>
      <c r="AE761" s="24" t="s">
        <v>529</v>
      </c>
      <c r="AF761" s="24">
        <v>2</v>
      </c>
      <c r="AG761" s="24" t="s">
        <v>529</v>
      </c>
      <c r="AH761" s="24">
        <v>1</v>
      </c>
      <c r="AI761" s="24" t="s">
        <v>529</v>
      </c>
      <c r="AJ761" s="24">
        <v>1</v>
      </c>
      <c r="AK761" s="24" t="s">
        <v>530</v>
      </c>
      <c r="AL761" s="24"/>
    </row>
    <row r="762" spans="1:38" ht="31.2" x14ac:dyDescent="0.3">
      <c r="A762" s="53">
        <v>755</v>
      </c>
      <c r="B762" s="24" t="s">
        <v>544</v>
      </c>
      <c r="C762" s="24" t="s">
        <v>653</v>
      </c>
      <c r="D762" s="82" t="s">
        <v>230</v>
      </c>
      <c r="E762" s="24" t="s">
        <v>1453</v>
      </c>
      <c r="F762" s="24" t="s">
        <v>205</v>
      </c>
      <c r="G762" s="24"/>
      <c r="H762" s="24" t="s">
        <v>1565</v>
      </c>
      <c r="I762" s="30" t="s">
        <v>525</v>
      </c>
      <c r="J762" s="24"/>
      <c r="K762" s="24" t="s">
        <v>199</v>
      </c>
      <c r="L762" s="24" t="s">
        <v>199</v>
      </c>
      <c r="M762" s="24">
        <v>1873</v>
      </c>
      <c r="N762" s="24" t="s">
        <v>527</v>
      </c>
      <c r="O762" s="24">
        <v>3</v>
      </c>
      <c r="P762" s="24">
        <v>0</v>
      </c>
      <c r="Q762" s="24">
        <v>2</v>
      </c>
      <c r="R762" s="24">
        <v>10</v>
      </c>
      <c r="S762" s="24">
        <v>1309.4000000000001</v>
      </c>
      <c r="T762" s="24">
        <v>1309.4000000000001</v>
      </c>
      <c r="U762" s="24">
        <v>476</v>
      </c>
      <c r="V762" s="24"/>
      <c r="W762" s="24" t="s">
        <v>528</v>
      </c>
      <c r="X762" s="24" t="s">
        <v>528</v>
      </c>
      <c r="Y762" s="24" t="s">
        <v>529</v>
      </c>
      <c r="Z762" s="102" t="s">
        <v>528</v>
      </c>
      <c r="AA762" s="24" t="s">
        <v>528</v>
      </c>
      <c r="AB762" s="24" t="s">
        <v>528</v>
      </c>
      <c r="AC762" s="24" t="s">
        <v>528</v>
      </c>
      <c r="AD762" s="24" t="s">
        <v>528</v>
      </c>
      <c r="AE762" s="24" t="s">
        <v>529</v>
      </c>
      <c r="AF762" s="24">
        <v>0</v>
      </c>
      <c r="AG762" s="24" t="s">
        <v>529</v>
      </c>
      <c r="AH762" s="24" t="s">
        <v>529</v>
      </c>
      <c r="AI762" s="24" t="s">
        <v>529</v>
      </c>
      <c r="AJ762" s="24">
        <v>1</v>
      </c>
      <c r="AK762" s="24" t="s">
        <v>530</v>
      </c>
      <c r="AL762" s="24"/>
    </row>
    <row r="763" spans="1:38" ht="31.2" x14ac:dyDescent="0.3">
      <c r="A763" s="53">
        <v>756</v>
      </c>
      <c r="B763" s="24" t="s">
        <v>544</v>
      </c>
      <c r="C763" s="24" t="s">
        <v>653</v>
      </c>
      <c r="D763" s="82" t="s">
        <v>230</v>
      </c>
      <c r="E763" s="24" t="s">
        <v>1288</v>
      </c>
      <c r="F763" s="24" t="s">
        <v>200</v>
      </c>
      <c r="G763" s="24"/>
      <c r="H763" s="24" t="s">
        <v>1566</v>
      </c>
      <c r="I763" s="30" t="s">
        <v>525</v>
      </c>
      <c r="J763" s="24"/>
      <c r="K763" s="24" t="s">
        <v>199</v>
      </c>
      <c r="L763" s="24" t="s">
        <v>199</v>
      </c>
      <c r="M763" s="24">
        <v>1916</v>
      </c>
      <c r="N763" s="24" t="s">
        <v>527</v>
      </c>
      <c r="O763" s="24">
        <v>5</v>
      </c>
      <c r="P763" s="24">
        <v>0</v>
      </c>
      <c r="Q763" s="24">
        <v>1</v>
      </c>
      <c r="R763" s="24">
        <v>8</v>
      </c>
      <c r="S763" s="24">
        <v>774.2</v>
      </c>
      <c r="T763" s="24">
        <v>774.2</v>
      </c>
      <c r="U763" s="24">
        <v>153</v>
      </c>
      <c r="V763" s="24"/>
      <c r="W763" s="24" t="s">
        <v>528</v>
      </c>
      <c r="X763" s="24" t="s">
        <v>528</v>
      </c>
      <c r="Y763" s="24" t="s">
        <v>529</v>
      </c>
      <c r="Z763" s="102" t="s">
        <v>528</v>
      </c>
      <c r="AA763" s="24" t="s">
        <v>528</v>
      </c>
      <c r="AB763" s="24" t="s">
        <v>528</v>
      </c>
      <c r="AC763" s="24" t="s">
        <v>528</v>
      </c>
      <c r="AD763" s="24" t="s">
        <v>528</v>
      </c>
      <c r="AE763" s="24" t="s">
        <v>529</v>
      </c>
      <c r="AF763" s="24">
        <v>0</v>
      </c>
      <c r="AG763" s="24" t="s">
        <v>529</v>
      </c>
      <c r="AH763" s="24">
        <v>1</v>
      </c>
      <c r="AI763" s="24" t="s">
        <v>529</v>
      </c>
      <c r="AJ763" s="24" t="s">
        <v>529</v>
      </c>
      <c r="AK763" s="24" t="s">
        <v>530</v>
      </c>
      <c r="AL763" s="24"/>
    </row>
    <row r="764" spans="1:38" ht="31.2" x14ac:dyDescent="0.3">
      <c r="A764" s="53">
        <v>757</v>
      </c>
      <c r="B764" s="24" t="s">
        <v>544</v>
      </c>
      <c r="C764" s="24" t="s">
        <v>653</v>
      </c>
      <c r="D764" s="82" t="s">
        <v>230</v>
      </c>
      <c r="E764" s="24" t="s">
        <v>173</v>
      </c>
      <c r="F764" s="24" t="s">
        <v>200</v>
      </c>
      <c r="G764" s="24"/>
      <c r="H764" s="24" t="s">
        <v>1567</v>
      </c>
      <c r="I764" s="30" t="s">
        <v>525</v>
      </c>
      <c r="J764" s="24" t="s">
        <v>535</v>
      </c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102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</row>
    <row r="765" spans="1:38" ht="31.2" x14ac:dyDescent="0.3">
      <c r="A765" s="53">
        <v>758</v>
      </c>
      <c r="B765" s="24" t="s">
        <v>544</v>
      </c>
      <c r="C765" s="24" t="s">
        <v>653</v>
      </c>
      <c r="D765" s="82" t="s">
        <v>230</v>
      </c>
      <c r="E765" s="24" t="s">
        <v>1568</v>
      </c>
      <c r="F765" s="24" t="s">
        <v>200</v>
      </c>
      <c r="G765" s="24"/>
      <c r="H765" s="24" t="s">
        <v>1569</v>
      </c>
      <c r="I765" s="30" t="s">
        <v>525</v>
      </c>
      <c r="J765" s="24"/>
      <c r="K765" s="24" t="s">
        <v>199</v>
      </c>
      <c r="L765" s="24" t="s">
        <v>199</v>
      </c>
      <c r="M765" s="24">
        <v>1901</v>
      </c>
      <c r="N765" s="24" t="s">
        <v>527</v>
      </c>
      <c r="O765" s="24">
        <v>5</v>
      </c>
      <c r="P765" s="24">
        <v>0</v>
      </c>
      <c r="Q765" s="24">
        <v>5</v>
      </c>
      <c r="R765" s="24">
        <v>27</v>
      </c>
      <c r="S765" s="24">
        <v>4686.6000000000004</v>
      </c>
      <c r="T765" s="24">
        <v>4686.6000000000004</v>
      </c>
      <c r="U765" s="24">
        <v>798</v>
      </c>
      <c r="V765" s="24"/>
      <c r="W765" s="24" t="s">
        <v>528</v>
      </c>
      <c r="X765" s="24" t="s">
        <v>528</v>
      </c>
      <c r="Y765" s="24" t="s">
        <v>529</v>
      </c>
      <c r="Z765" s="102" t="s">
        <v>528</v>
      </c>
      <c r="AA765" s="24" t="s">
        <v>528</v>
      </c>
      <c r="AB765" s="24" t="s">
        <v>528</v>
      </c>
      <c r="AC765" s="24" t="s">
        <v>528</v>
      </c>
      <c r="AD765" s="24" t="s">
        <v>528</v>
      </c>
      <c r="AE765" s="24" t="s">
        <v>529</v>
      </c>
      <c r="AF765" s="24">
        <v>2</v>
      </c>
      <c r="AG765" s="24" t="s">
        <v>529</v>
      </c>
      <c r="AH765" s="24">
        <v>1</v>
      </c>
      <c r="AI765" s="24" t="s">
        <v>529</v>
      </c>
      <c r="AJ765" s="24">
        <v>1</v>
      </c>
      <c r="AK765" s="24" t="s">
        <v>530</v>
      </c>
      <c r="AL765" s="24"/>
    </row>
    <row r="766" spans="1:38" ht="31.2" x14ac:dyDescent="0.3">
      <c r="A766" s="53">
        <v>759</v>
      </c>
      <c r="B766" s="24" t="s">
        <v>544</v>
      </c>
      <c r="C766" s="24" t="s">
        <v>552</v>
      </c>
      <c r="D766" s="82" t="s">
        <v>299</v>
      </c>
      <c r="E766" s="24" t="s">
        <v>1196</v>
      </c>
      <c r="F766" s="24" t="s">
        <v>200</v>
      </c>
      <c r="G766" s="24"/>
      <c r="H766" s="24" t="s">
        <v>1570</v>
      </c>
      <c r="I766" s="30" t="s">
        <v>525</v>
      </c>
      <c r="J766" s="24"/>
      <c r="K766" s="24" t="s">
        <v>199</v>
      </c>
      <c r="L766" s="24" t="s">
        <v>199</v>
      </c>
      <c r="M766" s="24">
        <v>1873</v>
      </c>
      <c r="N766" s="24" t="s">
        <v>527</v>
      </c>
      <c r="O766" s="24">
        <v>4</v>
      </c>
      <c r="P766" s="24">
        <v>0</v>
      </c>
      <c r="Q766" s="24">
        <v>4</v>
      </c>
      <c r="R766" s="24">
        <v>25</v>
      </c>
      <c r="S766" s="24">
        <v>2938.3</v>
      </c>
      <c r="T766" s="24">
        <v>2938.3</v>
      </c>
      <c r="U766" s="24">
        <v>338</v>
      </c>
      <c r="V766" s="24"/>
      <c r="W766" s="24" t="s">
        <v>528</v>
      </c>
      <c r="X766" s="24" t="s">
        <v>528</v>
      </c>
      <c r="Y766" s="24" t="s">
        <v>529</v>
      </c>
      <c r="Z766" s="102" t="s">
        <v>528</v>
      </c>
      <c r="AA766" s="24" t="s">
        <v>528</v>
      </c>
      <c r="AB766" s="24" t="s">
        <v>528</v>
      </c>
      <c r="AC766" s="24" t="s">
        <v>528</v>
      </c>
      <c r="AD766" s="24" t="s">
        <v>528</v>
      </c>
      <c r="AE766" s="24" t="s">
        <v>529</v>
      </c>
      <c r="AF766" s="24">
        <v>0</v>
      </c>
      <c r="AG766" s="24" t="s">
        <v>529</v>
      </c>
      <c r="AH766" s="24">
        <v>1</v>
      </c>
      <c r="AI766" s="24" t="s">
        <v>529</v>
      </c>
      <c r="AJ766" s="24">
        <v>1</v>
      </c>
      <c r="AK766" s="24" t="s">
        <v>530</v>
      </c>
      <c r="AL766" s="24"/>
    </row>
    <row r="767" spans="1:38" ht="31.2" x14ac:dyDescent="0.3">
      <c r="A767" s="53">
        <v>760</v>
      </c>
      <c r="B767" s="24" t="s">
        <v>544</v>
      </c>
      <c r="C767" s="24" t="s">
        <v>552</v>
      </c>
      <c r="D767" s="82" t="s">
        <v>299</v>
      </c>
      <c r="E767" s="24" t="s">
        <v>1129</v>
      </c>
      <c r="F767" s="24" t="s">
        <v>200</v>
      </c>
      <c r="G767" s="24"/>
      <c r="H767" s="24" t="s">
        <v>1571</v>
      </c>
      <c r="I767" s="30" t="s">
        <v>525</v>
      </c>
      <c r="J767" s="24" t="s">
        <v>535</v>
      </c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102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</row>
    <row r="768" spans="1:38" ht="31.2" x14ac:dyDescent="0.3">
      <c r="A768" s="53">
        <v>761</v>
      </c>
      <c r="B768" s="24" t="s">
        <v>544</v>
      </c>
      <c r="C768" s="24" t="s">
        <v>552</v>
      </c>
      <c r="D768" s="82" t="s">
        <v>299</v>
      </c>
      <c r="E768" s="24" t="s">
        <v>1186</v>
      </c>
      <c r="F768" s="24" t="s">
        <v>208</v>
      </c>
      <c r="G768" s="24"/>
      <c r="H768" s="24" t="s">
        <v>1572</v>
      </c>
      <c r="I768" s="30" t="s">
        <v>525</v>
      </c>
      <c r="J768" s="24"/>
      <c r="K768" s="24" t="s">
        <v>1157</v>
      </c>
      <c r="L768" s="24" t="s">
        <v>199</v>
      </c>
      <c r="M768" s="24">
        <v>1955</v>
      </c>
      <c r="N768" s="24" t="s">
        <v>527</v>
      </c>
      <c r="O768" s="24">
        <v>5</v>
      </c>
      <c r="P768" s="24">
        <v>0</v>
      </c>
      <c r="Q768" s="24">
        <v>1</v>
      </c>
      <c r="R768" s="24">
        <v>50</v>
      </c>
      <c r="S768" s="24">
        <v>4256.5</v>
      </c>
      <c r="T768" s="24">
        <v>4256.5</v>
      </c>
      <c r="U768" s="24">
        <v>943</v>
      </c>
      <c r="V768" s="24"/>
      <c r="W768" s="24" t="s">
        <v>528</v>
      </c>
      <c r="X768" s="24" t="s">
        <v>528</v>
      </c>
      <c r="Y768" s="24" t="s">
        <v>529</v>
      </c>
      <c r="Z768" s="102" t="s">
        <v>528</v>
      </c>
      <c r="AA768" s="24" t="s">
        <v>528</v>
      </c>
      <c r="AB768" s="24" t="s">
        <v>528</v>
      </c>
      <c r="AC768" s="24" t="s">
        <v>528</v>
      </c>
      <c r="AD768" s="24" t="s">
        <v>528</v>
      </c>
      <c r="AE768" s="24" t="s">
        <v>529</v>
      </c>
      <c r="AF768" s="24">
        <v>0</v>
      </c>
      <c r="AG768" s="24" t="s">
        <v>529</v>
      </c>
      <c r="AH768" s="24">
        <v>1</v>
      </c>
      <c r="AI768" s="24" t="s">
        <v>529</v>
      </c>
      <c r="AJ768" s="24">
        <v>2</v>
      </c>
      <c r="AK768" s="24" t="s">
        <v>530</v>
      </c>
      <c r="AL768" s="24"/>
    </row>
    <row r="769" spans="1:38" ht="31.2" x14ac:dyDescent="0.3">
      <c r="A769" s="53">
        <v>762</v>
      </c>
      <c r="B769" s="24" t="s">
        <v>544</v>
      </c>
      <c r="C769" s="24" t="s">
        <v>552</v>
      </c>
      <c r="D769" s="82" t="s">
        <v>299</v>
      </c>
      <c r="E769" s="24" t="s">
        <v>1573</v>
      </c>
      <c r="F769" s="24" t="s">
        <v>205</v>
      </c>
      <c r="G769" s="24"/>
      <c r="H769" s="24" t="s">
        <v>1574</v>
      </c>
      <c r="I769" s="30" t="s">
        <v>525</v>
      </c>
      <c r="J769" s="24"/>
      <c r="K769" s="24" t="s">
        <v>199</v>
      </c>
      <c r="L769" s="24" t="s">
        <v>199</v>
      </c>
      <c r="M769" s="24">
        <v>1855</v>
      </c>
      <c r="N769" s="24" t="s">
        <v>527</v>
      </c>
      <c r="O769" s="24">
        <v>4</v>
      </c>
      <c r="P769" s="24">
        <v>0</v>
      </c>
      <c r="Q769" s="24">
        <v>5</v>
      </c>
      <c r="R769" s="24">
        <v>14</v>
      </c>
      <c r="S769" s="24">
        <v>1090.04</v>
      </c>
      <c r="T769" s="24">
        <v>1090.04</v>
      </c>
      <c r="U769" s="24">
        <v>64</v>
      </c>
      <c r="V769" s="24"/>
      <c r="W769" s="24" t="s">
        <v>528</v>
      </c>
      <c r="X769" s="24" t="s">
        <v>528</v>
      </c>
      <c r="Y769" s="24" t="s">
        <v>529</v>
      </c>
      <c r="Z769" s="102" t="s">
        <v>528</v>
      </c>
      <c r="AA769" s="24" t="s">
        <v>528</v>
      </c>
      <c r="AB769" s="24" t="s">
        <v>528</v>
      </c>
      <c r="AC769" s="24" t="s">
        <v>528</v>
      </c>
      <c r="AD769" s="24" t="s">
        <v>528</v>
      </c>
      <c r="AE769" s="24" t="s">
        <v>529</v>
      </c>
      <c r="AF769" s="24">
        <v>0</v>
      </c>
      <c r="AG769" s="24" t="s">
        <v>529</v>
      </c>
      <c r="AH769" s="24">
        <v>1</v>
      </c>
      <c r="AI769" s="24" t="s">
        <v>529</v>
      </c>
      <c r="AJ769" s="24">
        <v>1</v>
      </c>
      <c r="AK769" s="24" t="s">
        <v>530</v>
      </c>
      <c r="AL769" s="24"/>
    </row>
    <row r="770" spans="1:38" ht="31.2" x14ac:dyDescent="0.3">
      <c r="A770" s="53">
        <v>763</v>
      </c>
      <c r="B770" s="24" t="s">
        <v>544</v>
      </c>
      <c r="C770" s="24" t="s">
        <v>552</v>
      </c>
      <c r="D770" s="82" t="s">
        <v>495</v>
      </c>
      <c r="E770" s="24" t="s">
        <v>1575</v>
      </c>
      <c r="F770" s="24" t="s">
        <v>200</v>
      </c>
      <c r="G770" s="24"/>
      <c r="H770" s="24" t="s">
        <v>1576</v>
      </c>
      <c r="I770" s="30" t="s">
        <v>525</v>
      </c>
      <c r="J770" s="24"/>
      <c r="K770" s="24" t="s">
        <v>199</v>
      </c>
      <c r="L770" s="24" t="s">
        <v>199</v>
      </c>
      <c r="M770" s="24">
        <v>1890</v>
      </c>
      <c r="N770" s="24" t="s">
        <v>527</v>
      </c>
      <c r="O770" s="24">
        <v>5</v>
      </c>
      <c r="P770" s="24">
        <v>0</v>
      </c>
      <c r="Q770" s="24">
        <v>1</v>
      </c>
      <c r="R770" s="24">
        <v>24</v>
      </c>
      <c r="S770" s="24">
        <v>1539</v>
      </c>
      <c r="T770" s="24">
        <v>1539</v>
      </c>
      <c r="U770" s="24">
        <v>89</v>
      </c>
      <c r="V770" s="24"/>
      <c r="W770" s="24" t="s">
        <v>528</v>
      </c>
      <c r="X770" s="24" t="s">
        <v>528</v>
      </c>
      <c r="Y770" s="24" t="s">
        <v>529</v>
      </c>
      <c r="Z770" s="102" t="s">
        <v>528</v>
      </c>
      <c r="AA770" s="24" t="s">
        <v>528</v>
      </c>
      <c r="AB770" s="24" t="s">
        <v>528</v>
      </c>
      <c r="AC770" s="24" t="s">
        <v>528</v>
      </c>
      <c r="AD770" s="24" t="s">
        <v>528</v>
      </c>
      <c r="AE770" s="24" t="s">
        <v>529</v>
      </c>
      <c r="AF770" s="24">
        <v>1</v>
      </c>
      <c r="AG770" s="24" t="s">
        <v>529</v>
      </c>
      <c r="AH770" s="24">
        <v>1</v>
      </c>
      <c r="AI770" s="24" t="s">
        <v>529</v>
      </c>
      <c r="AJ770" s="24">
        <v>1</v>
      </c>
      <c r="AK770" s="24" t="s">
        <v>530</v>
      </c>
      <c r="AL770" s="24"/>
    </row>
    <row r="771" spans="1:38" ht="31.2" x14ac:dyDescent="0.3">
      <c r="A771" s="53">
        <v>764</v>
      </c>
      <c r="B771" s="24" t="s">
        <v>544</v>
      </c>
      <c r="C771" s="24" t="s">
        <v>521</v>
      </c>
      <c r="D771" s="82" t="s">
        <v>392</v>
      </c>
      <c r="E771" s="24" t="s">
        <v>1261</v>
      </c>
      <c r="F771" s="24" t="s">
        <v>200</v>
      </c>
      <c r="G771" s="24"/>
      <c r="H771" s="24" t="s">
        <v>1577</v>
      </c>
      <c r="I771" s="30" t="s">
        <v>525</v>
      </c>
      <c r="J771" s="24"/>
      <c r="K771" s="24" t="s">
        <v>199</v>
      </c>
      <c r="L771" s="24" t="s">
        <v>199</v>
      </c>
      <c r="M771" s="24">
        <v>1911</v>
      </c>
      <c r="N771" s="24" t="s">
        <v>527</v>
      </c>
      <c r="O771" s="24">
        <v>6</v>
      </c>
      <c r="P771" s="24">
        <v>0</v>
      </c>
      <c r="Q771" s="24">
        <v>8</v>
      </c>
      <c r="R771" s="24">
        <v>61</v>
      </c>
      <c r="S771" s="24">
        <v>8132.33</v>
      </c>
      <c r="T771" s="24">
        <v>8132.33</v>
      </c>
      <c r="U771" s="24">
        <v>972.5</v>
      </c>
      <c r="V771" s="24"/>
      <c r="W771" s="24" t="s">
        <v>528</v>
      </c>
      <c r="X771" s="24" t="s">
        <v>528</v>
      </c>
      <c r="Y771" s="24" t="s">
        <v>529</v>
      </c>
      <c r="Z771" s="102" t="s">
        <v>528</v>
      </c>
      <c r="AA771" s="24" t="s">
        <v>528</v>
      </c>
      <c r="AB771" s="24" t="s">
        <v>528</v>
      </c>
      <c r="AC771" s="24" t="s">
        <v>528</v>
      </c>
      <c r="AD771" s="24" t="s">
        <v>528</v>
      </c>
      <c r="AE771" s="24" t="s">
        <v>529</v>
      </c>
      <c r="AF771" s="24">
        <v>0</v>
      </c>
      <c r="AG771" s="24" t="s">
        <v>529</v>
      </c>
      <c r="AH771" s="24">
        <v>2</v>
      </c>
      <c r="AI771" s="24" t="s">
        <v>529</v>
      </c>
      <c r="AJ771" s="24">
        <v>1</v>
      </c>
      <c r="AK771" s="24" t="s">
        <v>530</v>
      </c>
      <c r="AL771" s="24"/>
    </row>
    <row r="772" spans="1:38" ht="31.2" x14ac:dyDescent="0.3">
      <c r="A772" s="53">
        <v>765</v>
      </c>
      <c r="B772" s="24" t="s">
        <v>544</v>
      </c>
      <c r="C772" s="24" t="s">
        <v>521</v>
      </c>
      <c r="D772" s="82" t="s">
        <v>392</v>
      </c>
      <c r="E772" s="24" t="s">
        <v>1578</v>
      </c>
      <c r="F772" s="24" t="s">
        <v>200</v>
      </c>
      <c r="G772" s="24"/>
      <c r="H772" s="24" t="s">
        <v>1579</v>
      </c>
      <c r="I772" s="30" t="s">
        <v>525</v>
      </c>
      <c r="J772" s="24"/>
      <c r="K772" s="24" t="s">
        <v>199</v>
      </c>
      <c r="L772" s="24" t="s">
        <v>199</v>
      </c>
      <c r="M772" s="24">
        <v>1912</v>
      </c>
      <c r="N772" s="24" t="s">
        <v>527</v>
      </c>
      <c r="O772" s="24">
        <v>7</v>
      </c>
      <c r="P772" s="24">
        <v>0</v>
      </c>
      <c r="Q772" s="24">
        <v>5</v>
      </c>
      <c r="R772" s="24">
        <v>59</v>
      </c>
      <c r="S772" s="24">
        <v>5933.36</v>
      </c>
      <c r="T772" s="24">
        <v>5933.36</v>
      </c>
      <c r="U772" s="24">
        <v>1130.7</v>
      </c>
      <c r="V772" s="24"/>
      <c r="W772" s="24" t="s">
        <v>528</v>
      </c>
      <c r="X772" s="24" t="s">
        <v>528</v>
      </c>
      <c r="Y772" s="24" t="s">
        <v>529</v>
      </c>
      <c r="Z772" s="102" t="s">
        <v>528</v>
      </c>
      <c r="AA772" s="24" t="s">
        <v>528</v>
      </c>
      <c r="AB772" s="24" t="s">
        <v>528</v>
      </c>
      <c r="AC772" s="24" t="s">
        <v>528</v>
      </c>
      <c r="AD772" s="24" t="s">
        <v>528</v>
      </c>
      <c r="AE772" s="24" t="s">
        <v>529</v>
      </c>
      <c r="AF772" s="24">
        <v>2</v>
      </c>
      <c r="AG772" s="24" t="s">
        <v>529</v>
      </c>
      <c r="AH772" s="24">
        <v>1</v>
      </c>
      <c r="AI772" s="24" t="s">
        <v>529</v>
      </c>
      <c r="AJ772" s="24">
        <v>1</v>
      </c>
      <c r="AK772" s="24" t="s">
        <v>530</v>
      </c>
      <c r="AL772" s="24"/>
    </row>
    <row r="773" spans="1:38" ht="31.2" x14ac:dyDescent="0.3">
      <c r="A773" s="53">
        <v>766</v>
      </c>
      <c r="B773" s="24" t="s">
        <v>544</v>
      </c>
      <c r="C773" s="24" t="s">
        <v>521</v>
      </c>
      <c r="D773" s="82" t="s">
        <v>392</v>
      </c>
      <c r="E773" s="24" t="s">
        <v>1273</v>
      </c>
      <c r="F773" s="24" t="s">
        <v>206</v>
      </c>
      <c r="G773" s="24"/>
      <c r="H773" s="24" t="s">
        <v>1580</v>
      </c>
      <c r="I773" s="30" t="s">
        <v>525</v>
      </c>
      <c r="J773" s="24"/>
      <c r="K773" s="24" t="s">
        <v>199</v>
      </c>
      <c r="L773" s="24" t="s">
        <v>199</v>
      </c>
      <c r="M773" s="24">
        <v>1860</v>
      </c>
      <c r="N773" s="24" t="s">
        <v>527</v>
      </c>
      <c r="O773" s="24">
        <v>4</v>
      </c>
      <c r="P773" s="24">
        <v>0</v>
      </c>
      <c r="Q773" s="24">
        <v>1</v>
      </c>
      <c r="R773" s="24">
        <v>6</v>
      </c>
      <c r="S773" s="24">
        <v>328.21</v>
      </c>
      <c r="T773" s="24">
        <v>328.21</v>
      </c>
      <c r="U773" s="24">
        <v>83</v>
      </c>
      <c r="V773" s="24"/>
      <c r="W773" s="24" t="s">
        <v>528</v>
      </c>
      <c r="X773" s="24" t="s">
        <v>528</v>
      </c>
      <c r="Y773" s="24" t="s">
        <v>529</v>
      </c>
      <c r="Z773" s="102" t="s">
        <v>528</v>
      </c>
      <c r="AA773" s="24" t="s">
        <v>528</v>
      </c>
      <c r="AB773" s="24" t="s">
        <v>528</v>
      </c>
      <c r="AC773" s="24" t="s">
        <v>529</v>
      </c>
      <c r="AD773" s="24" t="s">
        <v>528</v>
      </c>
      <c r="AE773" s="24" t="s">
        <v>529</v>
      </c>
      <c r="AF773" s="24">
        <v>0</v>
      </c>
      <c r="AG773" s="24" t="s">
        <v>529</v>
      </c>
      <c r="AH773" s="24">
        <v>1</v>
      </c>
      <c r="AI773" s="24" t="s">
        <v>529</v>
      </c>
      <c r="AJ773" s="24" t="s">
        <v>529</v>
      </c>
      <c r="AK773" s="24" t="s">
        <v>530</v>
      </c>
      <c r="AL773" s="24"/>
    </row>
    <row r="774" spans="1:38" ht="31.2" x14ac:dyDescent="0.3">
      <c r="A774" s="53">
        <v>767</v>
      </c>
      <c r="B774" s="24" t="s">
        <v>544</v>
      </c>
      <c r="C774" s="24" t="s">
        <v>545</v>
      </c>
      <c r="D774" s="82" t="s">
        <v>392</v>
      </c>
      <c r="E774" s="24" t="s">
        <v>1196</v>
      </c>
      <c r="F774" s="24" t="s">
        <v>205</v>
      </c>
      <c r="G774" s="24"/>
      <c r="H774" s="24" t="s">
        <v>1581</v>
      </c>
      <c r="I774" s="30" t="s">
        <v>525</v>
      </c>
      <c r="J774" s="24"/>
      <c r="K774" s="24" t="s">
        <v>199</v>
      </c>
      <c r="L774" s="24" t="s">
        <v>199</v>
      </c>
      <c r="M774" s="24">
        <v>1909</v>
      </c>
      <c r="N774" s="24" t="s">
        <v>527</v>
      </c>
      <c r="O774" s="24">
        <v>5</v>
      </c>
      <c r="P774" s="24">
        <v>0</v>
      </c>
      <c r="Q774" s="24">
        <v>1</v>
      </c>
      <c r="R774" s="24">
        <v>10</v>
      </c>
      <c r="S774" s="24">
        <v>1572.8</v>
      </c>
      <c r="T774" s="24">
        <v>1572.8</v>
      </c>
      <c r="U774" s="24">
        <v>239</v>
      </c>
      <c r="V774" s="24"/>
      <c r="W774" s="24" t="s">
        <v>528</v>
      </c>
      <c r="X774" s="24" t="s">
        <v>528</v>
      </c>
      <c r="Y774" s="24" t="s">
        <v>529</v>
      </c>
      <c r="Z774" s="102" t="s">
        <v>528</v>
      </c>
      <c r="AA774" s="24" t="s">
        <v>528</v>
      </c>
      <c r="AB774" s="24" t="s">
        <v>528</v>
      </c>
      <c r="AC774" s="24" t="s">
        <v>528</v>
      </c>
      <c r="AD774" s="24" t="s">
        <v>528</v>
      </c>
      <c r="AE774" s="24" t="s">
        <v>529</v>
      </c>
      <c r="AF774" s="24">
        <v>0</v>
      </c>
      <c r="AG774" s="24" t="s">
        <v>529</v>
      </c>
      <c r="AH774" s="24">
        <v>1</v>
      </c>
      <c r="AI774" s="24" t="s">
        <v>529</v>
      </c>
      <c r="AJ774" s="24" t="s">
        <v>529</v>
      </c>
      <c r="AK774" s="24" t="s">
        <v>530</v>
      </c>
      <c r="AL774" s="24"/>
    </row>
    <row r="775" spans="1:38" ht="31.2" x14ac:dyDescent="0.3">
      <c r="A775" s="53">
        <v>768</v>
      </c>
      <c r="B775" s="24" t="s">
        <v>544</v>
      </c>
      <c r="C775" s="24" t="s">
        <v>653</v>
      </c>
      <c r="D775" s="82" t="s">
        <v>1582</v>
      </c>
      <c r="E775" s="24" t="s">
        <v>1583</v>
      </c>
      <c r="F775" s="24" t="s">
        <v>200</v>
      </c>
      <c r="G775" s="24"/>
      <c r="H775" s="24" t="s">
        <v>1584</v>
      </c>
      <c r="I775" s="30" t="s">
        <v>525</v>
      </c>
      <c r="J775" s="24"/>
      <c r="K775" s="24" t="s">
        <v>199</v>
      </c>
      <c r="L775" s="24" t="s">
        <v>199</v>
      </c>
      <c r="M775" s="24">
        <v>1917</v>
      </c>
      <c r="N775" s="24" t="s">
        <v>527</v>
      </c>
      <c r="O775" s="24">
        <v>3</v>
      </c>
      <c r="P775" s="24">
        <v>0</v>
      </c>
      <c r="Q775" s="24">
        <v>4</v>
      </c>
      <c r="R775" s="24">
        <v>19</v>
      </c>
      <c r="S775" s="24">
        <v>1426.7</v>
      </c>
      <c r="T775" s="24">
        <v>1426.7</v>
      </c>
      <c r="U775" s="24">
        <v>0</v>
      </c>
      <c r="V775" s="24"/>
      <c r="W775" s="24" t="s">
        <v>528</v>
      </c>
      <c r="X775" s="24" t="s">
        <v>528</v>
      </c>
      <c r="Y775" s="24" t="s">
        <v>529</v>
      </c>
      <c r="Z775" s="102" t="s">
        <v>528</v>
      </c>
      <c r="AA775" s="24" t="s">
        <v>528</v>
      </c>
      <c r="AB775" s="24" t="s">
        <v>528</v>
      </c>
      <c r="AC775" s="24" t="s">
        <v>528</v>
      </c>
      <c r="AD775" s="24" t="s">
        <v>528</v>
      </c>
      <c r="AE775" s="24" t="s">
        <v>529</v>
      </c>
      <c r="AF775" s="24">
        <v>0</v>
      </c>
      <c r="AG775" s="24" t="s">
        <v>529</v>
      </c>
      <c r="AH775" s="24">
        <v>1</v>
      </c>
      <c r="AI775" s="24" t="s">
        <v>529</v>
      </c>
      <c r="AJ775" s="24" t="s">
        <v>529</v>
      </c>
      <c r="AK775" s="24" t="s">
        <v>530</v>
      </c>
      <c r="AL775" s="24"/>
    </row>
    <row r="776" spans="1:38" ht="31.2" x14ac:dyDescent="0.3">
      <c r="A776" s="53">
        <v>769</v>
      </c>
      <c r="B776" s="24" t="s">
        <v>544</v>
      </c>
      <c r="C776" s="24" t="s">
        <v>653</v>
      </c>
      <c r="D776" s="82" t="s">
        <v>1582</v>
      </c>
      <c r="E776" s="24" t="s">
        <v>1583</v>
      </c>
      <c r="F776" s="24" t="s">
        <v>205</v>
      </c>
      <c r="G776" s="24"/>
      <c r="H776" s="24" t="s">
        <v>1585</v>
      </c>
      <c r="I776" s="30" t="s">
        <v>525</v>
      </c>
      <c r="J776" s="24"/>
      <c r="K776" s="24" t="s">
        <v>199</v>
      </c>
      <c r="L776" s="24" t="s">
        <v>199</v>
      </c>
      <c r="M776" s="24">
        <v>1917</v>
      </c>
      <c r="N776" s="24" t="s">
        <v>527</v>
      </c>
      <c r="O776" s="24">
        <v>1</v>
      </c>
      <c r="P776" s="24">
        <v>0</v>
      </c>
      <c r="Q776" s="24">
        <v>1</v>
      </c>
      <c r="R776" s="24">
        <v>2</v>
      </c>
      <c r="S776" s="24">
        <v>58.8</v>
      </c>
      <c r="T776" s="24">
        <v>58.8</v>
      </c>
      <c r="U776" s="24">
        <v>0</v>
      </c>
      <c r="V776" s="24"/>
      <c r="W776" s="24" t="s">
        <v>528</v>
      </c>
      <c r="X776" s="24" t="s">
        <v>528</v>
      </c>
      <c r="Y776" s="24" t="s">
        <v>529</v>
      </c>
      <c r="Z776" s="102" t="s">
        <v>528</v>
      </c>
      <c r="AA776" s="24" t="s">
        <v>528</v>
      </c>
      <c r="AB776" s="24" t="s">
        <v>528</v>
      </c>
      <c r="AC776" s="24" t="s">
        <v>529</v>
      </c>
      <c r="AD776" s="24" t="s">
        <v>528</v>
      </c>
      <c r="AE776" s="24" t="s">
        <v>529</v>
      </c>
      <c r="AF776" s="24">
        <v>0</v>
      </c>
      <c r="AG776" s="24" t="s">
        <v>529</v>
      </c>
      <c r="AH776" s="24" t="s">
        <v>529</v>
      </c>
      <c r="AI776" s="24" t="s">
        <v>529</v>
      </c>
      <c r="AJ776" s="24" t="s">
        <v>529</v>
      </c>
      <c r="AK776" s="24" t="s">
        <v>530</v>
      </c>
      <c r="AL776" s="24"/>
    </row>
    <row r="777" spans="1:38" ht="31.2" x14ac:dyDescent="0.3">
      <c r="A777" s="53">
        <v>770</v>
      </c>
      <c r="B777" s="24" t="s">
        <v>544</v>
      </c>
      <c r="C777" s="24" t="s">
        <v>653</v>
      </c>
      <c r="D777" s="82" t="s">
        <v>431</v>
      </c>
      <c r="E777" s="24" t="s">
        <v>1132</v>
      </c>
      <c r="F777" s="24" t="s">
        <v>200</v>
      </c>
      <c r="G777" s="24"/>
      <c r="H777" s="24" t="s">
        <v>1586</v>
      </c>
      <c r="I777" s="30" t="s">
        <v>525</v>
      </c>
      <c r="J777" s="24" t="s">
        <v>535</v>
      </c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102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</row>
    <row r="778" spans="1:38" ht="31.2" x14ac:dyDescent="0.3">
      <c r="A778" s="53">
        <v>771</v>
      </c>
      <c r="B778" s="24" t="s">
        <v>544</v>
      </c>
      <c r="C778" s="24" t="s">
        <v>552</v>
      </c>
      <c r="D778" s="82" t="s">
        <v>1587</v>
      </c>
      <c r="E778" s="24" t="s">
        <v>1588</v>
      </c>
      <c r="F778" s="24" t="s">
        <v>200</v>
      </c>
      <c r="G778" s="24"/>
      <c r="H778" s="24" t="s">
        <v>1589</v>
      </c>
      <c r="I778" s="30" t="s">
        <v>525</v>
      </c>
      <c r="J778" s="24"/>
      <c r="K778" s="24" t="s">
        <v>199</v>
      </c>
      <c r="L778" s="24" t="s">
        <v>199</v>
      </c>
      <c r="M778" s="24">
        <v>1912</v>
      </c>
      <c r="N778" s="24" t="s">
        <v>527</v>
      </c>
      <c r="O778" s="24">
        <v>7</v>
      </c>
      <c r="P778" s="24">
        <v>0</v>
      </c>
      <c r="Q778" s="24">
        <v>5</v>
      </c>
      <c r="R778" s="24">
        <v>49</v>
      </c>
      <c r="S778" s="24">
        <v>4596.3999999999996</v>
      </c>
      <c r="T778" s="24">
        <v>4596.3999999999996</v>
      </c>
      <c r="U778" s="24">
        <v>114</v>
      </c>
      <c r="V778" s="24"/>
      <c r="W778" s="24" t="s">
        <v>528</v>
      </c>
      <c r="X778" s="24" t="s">
        <v>528</v>
      </c>
      <c r="Y778" s="24" t="s">
        <v>529</v>
      </c>
      <c r="Z778" s="102" t="s">
        <v>528</v>
      </c>
      <c r="AA778" s="24" t="s">
        <v>528</v>
      </c>
      <c r="AB778" s="24" t="s">
        <v>528</v>
      </c>
      <c r="AC778" s="24" t="s">
        <v>528</v>
      </c>
      <c r="AD778" s="24" t="s">
        <v>528</v>
      </c>
      <c r="AE778" s="24" t="s">
        <v>529</v>
      </c>
      <c r="AF778" s="24">
        <v>3</v>
      </c>
      <c r="AG778" s="24" t="s">
        <v>529</v>
      </c>
      <c r="AH778" s="24">
        <v>1</v>
      </c>
      <c r="AI778" s="24" t="s">
        <v>529</v>
      </c>
      <c r="AJ778" s="24">
        <v>1</v>
      </c>
      <c r="AK778" s="24" t="s">
        <v>530</v>
      </c>
      <c r="AL778" s="24"/>
    </row>
    <row r="779" spans="1:38" ht="31.2" x14ac:dyDescent="0.3">
      <c r="A779" s="53">
        <v>772</v>
      </c>
      <c r="B779" s="24" t="s">
        <v>544</v>
      </c>
      <c r="C779" s="24" t="s">
        <v>552</v>
      </c>
      <c r="D779" s="82" t="s">
        <v>1587</v>
      </c>
      <c r="E779" s="24" t="s">
        <v>1132</v>
      </c>
      <c r="F779" s="24" t="s">
        <v>200</v>
      </c>
      <c r="G779" s="24"/>
      <c r="H779" s="24" t="s">
        <v>1590</v>
      </c>
      <c r="I779" s="30" t="s">
        <v>525</v>
      </c>
      <c r="J779" s="24"/>
      <c r="K779" s="24" t="s">
        <v>199</v>
      </c>
      <c r="L779" s="24" t="s">
        <v>199</v>
      </c>
      <c r="M779" s="24">
        <v>1914</v>
      </c>
      <c r="N779" s="24" t="s">
        <v>527</v>
      </c>
      <c r="O779" s="24">
        <v>6</v>
      </c>
      <c r="P779" s="24">
        <v>0</v>
      </c>
      <c r="Q779" s="24">
        <v>3</v>
      </c>
      <c r="R779" s="24">
        <v>36</v>
      </c>
      <c r="S779" s="24">
        <v>2802.76</v>
      </c>
      <c r="T779" s="24">
        <v>2802.76</v>
      </c>
      <c r="U779" s="24">
        <v>167</v>
      </c>
      <c r="V779" s="24"/>
      <c r="W779" s="24" t="s">
        <v>528</v>
      </c>
      <c r="X779" s="24" t="s">
        <v>528</v>
      </c>
      <c r="Y779" s="24" t="s">
        <v>529</v>
      </c>
      <c r="Z779" s="102" t="s">
        <v>528</v>
      </c>
      <c r="AA779" s="24" t="s">
        <v>528</v>
      </c>
      <c r="AB779" s="24" t="s">
        <v>528</v>
      </c>
      <c r="AC779" s="24" t="s">
        <v>528</v>
      </c>
      <c r="AD779" s="24" t="s">
        <v>528</v>
      </c>
      <c r="AE779" s="24" t="s">
        <v>529</v>
      </c>
      <c r="AF779" s="24">
        <v>1</v>
      </c>
      <c r="AG779" s="24" t="s">
        <v>529</v>
      </c>
      <c r="AH779" s="24">
        <v>1</v>
      </c>
      <c r="AI779" s="24" t="s">
        <v>529</v>
      </c>
      <c r="AJ779" s="24">
        <v>1</v>
      </c>
      <c r="AK779" s="24" t="s">
        <v>530</v>
      </c>
      <c r="AL779" s="24"/>
    </row>
    <row r="780" spans="1:38" ht="31.2" x14ac:dyDescent="0.3">
      <c r="A780" s="53">
        <v>773</v>
      </c>
      <c r="B780" s="24" t="s">
        <v>544</v>
      </c>
      <c r="C780" s="24" t="s">
        <v>552</v>
      </c>
      <c r="D780" s="82" t="s">
        <v>1587</v>
      </c>
      <c r="E780" s="24" t="s">
        <v>1453</v>
      </c>
      <c r="F780" s="24" t="s">
        <v>200</v>
      </c>
      <c r="G780" s="24"/>
      <c r="H780" s="24" t="s">
        <v>1591</v>
      </c>
      <c r="I780" s="30" t="s">
        <v>525</v>
      </c>
      <c r="J780" s="24" t="s">
        <v>1195</v>
      </c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102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</row>
    <row r="781" spans="1:38" ht="31.2" x14ac:dyDescent="0.3">
      <c r="A781" s="53">
        <v>774</v>
      </c>
      <c r="B781" s="24" t="s">
        <v>544</v>
      </c>
      <c r="C781" s="24" t="s">
        <v>552</v>
      </c>
      <c r="D781" s="82" t="s">
        <v>1587</v>
      </c>
      <c r="E781" s="24" t="s">
        <v>1453</v>
      </c>
      <c r="F781" s="24" t="s">
        <v>205</v>
      </c>
      <c r="G781" s="24"/>
      <c r="H781" s="24" t="s">
        <v>1592</v>
      </c>
      <c r="I781" s="30" t="s">
        <v>525</v>
      </c>
      <c r="J781" s="24"/>
      <c r="K781" s="24" t="s">
        <v>199</v>
      </c>
      <c r="L781" s="24" t="s">
        <v>199</v>
      </c>
      <c r="M781" s="24">
        <v>1902</v>
      </c>
      <c r="N781" s="24" t="s">
        <v>527</v>
      </c>
      <c r="O781" s="24">
        <v>4</v>
      </c>
      <c r="P781" s="24">
        <v>0</v>
      </c>
      <c r="Q781" s="24">
        <v>1</v>
      </c>
      <c r="R781" s="24">
        <v>8</v>
      </c>
      <c r="S781" s="24">
        <v>576.5</v>
      </c>
      <c r="T781" s="24">
        <v>576.5</v>
      </c>
      <c r="U781" s="24">
        <v>0</v>
      </c>
      <c r="V781" s="24"/>
      <c r="W781" s="24" t="s">
        <v>528</v>
      </c>
      <c r="X781" s="24" t="s">
        <v>528</v>
      </c>
      <c r="Y781" s="24" t="s">
        <v>529</v>
      </c>
      <c r="Z781" s="102" t="s">
        <v>528</v>
      </c>
      <c r="AA781" s="24" t="s">
        <v>528</v>
      </c>
      <c r="AB781" s="24" t="s">
        <v>528</v>
      </c>
      <c r="AC781" s="24" t="s">
        <v>528</v>
      </c>
      <c r="AD781" s="24" t="s">
        <v>528</v>
      </c>
      <c r="AE781" s="24" t="s">
        <v>529</v>
      </c>
      <c r="AF781" s="24">
        <v>0</v>
      </c>
      <c r="AG781" s="24" t="s">
        <v>529</v>
      </c>
      <c r="AH781" s="24" t="s">
        <v>529</v>
      </c>
      <c r="AI781" s="24" t="s">
        <v>529</v>
      </c>
      <c r="AJ781" s="24" t="s">
        <v>529</v>
      </c>
      <c r="AK781" s="24" t="s">
        <v>530</v>
      </c>
      <c r="AL781" s="24"/>
    </row>
    <row r="782" spans="1:38" ht="31.2" x14ac:dyDescent="0.3">
      <c r="A782" s="53">
        <v>775</v>
      </c>
      <c r="B782" s="24" t="s">
        <v>544</v>
      </c>
      <c r="C782" s="24" t="s">
        <v>552</v>
      </c>
      <c r="D782" s="82" t="s">
        <v>1587</v>
      </c>
      <c r="E782" s="24" t="s">
        <v>1593</v>
      </c>
      <c r="F782" s="24" t="s">
        <v>200</v>
      </c>
      <c r="G782" s="24"/>
      <c r="H782" s="24" t="s">
        <v>1594</v>
      </c>
      <c r="I782" s="30" t="s">
        <v>525</v>
      </c>
      <c r="J782" s="24"/>
      <c r="K782" s="24" t="s">
        <v>199</v>
      </c>
      <c r="L782" s="24" t="s">
        <v>199</v>
      </c>
      <c r="M782" s="24">
        <v>1912</v>
      </c>
      <c r="N782" s="24" t="s">
        <v>527</v>
      </c>
      <c r="O782" s="24">
        <v>6</v>
      </c>
      <c r="P782" s="24">
        <v>0</v>
      </c>
      <c r="Q782" s="24">
        <v>5</v>
      </c>
      <c r="R782" s="24">
        <v>55</v>
      </c>
      <c r="S782" s="24">
        <v>5259.2</v>
      </c>
      <c r="T782" s="24">
        <v>5259.2</v>
      </c>
      <c r="U782" s="24">
        <v>92</v>
      </c>
      <c r="V782" s="24"/>
      <c r="W782" s="24" t="s">
        <v>528</v>
      </c>
      <c r="X782" s="24" t="s">
        <v>528</v>
      </c>
      <c r="Y782" s="24" t="s">
        <v>529</v>
      </c>
      <c r="Z782" s="102" t="s">
        <v>528</v>
      </c>
      <c r="AA782" s="24" t="s">
        <v>528</v>
      </c>
      <c r="AB782" s="24" t="s">
        <v>528</v>
      </c>
      <c r="AC782" s="24" t="s">
        <v>528</v>
      </c>
      <c r="AD782" s="24" t="s">
        <v>528</v>
      </c>
      <c r="AE782" s="24" t="s">
        <v>529</v>
      </c>
      <c r="AF782" s="24">
        <v>2</v>
      </c>
      <c r="AG782" s="24" t="s">
        <v>529</v>
      </c>
      <c r="AH782" s="24">
        <v>1</v>
      </c>
      <c r="AI782" s="24" t="s">
        <v>529</v>
      </c>
      <c r="AJ782" s="24">
        <v>1</v>
      </c>
      <c r="AK782" s="24" t="s">
        <v>530</v>
      </c>
      <c r="AL782" s="24"/>
    </row>
    <row r="783" spans="1:38" ht="31.2" x14ac:dyDescent="0.3">
      <c r="A783" s="53">
        <v>776</v>
      </c>
      <c r="B783" s="24" t="s">
        <v>544</v>
      </c>
      <c r="C783" s="24" t="s">
        <v>552</v>
      </c>
      <c r="D783" s="82" t="s">
        <v>1587</v>
      </c>
      <c r="E783" s="24" t="s">
        <v>1470</v>
      </c>
      <c r="F783" s="24" t="s">
        <v>200</v>
      </c>
      <c r="G783" s="24"/>
      <c r="H783" s="24" t="s">
        <v>1595</v>
      </c>
      <c r="I783" s="30" t="s">
        <v>525</v>
      </c>
      <c r="J783" s="24"/>
      <c r="K783" s="24" t="s">
        <v>199</v>
      </c>
      <c r="L783" s="24" t="s">
        <v>199</v>
      </c>
      <c r="M783" s="24">
        <v>1908</v>
      </c>
      <c r="N783" s="24" t="s">
        <v>527</v>
      </c>
      <c r="O783" s="24">
        <v>6</v>
      </c>
      <c r="P783" s="24">
        <v>0</v>
      </c>
      <c r="Q783" s="24">
        <v>7</v>
      </c>
      <c r="R783" s="24">
        <v>46</v>
      </c>
      <c r="S783" s="24">
        <v>6490</v>
      </c>
      <c r="T783" s="24">
        <v>6490</v>
      </c>
      <c r="U783" s="24">
        <v>592</v>
      </c>
      <c r="V783" s="24"/>
      <c r="W783" s="24" t="s">
        <v>528</v>
      </c>
      <c r="X783" s="24" t="s">
        <v>528</v>
      </c>
      <c r="Y783" s="24" t="s">
        <v>529</v>
      </c>
      <c r="Z783" s="102" t="s">
        <v>528</v>
      </c>
      <c r="AA783" s="24" t="s">
        <v>528</v>
      </c>
      <c r="AB783" s="24" t="s">
        <v>528</v>
      </c>
      <c r="AC783" s="24" t="s">
        <v>528</v>
      </c>
      <c r="AD783" s="24" t="s">
        <v>528</v>
      </c>
      <c r="AE783" s="24" t="s">
        <v>529</v>
      </c>
      <c r="AF783" s="24">
        <v>2</v>
      </c>
      <c r="AG783" s="24" t="s">
        <v>529</v>
      </c>
      <c r="AH783" s="24">
        <v>1</v>
      </c>
      <c r="AI783" s="24" t="s">
        <v>529</v>
      </c>
      <c r="AJ783" s="24">
        <v>2</v>
      </c>
      <c r="AK783" s="24" t="s">
        <v>530</v>
      </c>
      <c r="AL783" s="24"/>
    </row>
    <row r="784" spans="1:38" ht="31.2" x14ac:dyDescent="0.3">
      <c r="A784" s="53">
        <v>777</v>
      </c>
      <c r="B784" s="24" t="s">
        <v>544</v>
      </c>
      <c r="C784" s="24" t="s">
        <v>552</v>
      </c>
      <c r="D784" s="82" t="s">
        <v>1587</v>
      </c>
      <c r="E784" s="24" t="s">
        <v>1596</v>
      </c>
      <c r="F784" s="24" t="s">
        <v>200</v>
      </c>
      <c r="G784" s="24"/>
      <c r="H784" s="24" t="s">
        <v>1597</v>
      </c>
      <c r="I784" s="30" t="s">
        <v>525</v>
      </c>
      <c r="J784" s="24"/>
      <c r="K784" s="24" t="s">
        <v>199</v>
      </c>
      <c r="L784" s="24" t="s">
        <v>199</v>
      </c>
      <c r="M784" s="24">
        <v>1902</v>
      </c>
      <c r="N784" s="24" t="s">
        <v>527</v>
      </c>
      <c r="O784" s="24">
        <v>3</v>
      </c>
      <c r="P784" s="24">
        <v>0</v>
      </c>
      <c r="Q784" s="24">
        <v>2</v>
      </c>
      <c r="R784" s="24">
        <v>11</v>
      </c>
      <c r="S784" s="24">
        <v>864</v>
      </c>
      <c r="T784" s="24">
        <v>864</v>
      </c>
      <c r="U784" s="24">
        <v>121.3</v>
      </c>
      <c r="V784" s="24"/>
      <c r="W784" s="24" t="s">
        <v>528</v>
      </c>
      <c r="X784" s="24" t="s">
        <v>528</v>
      </c>
      <c r="Y784" s="24" t="s">
        <v>529</v>
      </c>
      <c r="Z784" s="102" t="s">
        <v>528</v>
      </c>
      <c r="AA784" s="24" t="s">
        <v>528</v>
      </c>
      <c r="AB784" s="24" t="s">
        <v>528</v>
      </c>
      <c r="AC784" s="24" t="s">
        <v>528</v>
      </c>
      <c r="AD784" s="24" t="s">
        <v>528</v>
      </c>
      <c r="AE784" s="24" t="s">
        <v>529</v>
      </c>
      <c r="AF784" s="24">
        <v>0</v>
      </c>
      <c r="AG784" s="24" t="s">
        <v>529</v>
      </c>
      <c r="AH784" s="24">
        <v>1</v>
      </c>
      <c r="AI784" s="24" t="s">
        <v>529</v>
      </c>
      <c r="AJ784" s="24" t="s">
        <v>529</v>
      </c>
      <c r="AK784" s="24" t="s">
        <v>530</v>
      </c>
      <c r="AL784" s="24"/>
    </row>
    <row r="785" spans="1:38" ht="31.2" x14ac:dyDescent="0.3">
      <c r="A785" s="53">
        <v>778</v>
      </c>
      <c r="B785" s="24" t="s">
        <v>544</v>
      </c>
      <c r="C785" s="24" t="s">
        <v>552</v>
      </c>
      <c r="D785" s="82" t="s">
        <v>1587</v>
      </c>
      <c r="E785" s="24" t="s">
        <v>1596</v>
      </c>
      <c r="F785" s="24" t="s">
        <v>205</v>
      </c>
      <c r="G785" s="24"/>
      <c r="H785" s="24" t="s">
        <v>1598</v>
      </c>
      <c r="I785" s="30" t="s">
        <v>525</v>
      </c>
      <c r="J785" s="24"/>
      <c r="K785" s="24" t="s">
        <v>199</v>
      </c>
      <c r="L785" s="24" t="s">
        <v>199</v>
      </c>
      <c r="M785" s="24">
        <v>1902</v>
      </c>
      <c r="N785" s="24" t="s">
        <v>527</v>
      </c>
      <c r="O785" s="24">
        <v>3</v>
      </c>
      <c r="P785" s="24">
        <v>0</v>
      </c>
      <c r="Q785" s="24">
        <v>1</v>
      </c>
      <c r="R785" s="24">
        <v>3</v>
      </c>
      <c r="S785" s="24">
        <v>266</v>
      </c>
      <c r="T785" s="24">
        <v>266</v>
      </c>
      <c r="U785" s="24">
        <v>61.3</v>
      </c>
      <c r="V785" s="24"/>
      <c r="W785" s="24" t="s">
        <v>528</v>
      </c>
      <c r="X785" s="24" t="s">
        <v>528</v>
      </c>
      <c r="Y785" s="24" t="s">
        <v>529</v>
      </c>
      <c r="Z785" s="102" t="s">
        <v>528</v>
      </c>
      <c r="AA785" s="24" t="s">
        <v>528</v>
      </c>
      <c r="AB785" s="24" t="s">
        <v>528</v>
      </c>
      <c r="AC785" s="24" t="s">
        <v>528</v>
      </c>
      <c r="AD785" s="24" t="s">
        <v>528</v>
      </c>
      <c r="AE785" s="24" t="s">
        <v>529</v>
      </c>
      <c r="AF785" s="24">
        <v>0</v>
      </c>
      <c r="AG785" s="24" t="s">
        <v>529</v>
      </c>
      <c r="AH785" s="24" t="s">
        <v>529</v>
      </c>
      <c r="AI785" s="24" t="s">
        <v>529</v>
      </c>
      <c r="AJ785" s="24" t="s">
        <v>529</v>
      </c>
      <c r="AK785" s="24" t="s">
        <v>530</v>
      </c>
      <c r="AL785" s="24"/>
    </row>
    <row r="786" spans="1:38" ht="31.2" x14ac:dyDescent="0.3">
      <c r="A786" s="53">
        <v>779</v>
      </c>
      <c r="B786" s="24" t="s">
        <v>544</v>
      </c>
      <c r="C786" s="24" t="s">
        <v>552</v>
      </c>
      <c r="D786" s="82" t="s">
        <v>1587</v>
      </c>
      <c r="E786" s="24" t="s">
        <v>1599</v>
      </c>
      <c r="F786" s="24" t="s">
        <v>200</v>
      </c>
      <c r="G786" s="24"/>
      <c r="H786" s="24" t="s">
        <v>1600</v>
      </c>
      <c r="I786" s="30" t="s">
        <v>525</v>
      </c>
      <c r="J786" s="24"/>
      <c r="K786" s="24" t="s">
        <v>199</v>
      </c>
      <c r="L786" s="24" t="s">
        <v>199</v>
      </c>
      <c r="M786" s="24">
        <v>1863</v>
      </c>
      <c r="N786" s="24" t="s">
        <v>527</v>
      </c>
      <c r="O786" s="24">
        <v>5</v>
      </c>
      <c r="P786" s="24">
        <v>0</v>
      </c>
      <c r="Q786" s="24">
        <v>2</v>
      </c>
      <c r="R786" s="24">
        <v>25</v>
      </c>
      <c r="S786" s="24">
        <v>2579.9</v>
      </c>
      <c r="T786" s="24">
        <v>2579.9</v>
      </c>
      <c r="U786" s="24">
        <v>562</v>
      </c>
      <c r="V786" s="24"/>
      <c r="W786" s="24" t="s">
        <v>528</v>
      </c>
      <c r="X786" s="24" t="s">
        <v>528</v>
      </c>
      <c r="Y786" s="24" t="s">
        <v>529</v>
      </c>
      <c r="Z786" s="102" t="s">
        <v>528</v>
      </c>
      <c r="AA786" s="24" t="s">
        <v>528</v>
      </c>
      <c r="AB786" s="24" t="s">
        <v>528</v>
      </c>
      <c r="AC786" s="24" t="s">
        <v>528</v>
      </c>
      <c r="AD786" s="24" t="s">
        <v>528</v>
      </c>
      <c r="AE786" s="24" t="s">
        <v>529</v>
      </c>
      <c r="AF786" s="24">
        <v>0</v>
      </c>
      <c r="AG786" s="24" t="s">
        <v>529</v>
      </c>
      <c r="AH786" s="24">
        <v>1</v>
      </c>
      <c r="AI786" s="24" t="s">
        <v>529</v>
      </c>
      <c r="AJ786" s="24">
        <v>1</v>
      </c>
      <c r="AK786" s="24" t="s">
        <v>530</v>
      </c>
      <c r="AL786" s="24"/>
    </row>
    <row r="787" spans="1:38" ht="31.2" x14ac:dyDescent="0.3">
      <c r="A787" s="53">
        <v>780</v>
      </c>
      <c r="B787" s="24" t="s">
        <v>544</v>
      </c>
      <c r="C787" s="24" t="s">
        <v>552</v>
      </c>
      <c r="D787" s="82" t="s">
        <v>1587</v>
      </c>
      <c r="E787" s="24" t="s">
        <v>1599</v>
      </c>
      <c r="F787" s="24" t="s">
        <v>208</v>
      </c>
      <c r="G787" s="24"/>
      <c r="H787" s="24" t="s">
        <v>1601</v>
      </c>
      <c r="I787" s="30" t="s">
        <v>525</v>
      </c>
      <c r="J787" s="24"/>
      <c r="K787" s="24" t="s">
        <v>199</v>
      </c>
      <c r="L787" s="24" t="s">
        <v>199</v>
      </c>
      <c r="M787" s="24">
        <v>1910</v>
      </c>
      <c r="N787" s="24" t="s">
        <v>527</v>
      </c>
      <c r="O787" s="24">
        <v>5</v>
      </c>
      <c r="P787" s="24">
        <v>0</v>
      </c>
      <c r="Q787" s="24">
        <v>2</v>
      </c>
      <c r="R787" s="24">
        <v>14</v>
      </c>
      <c r="S787" s="24">
        <v>1729.1</v>
      </c>
      <c r="T787" s="24">
        <v>1729.1</v>
      </c>
      <c r="U787" s="24">
        <v>547</v>
      </c>
      <c r="V787" s="24"/>
      <c r="W787" s="24" t="s">
        <v>528</v>
      </c>
      <c r="X787" s="24" t="s">
        <v>528</v>
      </c>
      <c r="Y787" s="24" t="s">
        <v>529</v>
      </c>
      <c r="Z787" s="102" t="s">
        <v>528</v>
      </c>
      <c r="AA787" s="24" t="s">
        <v>528</v>
      </c>
      <c r="AB787" s="24" t="s">
        <v>528</v>
      </c>
      <c r="AC787" s="24" t="s">
        <v>528</v>
      </c>
      <c r="AD787" s="24" t="s">
        <v>528</v>
      </c>
      <c r="AE787" s="24" t="s">
        <v>529</v>
      </c>
      <c r="AF787" s="24">
        <v>0</v>
      </c>
      <c r="AG787" s="24" t="s">
        <v>529</v>
      </c>
      <c r="AH787" s="24" t="s">
        <v>529</v>
      </c>
      <c r="AI787" s="24" t="s">
        <v>529</v>
      </c>
      <c r="AJ787" s="24">
        <v>1</v>
      </c>
      <c r="AK787" s="24" t="s">
        <v>530</v>
      </c>
      <c r="AL787" s="24"/>
    </row>
    <row r="788" spans="1:38" ht="31.2" x14ac:dyDescent="0.3">
      <c r="A788" s="53">
        <v>781</v>
      </c>
      <c r="B788" s="24" t="s">
        <v>544</v>
      </c>
      <c r="C788" s="24" t="s">
        <v>552</v>
      </c>
      <c r="D788" s="82" t="s">
        <v>1587</v>
      </c>
      <c r="E788" s="24" t="s">
        <v>536</v>
      </c>
      <c r="F788" s="24" t="s">
        <v>200</v>
      </c>
      <c r="G788" s="24"/>
      <c r="H788" s="24" t="s">
        <v>1602</v>
      </c>
      <c r="I788" s="30" t="s">
        <v>525</v>
      </c>
      <c r="J788" s="24"/>
      <c r="K788" s="24" t="s">
        <v>1138</v>
      </c>
      <c r="L788" s="24" t="s">
        <v>199</v>
      </c>
      <c r="M788" s="24">
        <v>1957</v>
      </c>
      <c r="N788" s="24" t="s">
        <v>527</v>
      </c>
      <c r="O788" s="24">
        <v>5</v>
      </c>
      <c r="P788" s="24">
        <v>0</v>
      </c>
      <c r="Q788" s="24">
        <v>5</v>
      </c>
      <c r="R788" s="24">
        <v>13</v>
      </c>
      <c r="S788" s="24">
        <v>1108.5999999999999</v>
      </c>
      <c r="T788" s="24">
        <v>1108.5999999999999</v>
      </c>
      <c r="U788" s="24">
        <v>99</v>
      </c>
      <c r="V788" s="24"/>
      <c r="W788" s="24" t="s">
        <v>528</v>
      </c>
      <c r="X788" s="24" t="s">
        <v>528</v>
      </c>
      <c r="Y788" s="24" t="s">
        <v>529</v>
      </c>
      <c r="Z788" s="102" t="s">
        <v>528</v>
      </c>
      <c r="AA788" s="24" t="s">
        <v>528</v>
      </c>
      <c r="AB788" s="24" t="s">
        <v>528</v>
      </c>
      <c r="AC788" s="24" t="s">
        <v>528</v>
      </c>
      <c r="AD788" s="24" t="s">
        <v>528</v>
      </c>
      <c r="AE788" s="24" t="s">
        <v>529</v>
      </c>
      <c r="AF788" s="24">
        <v>0</v>
      </c>
      <c r="AG788" s="24" t="s">
        <v>529</v>
      </c>
      <c r="AH788" s="24">
        <v>1</v>
      </c>
      <c r="AI788" s="24" t="s">
        <v>529</v>
      </c>
      <c r="AJ788" s="24">
        <v>1</v>
      </c>
      <c r="AK788" s="24" t="s">
        <v>530</v>
      </c>
      <c r="AL788" s="24"/>
    </row>
    <row r="789" spans="1:38" ht="31.2" x14ac:dyDescent="0.3">
      <c r="A789" s="53">
        <v>782</v>
      </c>
      <c r="B789" s="24" t="s">
        <v>544</v>
      </c>
      <c r="C789" s="24" t="s">
        <v>552</v>
      </c>
      <c r="D789" s="82" t="s">
        <v>1587</v>
      </c>
      <c r="E789" s="24" t="s">
        <v>1196</v>
      </c>
      <c r="F789" s="24" t="s">
        <v>205</v>
      </c>
      <c r="G789" s="24"/>
      <c r="H789" s="24" t="s">
        <v>1603</v>
      </c>
      <c r="I789" s="30" t="s">
        <v>525</v>
      </c>
      <c r="J789" s="24"/>
      <c r="K789" s="24" t="s">
        <v>1138</v>
      </c>
      <c r="L789" s="24" t="s">
        <v>199</v>
      </c>
      <c r="M789" s="24">
        <v>1958</v>
      </c>
      <c r="N789" s="24" t="s">
        <v>527</v>
      </c>
      <c r="O789" s="24">
        <v>5</v>
      </c>
      <c r="P789" s="24">
        <v>0</v>
      </c>
      <c r="Q789" s="24">
        <v>2</v>
      </c>
      <c r="R789" s="24">
        <v>24</v>
      </c>
      <c r="S789" s="24">
        <v>1835.07</v>
      </c>
      <c r="T789" s="24">
        <v>1835.07</v>
      </c>
      <c r="U789" s="24">
        <v>0</v>
      </c>
      <c r="V789" s="24"/>
      <c r="W789" s="24" t="s">
        <v>528</v>
      </c>
      <c r="X789" s="24" t="s">
        <v>528</v>
      </c>
      <c r="Y789" s="24" t="s">
        <v>529</v>
      </c>
      <c r="Z789" s="102" t="s">
        <v>528</v>
      </c>
      <c r="AA789" s="24" t="s">
        <v>528</v>
      </c>
      <c r="AB789" s="24" t="s">
        <v>528</v>
      </c>
      <c r="AC789" s="24" t="s">
        <v>528</v>
      </c>
      <c r="AD789" s="24" t="s">
        <v>528</v>
      </c>
      <c r="AE789" s="24" t="s">
        <v>529</v>
      </c>
      <c r="AF789" s="24">
        <v>0</v>
      </c>
      <c r="AG789" s="24" t="s">
        <v>529</v>
      </c>
      <c r="AH789" s="24">
        <v>1</v>
      </c>
      <c r="AI789" s="24" t="s">
        <v>529</v>
      </c>
      <c r="AJ789" s="24">
        <v>1</v>
      </c>
      <c r="AK789" s="24" t="s">
        <v>530</v>
      </c>
      <c r="AL789" s="24"/>
    </row>
    <row r="790" spans="1:38" ht="31.2" x14ac:dyDescent="0.3">
      <c r="A790" s="53">
        <v>783</v>
      </c>
      <c r="B790" s="24" t="s">
        <v>544</v>
      </c>
      <c r="C790" s="24" t="s">
        <v>521</v>
      </c>
      <c r="D790" s="82" t="s">
        <v>392</v>
      </c>
      <c r="E790" s="24" t="s">
        <v>712</v>
      </c>
      <c r="F790" s="24" t="s">
        <v>200</v>
      </c>
      <c r="G790" s="24"/>
      <c r="H790" s="24" t="s">
        <v>1604</v>
      </c>
      <c r="I790" s="30" t="s">
        <v>525</v>
      </c>
      <c r="J790" s="24"/>
      <c r="K790" s="24" t="s">
        <v>199</v>
      </c>
      <c r="L790" s="24" t="s">
        <v>199</v>
      </c>
      <c r="M790" s="24">
        <v>1910</v>
      </c>
      <c r="N790" s="24" t="s">
        <v>527</v>
      </c>
      <c r="O790" s="24">
        <v>5</v>
      </c>
      <c r="P790" s="24">
        <v>0</v>
      </c>
      <c r="Q790" s="24">
        <v>4</v>
      </c>
      <c r="R790" s="24">
        <v>19</v>
      </c>
      <c r="S790" s="24">
        <v>2041.9</v>
      </c>
      <c r="T790" s="24">
        <v>2041.9</v>
      </c>
      <c r="U790" s="24">
        <v>222</v>
      </c>
      <c r="V790" s="24"/>
      <c r="W790" s="24" t="s">
        <v>528</v>
      </c>
      <c r="X790" s="24" t="s">
        <v>528</v>
      </c>
      <c r="Y790" s="24" t="s">
        <v>529</v>
      </c>
      <c r="Z790" s="102" t="s">
        <v>528</v>
      </c>
      <c r="AA790" s="24" t="s">
        <v>528</v>
      </c>
      <c r="AB790" s="24" t="s">
        <v>528</v>
      </c>
      <c r="AC790" s="24" t="s">
        <v>528</v>
      </c>
      <c r="AD790" s="24" t="s">
        <v>528</v>
      </c>
      <c r="AE790" s="24" t="s">
        <v>529</v>
      </c>
      <c r="AF790" s="24">
        <v>0</v>
      </c>
      <c r="AG790" s="24" t="s">
        <v>529</v>
      </c>
      <c r="AH790" s="24">
        <v>1</v>
      </c>
      <c r="AI790" s="24" t="s">
        <v>529</v>
      </c>
      <c r="AJ790" s="24">
        <v>1</v>
      </c>
      <c r="AK790" s="24" t="s">
        <v>530</v>
      </c>
      <c r="AL790" s="24"/>
    </row>
    <row r="791" spans="1:38" ht="31.2" x14ac:dyDescent="0.3">
      <c r="A791" s="53">
        <v>784</v>
      </c>
      <c r="B791" s="24" t="s">
        <v>544</v>
      </c>
      <c r="C791" s="24" t="s">
        <v>521</v>
      </c>
      <c r="D791" s="82" t="s">
        <v>392</v>
      </c>
      <c r="E791" s="24" t="s">
        <v>1153</v>
      </c>
      <c r="F791" s="24" t="s">
        <v>200</v>
      </c>
      <c r="G791" s="24"/>
      <c r="H791" s="24" t="s">
        <v>1605</v>
      </c>
      <c r="I791" s="30" t="s">
        <v>525</v>
      </c>
      <c r="J791" s="24"/>
      <c r="K791" s="24" t="s">
        <v>1157</v>
      </c>
      <c r="L791" s="24" t="s">
        <v>199</v>
      </c>
      <c r="M791" s="24">
        <v>1938</v>
      </c>
      <c r="N791" s="24" t="s">
        <v>527</v>
      </c>
      <c r="O791" s="24">
        <v>5</v>
      </c>
      <c r="P791" s="24">
        <v>0</v>
      </c>
      <c r="Q791" s="24">
        <v>2</v>
      </c>
      <c r="R791" s="24">
        <v>18</v>
      </c>
      <c r="S791" s="24">
        <v>1265.8</v>
      </c>
      <c r="T791" s="24">
        <v>1265.8</v>
      </c>
      <c r="U791" s="24">
        <v>0</v>
      </c>
      <c r="V791" s="24"/>
      <c r="W791" s="24" t="s">
        <v>528</v>
      </c>
      <c r="X791" s="24" t="s">
        <v>528</v>
      </c>
      <c r="Y791" s="24" t="s">
        <v>529</v>
      </c>
      <c r="Z791" s="102" t="s">
        <v>528</v>
      </c>
      <c r="AA791" s="24" t="s">
        <v>528</v>
      </c>
      <c r="AB791" s="24" t="s">
        <v>528</v>
      </c>
      <c r="AC791" s="24" t="s">
        <v>528</v>
      </c>
      <c r="AD791" s="24" t="s">
        <v>528</v>
      </c>
      <c r="AE791" s="24" t="s">
        <v>529</v>
      </c>
      <c r="AF791" s="24">
        <v>0</v>
      </c>
      <c r="AG791" s="24" t="s">
        <v>529</v>
      </c>
      <c r="AH791" s="24">
        <v>1</v>
      </c>
      <c r="AI791" s="24" t="s">
        <v>529</v>
      </c>
      <c r="AJ791" s="24" t="s">
        <v>529</v>
      </c>
      <c r="AK791" s="24" t="s">
        <v>530</v>
      </c>
      <c r="AL791" s="24"/>
    </row>
    <row r="792" spans="1:38" ht="31.2" x14ac:dyDescent="0.3">
      <c r="A792" s="53">
        <v>785</v>
      </c>
      <c r="B792" s="24" t="s">
        <v>544</v>
      </c>
      <c r="C792" s="24" t="s">
        <v>653</v>
      </c>
      <c r="D792" s="82" t="s">
        <v>1582</v>
      </c>
      <c r="E792" s="24" t="s">
        <v>1536</v>
      </c>
      <c r="F792" s="24" t="s">
        <v>200</v>
      </c>
      <c r="G792" s="24"/>
      <c r="H792" s="24" t="s">
        <v>1606</v>
      </c>
      <c r="I792" s="30" t="s">
        <v>525</v>
      </c>
      <c r="J792" s="24"/>
      <c r="K792" s="24" t="s">
        <v>1157</v>
      </c>
      <c r="L792" s="24" t="s">
        <v>199</v>
      </c>
      <c r="M792" s="24">
        <v>1932</v>
      </c>
      <c r="N792" s="24" t="s">
        <v>527</v>
      </c>
      <c r="O792" s="24">
        <v>4</v>
      </c>
      <c r="P792" s="24">
        <v>0</v>
      </c>
      <c r="Q792" s="24">
        <v>3</v>
      </c>
      <c r="R792" s="24">
        <v>20</v>
      </c>
      <c r="S792" s="24">
        <v>2605</v>
      </c>
      <c r="T792" s="24">
        <v>2605</v>
      </c>
      <c r="U792" s="24">
        <v>0</v>
      </c>
      <c r="V792" s="24"/>
      <c r="W792" s="24" t="s">
        <v>528</v>
      </c>
      <c r="X792" s="24" t="s">
        <v>528</v>
      </c>
      <c r="Y792" s="24" t="s">
        <v>529</v>
      </c>
      <c r="Z792" s="102" t="s">
        <v>528</v>
      </c>
      <c r="AA792" s="24" t="s">
        <v>528</v>
      </c>
      <c r="AB792" s="24" t="s">
        <v>528</v>
      </c>
      <c r="AC792" s="24" t="s">
        <v>528</v>
      </c>
      <c r="AD792" s="24" t="s">
        <v>528</v>
      </c>
      <c r="AE792" s="24" t="s">
        <v>529</v>
      </c>
      <c r="AF792" s="24">
        <v>0</v>
      </c>
      <c r="AG792" s="24" t="s">
        <v>529</v>
      </c>
      <c r="AH792" s="24">
        <v>1</v>
      </c>
      <c r="AI792" s="24" t="s">
        <v>529</v>
      </c>
      <c r="AJ792" s="24">
        <v>1</v>
      </c>
      <c r="AK792" s="24" t="s">
        <v>530</v>
      </c>
      <c r="AL792" s="24"/>
    </row>
    <row r="793" spans="1:38" ht="31.2" x14ac:dyDescent="0.3">
      <c r="A793" s="53">
        <v>786</v>
      </c>
      <c r="B793" s="24" t="s">
        <v>544</v>
      </c>
      <c r="C793" s="24" t="s">
        <v>653</v>
      </c>
      <c r="D793" s="82" t="s">
        <v>1582</v>
      </c>
      <c r="E793" s="24" t="s">
        <v>1536</v>
      </c>
      <c r="F793" s="24" t="s">
        <v>205</v>
      </c>
      <c r="G793" s="24"/>
      <c r="H793" s="24" t="s">
        <v>1607</v>
      </c>
      <c r="I793" s="30" t="s">
        <v>525</v>
      </c>
      <c r="J793" s="24"/>
      <c r="K793" s="24" t="s">
        <v>199</v>
      </c>
      <c r="L793" s="24" t="s">
        <v>199</v>
      </c>
      <c r="M793" s="24">
        <v>1917</v>
      </c>
      <c r="N793" s="24" t="s">
        <v>527</v>
      </c>
      <c r="O793" s="24">
        <v>1</v>
      </c>
      <c r="P793" s="24">
        <v>0</v>
      </c>
      <c r="Q793" s="24">
        <v>1</v>
      </c>
      <c r="R793" s="24">
        <v>1</v>
      </c>
      <c r="S793" s="24">
        <v>145.1</v>
      </c>
      <c r="T793" s="24">
        <v>145.1</v>
      </c>
      <c r="U793" s="24">
        <v>145.1</v>
      </c>
      <c r="V793" s="24">
        <v>0</v>
      </c>
      <c r="W793" s="24" t="s">
        <v>528</v>
      </c>
      <c r="X793" s="24" t="s">
        <v>528</v>
      </c>
      <c r="Y793" s="24" t="s">
        <v>529</v>
      </c>
      <c r="Z793" s="102" t="s">
        <v>528</v>
      </c>
      <c r="AA793" s="24" t="s">
        <v>528</v>
      </c>
      <c r="AB793" s="24" t="s">
        <v>528</v>
      </c>
      <c r="AC793" s="24" t="s">
        <v>529</v>
      </c>
      <c r="AD793" s="24" t="s">
        <v>528</v>
      </c>
      <c r="AE793" s="24" t="s">
        <v>529</v>
      </c>
      <c r="AF793" s="24">
        <v>0</v>
      </c>
      <c r="AG793" s="24" t="s">
        <v>529</v>
      </c>
      <c r="AH793" s="24" t="s">
        <v>529</v>
      </c>
      <c r="AI793" s="24" t="s">
        <v>529</v>
      </c>
      <c r="AJ793" s="24" t="s">
        <v>529</v>
      </c>
      <c r="AK793" s="24" t="s">
        <v>530</v>
      </c>
      <c r="AL793" s="24"/>
    </row>
    <row r="794" spans="1:38" ht="31.2" x14ac:dyDescent="0.3">
      <c r="A794" s="53">
        <v>787</v>
      </c>
      <c r="B794" s="24" t="s">
        <v>544</v>
      </c>
      <c r="C794" s="24" t="s">
        <v>552</v>
      </c>
      <c r="D794" s="82" t="s">
        <v>1582</v>
      </c>
      <c r="E794" s="24" t="s">
        <v>1293</v>
      </c>
      <c r="F794" s="24" t="s">
        <v>205</v>
      </c>
      <c r="G794" s="24"/>
      <c r="H794" s="24" t="s">
        <v>1608</v>
      </c>
      <c r="I794" s="30" t="s">
        <v>525</v>
      </c>
      <c r="J794" s="24"/>
      <c r="K794" s="24" t="s">
        <v>1157</v>
      </c>
      <c r="L794" s="24" t="s">
        <v>199</v>
      </c>
      <c r="M794" s="24">
        <v>1937</v>
      </c>
      <c r="N794" s="24" t="s">
        <v>527</v>
      </c>
      <c r="O794" s="24">
        <v>4</v>
      </c>
      <c r="P794" s="24">
        <v>0</v>
      </c>
      <c r="Q794" s="24">
        <v>3</v>
      </c>
      <c r="R794" s="24">
        <v>24</v>
      </c>
      <c r="S794" s="24">
        <v>2176.6999999999998</v>
      </c>
      <c r="T794" s="24">
        <v>2176.6999999999998</v>
      </c>
      <c r="U794" s="24">
        <v>2176.6999999999998</v>
      </c>
      <c r="V794" s="24">
        <v>0</v>
      </c>
      <c r="W794" s="24" t="s">
        <v>528</v>
      </c>
      <c r="X794" s="24" t="s">
        <v>528</v>
      </c>
      <c r="Y794" s="24" t="s">
        <v>529</v>
      </c>
      <c r="Z794" s="102" t="s">
        <v>528</v>
      </c>
      <c r="AA794" s="24" t="s">
        <v>528</v>
      </c>
      <c r="AB794" s="24" t="s">
        <v>528</v>
      </c>
      <c r="AC794" s="24" t="s">
        <v>528</v>
      </c>
      <c r="AD794" s="24" t="s">
        <v>528</v>
      </c>
      <c r="AE794" s="24" t="s">
        <v>529</v>
      </c>
      <c r="AF794" s="24">
        <v>0</v>
      </c>
      <c r="AG794" s="24" t="s">
        <v>529</v>
      </c>
      <c r="AH794" s="24" t="s">
        <v>529</v>
      </c>
      <c r="AI794" s="24" t="s">
        <v>529</v>
      </c>
      <c r="AJ794" s="24">
        <v>1</v>
      </c>
      <c r="AK794" s="24" t="s">
        <v>530</v>
      </c>
      <c r="AL794" s="24"/>
    </row>
    <row r="795" spans="1:38" ht="31.2" x14ac:dyDescent="0.3">
      <c r="A795" s="53">
        <v>788</v>
      </c>
      <c r="B795" s="24" t="s">
        <v>544</v>
      </c>
      <c r="C795" s="24" t="s">
        <v>552</v>
      </c>
      <c r="D795" s="82" t="s">
        <v>1582</v>
      </c>
      <c r="E795" s="24" t="s">
        <v>1609</v>
      </c>
      <c r="F795" s="24" t="s">
        <v>206</v>
      </c>
      <c r="G795" s="24"/>
      <c r="H795" s="24" t="s">
        <v>1610</v>
      </c>
      <c r="I795" s="30" t="s">
        <v>525</v>
      </c>
      <c r="J795" s="24"/>
      <c r="K795" s="24" t="s">
        <v>199</v>
      </c>
      <c r="L795" s="24" t="s">
        <v>199</v>
      </c>
      <c r="M795" s="24">
        <v>1917</v>
      </c>
      <c r="N795" s="24" t="s">
        <v>527</v>
      </c>
      <c r="O795" s="24">
        <v>4</v>
      </c>
      <c r="P795" s="24">
        <v>0</v>
      </c>
      <c r="Q795" s="24">
        <v>2</v>
      </c>
      <c r="R795" s="24">
        <v>8</v>
      </c>
      <c r="S795" s="24">
        <v>1602</v>
      </c>
      <c r="T795" s="24">
        <v>1602</v>
      </c>
      <c r="U795" s="24">
        <v>1602</v>
      </c>
      <c r="V795" s="24">
        <v>0</v>
      </c>
      <c r="W795" s="24" t="s">
        <v>528</v>
      </c>
      <c r="X795" s="24" t="s">
        <v>528</v>
      </c>
      <c r="Y795" s="24" t="s">
        <v>528</v>
      </c>
      <c r="Z795" s="102" t="s">
        <v>528</v>
      </c>
      <c r="AA795" s="24" t="s">
        <v>528</v>
      </c>
      <c r="AB795" s="24" t="s">
        <v>528</v>
      </c>
      <c r="AC795" s="24" t="s">
        <v>529</v>
      </c>
      <c r="AD795" s="24" t="s">
        <v>528</v>
      </c>
      <c r="AE795" s="24" t="s">
        <v>529</v>
      </c>
      <c r="AF795" s="24">
        <v>0</v>
      </c>
      <c r="AG795" s="24" t="s">
        <v>529</v>
      </c>
      <c r="AH795" s="24" t="s">
        <v>529</v>
      </c>
      <c r="AI795" s="24">
        <v>1</v>
      </c>
      <c r="AJ795" s="24">
        <v>1</v>
      </c>
      <c r="AK795" s="24" t="s">
        <v>530</v>
      </c>
      <c r="AL795" s="24"/>
    </row>
    <row r="796" spans="1:38" ht="31.2" x14ac:dyDescent="0.3">
      <c r="A796" s="53">
        <v>789</v>
      </c>
      <c r="B796" s="24" t="s">
        <v>544</v>
      </c>
      <c r="C796" s="24" t="s">
        <v>552</v>
      </c>
      <c r="D796" s="82" t="s">
        <v>1582</v>
      </c>
      <c r="E796" s="24" t="s">
        <v>1189</v>
      </c>
      <c r="F796" s="24" t="s">
        <v>200</v>
      </c>
      <c r="G796" s="24"/>
      <c r="H796" s="24" t="s">
        <v>1611</v>
      </c>
      <c r="I796" s="30" t="s">
        <v>525</v>
      </c>
      <c r="J796" s="24"/>
      <c r="K796" s="24" t="s">
        <v>199</v>
      </c>
      <c r="L796" s="24" t="s">
        <v>199</v>
      </c>
      <c r="M796" s="24">
        <v>1905</v>
      </c>
      <c r="N796" s="24" t="s">
        <v>527</v>
      </c>
      <c r="O796" s="24">
        <v>6</v>
      </c>
      <c r="P796" s="24">
        <v>0</v>
      </c>
      <c r="Q796" s="24">
        <v>4</v>
      </c>
      <c r="R796" s="24">
        <v>50</v>
      </c>
      <c r="S796" s="24">
        <v>3444.4</v>
      </c>
      <c r="T796" s="24">
        <v>3444.4</v>
      </c>
      <c r="U796" s="24">
        <v>3302.4</v>
      </c>
      <c r="V796" s="24">
        <v>142</v>
      </c>
      <c r="W796" s="24" t="s">
        <v>528</v>
      </c>
      <c r="X796" s="24" t="s">
        <v>528</v>
      </c>
      <c r="Y796" s="24" t="s">
        <v>529</v>
      </c>
      <c r="Z796" s="102" t="s">
        <v>528</v>
      </c>
      <c r="AA796" s="24" t="s">
        <v>528</v>
      </c>
      <c r="AB796" s="24" t="s">
        <v>528</v>
      </c>
      <c r="AC796" s="24" t="s">
        <v>528</v>
      </c>
      <c r="AD796" s="24" t="s">
        <v>528</v>
      </c>
      <c r="AE796" s="24" t="s">
        <v>529</v>
      </c>
      <c r="AF796" s="24">
        <v>2</v>
      </c>
      <c r="AG796" s="24" t="s">
        <v>529</v>
      </c>
      <c r="AH796" s="24">
        <v>1</v>
      </c>
      <c r="AI796" s="24" t="s">
        <v>529</v>
      </c>
      <c r="AJ796" s="24">
        <v>1</v>
      </c>
      <c r="AK796" s="24" t="s">
        <v>530</v>
      </c>
      <c r="AL796" s="24"/>
    </row>
    <row r="797" spans="1:38" ht="31.2" x14ac:dyDescent="0.3">
      <c r="A797" s="53">
        <v>790</v>
      </c>
      <c r="B797" s="24" t="s">
        <v>544</v>
      </c>
      <c r="C797" s="24" t="s">
        <v>653</v>
      </c>
      <c r="D797" s="82" t="s">
        <v>1612</v>
      </c>
      <c r="E797" s="24" t="s">
        <v>536</v>
      </c>
      <c r="F797" s="24" t="s">
        <v>200</v>
      </c>
      <c r="G797" s="24"/>
      <c r="H797" s="24" t="s">
        <v>1613</v>
      </c>
      <c r="I797" s="30" t="s">
        <v>525</v>
      </c>
      <c r="J797" s="24"/>
      <c r="K797" s="24" t="s">
        <v>199</v>
      </c>
      <c r="L797" s="24" t="s">
        <v>199</v>
      </c>
      <c r="M797" s="24">
        <v>1917</v>
      </c>
      <c r="N797" s="24" t="s">
        <v>527</v>
      </c>
      <c r="O797" s="24">
        <v>3</v>
      </c>
      <c r="P797" s="24">
        <v>0</v>
      </c>
      <c r="Q797" s="24">
        <v>1</v>
      </c>
      <c r="R797" s="24">
        <v>9</v>
      </c>
      <c r="S797" s="24">
        <v>364.6</v>
      </c>
      <c r="T797" s="24">
        <v>364.6</v>
      </c>
      <c r="U797" s="24">
        <v>364.9</v>
      </c>
      <c r="V797" s="24">
        <v>0</v>
      </c>
      <c r="W797" s="24" t="s">
        <v>528</v>
      </c>
      <c r="X797" s="24" t="s">
        <v>528</v>
      </c>
      <c r="Y797" s="24" t="s">
        <v>529</v>
      </c>
      <c r="Z797" s="102" t="s">
        <v>528</v>
      </c>
      <c r="AA797" s="24" t="s">
        <v>528</v>
      </c>
      <c r="AB797" s="24" t="s">
        <v>528</v>
      </c>
      <c r="AC797" s="24" t="s">
        <v>528</v>
      </c>
      <c r="AD797" s="24" t="s">
        <v>528</v>
      </c>
      <c r="AE797" s="24" t="s">
        <v>529</v>
      </c>
      <c r="AF797" s="24">
        <v>0</v>
      </c>
      <c r="AG797" s="24" t="s">
        <v>529</v>
      </c>
      <c r="AH797" s="24" t="s">
        <v>529</v>
      </c>
      <c r="AI797" s="24" t="s">
        <v>529</v>
      </c>
      <c r="AJ797" s="24" t="s">
        <v>529</v>
      </c>
      <c r="AK797" s="24" t="s">
        <v>530</v>
      </c>
      <c r="AL797" s="24"/>
    </row>
    <row r="798" spans="1:38" ht="31.2" x14ac:dyDescent="0.3">
      <c r="A798" s="53">
        <v>791</v>
      </c>
      <c r="B798" s="24" t="s">
        <v>544</v>
      </c>
      <c r="C798" s="24" t="s">
        <v>653</v>
      </c>
      <c r="D798" s="82" t="s">
        <v>431</v>
      </c>
      <c r="E798" s="24" t="s">
        <v>1614</v>
      </c>
      <c r="F798" s="24" t="s">
        <v>200</v>
      </c>
      <c r="G798" s="24"/>
      <c r="H798" s="24" t="s">
        <v>1615</v>
      </c>
      <c r="I798" s="30" t="s">
        <v>525</v>
      </c>
      <c r="J798" s="24"/>
      <c r="K798" s="24" t="s">
        <v>199</v>
      </c>
      <c r="L798" s="24" t="s">
        <v>199</v>
      </c>
      <c r="M798" s="24">
        <v>1894</v>
      </c>
      <c r="N798" s="24" t="s">
        <v>527</v>
      </c>
      <c r="O798" s="24">
        <v>6</v>
      </c>
      <c r="P798" s="24">
        <v>0</v>
      </c>
      <c r="Q798" s="24">
        <v>2</v>
      </c>
      <c r="R798" s="24">
        <v>21</v>
      </c>
      <c r="S798" s="24">
        <v>1931.9</v>
      </c>
      <c r="T798" s="24">
        <v>1931.9</v>
      </c>
      <c r="U798" s="24">
        <v>1624.9</v>
      </c>
      <c r="V798" s="24">
        <v>307</v>
      </c>
      <c r="W798" s="24" t="s">
        <v>528</v>
      </c>
      <c r="X798" s="24" t="s">
        <v>528</v>
      </c>
      <c r="Y798" s="24" t="s">
        <v>529</v>
      </c>
      <c r="Z798" s="102" t="s">
        <v>528</v>
      </c>
      <c r="AA798" s="24" t="s">
        <v>528</v>
      </c>
      <c r="AB798" s="24" t="s">
        <v>528</v>
      </c>
      <c r="AC798" s="24" t="s">
        <v>529</v>
      </c>
      <c r="AD798" s="24" t="s">
        <v>528</v>
      </c>
      <c r="AE798" s="24" t="s">
        <v>529</v>
      </c>
      <c r="AF798" s="24">
        <v>0</v>
      </c>
      <c r="AG798" s="24" t="s">
        <v>529</v>
      </c>
      <c r="AH798" s="24">
        <v>1</v>
      </c>
      <c r="AI798" s="24" t="s">
        <v>529</v>
      </c>
      <c r="AJ798" s="24">
        <v>1</v>
      </c>
      <c r="AK798" s="24" t="s">
        <v>530</v>
      </c>
      <c r="AL798" s="24"/>
    </row>
    <row r="799" spans="1:38" ht="31.2" x14ac:dyDescent="0.3">
      <c r="A799" s="53">
        <v>792</v>
      </c>
      <c r="B799" s="24" t="s">
        <v>544</v>
      </c>
      <c r="C799" s="24" t="s">
        <v>552</v>
      </c>
      <c r="D799" s="82" t="s">
        <v>1587</v>
      </c>
      <c r="E799" s="24" t="s">
        <v>171</v>
      </c>
      <c r="F799" s="24" t="s">
        <v>200</v>
      </c>
      <c r="G799" s="24"/>
      <c r="H799" s="24" t="s">
        <v>1616</v>
      </c>
      <c r="I799" s="30" t="s">
        <v>525</v>
      </c>
      <c r="J799" s="24"/>
      <c r="K799" s="24" t="s">
        <v>1157</v>
      </c>
      <c r="L799" s="24" t="s">
        <v>199</v>
      </c>
      <c r="M799" s="24">
        <v>1938</v>
      </c>
      <c r="N799" s="24" t="s">
        <v>527</v>
      </c>
      <c r="O799" s="24">
        <v>3</v>
      </c>
      <c r="P799" s="24">
        <v>0</v>
      </c>
      <c r="Q799" s="24">
        <v>3</v>
      </c>
      <c r="R799" s="24">
        <v>4</v>
      </c>
      <c r="S799" s="24">
        <v>698.6</v>
      </c>
      <c r="T799" s="24">
        <v>698.6</v>
      </c>
      <c r="U799" s="24">
        <v>698.6</v>
      </c>
      <c r="V799" s="24">
        <v>0</v>
      </c>
      <c r="W799" s="24" t="s">
        <v>528</v>
      </c>
      <c r="X799" s="24" t="s">
        <v>528</v>
      </c>
      <c r="Y799" s="24" t="s">
        <v>529</v>
      </c>
      <c r="Z799" s="102" t="s">
        <v>528</v>
      </c>
      <c r="AA799" s="24" t="s">
        <v>528</v>
      </c>
      <c r="AB799" s="24" t="s">
        <v>528</v>
      </c>
      <c r="AC799" s="24" t="s">
        <v>528</v>
      </c>
      <c r="AD799" s="24" t="s">
        <v>528</v>
      </c>
      <c r="AE799" s="24" t="s">
        <v>529</v>
      </c>
      <c r="AF799" s="24">
        <v>0</v>
      </c>
      <c r="AG799" s="24" t="s">
        <v>529</v>
      </c>
      <c r="AH799" s="24">
        <v>1</v>
      </c>
      <c r="AI799" s="24" t="s">
        <v>529</v>
      </c>
      <c r="AJ799" s="24" t="s">
        <v>529</v>
      </c>
      <c r="AK799" s="24" t="s">
        <v>530</v>
      </c>
      <c r="AL799" s="24"/>
    </row>
    <row r="800" spans="1:38" ht="31.2" x14ac:dyDescent="0.3">
      <c r="A800" s="53">
        <v>793</v>
      </c>
      <c r="B800" s="24" t="s">
        <v>544</v>
      </c>
      <c r="C800" s="24" t="s">
        <v>521</v>
      </c>
      <c r="D800" s="82" t="s">
        <v>1518</v>
      </c>
      <c r="E800" s="24" t="s">
        <v>536</v>
      </c>
      <c r="F800" s="24" t="s">
        <v>200</v>
      </c>
      <c r="G800" s="24"/>
      <c r="H800" s="24" t="s">
        <v>1617</v>
      </c>
      <c r="I800" s="30" t="s">
        <v>525</v>
      </c>
      <c r="J800" s="24"/>
      <c r="K800" s="24" t="s">
        <v>199</v>
      </c>
      <c r="L800" s="24" t="s">
        <v>199</v>
      </c>
      <c r="M800" s="24">
        <v>1905</v>
      </c>
      <c r="N800" s="24" t="s">
        <v>527</v>
      </c>
      <c r="O800" s="24">
        <v>5</v>
      </c>
      <c r="P800" s="24">
        <v>0</v>
      </c>
      <c r="Q800" s="24">
        <v>1</v>
      </c>
      <c r="R800" s="24">
        <v>19</v>
      </c>
      <c r="S800" s="24">
        <v>864.84</v>
      </c>
      <c r="T800" s="24">
        <v>864.84</v>
      </c>
      <c r="U800" s="24">
        <v>864.84</v>
      </c>
      <c r="V800" s="24">
        <v>0</v>
      </c>
      <c r="W800" s="24" t="s">
        <v>528</v>
      </c>
      <c r="X800" s="24" t="s">
        <v>528</v>
      </c>
      <c r="Y800" s="24" t="s">
        <v>529</v>
      </c>
      <c r="Z800" s="102" t="s">
        <v>528</v>
      </c>
      <c r="AA800" s="24" t="s">
        <v>528</v>
      </c>
      <c r="AB800" s="24" t="s">
        <v>528</v>
      </c>
      <c r="AC800" s="24" t="s">
        <v>528</v>
      </c>
      <c r="AD800" s="24" t="s">
        <v>528</v>
      </c>
      <c r="AE800" s="24" t="s">
        <v>529</v>
      </c>
      <c r="AF800" s="24">
        <v>0</v>
      </c>
      <c r="AG800" s="24" t="s">
        <v>529</v>
      </c>
      <c r="AH800" s="24">
        <v>1</v>
      </c>
      <c r="AI800" s="24" t="s">
        <v>529</v>
      </c>
      <c r="AJ800" s="24" t="s">
        <v>529</v>
      </c>
      <c r="AK800" s="24" t="s">
        <v>530</v>
      </c>
      <c r="AL800" s="24"/>
    </row>
    <row r="801" spans="1:38" ht="31.2" x14ac:dyDescent="0.3">
      <c r="A801" s="53">
        <v>794</v>
      </c>
      <c r="B801" s="24" t="s">
        <v>544</v>
      </c>
      <c r="C801" s="24" t="s">
        <v>521</v>
      </c>
      <c r="D801" s="82" t="s">
        <v>1518</v>
      </c>
      <c r="E801" s="24" t="s">
        <v>1293</v>
      </c>
      <c r="F801" s="24" t="s">
        <v>200</v>
      </c>
      <c r="G801" s="24"/>
      <c r="H801" s="24" t="s">
        <v>1618</v>
      </c>
      <c r="I801" s="30" t="s">
        <v>525</v>
      </c>
      <c r="J801" s="24"/>
      <c r="K801" s="24" t="s">
        <v>199</v>
      </c>
      <c r="L801" s="24" t="s">
        <v>199</v>
      </c>
      <c r="M801" s="24">
        <v>1900</v>
      </c>
      <c r="N801" s="24" t="s">
        <v>527</v>
      </c>
      <c r="O801" s="24">
        <v>4</v>
      </c>
      <c r="P801" s="24">
        <v>0</v>
      </c>
      <c r="Q801" s="24">
        <v>1</v>
      </c>
      <c r="R801" s="24">
        <v>6</v>
      </c>
      <c r="S801" s="24">
        <v>255.79</v>
      </c>
      <c r="T801" s="24">
        <v>255.79</v>
      </c>
      <c r="U801" s="24">
        <v>221.79</v>
      </c>
      <c r="V801" s="24">
        <v>34</v>
      </c>
      <c r="W801" s="24" t="s">
        <v>528</v>
      </c>
      <c r="X801" s="24" t="s">
        <v>528</v>
      </c>
      <c r="Y801" s="24" t="s">
        <v>529</v>
      </c>
      <c r="Z801" s="102" t="s">
        <v>528</v>
      </c>
      <c r="AA801" s="24" t="s">
        <v>528</v>
      </c>
      <c r="AB801" s="24" t="s">
        <v>528</v>
      </c>
      <c r="AC801" s="24" t="s">
        <v>528</v>
      </c>
      <c r="AD801" s="24" t="s">
        <v>528</v>
      </c>
      <c r="AE801" s="24" t="s">
        <v>529</v>
      </c>
      <c r="AF801" s="24">
        <v>0</v>
      </c>
      <c r="AG801" s="24" t="s">
        <v>529</v>
      </c>
      <c r="AH801" s="24">
        <v>1</v>
      </c>
      <c r="AI801" s="24" t="s">
        <v>529</v>
      </c>
      <c r="AJ801" s="24" t="s">
        <v>529</v>
      </c>
      <c r="AK801" s="24" t="s">
        <v>530</v>
      </c>
      <c r="AL801" s="24"/>
    </row>
    <row r="802" spans="1:38" ht="31.2" x14ac:dyDescent="0.3">
      <c r="A802" s="53">
        <v>795</v>
      </c>
      <c r="B802" s="24" t="s">
        <v>544</v>
      </c>
      <c r="C802" s="24" t="s">
        <v>653</v>
      </c>
      <c r="D802" s="82" t="s">
        <v>431</v>
      </c>
      <c r="E802" s="24" t="s">
        <v>1619</v>
      </c>
      <c r="F802" s="24" t="s">
        <v>200</v>
      </c>
      <c r="G802" s="24"/>
      <c r="H802" s="24" t="s">
        <v>1620</v>
      </c>
      <c r="I802" s="30" t="s">
        <v>525</v>
      </c>
      <c r="J802" s="24"/>
      <c r="K802" s="24" t="s">
        <v>199</v>
      </c>
      <c r="L802" s="24" t="s">
        <v>199</v>
      </c>
      <c r="M802" s="24">
        <v>1896</v>
      </c>
      <c r="N802" s="24" t="s">
        <v>527</v>
      </c>
      <c r="O802" s="24">
        <v>4</v>
      </c>
      <c r="P802" s="24">
        <v>0</v>
      </c>
      <c r="Q802" s="24">
        <v>4</v>
      </c>
      <c r="R802" s="24">
        <v>25</v>
      </c>
      <c r="S802" s="24">
        <v>2412.1999999999998</v>
      </c>
      <c r="T802" s="24">
        <v>2412.1999999999998</v>
      </c>
      <c r="U802" s="24">
        <v>2107.1999999999998</v>
      </c>
      <c r="V802" s="24">
        <v>305</v>
      </c>
      <c r="W802" s="24" t="s">
        <v>528</v>
      </c>
      <c r="X802" s="24" t="s">
        <v>528</v>
      </c>
      <c r="Y802" s="24" t="s">
        <v>529</v>
      </c>
      <c r="Z802" s="102" t="s">
        <v>528</v>
      </c>
      <c r="AA802" s="24" t="s">
        <v>528</v>
      </c>
      <c r="AB802" s="24" t="s">
        <v>528</v>
      </c>
      <c r="AC802" s="24" t="s">
        <v>528</v>
      </c>
      <c r="AD802" s="24" t="s">
        <v>528</v>
      </c>
      <c r="AE802" s="24" t="s">
        <v>529</v>
      </c>
      <c r="AF802" s="24">
        <v>0</v>
      </c>
      <c r="AG802" s="24" t="s">
        <v>529</v>
      </c>
      <c r="AH802" s="24">
        <v>1</v>
      </c>
      <c r="AI802" s="24" t="s">
        <v>529</v>
      </c>
      <c r="AJ802" s="24">
        <v>2</v>
      </c>
      <c r="AK802" s="24" t="s">
        <v>530</v>
      </c>
      <c r="AL802" s="24"/>
    </row>
    <row r="803" spans="1:38" ht="31.2" x14ac:dyDescent="0.3">
      <c r="A803" s="53">
        <v>796</v>
      </c>
      <c r="B803" s="24" t="s">
        <v>544</v>
      </c>
      <c r="C803" s="24" t="s">
        <v>653</v>
      </c>
      <c r="D803" s="82" t="s">
        <v>431</v>
      </c>
      <c r="E803" s="24" t="s">
        <v>1619</v>
      </c>
      <c r="F803" s="24" t="s">
        <v>205</v>
      </c>
      <c r="G803" s="24"/>
      <c r="H803" s="24" t="s">
        <v>1621</v>
      </c>
      <c r="I803" s="30" t="s">
        <v>525</v>
      </c>
      <c r="J803" s="24"/>
      <c r="K803" s="24" t="s">
        <v>199</v>
      </c>
      <c r="L803" s="24" t="s">
        <v>199</v>
      </c>
      <c r="M803" s="24">
        <v>1896</v>
      </c>
      <c r="N803" s="24" t="s">
        <v>527</v>
      </c>
      <c r="O803" s="24">
        <v>2</v>
      </c>
      <c r="P803" s="24">
        <v>0</v>
      </c>
      <c r="Q803" s="24">
        <v>1</v>
      </c>
      <c r="R803" s="24">
        <v>4</v>
      </c>
      <c r="S803" s="24">
        <v>241.3</v>
      </c>
      <c r="T803" s="24">
        <v>241.3</v>
      </c>
      <c r="U803" s="24">
        <v>195.3</v>
      </c>
      <c r="V803" s="24">
        <v>46</v>
      </c>
      <c r="W803" s="24" t="s">
        <v>528</v>
      </c>
      <c r="X803" s="24" t="s">
        <v>528</v>
      </c>
      <c r="Y803" s="24" t="s">
        <v>529</v>
      </c>
      <c r="Z803" s="102" t="s">
        <v>528</v>
      </c>
      <c r="AA803" s="24" t="s">
        <v>528</v>
      </c>
      <c r="AB803" s="24" t="s">
        <v>528</v>
      </c>
      <c r="AC803" s="24" t="s">
        <v>528</v>
      </c>
      <c r="AD803" s="24" t="s">
        <v>528</v>
      </c>
      <c r="AE803" s="24" t="s">
        <v>529</v>
      </c>
      <c r="AF803" s="24">
        <v>0</v>
      </c>
      <c r="AG803" s="24" t="s">
        <v>529</v>
      </c>
      <c r="AH803" s="24" t="s">
        <v>529</v>
      </c>
      <c r="AI803" s="24" t="s">
        <v>529</v>
      </c>
      <c r="AJ803" s="24">
        <v>1</v>
      </c>
      <c r="AK803" s="24" t="s">
        <v>530</v>
      </c>
      <c r="AL803" s="24"/>
    </row>
    <row r="804" spans="1:38" ht="31.2" x14ac:dyDescent="0.3">
      <c r="A804" s="53">
        <v>797</v>
      </c>
      <c r="B804" s="24" t="s">
        <v>544</v>
      </c>
      <c r="C804" s="24" t="s">
        <v>653</v>
      </c>
      <c r="D804" s="82" t="s">
        <v>431</v>
      </c>
      <c r="E804" s="24" t="s">
        <v>1246</v>
      </c>
      <c r="F804" s="24" t="s">
        <v>200</v>
      </c>
      <c r="G804" s="24"/>
      <c r="H804" s="24" t="s">
        <v>1622</v>
      </c>
      <c r="I804" s="30" t="s">
        <v>525</v>
      </c>
      <c r="J804" s="24"/>
      <c r="K804" s="24" t="s">
        <v>199</v>
      </c>
      <c r="L804" s="24" t="s">
        <v>199</v>
      </c>
      <c r="M804" s="24">
        <v>1881</v>
      </c>
      <c r="N804" s="24" t="s">
        <v>527</v>
      </c>
      <c r="O804" s="24">
        <v>4</v>
      </c>
      <c r="P804" s="24">
        <v>0</v>
      </c>
      <c r="Q804" s="24">
        <v>1</v>
      </c>
      <c r="R804" s="24">
        <v>9</v>
      </c>
      <c r="S804" s="24">
        <v>637.5</v>
      </c>
      <c r="T804" s="24">
        <v>637.5</v>
      </c>
      <c r="U804" s="24">
        <v>594.9</v>
      </c>
      <c r="V804" s="24">
        <v>42.6</v>
      </c>
      <c r="W804" s="24" t="s">
        <v>528</v>
      </c>
      <c r="X804" s="24" t="s">
        <v>528</v>
      </c>
      <c r="Y804" s="24" t="s">
        <v>529</v>
      </c>
      <c r="Z804" s="102" t="s">
        <v>528</v>
      </c>
      <c r="AA804" s="24" t="s">
        <v>528</v>
      </c>
      <c r="AB804" s="24" t="s">
        <v>528</v>
      </c>
      <c r="AC804" s="24" t="s">
        <v>528</v>
      </c>
      <c r="AD804" s="24" t="s">
        <v>528</v>
      </c>
      <c r="AE804" s="24" t="s">
        <v>529</v>
      </c>
      <c r="AF804" s="24">
        <v>0</v>
      </c>
      <c r="AG804" s="24" t="s">
        <v>529</v>
      </c>
      <c r="AH804" s="24">
        <v>1</v>
      </c>
      <c r="AI804" s="24" t="s">
        <v>529</v>
      </c>
      <c r="AJ804" s="24" t="s">
        <v>529</v>
      </c>
      <c r="AK804" s="24" t="s">
        <v>530</v>
      </c>
      <c r="AL804" s="24"/>
    </row>
    <row r="805" spans="1:38" ht="31.2" x14ac:dyDescent="0.3">
      <c r="A805" s="53">
        <v>798</v>
      </c>
      <c r="B805" s="24" t="s">
        <v>544</v>
      </c>
      <c r="C805" s="24" t="s">
        <v>653</v>
      </c>
      <c r="D805" s="82" t="s">
        <v>431</v>
      </c>
      <c r="E805" s="24" t="s">
        <v>1153</v>
      </c>
      <c r="F805" s="24" t="s">
        <v>200</v>
      </c>
      <c r="G805" s="24"/>
      <c r="H805" s="24" t="s">
        <v>1623</v>
      </c>
      <c r="I805" s="30" t="s">
        <v>525</v>
      </c>
      <c r="J805" s="24" t="s">
        <v>535</v>
      </c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102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</row>
    <row r="806" spans="1:38" ht="31.2" x14ac:dyDescent="0.3">
      <c r="A806" s="53">
        <v>799</v>
      </c>
      <c r="B806" s="24" t="s">
        <v>544</v>
      </c>
      <c r="C806" s="24" t="s">
        <v>653</v>
      </c>
      <c r="D806" s="82" t="s">
        <v>431</v>
      </c>
      <c r="E806" s="24" t="s">
        <v>170</v>
      </c>
      <c r="F806" s="24" t="s">
        <v>200</v>
      </c>
      <c r="G806" s="24"/>
      <c r="H806" s="24" t="s">
        <v>1624</v>
      </c>
      <c r="I806" s="30" t="s">
        <v>525</v>
      </c>
      <c r="J806" s="24"/>
      <c r="K806" s="24" t="s">
        <v>199</v>
      </c>
      <c r="L806" s="24" t="s">
        <v>199</v>
      </c>
      <c r="M806" s="24">
        <v>1914</v>
      </c>
      <c r="N806" s="24" t="s">
        <v>527</v>
      </c>
      <c r="O806" s="24">
        <v>5</v>
      </c>
      <c r="P806" s="24">
        <v>0</v>
      </c>
      <c r="Q806" s="24">
        <v>3</v>
      </c>
      <c r="R806" s="24">
        <v>21</v>
      </c>
      <c r="S806" s="24">
        <v>2161.3000000000002</v>
      </c>
      <c r="T806" s="24">
        <v>2161.3000000000002</v>
      </c>
      <c r="U806" s="24">
        <v>2019.3</v>
      </c>
      <c r="V806" s="24">
        <v>142</v>
      </c>
      <c r="W806" s="24" t="s">
        <v>528</v>
      </c>
      <c r="X806" s="24" t="s">
        <v>528</v>
      </c>
      <c r="Y806" s="24" t="s">
        <v>529</v>
      </c>
      <c r="Z806" s="102" t="s">
        <v>528</v>
      </c>
      <c r="AA806" s="24" t="s">
        <v>528</v>
      </c>
      <c r="AB806" s="24" t="s">
        <v>528</v>
      </c>
      <c r="AC806" s="24" t="s">
        <v>528</v>
      </c>
      <c r="AD806" s="24" t="s">
        <v>528</v>
      </c>
      <c r="AE806" s="24" t="s">
        <v>529</v>
      </c>
      <c r="AF806" s="24">
        <v>1</v>
      </c>
      <c r="AG806" s="24" t="s">
        <v>529</v>
      </c>
      <c r="AH806" s="24">
        <v>1</v>
      </c>
      <c r="AI806" s="24" t="s">
        <v>529</v>
      </c>
      <c r="AJ806" s="24" t="s">
        <v>529</v>
      </c>
      <c r="AK806" s="24" t="s">
        <v>530</v>
      </c>
      <c r="AL806" s="24"/>
    </row>
    <row r="807" spans="1:38" ht="31.2" x14ac:dyDescent="0.3">
      <c r="A807" s="53">
        <v>800</v>
      </c>
      <c r="B807" s="24" t="s">
        <v>544</v>
      </c>
      <c r="C807" s="24" t="s">
        <v>521</v>
      </c>
      <c r="D807" s="82" t="s">
        <v>392</v>
      </c>
      <c r="E807" s="24" t="s">
        <v>1020</v>
      </c>
      <c r="F807" s="24" t="s">
        <v>200</v>
      </c>
      <c r="G807" s="24"/>
      <c r="H807" s="24" t="s">
        <v>1625</v>
      </c>
      <c r="I807" s="30" t="s">
        <v>525</v>
      </c>
      <c r="J807" s="24" t="s">
        <v>535</v>
      </c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102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</row>
    <row r="808" spans="1:38" ht="31.2" x14ac:dyDescent="0.3">
      <c r="A808" s="53">
        <v>801</v>
      </c>
      <c r="B808" s="24" t="s">
        <v>544</v>
      </c>
      <c r="C808" s="24" t="s">
        <v>521</v>
      </c>
      <c r="D808" s="82" t="s">
        <v>392</v>
      </c>
      <c r="E808" s="24" t="s">
        <v>1334</v>
      </c>
      <c r="F808" s="24" t="s">
        <v>200</v>
      </c>
      <c r="G808" s="24"/>
      <c r="H808" s="24" t="s">
        <v>1626</v>
      </c>
      <c r="I808" s="30" t="s">
        <v>525</v>
      </c>
      <c r="J808" s="24" t="s">
        <v>535</v>
      </c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102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</row>
    <row r="809" spans="1:38" ht="31.2" x14ac:dyDescent="0.3">
      <c r="A809" s="53">
        <v>802</v>
      </c>
      <c r="B809" s="24" t="s">
        <v>544</v>
      </c>
      <c r="C809" s="24" t="s">
        <v>521</v>
      </c>
      <c r="D809" s="82" t="s">
        <v>392</v>
      </c>
      <c r="E809" s="24" t="s">
        <v>1231</v>
      </c>
      <c r="F809" s="24" t="s">
        <v>200</v>
      </c>
      <c r="G809" s="24"/>
      <c r="H809" s="24" t="s">
        <v>1627</v>
      </c>
      <c r="I809" s="30" t="s">
        <v>525</v>
      </c>
      <c r="J809" s="24"/>
      <c r="K809" s="24" t="s">
        <v>1138</v>
      </c>
      <c r="L809" s="24" t="s">
        <v>199</v>
      </c>
      <c r="M809" s="24">
        <v>1958</v>
      </c>
      <c r="N809" s="24" t="s">
        <v>527</v>
      </c>
      <c r="O809" s="24">
        <v>5</v>
      </c>
      <c r="P809" s="24">
        <v>0</v>
      </c>
      <c r="Q809" s="24">
        <v>8</v>
      </c>
      <c r="R809" s="24">
        <v>77</v>
      </c>
      <c r="S809" s="24">
        <v>6754.2</v>
      </c>
      <c r="T809" s="24">
        <v>6754.2</v>
      </c>
      <c r="U809" s="24">
        <v>4871.2</v>
      </c>
      <c r="V809" s="24">
        <v>1883</v>
      </c>
      <c r="W809" s="24" t="s">
        <v>528</v>
      </c>
      <c r="X809" s="24" t="s">
        <v>528</v>
      </c>
      <c r="Y809" s="24" t="s">
        <v>529</v>
      </c>
      <c r="Z809" s="102" t="s">
        <v>528</v>
      </c>
      <c r="AA809" s="24" t="s">
        <v>528</v>
      </c>
      <c r="AB809" s="24" t="s">
        <v>528</v>
      </c>
      <c r="AC809" s="24" t="s">
        <v>528</v>
      </c>
      <c r="AD809" s="24" t="s">
        <v>528</v>
      </c>
      <c r="AE809" s="24" t="s">
        <v>529</v>
      </c>
      <c r="AF809" s="24">
        <v>4</v>
      </c>
      <c r="AG809" s="24" t="s">
        <v>529</v>
      </c>
      <c r="AH809" s="24">
        <v>1</v>
      </c>
      <c r="AI809" s="24" t="s">
        <v>529</v>
      </c>
      <c r="AJ809" s="24">
        <v>1</v>
      </c>
      <c r="AK809" s="24" t="s">
        <v>530</v>
      </c>
      <c r="AL809" s="24"/>
    </row>
    <row r="810" spans="1:38" ht="31.2" x14ac:dyDescent="0.3">
      <c r="A810" s="53">
        <v>803</v>
      </c>
      <c r="B810" s="24" t="s">
        <v>544</v>
      </c>
      <c r="C810" s="24" t="s">
        <v>653</v>
      </c>
      <c r="D810" s="82" t="s">
        <v>230</v>
      </c>
      <c r="E810" s="24" t="s">
        <v>1628</v>
      </c>
      <c r="F810" s="24" t="s">
        <v>200</v>
      </c>
      <c r="G810" s="24"/>
      <c r="H810" s="24" t="s">
        <v>1629</v>
      </c>
      <c r="I810" s="30" t="s">
        <v>525</v>
      </c>
      <c r="J810" s="24"/>
      <c r="K810" s="24" t="s">
        <v>199</v>
      </c>
      <c r="L810" s="24" t="s">
        <v>199</v>
      </c>
      <c r="M810" s="24">
        <v>1886</v>
      </c>
      <c r="N810" s="24" t="s">
        <v>527</v>
      </c>
      <c r="O810" s="24">
        <v>6</v>
      </c>
      <c r="P810" s="24">
        <v>0</v>
      </c>
      <c r="Q810" s="24">
        <v>3</v>
      </c>
      <c r="R810" s="24">
        <v>15</v>
      </c>
      <c r="S810" s="24">
        <v>1703</v>
      </c>
      <c r="T810" s="24">
        <v>1703</v>
      </c>
      <c r="U810" s="24">
        <v>1445</v>
      </c>
      <c r="V810" s="24">
        <v>258</v>
      </c>
      <c r="W810" s="24" t="s">
        <v>528</v>
      </c>
      <c r="X810" s="24" t="s">
        <v>528</v>
      </c>
      <c r="Y810" s="24" t="s">
        <v>529</v>
      </c>
      <c r="Z810" s="102" t="s">
        <v>528</v>
      </c>
      <c r="AA810" s="24" t="s">
        <v>528</v>
      </c>
      <c r="AB810" s="24" t="s">
        <v>528</v>
      </c>
      <c r="AC810" s="24" t="s">
        <v>528</v>
      </c>
      <c r="AD810" s="24" t="s">
        <v>528</v>
      </c>
      <c r="AE810" s="24" t="s">
        <v>529</v>
      </c>
      <c r="AF810" s="24">
        <v>1</v>
      </c>
      <c r="AG810" s="24" t="s">
        <v>529</v>
      </c>
      <c r="AH810" s="24">
        <v>1</v>
      </c>
      <c r="AI810" s="24" t="s">
        <v>529</v>
      </c>
      <c r="AJ810" s="24" t="s">
        <v>529</v>
      </c>
      <c r="AK810" s="24" t="s">
        <v>530</v>
      </c>
      <c r="AL810" s="24"/>
    </row>
    <row r="811" spans="1:38" ht="31.2" x14ac:dyDescent="0.3">
      <c r="A811" s="53">
        <v>804</v>
      </c>
      <c r="B811" s="24" t="s">
        <v>544</v>
      </c>
      <c r="C811" s="24" t="s">
        <v>653</v>
      </c>
      <c r="D811" s="82" t="s">
        <v>230</v>
      </c>
      <c r="E811" s="24" t="s">
        <v>945</v>
      </c>
      <c r="F811" s="24" t="s">
        <v>200</v>
      </c>
      <c r="G811" s="24"/>
      <c r="H811" s="24" t="s">
        <v>1630</v>
      </c>
      <c r="I811" s="30" t="s">
        <v>525</v>
      </c>
      <c r="J811" s="24" t="s">
        <v>535</v>
      </c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102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</row>
    <row r="812" spans="1:38" ht="31.2" x14ac:dyDescent="0.3">
      <c r="A812" s="53">
        <v>805</v>
      </c>
      <c r="B812" s="24" t="s">
        <v>544</v>
      </c>
      <c r="C812" s="24" t="s">
        <v>653</v>
      </c>
      <c r="D812" s="82" t="s">
        <v>230</v>
      </c>
      <c r="E812" s="24" t="s">
        <v>1631</v>
      </c>
      <c r="F812" s="24" t="s">
        <v>200</v>
      </c>
      <c r="G812" s="24"/>
      <c r="H812" s="24" t="s">
        <v>1632</v>
      </c>
      <c r="I812" s="30" t="s">
        <v>525</v>
      </c>
      <c r="J812" s="24"/>
      <c r="K812" s="24" t="s">
        <v>199</v>
      </c>
      <c r="L812" s="24" t="s">
        <v>199</v>
      </c>
      <c r="M812" s="24">
        <v>1883</v>
      </c>
      <c r="N812" s="24" t="s">
        <v>527</v>
      </c>
      <c r="O812" s="24">
        <v>3</v>
      </c>
      <c r="P812" s="24">
        <v>0</v>
      </c>
      <c r="Q812" s="24">
        <v>5</v>
      </c>
      <c r="R812" s="24">
        <v>20</v>
      </c>
      <c r="S812" s="24">
        <v>3233.7</v>
      </c>
      <c r="T812" s="24">
        <v>3233.7</v>
      </c>
      <c r="U812" s="24">
        <v>1958.7</v>
      </c>
      <c r="V812" s="24">
        <v>1275</v>
      </c>
      <c r="W812" s="24" t="s">
        <v>528</v>
      </c>
      <c r="X812" s="24" t="s">
        <v>528</v>
      </c>
      <c r="Y812" s="24" t="s">
        <v>529</v>
      </c>
      <c r="Z812" s="102" t="s">
        <v>528</v>
      </c>
      <c r="AA812" s="24" t="s">
        <v>528</v>
      </c>
      <c r="AB812" s="24" t="s">
        <v>528</v>
      </c>
      <c r="AC812" s="24" t="s">
        <v>528</v>
      </c>
      <c r="AD812" s="24" t="s">
        <v>528</v>
      </c>
      <c r="AE812" s="24" t="s">
        <v>529</v>
      </c>
      <c r="AF812" s="24">
        <v>0</v>
      </c>
      <c r="AG812" s="24" t="s">
        <v>529</v>
      </c>
      <c r="AH812" s="24">
        <v>1</v>
      </c>
      <c r="AI812" s="24" t="s">
        <v>529</v>
      </c>
      <c r="AJ812" s="24">
        <v>1</v>
      </c>
      <c r="AK812" s="24" t="s">
        <v>530</v>
      </c>
      <c r="AL812" s="24"/>
    </row>
    <row r="813" spans="1:38" ht="31.2" x14ac:dyDescent="0.3">
      <c r="A813" s="53">
        <v>806</v>
      </c>
      <c r="B813" s="24" t="s">
        <v>544</v>
      </c>
      <c r="C813" s="24" t="s">
        <v>653</v>
      </c>
      <c r="D813" s="82" t="s">
        <v>230</v>
      </c>
      <c r="E813" s="24" t="s">
        <v>1633</v>
      </c>
      <c r="F813" s="24" t="s">
        <v>200</v>
      </c>
      <c r="G813" s="24"/>
      <c r="H813" s="24" t="s">
        <v>1634</v>
      </c>
      <c r="I813" s="30" t="s">
        <v>525</v>
      </c>
      <c r="J813" s="24" t="s">
        <v>1195</v>
      </c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102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</row>
    <row r="814" spans="1:38" ht="31.2" x14ac:dyDescent="0.3">
      <c r="A814" s="53">
        <v>807</v>
      </c>
      <c r="B814" s="24" t="s">
        <v>544</v>
      </c>
      <c r="C814" s="24" t="s">
        <v>653</v>
      </c>
      <c r="D814" s="82" t="s">
        <v>230</v>
      </c>
      <c r="E814" s="24" t="s">
        <v>1405</v>
      </c>
      <c r="F814" s="24" t="s">
        <v>200</v>
      </c>
      <c r="G814" s="24"/>
      <c r="H814" s="24" t="s">
        <v>1635</v>
      </c>
      <c r="I814" s="30" t="s">
        <v>525</v>
      </c>
      <c r="J814" s="24"/>
      <c r="K814" s="24" t="s">
        <v>199</v>
      </c>
      <c r="L814" s="24" t="s">
        <v>199</v>
      </c>
      <c r="M814" s="24">
        <v>1901</v>
      </c>
      <c r="N814" s="24" t="s">
        <v>527</v>
      </c>
      <c r="O814" s="24">
        <v>3</v>
      </c>
      <c r="P814" s="24">
        <v>0</v>
      </c>
      <c r="Q814" s="24">
        <v>5</v>
      </c>
      <c r="R814" s="24">
        <v>18</v>
      </c>
      <c r="S814" s="24">
        <v>3479.5</v>
      </c>
      <c r="T814" s="24">
        <v>3479.5</v>
      </c>
      <c r="U814" s="24">
        <v>1612.2</v>
      </c>
      <c r="V814" s="24">
        <v>1867.3</v>
      </c>
      <c r="W814" s="24" t="s">
        <v>528</v>
      </c>
      <c r="X814" s="24" t="s">
        <v>528</v>
      </c>
      <c r="Y814" s="24" t="s">
        <v>529</v>
      </c>
      <c r="Z814" s="102" t="s">
        <v>528</v>
      </c>
      <c r="AA814" s="24" t="s">
        <v>528</v>
      </c>
      <c r="AB814" s="24" t="s">
        <v>528</v>
      </c>
      <c r="AC814" s="24" t="s">
        <v>528</v>
      </c>
      <c r="AD814" s="24" t="s">
        <v>528</v>
      </c>
      <c r="AE814" s="24" t="s">
        <v>529</v>
      </c>
      <c r="AF814" s="24">
        <v>0</v>
      </c>
      <c r="AG814" s="24" t="s">
        <v>529</v>
      </c>
      <c r="AH814" s="24">
        <v>1</v>
      </c>
      <c r="AI814" s="24" t="s">
        <v>529</v>
      </c>
      <c r="AJ814" s="24">
        <v>1</v>
      </c>
      <c r="AK814" s="24" t="s">
        <v>530</v>
      </c>
      <c r="AL814" s="24"/>
    </row>
    <row r="815" spans="1:38" ht="31.2" x14ac:dyDescent="0.3">
      <c r="A815" s="53">
        <v>808</v>
      </c>
      <c r="B815" s="24" t="s">
        <v>544</v>
      </c>
      <c r="C815" s="24" t="s">
        <v>653</v>
      </c>
      <c r="D815" s="82" t="s">
        <v>334</v>
      </c>
      <c r="E815" s="24" t="s">
        <v>171</v>
      </c>
      <c r="F815" s="24" t="s">
        <v>200</v>
      </c>
      <c r="G815" s="24"/>
      <c r="H815" s="24" t="s">
        <v>1636</v>
      </c>
      <c r="I815" s="30" t="s">
        <v>525</v>
      </c>
      <c r="J815" s="24"/>
      <c r="K815" s="24" t="s">
        <v>199</v>
      </c>
      <c r="L815" s="24" t="s">
        <v>199</v>
      </c>
      <c r="M815" s="24">
        <v>1901</v>
      </c>
      <c r="N815" s="24" t="s">
        <v>527</v>
      </c>
      <c r="O815" s="24">
        <v>5</v>
      </c>
      <c r="P815" s="24">
        <v>0</v>
      </c>
      <c r="Q815" s="24">
        <v>3</v>
      </c>
      <c r="R815" s="24">
        <v>22</v>
      </c>
      <c r="S815" s="24">
        <v>1726</v>
      </c>
      <c r="T815" s="24">
        <v>1726</v>
      </c>
      <c r="U815" s="24">
        <v>1714</v>
      </c>
      <c r="V815" s="24">
        <v>12</v>
      </c>
      <c r="W815" s="24" t="s">
        <v>528</v>
      </c>
      <c r="X815" s="24" t="s">
        <v>528</v>
      </c>
      <c r="Y815" s="24" t="s">
        <v>529</v>
      </c>
      <c r="Z815" s="102" t="s">
        <v>528</v>
      </c>
      <c r="AA815" s="24" t="s">
        <v>528</v>
      </c>
      <c r="AB815" s="24" t="s">
        <v>528</v>
      </c>
      <c r="AC815" s="24" t="s">
        <v>528</v>
      </c>
      <c r="AD815" s="24" t="s">
        <v>528</v>
      </c>
      <c r="AE815" s="24" t="s">
        <v>529</v>
      </c>
      <c r="AF815" s="24">
        <v>0</v>
      </c>
      <c r="AG815" s="24" t="s">
        <v>529</v>
      </c>
      <c r="AH815" s="24">
        <v>1</v>
      </c>
      <c r="AI815" s="24" t="s">
        <v>529</v>
      </c>
      <c r="AJ815" s="24">
        <v>1</v>
      </c>
      <c r="AK815" s="24" t="s">
        <v>530</v>
      </c>
      <c r="AL815" s="24"/>
    </row>
    <row r="816" spans="1:38" ht="31.2" x14ac:dyDescent="0.3">
      <c r="A816" s="53">
        <v>809</v>
      </c>
      <c r="B816" s="24" t="s">
        <v>544</v>
      </c>
      <c r="C816" s="24" t="s">
        <v>653</v>
      </c>
      <c r="D816" s="82" t="s">
        <v>334</v>
      </c>
      <c r="E816" s="24" t="s">
        <v>173</v>
      </c>
      <c r="F816" s="24" t="s">
        <v>200</v>
      </c>
      <c r="G816" s="24"/>
      <c r="H816" s="24" t="s">
        <v>1637</v>
      </c>
      <c r="I816" s="30" t="s">
        <v>525</v>
      </c>
      <c r="J816" s="24"/>
      <c r="K816" s="24" t="s">
        <v>199</v>
      </c>
      <c r="L816" s="24" t="s">
        <v>199</v>
      </c>
      <c r="M816" s="24">
        <v>1901</v>
      </c>
      <c r="N816" s="24" t="s">
        <v>527</v>
      </c>
      <c r="O816" s="24">
        <v>5</v>
      </c>
      <c r="P816" s="24">
        <v>0</v>
      </c>
      <c r="Q816" s="24">
        <v>1</v>
      </c>
      <c r="R816" s="24">
        <v>19</v>
      </c>
      <c r="S816" s="24">
        <v>979.64</v>
      </c>
      <c r="T816" s="24">
        <v>979.64</v>
      </c>
      <c r="U816" s="24">
        <v>878.64</v>
      </c>
      <c r="V816" s="24">
        <v>101</v>
      </c>
      <c r="W816" s="24" t="s">
        <v>528</v>
      </c>
      <c r="X816" s="24" t="s">
        <v>528</v>
      </c>
      <c r="Y816" s="24" t="s">
        <v>529</v>
      </c>
      <c r="Z816" s="102" t="s">
        <v>528</v>
      </c>
      <c r="AA816" s="24" t="s">
        <v>528</v>
      </c>
      <c r="AB816" s="24" t="s">
        <v>528</v>
      </c>
      <c r="AC816" s="24" t="s">
        <v>528</v>
      </c>
      <c r="AD816" s="24" t="s">
        <v>528</v>
      </c>
      <c r="AE816" s="24" t="s">
        <v>529</v>
      </c>
      <c r="AF816" s="24">
        <v>0</v>
      </c>
      <c r="AG816" s="24" t="s">
        <v>529</v>
      </c>
      <c r="AH816" s="24">
        <v>1</v>
      </c>
      <c r="AI816" s="24" t="s">
        <v>529</v>
      </c>
      <c r="AJ816" s="24" t="s">
        <v>529</v>
      </c>
      <c r="AK816" s="24" t="s">
        <v>530</v>
      </c>
      <c r="AL816" s="24"/>
    </row>
    <row r="817" spans="1:38" ht="31.2" x14ac:dyDescent="0.3">
      <c r="A817" s="53">
        <v>810</v>
      </c>
      <c r="B817" s="24" t="s">
        <v>544</v>
      </c>
      <c r="C817" s="24" t="s">
        <v>653</v>
      </c>
      <c r="D817" s="82" t="s">
        <v>334</v>
      </c>
      <c r="E817" s="24" t="s">
        <v>175</v>
      </c>
      <c r="F817" s="24" t="s">
        <v>200</v>
      </c>
      <c r="G817" s="24"/>
      <c r="H817" s="24" t="s">
        <v>1638</v>
      </c>
      <c r="I817" s="30" t="s">
        <v>525</v>
      </c>
      <c r="J817" s="24"/>
      <c r="K817" s="24" t="s">
        <v>199</v>
      </c>
      <c r="L817" s="24" t="s">
        <v>199</v>
      </c>
      <c r="M817" s="24">
        <v>1907</v>
      </c>
      <c r="N817" s="24" t="s">
        <v>527</v>
      </c>
      <c r="O817" s="24">
        <v>4</v>
      </c>
      <c r="P817" s="24">
        <v>0</v>
      </c>
      <c r="Q817" s="24">
        <v>3</v>
      </c>
      <c r="R817" s="24">
        <v>29</v>
      </c>
      <c r="S817" s="24">
        <v>2552.6</v>
      </c>
      <c r="T817" s="24">
        <v>2552.6</v>
      </c>
      <c r="U817" s="24">
        <v>2315.1</v>
      </c>
      <c r="V817" s="24">
        <v>237.5</v>
      </c>
      <c r="W817" s="24" t="s">
        <v>528</v>
      </c>
      <c r="X817" s="24" t="s">
        <v>528</v>
      </c>
      <c r="Y817" s="24" t="s">
        <v>529</v>
      </c>
      <c r="Z817" s="102" t="s">
        <v>528</v>
      </c>
      <c r="AA817" s="24" t="s">
        <v>528</v>
      </c>
      <c r="AB817" s="24" t="s">
        <v>528</v>
      </c>
      <c r="AC817" s="24" t="s">
        <v>528</v>
      </c>
      <c r="AD817" s="24" t="s">
        <v>528</v>
      </c>
      <c r="AE817" s="24" t="s">
        <v>529</v>
      </c>
      <c r="AF817" s="24">
        <v>0</v>
      </c>
      <c r="AG817" s="24" t="s">
        <v>529</v>
      </c>
      <c r="AH817" s="24">
        <v>1</v>
      </c>
      <c r="AI817" s="24" t="s">
        <v>529</v>
      </c>
      <c r="AJ817" s="24">
        <v>1</v>
      </c>
      <c r="AK817" s="24" t="s">
        <v>530</v>
      </c>
      <c r="AL817" s="24"/>
    </row>
    <row r="818" spans="1:38" ht="31.2" x14ac:dyDescent="0.3">
      <c r="A818" s="53">
        <v>811</v>
      </c>
      <c r="B818" s="24" t="s">
        <v>544</v>
      </c>
      <c r="C818" s="24" t="s">
        <v>653</v>
      </c>
      <c r="D818" s="82" t="s">
        <v>1639</v>
      </c>
      <c r="E818" s="24" t="s">
        <v>1196</v>
      </c>
      <c r="F818" s="24" t="s">
        <v>200</v>
      </c>
      <c r="G818" s="24"/>
      <c r="H818" s="24" t="s">
        <v>1640</v>
      </c>
      <c r="I818" s="30" t="s">
        <v>525</v>
      </c>
      <c r="J818" s="24"/>
      <c r="K818" s="24" t="s">
        <v>199</v>
      </c>
      <c r="L818" s="24" t="s">
        <v>199</v>
      </c>
      <c r="M818" s="24">
        <v>1907</v>
      </c>
      <c r="N818" s="24" t="s">
        <v>527</v>
      </c>
      <c r="O818" s="24">
        <v>5</v>
      </c>
      <c r="P818" s="24">
        <v>0</v>
      </c>
      <c r="Q818" s="24">
        <v>3</v>
      </c>
      <c r="R818" s="24">
        <v>19</v>
      </c>
      <c r="S818" s="24">
        <v>1688</v>
      </c>
      <c r="T818" s="24">
        <v>1688</v>
      </c>
      <c r="U818" s="24">
        <v>1602</v>
      </c>
      <c r="V818" s="24">
        <v>86</v>
      </c>
      <c r="W818" s="24" t="s">
        <v>528</v>
      </c>
      <c r="X818" s="24" t="s">
        <v>528</v>
      </c>
      <c r="Y818" s="24" t="s">
        <v>529</v>
      </c>
      <c r="Z818" s="102" t="s">
        <v>528</v>
      </c>
      <c r="AA818" s="24" t="s">
        <v>528</v>
      </c>
      <c r="AB818" s="24" t="s">
        <v>528</v>
      </c>
      <c r="AC818" s="24" t="s">
        <v>528</v>
      </c>
      <c r="AD818" s="24" t="s">
        <v>528</v>
      </c>
      <c r="AE818" s="24" t="s">
        <v>529</v>
      </c>
      <c r="AF818" s="24">
        <v>0</v>
      </c>
      <c r="AG818" s="24" t="s">
        <v>529</v>
      </c>
      <c r="AH818" s="24">
        <v>1</v>
      </c>
      <c r="AI818" s="24" t="s">
        <v>529</v>
      </c>
      <c r="AJ818" s="24" t="s">
        <v>529</v>
      </c>
      <c r="AK818" s="24" t="s">
        <v>530</v>
      </c>
      <c r="AL818" s="24"/>
    </row>
    <row r="819" spans="1:38" ht="31.2" x14ac:dyDescent="0.3">
      <c r="A819" s="53">
        <v>812</v>
      </c>
      <c r="B819" s="24" t="s">
        <v>544</v>
      </c>
      <c r="C819" s="24" t="s">
        <v>653</v>
      </c>
      <c r="D819" s="82" t="s">
        <v>1639</v>
      </c>
      <c r="E819" s="24" t="s">
        <v>1132</v>
      </c>
      <c r="F819" s="24" t="s">
        <v>200</v>
      </c>
      <c r="G819" s="24"/>
      <c r="H819" s="24" t="s">
        <v>1641</v>
      </c>
      <c r="I819" s="30" t="s">
        <v>525</v>
      </c>
      <c r="J819" s="24"/>
      <c r="K819" s="24" t="s">
        <v>199</v>
      </c>
      <c r="L819" s="24" t="s">
        <v>199</v>
      </c>
      <c r="M819" s="24">
        <v>1906</v>
      </c>
      <c r="N819" s="24" t="s">
        <v>527</v>
      </c>
      <c r="O819" s="24">
        <v>5</v>
      </c>
      <c r="P819" s="24">
        <v>0</v>
      </c>
      <c r="Q819" s="24">
        <v>1</v>
      </c>
      <c r="R819" s="24">
        <v>10</v>
      </c>
      <c r="S819" s="24">
        <v>1134</v>
      </c>
      <c r="T819" s="24">
        <v>1134</v>
      </c>
      <c r="U819" s="24">
        <v>1021</v>
      </c>
      <c r="V819" s="24">
        <v>113</v>
      </c>
      <c r="W819" s="24" t="s">
        <v>528</v>
      </c>
      <c r="X819" s="24" t="s">
        <v>528</v>
      </c>
      <c r="Y819" s="24" t="s">
        <v>529</v>
      </c>
      <c r="Z819" s="102" t="s">
        <v>528</v>
      </c>
      <c r="AA819" s="24" t="s">
        <v>528</v>
      </c>
      <c r="AB819" s="24" t="s">
        <v>528</v>
      </c>
      <c r="AC819" s="24" t="s">
        <v>528</v>
      </c>
      <c r="AD819" s="24" t="s">
        <v>528</v>
      </c>
      <c r="AE819" s="24" t="s">
        <v>529</v>
      </c>
      <c r="AF819" s="24">
        <v>1</v>
      </c>
      <c r="AG819" s="24" t="s">
        <v>529</v>
      </c>
      <c r="AH819" s="24" t="s">
        <v>529</v>
      </c>
      <c r="AI819" s="24" t="s">
        <v>529</v>
      </c>
      <c r="AJ819" s="24">
        <v>1</v>
      </c>
      <c r="AK819" s="24" t="s">
        <v>530</v>
      </c>
      <c r="AL819" s="24"/>
    </row>
    <row r="820" spans="1:38" ht="31.2" x14ac:dyDescent="0.3">
      <c r="A820" s="53">
        <v>813</v>
      </c>
      <c r="B820" s="24" t="s">
        <v>544</v>
      </c>
      <c r="C820" s="24" t="s">
        <v>653</v>
      </c>
      <c r="D820" s="82" t="s">
        <v>1639</v>
      </c>
      <c r="E820" s="24" t="s">
        <v>169</v>
      </c>
      <c r="F820" s="24" t="s">
        <v>200</v>
      </c>
      <c r="G820" s="24"/>
      <c r="H820" s="24" t="s">
        <v>1642</v>
      </c>
      <c r="I820" s="30" t="s">
        <v>525</v>
      </c>
      <c r="J820" s="24"/>
      <c r="K820" s="24" t="s">
        <v>199</v>
      </c>
      <c r="L820" s="24" t="s">
        <v>199</v>
      </c>
      <c r="M820" s="24">
        <v>1911</v>
      </c>
      <c r="N820" s="24" t="s">
        <v>527</v>
      </c>
      <c r="O820" s="24">
        <v>6</v>
      </c>
      <c r="P820" s="24">
        <v>0</v>
      </c>
      <c r="Q820" s="24">
        <v>4</v>
      </c>
      <c r="R820" s="24">
        <v>38</v>
      </c>
      <c r="S820" s="24">
        <v>3023.5</v>
      </c>
      <c r="T820" s="24">
        <v>3023.5</v>
      </c>
      <c r="U820" s="24">
        <v>2725.5</v>
      </c>
      <c r="V820" s="24">
        <v>298</v>
      </c>
      <c r="W820" s="24" t="s">
        <v>528</v>
      </c>
      <c r="X820" s="24" t="s">
        <v>528</v>
      </c>
      <c r="Y820" s="24" t="s">
        <v>529</v>
      </c>
      <c r="Z820" s="102" t="s">
        <v>528</v>
      </c>
      <c r="AA820" s="24" t="s">
        <v>528</v>
      </c>
      <c r="AB820" s="24" t="s">
        <v>528</v>
      </c>
      <c r="AC820" s="24" t="s">
        <v>528</v>
      </c>
      <c r="AD820" s="24" t="s">
        <v>528</v>
      </c>
      <c r="AE820" s="24" t="s">
        <v>529</v>
      </c>
      <c r="AF820" s="24">
        <v>0</v>
      </c>
      <c r="AG820" s="24" t="s">
        <v>529</v>
      </c>
      <c r="AH820" s="24">
        <v>1</v>
      </c>
      <c r="AI820" s="24" t="s">
        <v>529</v>
      </c>
      <c r="AJ820" s="24">
        <v>1</v>
      </c>
      <c r="AK820" s="24" t="s">
        <v>530</v>
      </c>
      <c r="AL820" s="24"/>
    </row>
    <row r="821" spans="1:38" ht="31.2" x14ac:dyDescent="0.3">
      <c r="A821" s="53">
        <v>814</v>
      </c>
      <c r="B821" s="24" t="s">
        <v>544</v>
      </c>
      <c r="C821" s="24" t="s">
        <v>653</v>
      </c>
      <c r="D821" s="82" t="s">
        <v>1639</v>
      </c>
      <c r="E821" s="24" t="s">
        <v>1643</v>
      </c>
      <c r="F821" s="24" t="s">
        <v>200</v>
      </c>
      <c r="G821" s="24"/>
      <c r="H821" s="24" t="s">
        <v>1644</v>
      </c>
      <c r="I821" s="30" t="s">
        <v>525</v>
      </c>
      <c r="J821" s="24"/>
      <c r="K821" s="24" t="s">
        <v>199</v>
      </c>
      <c r="L821" s="24" t="s">
        <v>199</v>
      </c>
      <c r="M821" s="24">
        <v>1911</v>
      </c>
      <c r="N821" s="24" t="s">
        <v>527</v>
      </c>
      <c r="O821" s="24">
        <v>6</v>
      </c>
      <c r="P821" s="24">
        <v>0</v>
      </c>
      <c r="Q821" s="24">
        <v>6</v>
      </c>
      <c r="R821" s="24">
        <v>35</v>
      </c>
      <c r="S821" s="24">
        <v>3712.8</v>
      </c>
      <c r="T821" s="24">
        <v>3712.8</v>
      </c>
      <c r="U821" s="24">
        <v>3242.8</v>
      </c>
      <c r="V821" s="24">
        <v>470</v>
      </c>
      <c r="W821" s="24" t="s">
        <v>528</v>
      </c>
      <c r="X821" s="24" t="s">
        <v>528</v>
      </c>
      <c r="Y821" s="24" t="s">
        <v>529</v>
      </c>
      <c r="Z821" s="102" t="s">
        <v>528</v>
      </c>
      <c r="AA821" s="24" t="s">
        <v>528</v>
      </c>
      <c r="AB821" s="24" t="s">
        <v>528</v>
      </c>
      <c r="AC821" s="24" t="s">
        <v>528</v>
      </c>
      <c r="AD821" s="24" t="s">
        <v>528</v>
      </c>
      <c r="AE821" s="24" t="s">
        <v>529</v>
      </c>
      <c r="AF821" s="24">
        <v>2</v>
      </c>
      <c r="AG821" s="24" t="s">
        <v>529</v>
      </c>
      <c r="AH821" s="24">
        <v>1</v>
      </c>
      <c r="AI821" s="24" t="s">
        <v>529</v>
      </c>
      <c r="AJ821" s="24">
        <v>1</v>
      </c>
      <c r="AK821" s="24" t="s">
        <v>530</v>
      </c>
      <c r="AL821" s="24"/>
    </row>
    <row r="822" spans="1:38" ht="31.2" x14ac:dyDescent="0.3">
      <c r="A822" s="53">
        <v>815</v>
      </c>
      <c r="B822" s="24" t="s">
        <v>544</v>
      </c>
      <c r="C822" s="24" t="s">
        <v>653</v>
      </c>
      <c r="D822" s="82" t="s">
        <v>1639</v>
      </c>
      <c r="E822" s="24" t="s">
        <v>170</v>
      </c>
      <c r="F822" s="24" t="s">
        <v>200</v>
      </c>
      <c r="G822" s="24"/>
      <c r="H822" s="24" t="s">
        <v>1645</v>
      </c>
      <c r="I822" s="30" t="s">
        <v>525</v>
      </c>
      <c r="J822" s="24"/>
      <c r="K822" s="24" t="s">
        <v>199</v>
      </c>
      <c r="L822" s="24" t="s">
        <v>199</v>
      </c>
      <c r="M822" s="24">
        <v>1904</v>
      </c>
      <c r="N822" s="24" t="s">
        <v>527</v>
      </c>
      <c r="O822" s="24">
        <v>5</v>
      </c>
      <c r="P822" s="24">
        <v>0</v>
      </c>
      <c r="Q822" s="24">
        <v>2</v>
      </c>
      <c r="R822" s="24">
        <v>30</v>
      </c>
      <c r="S822" s="24">
        <v>2178</v>
      </c>
      <c r="T822" s="24">
        <v>2178</v>
      </c>
      <c r="U822" s="24">
        <v>1871</v>
      </c>
      <c r="V822" s="24">
        <v>307</v>
      </c>
      <c r="W822" s="24" t="s">
        <v>528</v>
      </c>
      <c r="X822" s="24" t="s">
        <v>528</v>
      </c>
      <c r="Y822" s="24" t="s">
        <v>529</v>
      </c>
      <c r="Z822" s="102" t="s">
        <v>528</v>
      </c>
      <c r="AA822" s="24" t="s">
        <v>528</v>
      </c>
      <c r="AB822" s="24" t="s">
        <v>528</v>
      </c>
      <c r="AC822" s="24" t="s">
        <v>528</v>
      </c>
      <c r="AD822" s="24" t="s">
        <v>528</v>
      </c>
      <c r="AE822" s="24" t="s">
        <v>529</v>
      </c>
      <c r="AF822" s="24">
        <v>1</v>
      </c>
      <c r="AG822" s="24" t="s">
        <v>529</v>
      </c>
      <c r="AH822" s="24">
        <v>1</v>
      </c>
      <c r="AI822" s="24" t="s">
        <v>529</v>
      </c>
      <c r="AJ822" s="24">
        <v>1</v>
      </c>
      <c r="AK822" s="24" t="s">
        <v>530</v>
      </c>
      <c r="AL822" s="24"/>
    </row>
    <row r="823" spans="1:38" ht="31.2" x14ac:dyDescent="0.3">
      <c r="A823" s="53">
        <v>816</v>
      </c>
      <c r="B823" s="24" t="s">
        <v>544</v>
      </c>
      <c r="C823" s="24" t="s">
        <v>653</v>
      </c>
      <c r="D823" s="82" t="s">
        <v>431</v>
      </c>
      <c r="E823" s="24" t="s">
        <v>1646</v>
      </c>
      <c r="F823" s="24" t="s">
        <v>200</v>
      </c>
      <c r="G823" s="24"/>
      <c r="H823" s="24" t="s">
        <v>1647</v>
      </c>
      <c r="I823" s="30" t="s">
        <v>525</v>
      </c>
      <c r="J823" s="24"/>
      <c r="K823" s="24" t="s">
        <v>199</v>
      </c>
      <c r="L823" s="24" t="s">
        <v>199</v>
      </c>
      <c r="M823" s="24">
        <v>1900</v>
      </c>
      <c r="N823" s="24" t="s">
        <v>527</v>
      </c>
      <c r="O823" s="24">
        <v>5</v>
      </c>
      <c r="P823" s="24">
        <v>0</v>
      </c>
      <c r="Q823" s="24">
        <v>2</v>
      </c>
      <c r="R823" s="24">
        <v>23</v>
      </c>
      <c r="S823" s="24">
        <v>2362.3000000000002</v>
      </c>
      <c r="T823" s="24">
        <v>2362.3000000000002</v>
      </c>
      <c r="U823" s="24">
        <v>2152.3000000000002</v>
      </c>
      <c r="V823" s="24">
        <v>210</v>
      </c>
      <c r="W823" s="24" t="s">
        <v>528</v>
      </c>
      <c r="X823" s="24" t="s">
        <v>528</v>
      </c>
      <c r="Y823" s="24" t="s">
        <v>529</v>
      </c>
      <c r="Z823" s="102" t="s">
        <v>528</v>
      </c>
      <c r="AA823" s="24" t="s">
        <v>528</v>
      </c>
      <c r="AB823" s="24" t="s">
        <v>528</v>
      </c>
      <c r="AC823" s="24" t="s">
        <v>528</v>
      </c>
      <c r="AD823" s="24" t="s">
        <v>528</v>
      </c>
      <c r="AE823" s="24" t="s">
        <v>529</v>
      </c>
      <c r="AF823" s="24">
        <v>0</v>
      </c>
      <c r="AG823" s="24" t="s">
        <v>529</v>
      </c>
      <c r="AH823" s="24">
        <v>1</v>
      </c>
      <c r="AI823" s="24" t="s">
        <v>529</v>
      </c>
      <c r="AJ823" s="24">
        <v>1</v>
      </c>
      <c r="AK823" s="24" t="s">
        <v>530</v>
      </c>
      <c r="AL823" s="24"/>
    </row>
    <row r="824" spans="1:38" ht="31.2" x14ac:dyDescent="0.3">
      <c r="A824" s="53">
        <v>817</v>
      </c>
      <c r="B824" s="24" t="s">
        <v>544</v>
      </c>
      <c r="C824" s="24" t="s">
        <v>653</v>
      </c>
      <c r="D824" s="82" t="s">
        <v>1499</v>
      </c>
      <c r="E824" s="24" t="s">
        <v>1189</v>
      </c>
      <c r="F824" s="24" t="s">
        <v>200</v>
      </c>
      <c r="G824" s="24"/>
      <c r="H824" s="24" t="s">
        <v>1648</v>
      </c>
      <c r="I824" s="30" t="s">
        <v>525</v>
      </c>
      <c r="J824" s="24"/>
      <c r="K824" s="24" t="s">
        <v>199</v>
      </c>
      <c r="L824" s="24" t="s">
        <v>199</v>
      </c>
      <c r="M824" s="24">
        <v>1910</v>
      </c>
      <c r="N824" s="24" t="s">
        <v>527</v>
      </c>
      <c r="O824" s="24">
        <v>6</v>
      </c>
      <c r="P824" s="24">
        <v>0</v>
      </c>
      <c r="Q824" s="24">
        <v>4</v>
      </c>
      <c r="R824" s="24">
        <v>64</v>
      </c>
      <c r="S824" s="24">
        <v>4405.3999999999996</v>
      </c>
      <c r="T824" s="24">
        <v>4405.3999999999996</v>
      </c>
      <c r="U824" s="24">
        <v>4142.3999999999996</v>
      </c>
      <c r="V824" s="24">
        <v>263</v>
      </c>
      <c r="W824" s="24" t="s">
        <v>528</v>
      </c>
      <c r="X824" s="24" t="s">
        <v>528</v>
      </c>
      <c r="Y824" s="24" t="s">
        <v>529</v>
      </c>
      <c r="Z824" s="102" t="s">
        <v>528</v>
      </c>
      <c r="AA824" s="24" t="s">
        <v>528</v>
      </c>
      <c r="AB824" s="24" t="s">
        <v>528</v>
      </c>
      <c r="AC824" s="24" t="s">
        <v>528</v>
      </c>
      <c r="AD824" s="24" t="s">
        <v>528</v>
      </c>
      <c r="AE824" s="24" t="s">
        <v>529</v>
      </c>
      <c r="AF824" s="24">
        <v>0</v>
      </c>
      <c r="AG824" s="24" t="s">
        <v>529</v>
      </c>
      <c r="AH824" s="24">
        <v>1</v>
      </c>
      <c r="AI824" s="24" t="s">
        <v>529</v>
      </c>
      <c r="AJ824" s="24">
        <v>1</v>
      </c>
      <c r="AK824" s="24" t="s">
        <v>530</v>
      </c>
      <c r="AL824" s="24"/>
    </row>
    <row r="825" spans="1:38" ht="31.2" x14ac:dyDescent="0.3">
      <c r="A825" s="53">
        <v>818</v>
      </c>
      <c r="B825" s="24" t="s">
        <v>544</v>
      </c>
      <c r="C825" s="24" t="s">
        <v>653</v>
      </c>
      <c r="D825" s="82" t="s">
        <v>1499</v>
      </c>
      <c r="E825" s="24" t="s">
        <v>171</v>
      </c>
      <c r="F825" s="24" t="s">
        <v>200</v>
      </c>
      <c r="G825" s="24"/>
      <c r="H825" s="24" t="s">
        <v>1649</v>
      </c>
      <c r="I825" s="30" t="s">
        <v>525</v>
      </c>
      <c r="J825" s="24"/>
      <c r="K825" s="24" t="s">
        <v>199</v>
      </c>
      <c r="L825" s="24" t="s">
        <v>199</v>
      </c>
      <c r="M825" s="24">
        <v>1903</v>
      </c>
      <c r="N825" s="24" t="s">
        <v>527</v>
      </c>
      <c r="O825" s="24">
        <v>4</v>
      </c>
      <c r="P825" s="24">
        <v>0</v>
      </c>
      <c r="Q825" s="24">
        <v>1</v>
      </c>
      <c r="R825" s="24">
        <v>15</v>
      </c>
      <c r="S825" s="24">
        <v>1498.7</v>
      </c>
      <c r="T825" s="24">
        <v>1498.7</v>
      </c>
      <c r="U825" s="24">
        <v>1377.7</v>
      </c>
      <c r="V825" s="24">
        <v>121</v>
      </c>
      <c r="W825" s="24" t="s">
        <v>528</v>
      </c>
      <c r="X825" s="24" t="s">
        <v>528</v>
      </c>
      <c r="Y825" s="24" t="s">
        <v>529</v>
      </c>
      <c r="Z825" s="102" t="s">
        <v>528</v>
      </c>
      <c r="AA825" s="24" t="s">
        <v>528</v>
      </c>
      <c r="AB825" s="24" t="s">
        <v>528</v>
      </c>
      <c r="AC825" s="24" t="s">
        <v>528</v>
      </c>
      <c r="AD825" s="24" t="s">
        <v>528</v>
      </c>
      <c r="AE825" s="24" t="s">
        <v>529</v>
      </c>
      <c r="AF825" s="24">
        <v>0</v>
      </c>
      <c r="AG825" s="24" t="s">
        <v>529</v>
      </c>
      <c r="AH825" s="24">
        <v>1</v>
      </c>
      <c r="AI825" s="24" t="s">
        <v>529</v>
      </c>
      <c r="AJ825" s="24" t="s">
        <v>529</v>
      </c>
      <c r="AK825" s="24" t="s">
        <v>530</v>
      </c>
      <c r="AL825" s="24"/>
    </row>
    <row r="826" spans="1:38" ht="31.2" x14ac:dyDescent="0.3">
      <c r="A826" s="53">
        <v>819</v>
      </c>
      <c r="B826" s="24" t="s">
        <v>544</v>
      </c>
      <c r="C826" s="24" t="s">
        <v>552</v>
      </c>
      <c r="D826" s="82" t="s">
        <v>1463</v>
      </c>
      <c r="E826" s="24" t="s">
        <v>1650</v>
      </c>
      <c r="F826" s="24" t="s">
        <v>200</v>
      </c>
      <c r="G826" s="24"/>
      <c r="H826" s="24" t="s">
        <v>1651</v>
      </c>
      <c r="I826" s="30" t="s">
        <v>525</v>
      </c>
      <c r="J826" s="24"/>
      <c r="K826" s="24" t="s">
        <v>199</v>
      </c>
      <c r="L826" s="24" t="s">
        <v>199</v>
      </c>
      <c r="M826" s="24">
        <v>1875</v>
      </c>
      <c r="N826" s="24" t="s">
        <v>527</v>
      </c>
      <c r="O826" s="24">
        <v>4</v>
      </c>
      <c r="P826" s="24">
        <v>0</v>
      </c>
      <c r="Q826" s="24">
        <v>1</v>
      </c>
      <c r="R826" s="24">
        <v>18</v>
      </c>
      <c r="S826" s="24">
        <v>1741.2</v>
      </c>
      <c r="T826" s="24">
        <v>1741.2</v>
      </c>
      <c r="U826" s="24">
        <v>1336.2</v>
      </c>
      <c r="V826" s="24">
        <v>405</v>
      </c>
      <c r="W826" s="24" t="s">
        <v>528</v>
      </c>
      <c r="X826" s="24" t="s">
        <v>528</v>
      </c>
      <c r="Y826" s="24" t="s">
        <v>529</v>
      </c>
      <c r="Z826" s="102" t="s">
        <v>528</v>
      </c>
      <c r="AA826" s="24" t="s">
        <v>528</v>
      </c>
      <c r="AB826" s="24" t="s">
        <v>528</v>
      </c>
      <c r="AC826" s="24" t="s">
        <v>528</v>
      </c>
      <c r="AD826" s="24" t="s">
        <v>528</v>
      </c>
      <c r="AE826" s="24" t="s">
        <v>529</v>
      </c>
      <c r="AF826" s="24">
        <v>0</v>
      </c>
      <c r="AG826" s="24" t="s">
        <v>529</v>
      </c>
      <c r="AH826" s="24">
        <v>1</v>
      </c>
      <c r="AI826" s="24" t="s">
        <v>529</v>
      </c>
      <c r="AJ826" s="24">
        <v>1</v>
      </c>
      <c r="AK826" s="24" t="s">
        <v>530</v>
      </c>
      <c r="AL826" s="24"/>
    </row>
    <row r="827" spans="1:38" ht="31.2" x14ac:dyDescent="0.3">
      <c r="A827" s="53">
        <v>820</v>
      </c>
      <c r="B827" s="24" t="s">
        <v>544</v>
      </c>
      <c r="C827" s="24" t="s">
        <v>552</v>
      </c>
      <c r="D827" s="82" t="s">
        <v>1463</v>
      </c>
      <c r="E827" s="24" t="s">
        <v>1652</v>
      </c>
      <c r="F827" s="24" t="s">
        <v>205</v>
      </c>
      <c r="G827" s="24"/>
      <c r="H827" s="24" t="s">
        <v>1653</v>
      </c>
      <c r="I827" s="30" t="s">
        <v>525</v>
      </c>
      <c r="J827" s="24"/>
      <c r="K827" s="24" t="s">
        <v>199</v>
      </c>
      <c r="L827" s="24" t="s">
        <v>199</v>
      </c>
      <c r="M827" s="24">
        <v>1875</v>
      </c>
      <c r="N827" s="24" t="s">
        <v>527</v>
      </c>
      <c r="O827" s="24">
        <v>4</v>
      </c>
      <c r="P827" s="24">
        <v>0</v>
      </c>
      <c r="Q827" s="24">
        <v>2</v>
      </c>
      <c r="R827" s="24">
        <v>15</v>
      </c>
      <c r="S827" s="24">
        <v>1664.9</v>
      </c>
      <c r="T827" s="24">
        <v>1664.9</v>
      </c>
      <c r="U827" s="24">
        <v>1592.9</v>
      </c>
      <c r="V827" s="24">
        <v>72</v>
      </c>
      <c r="W827" s="24" t="s">
        <v>528</v>
      </c>
      <c r="X827" s="24" t="s">
        <v>528</v>
      </c>
      <c r="Y827" s="24" t="s">
        <v>529</v>
      </c>
      <c r="Z827" s="102" t="s">
        <v>528</v>
      </c>
      <c r="AA827" s="24" t="s">
        <v>528</v>
      </c>
      <c r="AB827" s="24" t="s">
        <v>528</v>
      </c>
      <c r="AC827" s="24" t="s">
        <v>528</v>
      </c>
      <c r="AD827" s="24" t="s">
        <v>528</v>
      </c>
      <c r="AE827" s="24" t="s">
        <v>529</v>
      </c>
      <c r="AF827" s="24">
        <v>0</v>
      </c>
      <c r="AG827" s="24" t="s">
        <v>529</v>
      </c>
      <c r="AH827" s="24">
        <v>1</v>
      </c>
      <c r="AI827" s="24" t="s">
        <v>529</v>
      </c>
      <c r="AJ827" s="24" t="s">
        <v>529</v>
      </c>
      <c r="AK827" s="24" t="s">
        <v>530</v>
      </c>
      <c r="AL827" s="24"/>
    </row>
    <row r="828" spans="1:38" ht="31.2" x14ac:dyDescent="0.3">
      <c r="A828" s="53">
        <v>821</v>
      </c>
      <c r="B828" s="24" t="s">
        <v>544</v>
      </c>
      <c r="C828" s="24" t="s">
        <v>552</v>
      </c>
      <c r="D828" s="82" t="s">
        <v>1463</v>
      </c>
      <c r="E828" s="24" t="s">
        <v>1654</v>
      </c>
      <c r="F828" s="24" t="s">
        <v>200</v>
      </c>
      <c r="G828" s="24"/>
      <c r="H828" s="24" t="s">
        <v>1655</v>
      </c>
      <c r="I828" s="30" t="s">
        <v>525</v>
      </c>
      <c r="J828" s="24"/>
      <c r="K828" s="24" t="s">
        <v>199</v>
      </c>
      <c r="L828" s="24" t="s">
        <v>199</v>
      </c>
      <c r="M828" s="24">
        <v>1896</v>
      </c>
      <c r="N828" s="24" t="s">
        <v>527</v>
      </c>
      <c r="O828" s="24">
        <v>4</v>
      </c>
      <c r="P828" s="24">
        <v>0</v>
      </c>
      <c r="Q828" s="24">
        <v>2</v>
      </c>
      <c r="R828" s="24">
        <v>14</v>
      </c>
      <c r="S828" s="24">
        <v>1566.6</v>
      </c>
      <c r="T828" s="24">
        <v>1566.6</v>
      </c>
      <c r="U828" s="24">
        <v>1284.5999999999999</v>
      </c>
      <c r="V828" s="24">
        <v>282</v>
      </c>
      <c r="W828" s="24" t="s">
        <v>528</v>
      </c>
      <c r="X828" s="24" t="s">
        <v>528</v>
      </c>
      <c r="Y828" s="24" t="s">
        <v>529</v>
      </c>
      <c r="Z828" s="102" t="s">
        <v>528</v>
      </c>
      <c r="AA828" s="24" t="s">
        <v>528</v>
      </c>
      <c r="AB828" s="24" t="s">
        <v>528</v>
      </c>
      <c r="AC828" s="24" t="s">
        <v>528</v>
      </c>
      <c r="AD828" s="24" t="s">
        <v>528</v>
      </c>
      <c r="AE828" s="24" t="s">
        <v>529</v>
      </c>
      <c r="AF828" s="24">
        <v>0</v>
      </c>
      <c r="AG828" s="24" t="s">
        <v>529</v>
      </c>
      <c r="AH828" s="24">
        <v>1</v>
      </c>
      <c r="AI828" s="24" t="s">
        <v>529</v>
      </c>
      <c r="AJ828" s="24" t="s">
        <v>529</v>
      </c>
      <c r="AK828" s="24" t="s">
        <v>530</v>
      </c>
      <c r="AL828" s="24"/>
    </row>
    <row r="829" spans="1:38" ht="31.2" x14ac:dyDescent="0.3">
      <c r="A829" s="53">
        <v>822</v>
      </c>
      <c r="B829" s="24" t="s">
        <v>544</v>
      </c>
      <c r="C829" s="24" t="s">
        <v>552</v>
      </c>
      <c r="D829" s="82" t="s">
        <v>1463</v>
      </c>
      <c r="E829" s="24" t="s">
        <v>1234</v>
      </c>
      <c r="F829" s="24" t="s">
        <v>200</v>
      </c>
      <c r="G829" s="24"/>
      <c r="H829" s="24" t="s">
        <v>1656</v>
      </c>
      <c r="I829" s="30" t="s">
        <v>525</v>
      </c>
      <c r="J829" s="24"/>
      <c r="K829" s="24" t="s">
        <v>199</v>
      </c>
      <c r="L829" s="24" t="s">
        <v>199</v>
      </c>
      <c r="M829" s="24">
        <v>1910</v>
      </c>
      <c r="N829" s="24" t="s">
        <v>527</v>
      </c>
      <c r="O829" s="24">
        <v>5</v>
      </c>
      <c r="P829" s="24">
        <v>0</v>
      </c>
      <c r="Q829" s="24">
        <v>3</v>
      </c>
      <c r="R829" s="24">
        <v>17</v>
      </c>
      <c r="S829" s="24">
        <v>1496.26</v>
      </c>
      <c r="T829" s="24">
        <v>1496.26</v>
      </c>
      <c r="U829" s="24">
        <v>1305.26</v>
      </c>
      <c r="V829" s="24">
        <v>191</v>
      </c>
      <c r="W829" s="24" t="s">
        <v>528</v>
      </c>
      <c r="X829" s="24" t="s">
        <v>528</v>
      </c>
      <c r="Y829" s="24" t="s">
        <v>529</v>
      </c>
      <c r="Z829" s="102" t="s">
        <v>528</v>
      </c>
      <c r="AA829" s="24" t="s">
        <v>528</v>
      </c>
      <c r="AB829" s="24" t="s">
        <v>528</v>
      </c>
      <c r="AC829" s="24" t="s">
        <v>528</v>
      </c>
      <c r="AD829" s="24" t="s">
        <v>528</v>
      </c>
      <c r="AE829" s="24" t="s">
        <v>529</v>
      </c>
      <c r="AF829" s="24">
        <v>0</v>
      </c>
      <c r="AG829" s="24" t="s">
        <v>529</v>
      </c>
      <c r="AH829" s="24">
        <v>1</v>
      </c>
      <c r="AI829" s="24" t="s">
        <v>529</v>
      </c>
      <c r="AJ829" s="24" t="s">
        <v>529</v>
      </c>
      <c r="AK829" s="24" t="s">
        <v>530</v>
      </c>
      <c r="AL829" s="24"/>
    </row>
    <row r="830" spans="1:38" ht="31.2" x14ac:dyDescent="0.3">
      <c r="A830" s="53">
        <v>823</v>
      </c>
      <c r="B830" s="24" t="s">
        <v>544</v>
      </c>
      <c r="C830" s="24" t="s">
        <v>552</v>
      </c>
      <c r="D830" s="82" t="s">
        <v>1463</v>
      </c>
      <c r="E830" s="24" t="s">
        <v>1236</v>
      </c>
      <c r="F830" s="24" t="s">
        <v>200</v>
      </c>
      <c r="G830" s="24"/>
      <c r="H830" s="24" t="s">
        <v>1657</v>
      </c>
      <c r="I830" s="30" t="s">
        <v>525</v>
      </c>
      <c r="J830" s="24"/>
      <c r="K830" s="24" t="s">
        <v>1138</v>
      </c>
      <c r="L830" s="24" t="s">
        <v>199</v>
      </c>
      <c r="M830" s="24">
        <v>1960</v>
      </c>
      <c r="N830" s="24" t="s">
        <v>527</v>
      </c>
      <c r="O830" s="24">
        <v>5</v>
      </c>
      <c r="P830" s="24">
        <v>0</v>
      </c>
      <c r="Q830" s="24">
        <v>2</v>
      </c>
      <c r="R830" s="24">
        <v>36</v>
      </c>
      <c r="S830" s="24">
        <v>2440.6999999999998</v>
      </c>
      <c r="T830" s="24">
        <v>2440.6999999999998</v>
      </c>
      <c r="U830" s="24">
        <v>2074.6999999999998</v>
      </c>
      <c r="V830" s="24">
        <v>366</v>
      </c>
      <c r="W830" s="24" t="s">
        <v>528</v>
      </c>
      <c r="X830" s="24" t="s">
        <v>528</v>
      </c>
      <c r="Y830" s="24" t="s">
        <v>529</v>
      </c>
      <c r="Z830" s="102" t="s">
        <v>528</v>
      </c>
      <c r="AA830" s="24" t="s">
        <v>528</v>
      </c>
      <c r="AB830" s="24" t="s">
        <v>528</v>
      </c>
      <c r="AC830" s="24" t="s">
        <v>528</v>
      </c>
      <c r="AD830" s="24" t="s">
        <v>528</v>
      </c>
      <c r="AE830" s="24" t="s">
        <v>529</v>
      </c>
      <c r="AF830" s="24">
        <v>0</v>
      </c>
      <c r="AG830" s="24" t="s">
        <v>529</v>
      </c>
      <c r="AH830" s="24">
        <v>1</v>
      </c>
      <c r="AI830" s="24" t="s">
        <v>529</v>
      </c>
      <c r="AJ830" s="24">
        <v>1</v>
      </c>
      <c r="AK830" s="24" t="s">
        <v>530</v>
      </c>
      <c r="AL830" s="24"/>
    </row>
    <row r="831" spans="1:38" ht="31.2" x14ac:dyDescent="0.3">
      <c r="A831" s="53">
        <v>824</v>
      </c>
      <c r="B831" s="24" t="s">
        <v>544</v>
      </c>
      <c r="C831" s="24" t="s">
        <v>552</v>
      </c>
      <c r="D831" s="82" t="s">
        <v>511</v>
      </c>
      <c r="E831" s="24" t="s">
        <v>1658</v>
      </c>
      <c r="F831" s="24" t="s">
        <v>200</v>
      </c>
      <c r="G831" s="24"/>
      <c r="H831" s="24" t="s">
        <v>1659</v>
      </c>
      <c r="I831" s="30" t="s">
        <v>525</v>
      </c>
      <c r="J831" s="24"/>
      <c r="K831" s="24" t="s">
        <v>199</v>
      </c>
      <c r="L831" s="24" t="s">
        <v>199</v>
      </c>
      <c r="M831" s="24">
        <v>1903</v>
      </c>
      <c r="N831" s="24" t="s">
        <v>527</v>
      </c>
      <c r="O831" s="24">
        <v>5</v>
      </c>
      <c r="P831" s="24">
        <v>0</v>
      </c>
      <c r="Q831" s="24">
        <v>3</v>
      </c>
      <c r="R831" s="24">
        <v>45</v>
      </c>
      <c r="S831" s="24">
        <v>2003.12</v>
      </c>
      <c r="T831" s="24">
        <v>2003.12</v>
      </c>
      <c r="U831" s="24">
        <v>1714.12</v>
      </c>
      <c r="V831" s="24">
        <v>289</v>
      </c>
      <c r="W831" s="24" t="s">
        <v>528</v>
      </c>
      <c r="X831" s="24" t="s">
        <v>528</v>
      </c>
      <c r="Y831" s="24" t="s">
        <v>529</v>
      </c>
      <c r="Z831" s="102" t="s">
        <v>528</v>
      </c>
      <c r="AA831" s="24" t="s">
        <v>528</v>
      </c>
      <c r="AB831" s="24" t="s">
        <v>528</v>
      </c>
      <c r="AC831" s="24" t="s">
        <v>528</v>
      </c>
      <c r="AD831" s="24" t="s">
        <v>528</v>
      </c>
      <c r="AE831" s="24" t="s">
        <v>529</v>
      </c>
      <c r="AF831" s="24">
        <v>0</v>
      </c>
      <c r="AG831" s="24" t="s">
        <v>529</v>
      </c>
      <c r="AH831" s="24">
        <v>1</v>
      </c>
      <c r="AI831" s="24" t="s">
        <v>529</v>
      </c>
      <c r="AJ831" s="24" t="s">
        <v>529</v>
      </c>
      <c r="AK831" s="24" t="s">
        <v>530</v>
      </c>
      <c r="AL831" s="24"/>
    </row>
    <row r="832" spans="1:38" ht="31.2" x14ac:dyDescent="0.3">
      <c r="A832" s="53">
        <v>825</v>
      </c>
      <c r="B832" s="24" t="s">
        <v>544</v>
      </c>
      <c r="C832" s="24" t="s">
        <v>552</v>
      </c>
      <c r="D832" s="82" t="s">
        <v>511</v>
      </c>
      <c r="E832" s="24" t="s">
        <v>1660</v>
      </c>
      <c r="F832" s="24" t="s">
        <v>200</v>
      </c>
      <c r="G832" s="24"/>
      <c r="H832" s="24" t="s">
        <v>1661</v>
      </c>
      <c r="I832" s="30" t="s">
        <v>525</v>
      </c>
      <c r="J832" s="24"/>
      <c r="K832" s="24" t="s">
        <v>199</v>
      </c>
      <c r="L832" s="24" t="s">
        <v>199</v>
      </c>
      <c r="M832" s="24">
        <v>1875</v>
      </c>
      <c r="N832" s="24" t="s">
        <v>527</v>
      </c>
      <c r="O832" s="24">
        <v>4</v>
      </c>
      <c r="P832" s="24">
        <v>0</v>
      </c>
      <c r="Q832" s="24">
        <v>1</v>
      </c>
      <c r="R832" s="24">
        <v>6</v>
      </c>
      <c r="S832" s="24">
        <v>661.9</v>
      </c>
      <c r="T832" s="24">
        <v>661.9</v>
      </c>
      <c r="U832" s="24">
        <v>499.9</v>
      </c>
      <c r="V832" s="24">
        <v>162</v>
      </c>
      <c r="W832" s="24" t="s">
        <v>528</v>
      </c>
      <c r="X832" s="24" t="s">
        <v>528</v>
      </c>
      <c r="Y832" s="24" t="s">
        <v>529</v>
      </c>
      <c r="Z832" s="102" t="s">
        <v>528</v>
      </c>
      <c r="AA832" s="24" t="s">
        <v>528</v>
      </c>
      <c r="AB832" s="24" t="s">
        <v>528</v>
      </c>
      <c r="AC832" s="24" t="s">
        <v>528</v>
      </c>
      <c r="AD832" s="24" t="s">
        <v>528</v>
      </c>
      <c r="AE832" s="24" t="s">
        <v>529</v>
      </c>
      <c r="AF832" s="24">
        <v>0</v>
      </c>
      <c r="AG832" s="24" t="s">
        <v>529</v>
      </c>
      <c r="AH832" s="24">
        <v>1</v>
      </c>
      <c r="AI832" s="24" t="s">
        <v>529</v>
      </c>
      <c r="AJ832" s="24" t="s">
        <v>529</v>
      </c>
      <c r="AK832" s="24" t="s">
        <v>530</v>
      </c>
      <c r="AL832" s="24"/>
    </row>
    <row r="833" spans="1:38" ht="31.2" x14ac:dyDescent="0.3">
      <c r="A833" s="53">
        <v>826</v>
      </c>
      <c r="B833" s="24" t="s">
        <v>544</v>
      </c>
      <c r="C833" s="24" t="s">
        <v>552</v>
      </c>
      <c r="D833" s="82" t="s">
        <v>511</v>
      </c>
      <c r="E833" s="24" t="s">
        <v>1660</v>
      </c>
      <c r="F833" s="24" t="s">
        <v>205</v>
      </c>
      <c r="G833" s="24"/>
      <c r="H833" s="24" t="s">
        <v>1662</v>
      </c>
      <c r="I833" s="30" t="s">
        <v>525</v>
      </c>
      <c r="J833" s="24"/>
      <c r="K833" s="24" t="s">
        <v>199</v>
      </c>
      <c r="L833" s="24" t="s">
        <v>199</v>
      </c>
      <c r="M833" s="24">
        <v>1875</v>
      </c>
      <c r="N833" s="24" t="s">
        <v>527</v>
      </c>
      <c r="O833" s="24">
        <v>2</v>
      </c>
      <c r="P833" s="24">
        <v>0</v>
      </c>
      <c r="Q833" s="24">
        <v>1</v>
      </c>
      <c r="R833" s="24">
        <v>4</v>
      </c>
      <c r="S833" s="24">
        <v>167.2</v>
      </c>
      <c r="T833" s="24">
        <v>167.2</v>
      </c>
      <c r="U833" s="24">
        <v>167.2</v>
      </c>
      <c r="V833" s="24">
        <v>0</v>
      </c>
      <c r="W833" s="24" t="s">
        <v>528</v>
      </c>
      <c r="X833" s="24" t="s">
        <v>528</v>
      </c>
      <c r="Y833" s="24" t="s">
        <v>529</v>
      </c>
      <c r="Z833" s="102" t="s">
        <v>528</v>
      </c>
      <c r="AA833" s="24" t="s">
        <v>528</v>
      </c>
      <c r="AB833" s="24" t="s">
        <v>528</v>
      </c>
      <c r="AC833" s="24" t="s">
        <v>528</v>
      </c>
      <c r="AD833" s="24" t="s">
        <v>528</v>
      </c>
      <c r="AE833" s="24" t="s">
        <v>529</v>
      </c>
      <c r="AF833" s="24">
        <v>0</v>
      </c>
      <c r="AG833" s="24" t="s">
        <v>529</v>
      </c>
      <c r="AH833" s="24" t="s">
        <v>529</v>
      </c>
      <c r="AI833" s="24" t="s">
        <v>529</v>
      </c>
      <c r="AJ833" s="24" t="s">
        <v>529</v>
      </c>
      <c r="AK833" s="24" t="s">
        <v>530</v>
      </c>
      <c r="AL833" s="24"/>
    </row>
    <row r="834" spans="1:38" ht="31.2" x14ac:dyDescent="0.3">
      <c r="A834" s="53">
        <v>827</v>
      </c>
      <c r="B834" s="24" t="s">
        <v>544</v>
      </c>
      <c r="C834" s="24" t="s">
        <v>552</v>
      </c>
      <c r="D834" s="82" t="s">
        <v>332</v>
      </c>
      <c r="E834" s="24" t="s">
        <v>536</v>
      </c>
      <c r="F834" s="24" t="s">
        <v>200</v>
      </c>
      <c r="G834" s="24"/>
      <c r="H834" s="24" t="s">
        <v>1663</v>
      </c>
      <c r="I834" s="30" t="s">
        <v>525</v>
      </c>
      <c r="J834" s="24"/>
      <c r="K834" s="24" t="s">
        <v>199</v>
      </c>
      <c r="L834" s="24" t="s">
        <v>199</v>
      </c>
      <c r="M834" s="24">
        <v>1916</v>
      </c>
      <c r="N834" s="24" t="s">
        <v>527</v>
      </c>
      <c r="O834" s="24">
        <v>3</v>
      </c>
      <c r="P834" s="24">
        <v>0</v>
      </c>
      <c r="Q834" s="24">
        <v>2</v>
      </c>
      <c r="R834" s="24">
        <v>10</v>
      </c>
      <c r="S834" s="24">
        <v>751.31</v>
      </c>
      <c r="T834" s="24">
        <v>751.31</v>
      </c>
      <c r="U834" s="24">
        <v>751.31</v>
      </c>
      <c r="V834" s="24">
        <v>0</v>
      </c>
      <c r="W834" s="24" t="s">
        <v>528</v>
      </c>
      <c r="X834" s="24" t="s">
        <v>528</v>
      </c>
      <c r="Y834" s="24" t="s">
        <v>529</v>
      </c>
      <c r="Z834" s="102" t="s">
        <v>528</v>
      </c>
      <c r="AA834" s="24" t="s">
        <v>528</v>
      </c>
      <c r="AB834" s="24" t="s">
        <v>528</v>
      </c>
      <c r="AC834" s="24" t="s">
        <v>528</v>
      </c>
      <c r="AD834" s="24" t="s">
        <v>528</v>
      </c>
      <c r="AE834" s="24" t="s">
        <v>529</v>
      </c>
      <c r="AF834" s="24">
        <v>0</v>
      </c>
      <c r="AG834" s="24" t="s">
        <v>529</v>
      </c>
      <c r="AH834" s="24">
        <v>1</v>
      </c>
      <c r="AI834" s="24" t="s">
        <v>529</v>
      </c>
      <c r="AJ834" s="24" t="s">
        <v>529</v>
      </c>
      <c r="AK834" s="24" t="s">
        <v>530</v>
      </c>
      <c r="AL834" s="24"/>
    </row>
    <row r="835" spans="1:38" ht="31.2" x14ac:dyDescent="0.3">
      <c r="A835" s="53">
        <v>828</v>
      </c>
      <c r="B835" s="24" t="s">
        <v>544</v>
      </c>
      <c r="C835" s="24" t="s">
        <v>552</v>
      </c>
      <c r="D835" s="82" t="s">
        <v>1664</v>
      </c>
      <c r="E835" s="24" t="s">
        <v>1189</v>
      </c>
      <c r="F835" s="24" t="s">
        <v>200</v>
      </c>
      <c r="G835" s="24"/>
      <c r="H835" s="24" t="s">
        <v>1665</v>
      </c>
      <c r="I835" s="30" t="s">
        <v>525</v>
      </c>
      <c r="J835" s="24" t="s">
        <v>535</v>
      </c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102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</row>
    <row r="836" spans="1:38" ht="31.2" x14ac:dyDescent="0.3">
      <c r="A836" s="53">
        <v>829</v>
      </c>
      <c r="B836" s="24" t="s">
        <v>544</v>
      </c>
      <c r="C836" s="24" t="s">
        <v>552</v>
      </c>
      <c r="D836" s="82" t="s">
        <v>332</v>
      </c>
      <c r="E836" s="24" t="s">
        <v>1666</v>
      </c>
      <c r="F836" s="24" t="s">
        <v>200</v>
      </c>
      <c r="G836" s="24"/>
      <c r="H836" s="24" t="s">
        <v>1667</v>
      </c>
      <c r="I836" s="30" t="s">
        <v>525</v>
      </c>
      <c r="J836" s="24"/>
      <c r="K836" s="24" t="s">
        <v>199</v>
      </c>
      <c r="L836" s="24" t="s">
        <v>199</v>
      </c>
      <c r="M836" s="24">
        <v>1917</v>
      </c>
      <c r="N836" s="24" t="s">
        <v>527</v>
      </c>
      <c r="O836" s="24">
        <v>4</v>
      </c>
      <c r="P836" s="24">
        <v>0</v>
      </c>
      <c r="Q836" s="24">
        <v>4</v>
      </c>
      <c r="R836" s="24">
        <v>15</v>
      </c>
      <c r="S836" s="24">
        <v>1401.48</v>
      </c>
      <c r="T836" s="24">
        <v>1401.48</v>
      </c>
      <c r="U836" s="24">
        <v>970.48</v>
      </c>
      <c r="V836" s="24">
        <v>431</v>
      </c>
      <c r="W836" s="24" t="s">
        <v>528</v>
      </c>
      <c r="X836" s="24" t="s">
        <v>528</v>
      </c>
      <c r="Y836" s="24" t="s">
        <v>529</v>
      </c>
      <c r="Z836" s="102" t="s">
        <v>528</v>
      </c>
      <c r="AA836" s="24" t="s">
        <v>528</v>
      </c>
      <c r="AB836" s="24" t="s">
        <v>528</v>
      </c>
      <c r="AC836" s="24" t="s">
        <v>528</v>
      </c>
      <c r="AD836" s="24" t="s">
        <v>528</v>
      </c>
      <c r="AE836" s="24" t="s">
        <v>529</v>
      </c>
      <c r="AF836" s="24">
        <v>0</v>
      </c>
      <c r="AG836" s="24" t="s">
        <v>529</v>
      </c>
      <c r="AH836" s="24">
        <v>1</v>
      </c>
      <c r="AI836" s="24" t="s">
        <v>529</v>
      </c>
      <c r="AJ836" s="24" t="s">
        <v>529</v>
      </c>
      <c r="AK836" s="24" t="s">
        <v>530</v>
      </c>
      <c r="AL836" s="24"/>
    </row>
    <row r="837" spans="1:38" ht="31.2" x14ac:dyDescent="0.3">
      <c r="A837" s="53">
        <v>830</v>
      </c>
      <c r="B837" s="24" t="s">
        <v>544</v>
      </c>
      <c r="C837" s="24" t="s">
        <v>552</v>
      </c>
      <c r="D837" s="82" t="s">
        <v>332</v>
      </c>
      <c r="E837" s="24" t="s">
        <v>1668</v>
      </c>
      <c r="F837" s="24" t="s">
        <v>200</v>
      </c>
      <c r="G837" s="24"/>
      <c r="H837" s="24" t="s">
        <v>1669</v>
      </c>
      <c r="I837" s="30" t="s">
        <v>525</v>
      </c>
      <c r="J837" s="24"/>
      <c r="K837" s="24" t="s">
        <v>199</v>
      </c>
      <c r="L837" s="24" t="s">
        <v>199</v>
      </c>
      <c r="M837" s="24">
        <v>1960</v>
      </c>
      <c r="N837" s="24" t="s">
        <v>527</v>
      </c>
      <c r="O837" s="24">
        <v>5</v>
      </c>
      <c r="P837" s="24">
        <v>0</v>
      </c>
      <c r="Q837" s="24">
        <v>1</v>
      </c>
      <c r="R837" s="24">
        <v>26</v>
      </c>
      <c r="S837" s="24">
        <v>2179.41</v>
      </c>
      <c r="T837" s="24">
        <v>2179.41</v>
      </c>
      <c r="U837" s="24">
        <v>1921.41</v>
      </c>
      <c r="V837" s="24">
        <v>258</v>
      </c>
      <c r="W837" s="24" t="s">
        <v>528</v>
      </c>
      <c r="X837" s="24" t="s">
        <v>528</v>
      </c>
      <c r="Y837" s="24" t="s">
        <v>529</v>
      </c>
      <c r="Z837" s="102" t="s">
        <v>528</v>
      </c>
      <c r="AA837" s="24" t="s">
        <v>528</v>
      </c>
      <c r="AB837" s="24" t="s">
        <v>528</v>
      </c>
      <c r="AC837" s="24" t="s">
        <v>528</v>
      </c>
      <c r="AD837" s="24" t="s">
        <v>528</v>
      </c>
      <c r="AE837" s="24" t="s">
        <v>529</v>
      </c>
      <c r="AF837" s="24">
        <v>0</v>
      </c>
      <c r="AG837" s="24" t="s">
        <v>529</v>
      </c>
      <c r="AH837" s="24" t="s">
        <v>529</v>
      </c>
      <c r="AI837" s="24" t="s">
        <v>529</v>
      </c>
      <c r="AJ837" s="24" t="s">
        <v>529</v>
      </c>
      <c r="AK837" s="24" t="s">
        <v>530</v>
      </c>
      <c r="AL837" s="24"/>
    </row>
    <row r="838" spans="1:38" ht="31.2" x14ac:dyDescent="0.3">
      <c r="A838" s="53">
        <v>831</v>
      </c>
      <c r="B838" s="24" t="s">
        <v>544</v>
      </c>
      <c r="C838" s="24" t="s">
        <v>552</v>
      </c>
      <c r="D838" s="82" t="s">
        <v>412</v>
      </c>
      <c r="E838" s="24" t="s">
        <v>1155</v>
      </c>
      <c r="F838" s="24" t="s">
        <v>200</v>
      </c>
      <c r="G838" s="24"/>
      <c r="H838" s="24" t="s">
        <v>1670</v>
      </c>
      <c r="I838" s="30" t="s">
        <v>525</v>
      </c>
      <c r="J838" s="24" t="s">
        <v>535</v>
      </c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102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</row>
    <row r="839" spans="1:38" ht="31.2" x14ac:dyDescent="0.3">
      <c r="A839" s="53">
        <v>832</v>
      </c>
      <c r="B839" s="24" t="s">
        <v>544</v>
      </c>
      <c r="C839" s="24" t="s">
        <v>552</v>
      </c>
      <c r="D839" s="82" t="s">
        <v>397</v>
      </c>
      <c r="E839" s="24" t="s">
        <v>171</v>
      </c>
      <c r="F839" s="24" t="s">
        <v>200</v>
      </c>
      <c r="G839" s="24"/>
      <c r="H839" s="24" t="s">
        <v>1671</v>
      </c>
      <c r="I839" s="30" t="s">
        <v>525</v>
      </c>
      <c r="J839" s="24"/>
      <c r="K839" s="24" t="s">
        <v>1138</v>
      </c>
      <c r="L839" s="24" t="s">
        <v>199</v>
      </c>
      <c r="M839" s="24">
        <v>1960</v>
      </c>
      <c r="N839" s="24" t="s">
        <v>527</v>
      </c>
      <c r="O839" s="24">
        <v>5</v>
      </c>
      <c r="P839" s="24">
        <v>0</v>
      </c>
      <c r="Q839" s="24">
        <v>5</v>
      </c>
      <c r="R839" s="24">
        <v>69</v>
      </c>
      <c r="S839" s="24">
        <v>4943.6099999999997</v>
      </c>
      <c r="T839" s="24">
        <v>4943.6099999999997</v>
      </c>
      <c r="U839" s="24">
        <v>4401.6099999999997</v>
      </c>
      <c r="V839" s="24">
        <v>542</v>
      </c>
      <c r="W839" s="24" t="s">
        <v>528</v>
      </c>
      <c r="X839" s="24" t="s">
        <v>528</v>
      </c>
      <c r="Y839" s="24" t="s">
        <v>529</v>
      </c>
      <c r="Z839" s="102" t="s">
        <v>528</v>
      </c>
      <c r="AA839" s="24" t="s">
        <v>528</v>
      </c>
      <c r="AB839" s="24" t="s">
        <v>528</v>
      </c>
      <c r="AC839" s="24" t="s">
        <v>528</v>
      </c>
      <c r="AD839" s="24" t="s">
        <v>528</v>
      </c>
      <c r="AE839" s="24" t="s">
        <v>529</v>
      </c>
      <c r="AF839" s="24">
        <v>0</v>
      </c>
      <c r="AG839" s="24" t="s">
        <v>529</v>
      </c>
      <c r="AH839" s="24">
        <v>1</v>
      </c>
      <c r="AI839" s="24" t="s">
        <v>529</v>
      </c>
      <c r="AJ839" s="24">
        <v>1</v>
      </c>
      <c r="AK839" s="24" t="s">
        <v>530</v>
      </c>
      <c r="AL839" s="24"/>
    </row>
    <row r="840" spans="1:38" ht="31.2" x14ac:dyDescent="0.3">
      <c r="A840" s="53">
        <v>833</v>
      </c>
      <c r="B840" s="24" t="s">
        <v>544</v>
      </c>
      <c r="C840" s="24" t="s">
        <v>552</v>
      </c>
      <c r="D840" s="82" t="s">
        <v>397</v>
      </c>
      <c r="E840" s="24" t="s">
        <v>175</v>
      </c>
      <c r="F840" s="24" t="s">
        <v>200</v>
      </c>
      <c r="G840" s="24"/>
      <c r="H840" s="24" t="s">
        <v>1672</v>
      </c>
      <c r="I840" s="30" t="s">
        <v>525</v>
      </c>
      <c r="J840" s="24" t="s">
        <v>535</v>
      </c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102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</row>
    <row r="841" spans="1:38" ht="31.2" x14ac:dyDescent="0.3">
      <c r="A841" s="53">
        <v>834</v>
      </c>
      <c r="B841" s="24" t="s">
        <v>544</v>
      </c>
      <c r="C841" s="24" t="s">
        <v>552</v>
      </c>
      <c r="D841" s="82" t="s">
        <v>323</v>
      </c>
      <c r="E841" s="24" t="s">
        <v>1673</v>
      </c>
      <c r="F841" s="24" t="s">
        <v>200</v>
      </c>
      <c r="G841" s="24"/>
      <c r="H841" s="24" t="s">
        <v>1674</v>
      </c>
      <c r="I841" s="30" t="s">
        <v>525</v>
      </c>
      <c r="J841" s="24"/>
      <c r="K841" s="24" t="s">
        <v>199</v>
      </c>
      <c r="L841" s="24" t="s">
        <v>199</v>
      </c>
      <c r="M841" s="24">
        <v>1916</v>
      </c>
      <c r="N841" s="24" t="s">
        <v>527</v>
      </c>
      <c r="O841" s="24">
        <v>4</v>
      </c>
      <c r="P841" s="24">
        <v>0</v>
      </c>
      <c r="Q841" s="24">
        <v>2</v>
      </c>
      <c r="R841" s="24">
        <v>12</v>
      </c>
      <c r="S841" s="24">
        <v>1201.67</v>
      </c>
      <c r="T841" s="24">
        <v>1201.67</v>
      </c>
      <c r="U841" s="24">
        <v>894.67</v>
      </c>
      <c r="V841" s="24">
        <v>307</v>
      </c>
      <c r="W841" s="24" t="s">
        <v>528</v>
      </c>
      <c r="X841" s="24" t="s">
        <v>528</v>
      </c>
      <c r="Y841" s="24" t="s">
        <v>529</v>
      </c>
      <c r="Z841" s="102" t="s">
        <v>528</v>
      </c>
      <c r="AA841" s="24" t="s">
        <v>528</v>
      </c>
      <c r="AB841" s="24" t="s">
        <v>528</v>
      </c>
      <c r="AC841" s="24" t="s">
        <v>528</v>
      </c>
      <c r="AD841" s="24" t="s">
        <v>528</v>
      </c>
      <c r="AE841" s="24" t="s">
        <v>529</v>
      </c>
      <c r="AF841" s="24">
        <v>0</v>
      </c>
      <c r="AG841" s="24" t="s">
        <v>529</v>
      </c>
      <c r="AH841" s="24">
        <v>1</v>
      </c>
      <c r="AI841" s="24" t="s">
        <v>529</v>
      </c>
      <c r="AJ841" s="24" t="s">
        <v>529</v>
      </c>
      <c r="AK841" s="24" t="s">
        <v>530</v>
      </c>
      <c r="AL841" s="24"/>
    </row>
    <row r="842" spans="1:38" ht="31.2" x14ac:dyDescent="0.3">
      <c r="A842" s="53">
        <v>835</v>
      </c>
      <c r="B842" s="24" t="s">
        <v>544</v>
      </c>
      <c r="C842" s="24" t="s">
        <v>552</v>
      </c>
      <c r="D842" s="82" t="s">
        <v>288</v>
      </c>
      <c r="E842" s="24" t="s">
        <v>177</v>
      </c>
      <c r="F842" s="24" t="s">
        <v>200</v>
      </c>
      <c r="G842" s="24"/>
      <c r="H842" s="24" t="s">
        <v>1675</v>
      </c>
      <c r="I842" s="30" t="s">
        <v>525</v>
      </c>
      <c r="J842" s="24" t="s">
        <v>535</v>
      </c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102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</row>
    <row r="843" spans="1:38" ht="31.2" x14ac:dyDescent="0.3">
      <c r="A843" s="53">
        <v>836</v>
      </c>
      <c r="B843" s="24" t="s">
        <v>544</v>
      </c>
      <c r="C843" s="24" t="s">
        <v>552</v>
      </c>
      <c r="D843" s="82" t="s">
        <v>288</v>
      </c>
      <c r="E843" s="24" t="s">
        <v>1222</v>
      </c>
      <c r="F843" s="24" t="s">
        <v>200</v>
      </c>
      <c r="G843" s="24"/>
      <c r="H843" s="24" t="s">
        <v>1676</v>
      </c>
      <c r="I843" s="30" t="s">
        <v>525</v>
      </c>
      <c r="J843" s="24"/>
      <c r="K843" s="24" t="s">
        <v>1157</v>
      </c>
      <c r="L843" s="24" t="s">
        <v>199</v>
      </c>
      <c r="M843" s="24">
        <v>1932</v>
      </c>
      <c r="N843" s="24" t="s">
        <v>527</v>
      </c>
      <c r="O843" s="24">
        <v>3</v>
      </c>
      <c r="P843" s="24">
        <v>0</v>
      </c>
      <c r="Q843" s="24">
        <v>2</v>
      </c>
      <c r="R843" s="24">
        <v>12</v>
      </c>
      <c r="S843" s="24">
        <v>698.83</v>
      </c>
      <c r="T843" s="24">
        <v>698.83</v>
      </c>
      <c r="U843" s="24">
        <v>698.83</v>
      </c>
      <c r="V843" s="24">
        <v>0</v>
      </c>
      <c r="W843" s="24" t="s">
        <v>528</v>
      </c>
      <c r="X843" s="24" t="s">
        <v>528</v>
      </c>
      <c r="Y843" s="24" t="s">
        <v>529</v>
      </c>
      <c r="Z843" s="102" t="s">
        <v>528</v>
      </c>
      <c r="AA843" s="24" t="s">
        <v>528</v>
      </c>
      <c r="AB843" s="24" t="s">
        <v>528</v>
      </c>
      <c r="AC843" s="24" t="s">
        <v>528</v>
      </c>
      <c r="AD843" s="24" t="s">
        <v>528</v>
      </c>
      <c r="AE843" s="24" t="s">
        <v>529</v>
      </c>
      <c r="AF843" s="24">
        <v>0</v>
      </c>
      <c r="AG843" s="24" t="s">
        <v>529</v>
      </c>
      <c r="AH843" s="24">
        <v>1</v>
      </c>
      <c r="AI843" s="24" t="s">
        <v>529</v>
      </c>
      <c r="AJ843" s="24" t="s">
        <v>529</v>
      </c>
      <c r="AK843" s="24" t="s">
        <v>530</v>
      </c>
      <c r="AL843" s="24"/>
    </row>
    <row r="844" spans="1:38" ht="31.2" x14ac:dyDescent="0.3">
      <c r="A844" s="53">
        <v>837</v>
      </c>
      <c r="B844" s="24" t="s">
        <v>544</v>
      </c>
      <c r="C844" s="24" t="s">
        <v>552</v>
      </c>
      <c r="D844" s="82" t="s">
        <v>281</v>
      </c>
      <c r="E844" s="24" t="s">
        <v>174</v>
      </c>
      <c r="F844" s="24" t="s">
        <v>200</v>
      </c>
      <c r="G844" s="24"/>
      <c r="H844" s="24" t="s">
        <v>1677</v>
      </c>
      <c r="I844" s="30" t="s">
        <v>525</v>
      </c>
      <c r="J844" s="24"/>
      <c r="K844" s="24" t="s">
        <v>199</v>
      </c>
      <c r="L844" s="24" t="s">
        <v>199</v>
      </c>
      <c r="M844" s="24">
        <v>1916</v>
      </c>
      <c r="N844" s="24" t="s">
        <v>527</v>
      </c>
      <c r="O844" s="24">
        <v>7</v>
      </c>
      <c r="P844" s="24">
        <v>0</v>
      </c>
      <c r="Q844" s="24">
        <v>1</v>
      </c>
      <c r="R844" s="24">
        <v>39</v>
      </c>
      <c r="S844" s="24">
        <v>2674.65</v>
      </c>
      <c r="T844" s="24">
        <v>2674.65</v>
      </c>
      <c r="U844" s="24">
        <v>2444.65</v>
      </c>
      <c r="V844" s="24">
        <v>230</v>
      </c>
      <c r="W844" s="24" t="s">
        <v>528</v>
      </c>
      <c r="X844" s="24" t="s">
        <v>528</v>
      </c>
      <c r="Y844" s="24" t="s">
        <v>529</v>
      </c>
      <c r="Z844" s="102" t="s">
        <v>528</v>
      </c>
      <c r="AA844" s="24" t="s">
        <v>528</v>
      </c>
      <c r="AB844" s="24" t="s">
        <v>528</v>
      </c>
      <c r="AC844" s="24" t="s">
        <v>528</v>
      </c>
      <c r="AD844" s="24" t="s">
        <v>528</v>
      </c>
      <c r="AE844" s="24" t="s">
        <v>529</v>
      </c>
      <c r="AF844" s="24">
        <v>1</v>
      </c>
      <c r="AG844" s="24" t="s">
        <v>529</v>
      </c>
      <c r="AH844" s="24">
        <v>1</v>
      </c>
      <c r="AI844" s="24" t="s">
        <v>529</v>
      </c>
      <c r="AJ844" s="24">
        <v>1</v>
      </c>
      <c r="AK844" s="24" t="s">
        <v>530</v>
      </c>
      <c r="AL844" s="24"/>
    </row>
    <row r="845" spans="1:38" ht="31.2" x14ac:dyDescent="0.3">
      <c r="A845" s="53">
        <v>838</v>
      </c>
      <c r="B845" s="24" t="s">
        <v>544</v>
      </c>
      <c r="C845" s="24" t="s">
        <v>552</v>
      </c>
      <c r="D845" s="82" t="s">
        <v>476</v>
      </c>
      <c r="E845" s="24" t="s">
        <v>173</v>
      </c>
      <c r="F845" s="24" t="s">
        <v>200</v>
      </c>
      <c r="G845" s="24"/>
      <c r="H845" s="24" t="s">
        <v>1678</v>
      </c>
      <c r="I845" s="30" t="s">
        <v>525</v>
      </c>
      <c r="J845" s="24"/>
      <c r="K845" s="24" t="s">
        <v>199</v>
      </c>
      <c r="L845" s="24" t="s">
        <v>199</v>
      </c>
      <c r="M845" s="24">
        <v>1916</v>
      </c>
      <c r="N845" s="24" t="s">
        <v>527</v>
      </c>
      <c r="O845" s="24">
        <v>4</v>
      </c>
      <c r="P845" s="24">
        <v>0</v>
      </c>
      <c r="Q845" s="24">
        <v>2</v>
      </c>
      <c r="R845" s="24">
        <v>16</v>
      </c>
      <c r="S845" s="24">
        <v>892.99</v>
      </c>
      <c r="T845" s="24">
        <v>892.99</v>
      </c>
      <c r="U845" s="24">
        <v>892.99</v>
      </c>
      <c r="V845" s="24">
        <v>0</v>
      </c>
      <c r="W845" s="24" t="s">
        <v>528</v>
      </c>
      <c r="X845" s="24" t="s">
        <v>528</v>
      </c>
      <c r="Y845" s="24" t="s">
        <v>529</v>
      </c>
      <c r="Z845" s="102" t="s">
        <v>528</v>
      </c>
      <c r="AA845" s="24" t="s">
        <v>528</v>
      </c>
      <c r="AB845" s="24" t="s">
        <v>528</v>
      </c>
      <c r="AC845" s="24" t="s">
        <v>528</v>
      </c>
      <c r="AD845" s="24" t="s">
        <v>528</v>
      </c>
      <c r="AE845" s="24" t="s">
        <v>529</v>
      </c>
      <c r="AF845" s="24">
        <v>0</v>
      </c>
      <c r="AG845" s="24" t="s">
        <v>529</v>
      </c>
      <c r="AH845" s="24">
        <v>1</v>
      </c>
      <c r="AI845" s="24" t="s">
        <v>529</v>
      </c>
      <c r="AJ845" s="24" t="s">
        <v>529</v>
      </c>
      <c r="AK845" s="24" t="s">
        <v>530</v>
      </c>
      <c r="AL845" s="24"/>
    </row>
    <row r="846" spans="1:38" ht="31.2" x14ac:dyDescent="0.3">
      <c r="A846" s="53">
        <v>839</v>
      </c>
      <c r="B846" s="24" t="s">
        <v>544</v>
      </c>
      <c r="C846" s="24" t="s">
        <v>552</v>
      </c>
      <c r="D846" s="82" t="s">
        <v>1679</v>
      </c>
      <c r="E846" s="24" t="s">
        <v>1502</v>
      </c>
      <c r="F846" s="24" t="s">
        <v>200</v>
      </c>
      <c r="G846" s="24"/>
      <c r="H846" s="24" t="s">
        <v>1680</v>
      </c>
      <c r="I846" s="30" t="s">
        <v>525</v>
      </c>
      <c r="J846" s="24"/>
      <c r="K846" s="24" t="s">
        <v>1138</v>
      </c>
      <c r="L846" s="24" t="s">
        <v>199</v>
      </c>
      <c r="M846" s="24">
        <v>1959</v>
      </c>
      <c r="N846" s="24" t="s">
        <v>527</v>
      </c>
      <c r="O846" s="24">
        <v>5</v>
      </c>
      <c r="P846" s="24">
        <v>0</v>
      </c>
      <c r="Q846" s="24">
        <v>6</v>
      </c>
      <c r="R846" s="24">
        <v>91</v>
      </c>
      <c r="S846" s="24">
        <v>7605.5</v>
      </c>
      <c r="T846" s="24">
        <v>7605.5</v>
      </c>
      <c r="U846" s="24">
        <v>5869.5</v>
      </c>
      <c r="V846" s="24">
        <v>1736</v>
      </c>
      <c r="W846" s="24" t="s">
        <v>528</v>
      </c>
      <c r="X846" s="24" t="s">
        <v>528</v>
      </c>
      <c r="Y846" s="24" t="s">
        <v>529</v>
      </c>
      <c r="Z846" s="102" t="s">
        <v>528</v>
      </c>
      <c r="AA846" s="24" t="s">
        <v>528</v>
      </c>
      <c r="AB846" s="24" t="s">
        <v>528</v>
      </c>
      <c r="AC846" s="24" t="s">
        <v>528</v>
      </c>
      <c r="AD846" s="24" t="s">
        <v>528</v>
      </c>
      <c r="AE846" s="24" t="s">
        <v>529</v>
      </c>
      <c r="AF846" s="24">
        <v>0</v>
      </c>
      <c r="AG846" s="24" t="s">
        <v>529</v>
      </c>
      <c r="AH846" s="24">
        <v>1</v>
      </c>
      <c r="AI846" s="24" t="s">
        <v>529</v>
      </c>
      <c r="AJ846" s="24">
        <v>1</v>
      </c>
      <c r="AK846" s="24" t="s">
        <v>530</v>
      </c>
      <c r="AL846" s="24"/>
    </row>
    <row r="847" spans="1:38" ht="31.2" x14ac:dyDescent="0.3">
      <c r="A847" s="53">
        <v>840</v>
      </c>
      <c r="B847" s="24" t="s">
        <v>544</v>
      </c>
      <c r="C847" s="24" t="s">
        <v>552</v>
      </c>
      <c r="D847" s="82" t="s">
        <v>1679</v>
      </c>
      <c r="E847" s="24" t="s">
        <v>1502</v>
      </c>
      <c r="F847" s="24" t="s">
        <v>205</v>
      </c>
      <c r="G847" s="24"/>
      <c r="H847" s="24" t="s">
        <v>1681</v>
      </c>
      <c r="I847" s="30" t="s">
        <v>525</v>
      </c>
      <c r="J847" s="24"/>
      <c r="K847" s="24" t="s">
        <v>1138</v>
      </c>
      <c r="L847" s="24" t="s">
        <v>199</v>
      </c>
      <c r="M847" s="24">
        <v>1961</v>
      </c>
      <c r="N847" s="24" t="s">
        <v>527</v>
      </c>
      <c r="O847" s="24">
        <v>5</v>
      </c>
      <c r="P847" s="24">
        <v>0</v>
      </c>
      <c r="Q847" s="24">
        <v>3</v>
      </c>
      <c r="R847" s="24">
        <v>50</v>
      </c>
      <c r="S847" s="24">
        <v>3301.06</v>
      </c>
      <c r="T847" s="24">
        <v>3301.06</v>
      </c>
      <c r="U847" s="24">
        <v>3271.06</v>
      </c>
      <c r="V847" s="24">
        <v>30</v>
      </c>
      <c r="W847" s="24" t="s">
        <v>528</v>
      </c>
      <c r="X847" s="24" t="s">
        <v>528</v>
      </c>
      <c r="Y847" s="24" t="s">
        <v>529</v>
      </c>
      <c r="Z847" s="102" t="s">
        <v>528</v>
      </c>
      <c r="AA847" s="24" t="s">
        <v>528</v>
      </c>
      <c r="AB847" s="24" t="s">
        <v>528</v>
      </c>
      <c r="AC847" s="24" t="s">
        <v>528</v>
      </c>
      <c r="AD847" s="24" t="s">
        <v>528</v>
      </c>
      <c r="AE847" s="24" t="s">
        <v>529</v>
      </c>
      <c r="AF847" s="24">
        <v>0</v>
      </c>
      <c r="AG847" s="24" t="s">
        <v>529</v>
      </c>
      <c r="AH847" s="24">
        <v>1</v>
      </c>
      <c r="AI847" s="24" t="s">
        <v>529</v>
      </c>
      <c r="AJ847" s="24">
        <v>1</v>
      </c>
      <c r="AK847" s="24" t="s">
        <v>530</v>
      </c>
      <c r="AL847" s="24"/>
    </row>
    <row r="848" spans="1:38" ht="31.2" x14ac:dyDescent="0.3">
      <c r="A848" s="53">
        <v>841</v>
      </c>
      <c r="B848" s="24" t="s">
        <v>544</v>
      </c>
      <c r="C848" s="24" t="s">
        <v>552</v>
      </c>
      <c r="D848" s="82" t="s">
        <v>1679</v>
      </c>
      <c r="E848" s="24" t="s">
        <v>175</v>
      </c>
      <c r="F848" s="24" t="s">
        <v>200</v>
      </c>
      <c r="G848" s="24"/>
      <c r="H848" s="24" t="s">
        <v>1682</v>
      </c>
      <c r="I848" s="30" t="s">
        <v>525</v>
      </c>
      <c r="J848" s="24"/>
      <c r="K848" s="24" t="s">
        <v>199</v>
      </c>
      <c r="L848" s="24" t="s">
        <v>199</v>
      </c>
      <c r="M848" s="24">
        <v>1903</v>
      </c>
      <c r="N848" s="24" t="s">
        <v>527</v>
      </c>
      <c r="O848" s="24">
        <v>5</v>
      </c>
      <c r="P848" s="24">
        <v>0</v>
      </c>
      <c r="Q848" s="24">
        <v>1</v>
      </c>
      <c r="R848" s="24">
        <v>6</v>
      </c>
      <c r="S848" s="24">
        <v>1075.5999999999999</v>
      </c>
      <c r="T848" s="24">
        <v>1075.5999999999999</v>
      </c>
      <c r="U848" s="24">
        <v>929.8</v>
      </c>
      <c r="V848" s="24">
        <v>145.80000000000001</v>
      </c>
      <c r="W848" s="24" t="s">
        <v>528</v>
      </c>
      <c r="X848" s="24" t="s">
        <v>528</v>
      </c>
      <c r="Y848" s="24" t="s">
        <v>529</v>
      </c>
      <c r="Z848" s="102" t="s">
        <v>528</v>
      </c>
      <c r="AA848" s="24" t="s">
        <v>528</v>
      </c>
      <c r="AB848" s="24" t="s">
        <v>528</v>
      </c>
      <c r="AC848" s="24" t="s">
        <v>528</v>
      </c>
      <c r="AD848" s="24" t="s">
        <v>528</v>
      </c>
      <c r="AE848" s="24" t="s">
        <v>529</v>
      </c>
      <c r="AF848" s="24">
        <v>0</v>
      </c>
      <c r="AG848" s="24" t="s">
        <v>529</v>
      </c>
      <c r="AH848" s="24">
        <v>1</v>
      </c>
      <c r="AI848" s="24" t="s">
        <v>529</v>
      </c>
      <c r="AJ848" s="24" t="s">
        <v>529</v>
      </c>
      <c r="AK848" s="24" t="s">
        <v>530</v>
      </c>
      <c r="AL848" s="24"/>
    </row>
    <row r="849" spans="1:38" ht="31.2" x14ac:dyDescent="0.3">
      <c r="A849" s="53">
        <v>842</v>
      </c>
      <c r="B849" s="24" t="s">
        <v>544</v>
      </c>
      <c r="C849" s="24" t="s">
        <v>552</v>
      </c>
      <c r="D849" s="82" t="s">
        <v>495</v>
      </c>
      <c r="E849" s="24" t="s">
        <v>1166</v>
      </c>
      <c r="F849" s="24" t="s">
        <v>200</v>
      </c>
      <c r="G849" s="24"/>
      <c r="H849" s="24" t="s">
        <v>1683</v>
      </c>
      <c r="I849" s="30" t="s">
        <v>525</v>
      </c>
      <c r="J849" s="24"/>
      <c r="K849" s="24" t="s">
        <v>199</v>
      </c>
      <c r="L849" s="24" t="s">
        <v>199</v>
      </c>
      <c r="M849" s="24">
        <v>1876</v>
      </c>
      <c r="N849" s="24" t="s">
        <v>527</v>
      </c>
      <c r="O849" s="24">
        <v>2</v>
      </c>
      <c r="P849" s="24">
        <v>0</v>
      </c>
      <c r="Q849" s="24">
        <v>1</v>
      </c>
      <c r="R849" s="24">
        <v>8</v>
      </c>
      <c r="S849" s="24">
        <v>860.1</v>
      </c>
      <c r="T849" s="24">
        <v>860.1</v>
      </c>
      <c r="U849" s="24">
        <v>249</v>
      </c>
      <c r="V849" s="24">
        <v>611.1</v>
      </c>
      <c r="W849" s="24" t="s">
        <v>528</v>
      </c>
      <c r="X849" s="24" t="s">
        <v>528</v>
      </c>
      <c r="Y849" s="24" t="s">
        <v>529</v>
      </c>
      <c r="Z849" s="102" t="s">
        <v>528</v>
      </c>
      <c r="AA849" s="24" t="s">
        <v>528</v>
      </c>
      <c r="AB849" s="24" t="s">
        <v>528</v>
      </c>
      <c r="AC849" s="24" t="s">
        <v>528</v>
      </c>
      <c r="AD849" s="24" t="s">
        <v>528</v>
      </c>
      <c r="AE849" s="24" t="s">
        <v>529</v>
      </c>
      <c r="AF849" s="24">
        <v>0</v>
      </c>
      <c r="AG849" s="24" t="s">
        <v>529</v>
      </c>
      <c r="AH849" s="24">
        <v>1</v>
      </c>
      <c r="AI849" s="24" t="s">
        <v>529</v>
      </c>
      <c r="AJ849" s="24" t="s">
        <v>529</v>
      </c>
      <c r="AK849" s="24" t="s">
        <v>530</v>
      </c>
      <c r="AL849" s="24"/>
    </row>
    <row r="850" spans="1:38" ht="31.2" x14ac:dyDescent="0.3">
      <c r="A850" s="53">
        <v>843</v>
      </c>
      <c r="B850" s="24" t="s">
        <v>544</v>
      </c>
      <c r="C850" s="24" t="s">
        <v>552</v>
      </c>
      <c r="D850" s="82" t="s">
        <v>1463</v>
      </c>
      <c r="E850" s="24" t="s">
        <v>1684</v>
      </c>
      <c r="F850" s="24" t="s">
        <v>200</v>
      </c>
      <c r="G850" s="24"/>
      <c r="H850" s="24" t="s">
        <v>1685</v>
      </c>
      <c r="I850" s="30" t="s">
        <v>525</v>
      </c>
      <c r="J850" s="24"/>
      <c r="K850" s="24" t="s">
        <v>199</v>
      </c>
      <c r="L850" s="24" t="s">
        <v>199</v>
      </c>
      <c r="M850" s="24">
        <v>1914</v>
      </c>
      <c r="N850" s="24" t="s">
        <v>527</v>
      </c>
      <c r="O850" s="24">
        <v>7</v>
      </c>
      <c r="P850" s="24">
        <v>0</v>
      </c>
      <c r="Q850" s="24">
        <v>3</v>
      </c>
      <c r="R850" s="24">
        <v>103</v>
      </c>
      <c r="S850" s="24">
        <v>7738.4</v>
      </c>
      <c r="T850" s="24">
        <v>7738.4</v>
      </c>
      <c r="U850" s="24">
        <v>6157.4</v>
      </c>
      <c r="V850" s="24">
        <v>1581</v>
      </c>
      <c r="W850" s="24" t="s">
        <v>528</v>
      </c>
      <c r="X850" s="24" t="s">
        <v>528</v>
      </c>
      <c r="Y850" s="24" t="s">
        <v>529</v>
      </c>
      <c r="Z850" s="102" t="s">
        <v>528</v>
      </c>
      <c r="AA850" s="24" t="s">
        <v>528</v>
      </c>
      <c r="AB850" s="24" t="s">
        <v>528</v>
      </c>
      <c r="AC850" s="24" t="s">
        <v>528</v>
      </c>
      <c r="AD850" s="24" t="s">
        <v>528</v>
      </c>
      <c r="AE850" s="24" t="s">
        <v>529</v>
      </c>
      <c r="AF850" s="24">
        <v>3</v>
      </c>
      <c r="AG850" s="24" t="s">
        <v>529</v>
      </c>
      <c r="AH850" s="24">
        <v>1</v>
      </c>
      <c r="AI850" s="24" t="s">
        <v>529</v>
      </c>
      <c r="AJ850" s="24">
        <v>1</v>
      </c>
      <c r="AK850" s="24" t="s">
        <v>530</v>
      </c>
      <c r="AL850" s="24"/>
    </row>
    <row r="851" spans="1:38" ht="31.2" x14ac:dyDescent="0.3">
      <c r="A851" s="53">
        <v>844</v>
      </c>
      <c r="B851" s="24" t="s">
        <v>544</v>
      </c>
      <c r="C851" s="24" t="s">
        <v>552</v>
      </c>
      <c r="D851" s="82" t="s">
        <v>1463</v>
      </c>
      <c r="E851" s="24" t="s">
        <v>1140</v>
      </c>
      <c r="F851" s="24" t="s">
        <v>200</v>
      </c>
      <c r="G851" s="24"/>
      <c r="H851" s="24" t="s">
        <v>1686</v>
      </c>
      <c r="I851" s="30" t="s">
        <v>525</v>
      </c>
      <c r="J851" s="24"/>
      <c r="K851" s="24" t="s">
        <v>199</v>
      </c>
      <c r="L851" s="24" t="s">
        <v>199</v>
      </c>
      <c r="M851" s="24">
        <v>1906</v>
      </c>
      <c r="N851" s="24" t="s">
        <v>527</v>
      </c>
      <c r="O851" s="24">
        <v>7</v>
      </c>
      <c r="P851" s="24">
        <v>0</v>
      </c>
      <c r="Q851" s="24">
        <v>4</v>
      </c>
      <c r="R851" s="24">
        <v>158</v>
      </c>
      <c r="S851" s="24">
        <v>11745.49</v>
      </c>
      <c r="T851" s="24">
        <v>11745.49</v>
      </c>
      <c r="U851" s="24">
        <v>10739.49</v>
      </c>
      <c r="V851" s="24">
        <v>1006</v>
      </c>
      <c r="W851" s="24" t="s">
        <v>528</v>
      </c>
      <c r="X851" s="24" t="s">
        <v>528</v>
      </c>
      <c r="Y851" s="24" t="s">
        <v>529</v>
      </c>
      <c r="Z851" s="102" t="s">
        <v>528</v>
      </c>
      <c r="AA851" s="24" t="s">
        <v>528</v>
      </c>
      <c r="AB851" s="24" t="s">
        <v>528</v>
      </c>
      <c r="AC851" s="24" t="s">
        <v>528</v>
      </c>
      <c r="AD851" s="24" t="s">
        <v>528</v>
      </c>
      <c r="AE851" s="24" t="s">
        <v>529</v>
      </c>
      <c r="AF851" s="24">
        <v>4</v>
      </c>
      <c r="AG851" s="24" t="s">
        <v>529</v>
      </c>
      <c r="AH851" s="24">
        <v>1</v>
      </c>
      <c r="AI851" s="24" t="s">
        <v>529</v>
      </c>
      <c r="AJ851" s="24">
        <v>2</v>
      </c>
      <c r="AK851" s="24" t="s">
        <v>530</v>
      </c>
      <c r="AL851" s="24"/>
    </row>
    <row r="852" spans="1:38" ht="31.2" x14ac:dyDescent="0.3">
      <c r="A852" s="53">
        <v>845</v>
      </c>
      <c r="B852" s="24" t="s">
        <v>544</v>
      </c>
      <c r="C852" s="24" t="s">
        <v>552</v>
      </c>
      <c r="D852" s="82" t="s">
        <v>1463</v>
      </c>
      <c r="E852" s="24" t="s">
        <v>1687</v>
      </c>
      <c r="F852" s="24" t="s">
        <v>205</v>
      </c>
      <c r="G852" s="24"/>
      <c r="H852" s="24" t="s">
        <v>1688</v>
      </c>
      <c r="I852" s="30" t="s">
        <v>525</v>
      </c>
      <c r="J852" s="24"/>
      <c r="K852" s="24" t="s">
        <v>199</v>
      </c>
      <c r="L852" s="24" t="s">
        <v>199</v>
      </c>
      <c r="M852" s="24">
        <v>1906</v>
      </c>
      <c r="N852" s="24" t="s">
        <v>527</v>
      </c>
      <c r="O852" s="24">
        <v>6</v>
      </c>
      <c r="P852" s="24">
        <v>0</v>
      </c>
      <c r="Q852" s="24">
        <v>5</v>
      </c>
      <c r="R852" s="24">
        <v>71</v>
      </c>
      <c r="S852" s="24">
        <v>5512.6</v>
      </c>
      <c r="T852" s="24">
        <v>5512.6</v>
      </c>
      <c r="U852" s="24">
        <v>5053.6000000000004</v>
      </c>
      <c r="V852" s="24">
        <v>459</v>
      </c>
      <c r="W852" s="24" t="s">
        <v>528</v>
      </c>
      <c r="X852" s="24" t="s">
        <v>528</v>
      </c>
      <c r="Y852" s="24" t="s">
        <v>529</v>
      </c>
      <c r="Z852" s="102" t="s">
        <v>528</v>
      </c>
      <c r="AA852" s="24" t="s">
        <v>528</v>
      </c>
      <c r="AB852" s="24" t="s">
        <v>528</v>
      </c>
      <c r="AC852" s="24" t="s">
        <v>528</v>
      </c>
      <c r="AD852" s="24" t="s">
        <v>528</v>
      </c>
      <c r="AE852" s="24" t="s">
        <v>529</v>
      </c>
      <c r="AF852" s="24">
        <v>5</v>
      </c>
      <c r="AG852" s="24" t="s">
        <v>529</v>
      </c>
      <c r="AH852" s="24" t="s">
        <v>529</v>
      </c>
      <c r="AI852" s="24" t="s">
        <v>529</v>
      </c>
      <c r="AJ852" s="24">
        <v>1</v>
      </c>
      <c r="AK852" s="24" t="s">
        <v>530</v>
      </c>
      <c r="AL852" s="24"/>
    </row>
    <row r="853" spans="1:38" ht="31.2" x14ac:dyDescent="0.3">
      <c r="A853" s="53">
        <v>846</v>
      </c>
      <c r="B853" s="24" t="s">
        <v>544</v>
      </c>
      <c r="C853" s="24" t="s">
        <v>552</v>
      </c>
      <c r="D853" s="82" t="s">
        <v>1463</v>
      </c>
      <c r="E853" s="24" t="s">
        <v>177</v>
      </c>
      <c r="F853" s="24" t="s">
        <v>206</v>
      </c>
      <c r="G853" s="24"/>
      <c r="H853" s="24" t="s">
        <v>1689</v>
      </c>
      <c r="I853" s="30" t="s">
        <v>525</v>
      </c>
      <c r="J853" s="24"/>
      <c r="K853" s="24" t="s">
        <v>199</v>
      </c>
      <c r="L853" s="24" t="s">
        <v>199</v>
      </c>
      <c r="M853" s="24">
        <v>1917</v>
      </c>
      <c r="N853" s="24" t="s">
        <v>527</v>
      </c>
      <c r="O853" s="24">
        <v>5</v>
      </c>
      <c r="P853" s="24">
        <v>0</v>
      </c>
      <c r="Q853" s="24">
        <v>2</v>
      </c>
      <c r="R853" s="24">
        <v>23</v>
      </c>
      <c r="S853" s="24">
        <v>1670</v>
      </c>
      <c r="T853" s="24">
        <v>1670</v>
      </c>
      <c r="U853" s="24">
        <v>1549</v>
      </c>
      <c r="V853" s="24">
        <v>121</v>
      </c>
      <c r="W853" s="24" t="s">
        <v>528</v>
      </c>
      <c r="X853" s="24" t="s">
        <v>528</v>
      </c>
      <c r="Y853" s="24" t="s">
        <v>529</v>
      </c>
      <c r="Z853" s="102" t="s">
        <v>528</v>
      </c>
      <c r="AA853" s="24" t="s">
        <v>528</v>
      </c>
      <c r="AB853" s="24" t="s">
        <v>528</v>
      </c>
      <c r="AC853" s="24" t="s">
        <v>528</v>
      </c>
      <c r="AD853" s="24" t="s">
        <v>528</v>
      </c>
      <c r="AE853" s="24" t="s">
        <v>529</v>
      </c>
      <c r="AF853" s="24">
        <v>0</v>
      </c>
      <c r="AG853" s="24" t="s">
        <v>529</v>
      </c>
      <c r="AH853" s="24">
        <v>1</v>
      </c>
      <c r="AI853" s="24" t="s">
        <v>529</v>
      </c>
      <c r="AJ853" s="24">
        <v>1</v>
      </c>
      <c r="AK853" s="24" t="s">
        <v>530</v>
      </c>
      <c r="AL853" s="24"/>
    </row>
    <row r="854" spans="1:38" ht="31.2" x14ac:dyDescent="0.3">
      <c r="A854" s="53">
        <v>847</v>
      </c>
      <c r="B854" s="24" t="s">
        <v>544</v>
      </c>
      <c r="C854" s="24" t="s">
        <v>552</v>
      </c>
      <c r="D854" s="82" t="s">
        <v>469</v>
      </c>
      <c r="E854" s="24" t="s">
        <v>1140</v>
      </c>
      <c r="F854" s="24" t="s">
        <v>200</v>
      </c>
      <c r="G854" s="24"/>
      <c r="H854" s="24" t="s">
        <v>1690</v>
      </c>
      <c r="I854" s="30" t="s">
        <v>525</v>
      </c>
      <c r="J854" s="24"/>
      <c r="K854" s="24" t="s">
        <v>199</v>
      </c>
      <c r="L854" s="24" t="s">
        <v>199</v>
      </c>
      <c r="M854" s="24">
        <v>1908</v>
      </c>
      <c r="N854" s="24" t="s">
        <v>527</v>
      </c>
      <c r="O854" s="24">
        <v>5</v>
      </c>
      <c r="P854" s="24">
        <v>0</v>
      </c>
      <c r="Q854" s="24">
        <v>6</v>
      </c>
      <c r="R854" s="24">
        <v>55</v>
      </c>
      <c r="S854" s="24">
        <v>7308</v>
      </c>
      <c r="T854" s="24">
        <v>7308</v>
      </c>
      <c r="U854" s="24">
        <v>6091</v>
      </c>
      <c r="V854" s="24">
        <v>1217</v>
      </c>
      <c r="W854" s="24" t="s">
        <v>528</v>
      </c>
      <c r="X854" s="24" t="s">
        <v>528</v>
      </c>
      <c r="Y854" s="24" t="s">
        <v>529</v>
      </c>
      <c r="Z854" s="102" t="s">
        <v>528</v>
      </c>
      <c r="AA854" s="24" t="s">
        <v>528</v>
      </c>
      <c r="AB854" s="24" t="s">
        <v>528</v>
      </c>
      <c r="AC854" s="24" t="s">
        <v>528</v>
      </c>
      <c r="AD854" s="24" t="s">
        <v>528</v>
      </c>
      <c r="AE854" s="24" t="s">
        <v>529</v>
      </c>
      <c r="AF854" s="24">
        <v>1</v>
      </c>
      <c r="AG854" s="24" t="s">
        <v>529</v>
      </c>
      <c r="AH854" s="24">
        <v>1</v>
      </c>
      <c r="AI854" s="24" t="s">
        <v>529</v>
      </c>
      <c r="AJ854" s="24">
        <v>1</v>
      </c>
      <c r="AK854" s="24" t="s">
        <v>530</v>
      </c>
      <c r="AL854" s="24"/>
    </row>
    <row r="855" spans="1:38" ht="31.2" x14ac:dyDescent="0.3">
      <c r="A855" s="53">
        <v>848</v>
      </c>
      <c r="B855" s="24" t="s">
        <v>544</v>
      </c>
      <c r="C855" s="24" t="s">
        <v>552</v>
      </c>
      <c r="D855" s="82" t="s">
        <v>469</v>
      </c>
      <c r="E855" s="24" t="s">
        <v>1140</v>
      </c>
      <c r="F855" s="24" t="s">
        <v>205</v>
      </c>
      <c r="G855" s="24"/>
      <c r="H855" s="24" t="s">
        <v>1691</v>
      </c>
      <c r="I855" s="30" t="s">
        <v>525</v>
      </c>
      <c r="J855" s="24"/>
      <c r="K855" s="24" t="s">
        <v>199</v>
      </c>
      <c r="L855" s="24" t="s">
        <v>199</v>
      </c>
      <c r="M855" s="24">
        <v>1908</v>
      </c>
      <c r="N855" s="24" t="s">
        <v>527</v>
      </c>
      <c r="O855" s="24">
        <v>5</v>
      </c>
      <c r="P855" s="24">
        <v>0</v>
      </c>
      <c r="Q855" s="24">
        <v>3</v>
      </c>
      <c r="R855" s="24">
        <v>25</v>
      </c>
      <c r="S855" s="24">
        <v>2672.9</v>
      </c>
      <c r="T855" s="24">
        <v>2672.9</v>
      </c>
      <c r="U855" s="24">
        <v>2177.9</v>
      </c>
      <c r="V855" s="24">
        <v>495</v>
      </c>
      <c r="W855" s="24" t="s">
        <v>528</v>
      </c>
      <c r="X855" s="24" t="s">
        <v>528</v>
      </c>
      <c r="Y855" s="24" t="s">
        <v>529</v>
      </c>
      <c r="Z855" s="102" t="s">
        <v>528</v>
      </c>
      <c r="AA855" s="24" t="s">
        <v>528</v>
      </c>
      <c r="AB855" s="24" t="s">
        <v>528</v>
      </c>
      <c r="AC855" s="24" t="s">
        <v>528</v>
      </c>
      <c r="AD855" s="24" t="s">
        <v>528</v>
      </c>
      <c r="AE855" s="24" t="s">
        <v>529</v>
      </c>
      <c r="AF855" s="24">
        <v>0</v>
      </c>
      <c r="AG855" s="24" t="s">
        <v>529</v>
      </c>
      <c r="AH855" s="24">
        <v>1</v>
      </c>
      <c r="AI855" s="24" t="s">
        <v>529</v>
      </c>
      <c r="AJ855" s="24">
        <v>1</v>
      </c>
      <c r="AK855" s="24" t="s">
        <v>530</v>
      </c>
      <c r="AL855" s="24"/>
    </row>
    <row r="856" spans="1:38" ht="31.2" x14ac:dyDescent="0.3">
      <c r="A856" s="53">
        <v>849</v>
      </c>
      <c r="B856" s="24" t="s">
        <v>544</v>
      </c>
      <c r="C856" s="24" t="s">
        <v>552</v>
      </c>
      <c r="D856" s="82" t="s">
        <v>469</v>
      </c>
      <c r="E856" s="24" t="s">
        <v>173</v>
      </c>
      <c r="F856" s="24" t="s">
        <v>200</v>
      </c>
      <c r="G856" s="24"/>
      <c r="H856" s="24" t="s">
        <v>1692</v>
      </c>
      <c r="I856" s="30" t="s">
        <v>525</v>
      </c>
      <c r="J856" s="24"/>
      <c r="K856" s="24" t="s">
        <v>199</v>
      </c>
      <c r="L856" s="24" t="s">
        <v>199</v>
      </c>
      <c r="M856" s="24">
        <v>1902</v>
      </c>
      <c r="N856" s="24" t="s">
        <v>527</v>
      </c>
      <c r="O856" s="24">
        <v>5</v>
      </c>
      <c r="P856" s="24">
        <v>0</v>
      </c>
      <c r="Q856" s="24">
        <v>4</v>
      </c>
      <c r="R856" s="24">
        <v>40</v>
      </c>
      <c r="S856" s="24">
        <v>3805.1</v>
      </c>
      <c r="T856" s="24">
        <v>3805.1</v>
      </c>
      <c r="U856" s="24">
        <v>3413.1</v>
      </c>
      <c r="V856" s="24">
        <v>392</v>
      </c>
      <c r="W856" s="24" t="s">
        <v>528</v>
      </c>
      <c r="X856" s="24" t="s">
        <v>528</v>
      </c>
      <c r="Y856" s="24" t="s">
        <v>529</v>
      </c>
      <c r="Z856" s="102" t="s">
        <v>528</v>
      </c>
      <c r="AA856" s="24" t="s">
        <v>528</v>
      </c>
      <c r="AB856" s="24" t="s">
        <v>528</v>
      </c>
      <c r="AC856" s="24" t="s">
        <v>528</v>
      </c>
      <c r="AD856" s="24" t="s">
        <v>528</v>
      </c>
      <c r="AE856" s="24" t="s">
        <v>529</v>
      </c>
      <c r="AF856" s="24">
        <v>1</v>
      </c>
      <c r="AG856" s="24" t="s">
        <v>529</v>
      </c>
      <c r="AH856" s="24">
        <v>1</v>
      </c>
      <c r="AI856" s="24" t="s">
        <v>529</v>
      </c>
      <c r="AJ856" s="24">
        <v>1</v>
      </c>
      <c r="AK856" s="24" t="s">
        <v>530</v>
      </c>
      <c r="AL856" s="24"/>
    </row>
    <row r="857" spans="1:38" ht="31.2" x14ac:dyDescent="0.3">
      <c r="A857" s="53">
        <v>850</v>
      </c>
      <c r="B857" s="24" t="s">
        <v>544</v>
      </c>
      <c r="C857" s="24" t="s">
        <v>552</v>
      </c>
      <c r="D857" s="82" t="s">
        <v>1491</v>
      </c>
      <c r="E857" s="24" t="s">
        <v>176</v>
      </c>
      <c r="F857" s="24" t="s">
        <v>200</v>
      </c>
      <c r="G857" s="24"/>
      <c r="H857" s="24" t="s">
        <v>1693</v>
      </c>
      <c r="I857" s="30" t="s">
        <v>525</v>
      </c>
      <c r="J857" s="24"/>
      <c r="K857" s="24" t="s">
        <v>199</v>
      </c>
      <c r="L857" s="24" t="s">
        <v>199</v>
      </c>
      <c r="M857" s="24">
        <v>1912</v>
      </c>
      <c r="N857" s="24" t="s">
        <v>527</v>
      </c>
      <c r="O857" s="24">
        <v>6</v>
      </c>
      <c r="P857" s="24">
        <v>0</v>
      </c>
      <c r="Q857" s="24">
        <v>4</v>
      </c>
      <c r="R857" s="24">
        <v>48</v>
      </c>
      <c r="S857" s="24">
        <v>3398.2</v>
      </c>
      <c r="T857" s="24">
        <v>3398.2</v>
      </c>
      <c r="U857" s="24">
        <v>3194.2</v>
      </c>
      <c r="V857" s="24">
        <v>204</v>
      </c>
      <c r="W857" s="24" t="s">
        <v>528</v>
      </c>
      <c r="X857" s="24" t="s">
        <v>528</v>
      </c>
      <c r="Y857" s="24" t="s">
        <v>529</v>
      </c>
      <c r="Z857" s="102" t="s">
        <v>528</v>
      </c>
      <c r="AA857" s="24" t="s">
        <v>528</v>
      </c>
      <c r="AB857" s="24" t="s">
        <v>528</v>
      </c>
      <c r="AC857" s="24" t="s">
        <v>528</v>
      </c>
      <c r="AD857" s="24" t="s">
        <v>528</v>
      </c>
      <c r="AE857" s="24" t="s">
        <v>529</v>
      </c>
      <c r="AF857" s="24">
        <v>0</v>
      </c>
      <c r="AG857" s="24" t="s">
        <v>529</v>
      </c>
      <c r="AH857" s="24">
        <v>1</v>
      </c>
      <c r="AI857" s="24" t="s">
        <v>529</v>
      </c>
      <c r="AJ857" s="24">
        <v>1</v>
      </c>
      <c r="AK857" s="24" t="s">
        <v>530</v>
      </c>
      <c r="AL857" s="24"/>
    </row>
    <row r="858" spans="1:38" ht="31.2" x14ac:dyDescent="0.3">
      <c r="A858" s="53">
        <v>851</v>
      </c>
      <c r="B858" s="24" t="s">
        <v>544</v>
      </c>
      <c r="C858" s="24" t="s">
        <v>552</v>
      </c>
      <c r="D858" s="82" t="s">
        <v>1491</v>
      </c>
      <c r="E858" s="24" t="s">
        <v>1155</v>
      </c>
      <c r="F858" s="24" t="s">
        <v>200</v>
      </c>
      <c r="G858" s="24"/>
      <c r="H858" s="24" t="s">
        <v>1694</v>
      </c>
      <c r="I858" s="30" t="s">
        <v>525</v>
      </c>
      <c r="J858" s="24"/>
      <c r="K858" s="24" t="s">
        <v>199</v>
      </c>
      <c r="L858" s="24" t="s">
        <v>199</v>
      </c>
      <c r="M858" s="24">
        <v>1899</v>
      </c>
      <c r="N858" s="24" t="s">
        <v>527</v>
      </c>
      <c r="O858" s="24">
        <v>4</v>
      </c>
      <c r="P858" s="24">
        <v>0</v>
      </c>
      <c r="Q858" s="24">
        <v>3</v>
      </c>
      <c r="R858" s="24">
        <v>20</v>
      </c>
      <c r="S858" s="24">
        <v>1373.6</v>
      </c>
      <c r="T858" s="24">
        <v>1373.6</v>
      </c>
      <c r="U858" s="24">
        <v>1304.5999999999999</v>
      </c>
      <c r="V858" s="24">
        <v>69</v>
      </c>
      <c r="W858" s="24" t="s">
        <v>528</v>
      </c>
      <c r="X858" s="24" t="s">
        <v>528</v>
      </c>
      <c r="Y858" s="24" t="s">
        <v>529</v>
      </c>
      <c r="Z858" s="102" t="s">
        <v>528</v>
      </c>
      <c r="AA858" s="24" t="s">
        <v>528</v>
      </c>
      <c r="AB858" s="24" t="s">
        <v>528</v>
      </c>
      <c r="AC858" s="24" t="s">
        <v>528</v>
      </c>
      <c r="AD858" s="24" t="s">
        <v>528</v>
      </c>
      <c r="AE858" s="24" t="s">
        <v>529</v>
      </c>
      <c r="AF858" s="24">
        <v>0</v>
      </c>
      <c r="AG858" s="24" t="s">
        <v>529</v>
      </c>
      <c r="AH858" s="24">
        <v>2</v>
      </c>
      <c r="AI858" s="24" t="s">
        <v>529</v>
      </c>
      <c r="AJ858" s="24">
        <v>1</v>
      </c>
      <c r="AK858" s="24" t="s">
        <v>530</v>
      </c>
      <c r="AL858" s="24"/>
    </row>
    <row r="859" spans="1:38" ht="31.2" x14ac:dyDescent="0.3">
      <c r="A859" s="53">
        <v>852</v>
      </c>
      <c r="B859" s="24" t="s">
        <v>544</v>
      </c>
      <c r="C859" s="24" t="s">
        <v>653</v>
      </c>
      <c r="D859" s="82" t="s">
        <v>431</v>
      </c>
      <c r="E859" s="24" t="s">
        <v>1332</v>
      </c>
      <c r="F859" s="24" t="s">
        <v>200</v>
      </c>
      <c r="G859" s="24"/>
      <c r="H859" s="24" t="s">
        <v>1695</v>
      </c>
      <c r="I859" s="30" t="s">
        <v>525</v>
      </c>
      <c r="J859" s="24"/>
      <c r="K859" s="24" t="s">
        <v>199</v>
      </c>
      <c r="L859" s="24" t="s">
        <v>199</v>
      </c>
      <c r="M859" s="24">
        <v>1906</v>
      </c>
      <c r="N859" s="24" t="s">
        <v>527</v>
      </c>
      <c r="O859" s="24">
        <v>5</v>
      </c>
      <c r="P859" s="24">
        <v>0</v>
      </c>
      <c r="Q859" s="24">
        <v>2</v>
      </c>
      <c r="R859" s="24">
        <v>16</v>
      </c>
      <c r="S859" s="24">
        <v>2179.6999999999998</v>
      </c>
      <c r="T859" s="24">
        <v>2179.6999999999998</v>
      </c>
      <c r="U859" s="24">
        <v>1767.7</v>
      </c>
      <c r="V859" s="24">
        <v>412</v>
      </c>
      <c r="W859" s="24" t="s">
        <v>528</v>
      </c>
      <c r="X859" s="24" t="s">
        <v>528</v>
      </c>
      <c r="Y859" s="24" t="s">
        <v>529</v>
      </c>
      <c r="Z859" s="102" t="s">
        <v>528</v>
      </c>
      <c r="AA859" s="24" t="s">
        <v>528</v>
      </c>
      <c r="AB859" s="24" t="s">
        <v>528</v>
      </c>
      <c r="AC859" s="24" t="s">
        <v>528</v>
      </c>
      <c r="AD859" s="24" t="s">
        <v>528</v>
      </c>
      <c r="AE859" s="24" t="s">
        <v>529</v>
      </c>
      <c r="AF859" s="24">
        <v>0</v>
      </c>
      <c r="AG859" s="24" t="s">
        <v>529</v>
      </c>
      <c r="AH859" s="24">
        <v>1</v>
      </c>
      <c r="AI859" s="24" t="s">
        <v>529</v>
      </c>
      <c r="AJ859" s="24">
        <v>1</v>
      </c>
      <c r="AK859" s="24" t="s">
        <v>530</v>
      </c>
      <c r="AL859" s="24"/>
    </row>
    <row r="860" spans="1:38" ht="31.2" x14ac:dyDescent="0.3">
      <c r="A860" s="53">
        <v>853</v>
      </c>
      <c r="B860" s="24" t="s">
        <v>544</v>
      </c>
      <c r="C860" s="24" t="s">
        <v>653</v>
      </c>
      <c r="D860" s="82" t="s">
        <v>431</v>
      </c>
      <c r="E860" s="24" t="s">
        <v>1696</v>
      </c>
      <c r="F860" s="24" t="s">
        <v>200</v>
      </c>
      <c r="G860" s="24"/>
      <c r="H860" s="24" t="s">
        <v>1697</v>
      </c>
      <c r="I860" s="30" t="s">
        <v>525</v>
      </c>
      <c r="J860" s="24"/>
      <c r="K860" s="24" t="s">
        <v>199</v>
      </c>
      <c r="L860" s="24" t="s">
        <v>199</v>
      </c>
      <c r="M860" s="24">
        <v>1914</v>
      </c>
      <c r="N860" s="24" t="s">
        <v>527</v>
      </c>
      <c r="O860" s="24">
        <v>6</v>
      </c>
      <c r="P860" s="24">
        <v>0</v>
      </c>
      <c r="Q860" s="24">
        <v>3</v>
      </c>
      <c r="R860" s="24">
        <v>28</v>
      </c>
      <c r="S860" s="24">
        <v>1976.9</v>
      </c>
      <c r="T860" s="24">
        <v>1976.9</v>
      </c>
      <c r="U860" s="24">
        <v>1976.9</v>
      </c>
      <c r="V860" s="24">
        <v>0</v>
      </c>
      <c r="W860" s="24" t="s">
        <v>528</v>
      </c>
      <c r="X860" s="24" t="s">
        <v>528</v>
      </c>
      <c r="Y860" s="24" t="s">
        <v>529</v>
      </c>
      <c r="Z860" s="102" t="s">
        <v>528</v>
      </c>
      <c r="AA860" s="24" t="s">
        <v>528</v>
      </c>
      <c r="AB860" s="24" t="s">
        <v>528</v>
      </c>
      <c r="AC860" s="24" t="s">
        <v>528</v>
      </c>
      <c r="AD860" s="24" t="s">
        <v>528</v>
      </c>
      <c r="AE860" s="24" t="s">
        <v>529</v>
      </c>
      <c r="AF860" s="24">
        <v>3</v>
      </c>
      <c r="AG860" s="24" t="s">
        <v>529</v>
      </c>
      <c r="AH860" s="24">
        <v>1</v>
      </c>
      <c r="AI860" s="24" t="s">
        <v>529</v>
      </c>
      <c r="AJ860" s="24" t="s">
        <v>529</v>
      </c>
      <c r="AK860" s="24" t="s">
        <v>530</v>
      </c>
      <c r="AL860" s="24"/>
    </row>
    <row r="861" spans="1:38" ht="31.2" x14ac:dyDescent="0.3">
      <c r="A861" s="53">
        <v>854</v>
      </c>
      <c r="B861" s="24" t="s">
        <v>544</v>
      </c>
      <c r="C861" s="24" t="s">
        <v>552</v>
      </c>
      <c r="D861" s="82" t="s">
        <v>469</v>
      </c>
      <c r="E861" s="24" t="s">
        <v>1132</v>
      </c>
      <c r="F861" s="24" t="s">
        <v>205</v>
      </c>
      <c r="G861" s="24"/>
      <c r="H861" s="24" t="s">
        <v>1698</v>
      </c>
      <c r="I861" s="30" t="s">
        <v>525</v>
      </c>
      <c r="J861" s="24"/>
      <c r="K861" s="24" t="s">
        <v>199</v>
      </c>
      <c r="L861" s="24" t="s">
        <v>199</v>
      </c>
      <c r="M861" s="24">
        <v>1914</v>
      </c>
      <c r="N861" s="24" t="s">
        <v>527</v>
      </c>
      <c r="O861" s="24">
        <v>5</v>
      </c>
      <c r="P861" s="24">
        <v>0</v>
      </c>
      <c r="Q861" s="24">
        <v>2</v>
      </c>
      <c r="R861" s="24">
        <v>72</v>
      </c>
      <c r="S861" s="24">
        <v>5063.1000000000004</v>
      </c>
      <c r="T861" s="24">
        <v>5063.1000000000004</v>
      </c>
      <c r="U861" s="24">
        <v>4821.3</v>
      </c>
      <c r="V861" s="24">
        <v>241.8</v>
      </c>
      <c r="W861" s="24" t="s">
        <v>528</v>
      </c>
      <c r="X861" s="24" t="s">
        <v>528</v>
      </c>
      <c r="Y861" s="24" t="s">
        <v>529</v>
      </c>
      <c r="Z861" s="102" t="s">
        <v>528</v>
      </c>
      <c r="AA861" s="24" t="s">
        <v>528</v>
      </c>
      <c r="AB861" s="24" t="s">
        <v>528</v>
      </c>
      <c r="AC861" s="24" t="s">
        <v>528</v>
      </c>
      <c r="AD861" s="24" t="s">
        <v>528</v>
      </c>
      <c r="AE861" s="24" t="s">
        <v>529</v>
      </c>
      <c r="AF861" s="24">
        <v>0</v>
      </c>
      <c r="AG861" s="24" t="s">
        <v>529</v>
      </c>
      <c r="AH861" s="24">
        <v>2</v>
      </c>
      <c r="AI861" s="24" t="s">
        <v>529</v>
      </c>
      <c r="AJ861" s="24">
        <v>2</v>
      </c>
      <c r="AK861" s="24" t="s">
        <v>530</v>
      </c>
      <c r="AL861" s="24"/>
    </row>
    <row r="862" spans="1:38" ht="31.2" x14ac:dyDescent="0.3">
      <c r="A862" s="53">
        <v>855</v>
      </c>
      <c r="B862" s="24" t="s">
        <v>544</v>
      </c>
      <c r="C862" s="24" t="s">
        <v>552</v>
      </c>
      <c r="D862" s="82" t="s">
        <v>1463</v>
      </c>
      <c r="E862" s="24" t="s">
        <v>712</v>
      </c>
      <c r="F862" s="24" t="s">
        <v>200</v>
      </c>
      <c r="G862" s="24"/>
      <c r="H862" s="24" t="s">
        <v>1699</v>
      </c>
      <c r="I862" s="30" t="s">
        <v>525</v>
      </c>
      <c r="J862" s="24"/>
      <c r="K862" s="24" t="s">
        <v>1157</v>
      </c>
      <c r="L862" s="24" t="s">
        <v>199</v>
      </c>
      <c r="M862" s="24">
        <v>1949</v>
      </c>
      <c r="N862" s="24" t="s">
        <v>527</v>
      </c>
      <c r="O862" s="24">
        <v>5</v>
      </c>
      <c r="P862" s="24">
        <v>0</v>
      </c>
      <c r="Q862" s="24">
        <v>3</v>
      </c>
      <c r="R862" s="24">
        <v>44</v>
      </c>
      <c r="S862" s="24">
        <v>3113.9</v>
      </c>
      <c r="T862" s="24">
        <v>3113.9</v>
      </c>
      <c r="U862" s="24">
        <v>2400.5</v>
      </c>
      <c r="V862" s="24">
        <v>713.4</v>
      </c>
      <c r="W862" s="24" t="s">
        <v>528</v>
      </c>
      <c r="X862" s="24" t="s">
        <v>528</v>
      </c>
      <c r="Y862" s="24" t="s">
        <v>529</v>
      </c>
      <c r="Z862" s="102" t="s">
        <v>528</v>
      </c>
      <c r="AA862" s="24" t="s">
        <v>528</v>
      </c>
      <c r="AB862" s="24" t="s">
        <v>528</v>
      </c>
      <c r="AC862" s="24" t="s">
        <v>528</v>
      </c>
      <c r="AD862" s="24" t="s">
        <v>528</v>
      </c>
      <c r="AE862" s="24" t="s">
        <v>529</v>
      </c>
      <c r="AF862" s="24">
        <v>3</v>
      </c>
      <c r="AG862" s="24" t="s">
        <v>529</v>
      </c>
      <c r="AH862" s="24">
        <v>1</v>
      </c>
      <c r="AI862" s="24" t="s">
        <v>529</v>
      </c>
      <c r="AJ862" s="24">
        <v>1</v>
      </c>
      <c r="AK862" s="24" t="s">
        <v>530</v>
      </c>
      <c r="AL862" s="24"/>
    </row>
    <row r="863" spans="1:38" ht="31.2" x14ac:dyDescent="0.3">
      <c r="A863" s="53">
        <v>856</v>
      </c>
      <c r="B863" s="24" t="s">
        <v>544</v>
      </c>
      <c r="C863" s="24" t="s">
        <v>552</v>
      </c>
      <c r="D863" s="82" t="s">
        <v>1463</v>
      </c>
      <c r="E863" s="24" t="s">
        <v>1153</v>
      </c>
      <c r="F863" s="24" t="s">
        <v>200</v>
      </c>
      <c r="G863" s="24"/>
      <c r="H863" s="24" t="s">
        <v>1700</v>
      </c>
      <c r="I863" s="30" t="s">
        <v>525</v>
      </c>
      <c r="J863" s="24"/>
      <c r="K863" s="24" t="s">
        <v>199</v>
      </c>
      <c r="L863" s="24" t="s">
        <v>199</v>
      </c>
      <c r="M863" s="24">
        <v>1911</v>
      </c>
      <c r="N863" s="24" t="s">
        <v>527</v>
      </c>
      <c r="O863" s="24">
        <v>5</v>
      </c>
      <c r="P863" s="24">
        <v>0</v>
      </c>
      <c r="Q863" s="24">
        <v>1</v>
      </c>
      <c r="R863" s="24">
        <v>16</v>
      </c>
      <c r="S863" s="24">
        <v>1054</v>
      </c>
      <c r="T863" s="24">
        <v>1054</v>
      </c>
      <c r="U863" s="24">
        <v>886</v>
      </c>
      <c r="V863" s="24">
        <v>168</v>
      </c>
      <c r="W863" s="24" t="s">
        <v>528</v>
      </c>
      <c r="X863" s="24" t="s">
        <v>528</v>
      </c>
      <c r="Y863" s="24" t="s">
        <v>529</v>
      </c>
      <c r="Z863" s="102" t="s">
        <v>528</v>
      </c>
      <c r="AA863" s="24" t="s">
        <v>528</v>
      </c>
      <c r="AB863" s="24" t="s">
        <v>528</v>
      </c>
      <c r="AC863" s="24" t="s">
        <v>528</v>
      </c>
      <c r="AD863" s="24" t="s">
        <v>528</v>
      </c>
      <c r="AE863" s="24" t="s">
        <v>529</v>
      </c>
      <c r="AF863" s="24">
        <v>1</v>
      </c>
      <c r="AG863" s="24" t="s">
        <v>529</v>
      </c>
      <c r="AH863" s="24">
        <v>1</v>
      </c>
      <c r="AI863" s="24" t="s">
        <v>529</v>
      </c>
      <c r="AJ863" s="24" t="s">
        <v>529</v>
      </c>
      <c r="AK863" s="24" t="s">
        <v>530</v>
      </c>
      <c r="AL863" s="24"/>
    </row>
    <row r="864" spans="1:38" ht="31.2" x14ac:dyDescent="0.3">
      <c r="A864" s="53">
        <v>857</v>
      </c>
      <c r="B864" s="24" t="s">
        <v>544</v>
      </c>
      <c r="C864" s="24" t="s">
        <v>552</v>
      </c>
      <c r="D864" s="82" t="s">
        <v>1463</v>
      </c>
      <c r="E864" s="24" t="s">
        <v>1392</v>
      </c>
      <c r="F864" s="24" t="s">
        <v>200</v>
      </c>
      <c r="G864" s="24"/>
      <c r="H864" s="24" t="s">
        <v>1701</v>
      </c>
      <c r="I864" s="30" t="s">
        <v>525</v>
      </c>
      <c r="J864" s="24" t="s">
        <v>535</v>
      </c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102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</row>
    <row r="865" spans="1:38" ht="31.2" x14ac:dyDescent="0.3">
      <c r="A865" s="53">
        <v>858</v>
      </c>
      <c r="B865" s="24" t="s">
        <v>544</v>
      </c>
      <c r="C865" s="24" t="s">
        <v>552</v>
      </c>
      <c r="D865" s="82" t="s">
        <v>1702</v>
      </c>
      <c r="E865" s="24" t="s">
        <v>1222</v>
      </c>
      <c r="F865" s="24" t="s">
        <v>200</v>
      </c>
      <c r="G865" s="24"/>
      <c r="H865" s="24" t="s">
        <v>1703</v>
      </c>
      <c r="I865" s="30" t="s">
        <v>525</v>
      </c>
      <c r="J865" s="24"/>
      <c r="K865" s="24" t="s">
        <v>1138</v>
      </c>
      <c r="L865" s="24" t="s">
        <v>199</v>
      </c>
      <c r="M865" s="24">
        <v>1960</v>
      </c>
      <c r="N865" s="24" t="s">
        <v>527</v>
      </c>
      <c r="O865" s="24">
        <v>5</v>
      </c>
      <c r="P865" s="24">
        <v>0</v>
      </c>
      <c r="Q865" s="24">
        <v>3</v>
      </c>
      <c r="R865" s="24">
        <v>60</v>
      </c>
      <c r="S865" s="24">
        <v>2849.14</v>
      </c>
      <c r="T865" s="24">
        <v>2849.14</v>
      </c>
      <c r="U865" s="24">
        <v>2576.14</v>
      </c>
      <c r="V865" s="24">
        <v>273</v>
      </c>
      <c r="W865" s="24" t="s">
        <v>528</v>
      </c>
      <c r="X865" s="24" t="s">
        <v>528</v>
      </c>
      <c r="Y865" s="24" t="s">
        <v>529</v>
      </c>
      <c r="Z865" s="102" t="s">
        <v>528</v>
      </c>
      <c r="AA865" s="24" t="s">
        <v>528</v>
      </c>
      <c r="AB865" s="24" t="s">
        <v>528</v>
      </c>
      <c r="AC865" s="24" t="s">
        <v>528</v>
      </c>
      <c r="AD865" s="24" t="s">
        <v>528</v>
      </c>
      <c r="AE865" s="24" t="s">
        <v>529</v>
      </c>
      <c r="AF865" s="24">
        <v>0</v>
      </c>
      <c r="AG865" s="24" t="s">
        <v>529</v>
      </c>
      <c r="AH865" s="24">
        <v>1</v>
      </c>
      <c r="AI865" s="24" t="s">
        <v>529</v>
      </c>
      <c r="AJ865" s="24">
        <v>1</v>
      </c>
      <c r="AK865" s="24" t="s">
        <v>530</v>
      </c>
      <c r="AL865" s="24"/>
    </row>
    <row r="866" spans="1:38" ht="31.2" x14ac:dyDescent="0.3">
      <c r="A866" s="53">
        <v>859</v>
      </c>
      <c r="B866" s="24" t="s">
        <v>544</v>
      </c>
      <c r="C866" s="24" t="s">
        <v>552</v>
      </c>
      <c r="D866" s="82" t="s">
        <v>1702</v>
      </c>
      <c r="E866" s="24" t="s">
        <v>1704</v>
      </c>
      <c r="F866" s="24" t="s">
        <v>200</v>
      </c>
      <c r="G866" s="24"/>
      <c r="H866" s="24" t="s">
        <v>1705</v>
      </c>
      <c r="I866" s="30" t="s">
        <v>525</v>
      </c>
      <c r="J866" s="24"/>
      <c r="K866" s="24" t="s">
        <v>199</v>
      </c>
      <c r="L866" s="24" t="s">
        <v>199</v>
      </c>
      <c r="M866" s="24">
        <v>1900</v>
      </c>
      <c r="N866" s="24" t="s">
        <v>527</v>
      </c>
      <c r="O866" s="24">
        <v>5</v>
      </c>
      <c r="P866" s="24">
        <v>0</v>
      </c>
      <c r="Q866" s="24">
        <v>3</v>
      </c>
      <c r="R866" s="24">
        <v>38</v>
      </c>
      <c r="S866" s="24">
        <v>2520.98</v>
      </c>
      <c r="T866" s="24">
        <v>2520.98</v>
      </c>
      <c r="U866" s="24">
        <v>2420.98</v>
      </c>
      <c r="V866" s="24">
        <v>100</v>
      </c>
      <c r="W866" s="24" t="s">
        <v>528</v>
      </c>
      <c r="X866" s="24" t="s">
        <v>528</v>
      </c>
      <c r="Y866" s="24" t="s">
        <v>529</v>
      </c>
      <c r="Z866" s="102" t="s">
        <v>528</v>
      </c>
      <c r="AA866" s="24" t="s">
        <v>528</v>
      </c>
      <c r="AB866" s="24" t="s">
        <v>528</v>
      </c>
      <c r="AC866" s="24" t="s">
        <v>528</v>
      </c>
      <c r="AD866" s="24" t="s">
        <v>528</v>
      </c>
      <c r="AE866" s="24" t="s">
        <v>529</v>
      </c>
      <c r="AF866" s="24">
        <v>0</v>
      </c>
      <c r="AG866" s="24" t="s">
        <v>529</v>
      </c>
      <c r="AH866" s="24">
        <v>1</v>
      </c>
      <c r="AI866" s="24" t="s">
        <v>529</v>
      </c>
      <c r="AJ866" s="24">
        <v>1</v>
      </c>
      <c r="AK866" s="24" t="s">
        <v>530</v>
      </c>
      <c r="AL866" s="24"/>
    </row>
    <row r="867" spans="1:38" ht="31.2" x14ac:dyDescent="0.3">
      <c r="A867" s="53">
        <v>860</v>
      </c>
      <c r="B867" s="24" t="s">
        <v>544</v>
      </c>
      <c r="C867" s="24" t="s">
        <v>552</v>
      </c>
      <c r="D867" s="82" t="s">
        <v>1463</v>
      </c>
      <c r="E867" s="24" t="s">
        <v>1706</v>
      </c>
      <c r="F867" s="24" t="s">
        <v>200</v>
      </c>
      <c r="G867" s="24"/>
      <c r="H867" s="24" t="s">
        <v>1707</v>
      </c>
      <c r="I867" s="30" t="s">
        <v>525</v>
      </c>
      <c r="J867" s="24"/>
      <c r="K867" s="24" t="s">
        <v>199</v>
      </c>
      <c r="L867" s="24" t="s">
        <v>199</v>
      </c>
      <c r="M867" s="24">
        <v>1901</v>
      </c>
      <c r="N867" s="24" t="s">
        <v>527</v>
      </c>
      <c r="O867" s="24">
        <v>5</v>
      </c>
      <c r="P867" s="24">
        <v>0</v>
      </c>
      <c r="Q867" s="24">
        <v>3</v>
      </c>
      <c r="R867" s="24">
        <v>35</v>
      </c>
      <c r="S867" s="24">
        <v>2039.2</v>
      </c>
      <c r="T867" s="24">
        <v>2039.2</v>
      </c>
      <c r="U867" s="24">
        <v>2039.2</v>
      </c>
      <c r="V867" s="24">
        <v>0</v>
      </c>
      <c r="W867" s="24" t="s">
        <v>528</v>
      </c>
      <c r="X867" s="24" t="s">
        <v>528</v>
      </c>
      <c r="Y867" s="24" t="s">
        <v>529</v>
      </c>
      <c r="Z867" s="102" t="s">
        <v>528</v>
      </c>
      <c r="AA867" s="24" t="s">
        <v>528</v>
      </c>
      <c r="AB867" s="24" t="s">
        <v>528</v>
      </c>
      <c r="AC867" s="24" t="s">
        <v>528</v>
      </c>
      <c r="AD867" s="24" t="s">
        <v>528</v>
      </c>
      <c r="AE867" s="24" t="s">
        <v>529</v>
      </c>
      <c r="AF867" s="24">
        <v>1</v>
      </c>
      <c r="AG867" s="24" t="s">
        <v>529</v>
      </c>
      <c r="AH867" s="24">
        <v>1</v>
      </c>
      <c r="AI867" s="24" t="s">
        <v>529</v>
      </c>
      <c r="AJ867" s="24">
        <v>1</v>
      </c>
      <c r="AK867" s="24" t="s">
        <v>530</v>
      </c>
      <c r="AL867" s="24"/>
    </row>
    <row r="868" spans="1:38" ht="31.2" x14ac:dyDescent="0.3">
      <c r="A868" s="53">
        <v>861</v>
      </c>
      <c r="B868" s="24" t="s">
        <v>544</v>
      </c>
      <c r="C868" s="24" t="s">
        <v>552</v>
      </c>
      <c r="D868" s="82" t="s">
        <v>1463</v>
      </c>
      <c r="E868" s="24" t="s">
        <v>1706</v>
      </c>
      <c r="F868" s="24" t="s">
        <v>205</v>
      </c>
      <c r="G868" s="24"/>
      <c r="H868" s="24" t="s">
        <v>1708</v>
      </c>
      <c r="I868" s="30" t="s">
        <v>525</v>
      </c>
      <c r="J868" s="24"/>
      <c r="K868" s="24" t="s">
        <v>199</v>
      </c>
      <c r="L868" s="24" t="s">
        <v>199</v>
      </c>
      <c r="M868" s="24">
        <v>1901</v>
      </c>
      <c r="N868" s="24" t="s">
        <v>527</v>
      </c>
      <c r="O868" s="24">
        <v>5</v>
      </c>
      <c r="P868" s="24">
        <v>0</v>
      </c>
      <c r="Q868" s="24">
        <v>2</v>
      </c>
      <c r="R868" s="24">
        <v>30</v>
      </c>
      <c r="S868" s="24">
        <v>1923</v>
      </c>
      <c r="T868" s="24">
        <v>1923</v>
      </c>
      <c r="U868" s="24">
        <v>1923</v>
      </c>
      <c r="V868" s="24">
        <v>0</v>
      </c>
      <c r="W868" s="24" t="s">
        <v>528</v>
      </c>
      <c r="X868" s="24" t="s">
        <v>528</v>
      </c>
      <c r="Y868" s="24" t="s">
        <v>529</v>
      </c>
      <c r="Z868" s="102" t="s">
        <v>528</v>
      </c>
      <c r="AA868" s="24" t="s">
        <v>528</v>
      </c>
      <c r="AB868" s="24" t="s">
        <v>528</v>
      </c>
      <c r="AC868" s="24" t="s">
        <v>528</v>
      </c>
      <c r="AD868" s="24" t="s">
        <v>528</v>
      </c>
      <c r="AE868" s="24" t="s">
        <v>529</v>
      </c>
      <c r="AF868" s="24">
        <v>1</v>
      </c>
      <c r="AG868" s="24" t="s">
        <v>529</v>
      </c>
      <c r="AH868" s="24" t="s">
        <v>529</v>
      </c>
      <c r="AI868" s="24" t="s">
        <v>529</v>
      </c>
      <c r="AJ868" s="24">
        <v>1</v>
      </c>
      <c r="AK868" s="24" t="s">
        <v>530</v>
      </c>
      <c r="AL868" s="24"/>
    </row>
    <row r="869" spans="1:38" ht="31.2" x14ac:dyDescent="0.3">
      <c r="A869" s="53">
        <v>862</v>
      </c>
      <c r="B869" s="24" t="s">
        <v>544</v>
      </c>
      <c r="C869" s="24" t="s">
        <v>552</v>
      </c>
      <c r="D869" s="82" t="s">
        <v>1463</v>
      </c>
      <c r="E869" s="24" t="s">
        <v>1706</v>
      </c>
      <c r="F869" s="24" t="s">
        <v>206</v>
      </c>
      <c r="G869" s="24"/>
      <c r="H869" s="24" t="s">
        <v>1709</v>
      </c>
      <c r="I869" s="30" t="s">
        <v>525</v>
      </c>
      <c r="J869" s="24"/>
      <c r="K869" s="24" t="s">
        <v>199</v>
      </c>
      <c r="L869" s="24" t="s">
        <v>199</v>
      </c>
      <c r="M869" s="24">
        <v>1902</v>
      </c>
      <c r="N869" s="24" t="s">
        <v>527</v>
      </c>
      <c r="O869" s="24">
        <v>6</v>
      </c>
      <c r="P869" s="24">
        <v>0</v>
      </c>
      <c r="Q869" s="24">
        <v>3</v>
      </c>
      <c r="R869" s="24">
        <v>38</v>
      </c>
      <c r="S869" s="24">
        <v>2332.3000000000002</v>
      </c>
      <c r="T869" s="24">
        <v>2332.3000000000002</v>
      </c>
      <c r="U869" s="24">
        <v>2332.3000000000002</v>
      </c>
      <c r="V869" s="24">
        <v>0</v>
      </c>
      <c r="W869" s="24" t="s">
        <v>528</v>
      </c>
      <c r="X869" s="24" t="s">
        <v>528</v>
      </c>
      <c r="Y869" s="24" t="s">
        <v>529</v>
      </c>
      <c r="Z869" s="102" t="s">
        <v>528</v>
      </c>
      <c r="AA869" s="24" t="s">
        <v>528</v>
      </c>
      <c r="AB869" s="24" t="s">
        <v>528</v>
      </c>
      <c r="AC869" s="24" t="s">
        <v>528</v>
      </c>
      <c r="AD869" s="24" t="s">
        <v>528</v>
      </c>
      <c r="AE869" s="24" t="s">
        <v>529</v>
      </c>
      <c r="AF869" s="24">
        <v>1</v>
      </c>
      <c r="AG869" s="24" t="s">
        <v>529</v>
      </c>
      <c r="AH869" s="24" t="s">
        <v>529</v>
      </c>
      <c r="AI869" s="24" t="s">
        <v>529</v>
      </c>
      <c r="AJ869" s="24">
        <v>1</v>
      </c>
      <c r="AK869" s="24" t="s">
        <v>530</v>
      </c>
      <c r="AL869" s="24"/>
    </row>
    <row r="870" spans="1:38" ht="31.2" x14ac:dyDescent="0.3">
      <c r="A870" s="53">
        <v>863</v>
      </c>
      <c r="B870" s="24" t="s">
        <v>544</v>
      </c>
      <c r="C870" s="24" t="s">
        <v>552</v>
      </c>
      <c r="D870" s="82" t="s">
        <v>1463</v>
      </c>
      <c r="E870" s="24" t="s">
        <v>1706</v>
      </c>
      <c r="F870" s="24" t="s">
        <v>207</v>
      </c>
      <c r="G870" s="24"/>
      <c r="H870" s="24" t="s">
        <v>1710</v>
      </c>
      <c r="I870" s="30" t="s">
        <v>525</v>
      </c>
      <c r="J870" s="24"/>
      <c r="K870" s="24" t="s">
        <v>199</v>
      </c>
      <c r="L870" s="24" t="s">
        <v>199</v>
      </c>
      <c r="M870" s="24">
        <v>1902</v>
      </c>
      <c r="N870" s="24" t="s">
        <v>527</v>
      </c>
      <c r="O870" s="24">
        <v>6</v>
      </c>
      <c r="P870" s="24">
        <v>0</v>
      </c>
      <c r="Q870" s="24">
        <v>1</v>
      </c>
      <c r="R870" s="24">
        <v>41</v>
      </c>
      <c r="S870" s="24">
        <v>2898</v>
      </c>
      <c r="T870" s="24">
        <v>2898</v>
      </c>
      <c r="U870" s="24">
        <v>2562</v>
      </c>
      <c r="V870" s="24">
        <v>336</v>
      </c>
      <c r="W870" s="24" t="s">
        <v>528</v>
      </c>
      <c r="X870" s="24" t="s">
        <v>528</v>
      </c>
      <c r="Y870" s="24" t="s">
        <v>529</v>
      </c>
      <c r="Z870" s="102" t="s">
        <v>528</v>
      </c>
      <c r="AA870" s="24" t="s">
        <v>528</v>
      </c>
      <c r="AB870" s="24" t="s">
        <v>528</v>
      </c>
      <c r="AC870" s="24" t="s">
        <v>528</v>
      </c>
      <c r="AD870" s="24" t="s">
        <v>528</v>
      </c>
      <c r="AE870" s="24" t="s">
        <v>529</v>
      </c>
      <c r="AF870" s="24">
        <v>1</v>
      </c>
      <c r="AG870" s="24" t="s">
        <v>529</v>
      </c>
      <c r="AH870" s="24" t="s">
        <v>529</v>
      </c>
      <c r="AI870" s="24" t="s">
        <v>529</v>
      </c>
      <c r="AJ870" s="24">
        <v>1</v>
      </c>
      <c r="AK870" s="24" t="s">
        <v>530</v>
      </c>
      <c r="AL870" s="24"/>
    </row>
    <row r="871" spans="1:38" ht="31.2" x14ac:dyDescent="0.3">
      <c r="A871" s="53">
        <v>864</v>
      </c>
      <c r="B871" s="24" t="s">
        <v>544</v>
      </c>
      <c r="C871" s="24" t="s">
        <v>552</v>
      </c>
      <c r="D871" s="82" t="s">
        <v>1463</v>
      </c>
      <c r="E871" s="24" t="s">
        <v>1706</v>
      </c>
      <c r="F871" s="24" t="s">
        <v>208</v>
      </c>
      <c r="G871" s="24"/>
      <c r="H871" s="24" t="s">
        <v>1711</v>
      </c>
      <c r="I871" s="30" t="s">
        <v>525</v>
      </c>
      <c r="J871" s="24"/>
      <c r="K871" s="24" t="s">
        <v>199</v>
      </c>
      <c r="L871" s="24" t="s">
        <v>199</v>
      </c>
      <c r="M871" s="24">
        <v>1901</v>
      </c>
      <c r="N871" s="24" t="s">
        <v>527</v>
      </c>
      <c r="O871" s="24">
        <v>1</v>
      </c>
      <c r="P871" s="24">
        <v>0</v>
      </c>
      <c r="Q871" s="24">
        <v>1</v>
      </c>
      <c r="R871" s="24">
        <v>1</v>
      </c>
      <c r="S871" s="24">
        <v>203.2</v>
      </c>
      <c r="T871" s="24">
        <v>203.2</v>
      </c>
      <c r="U871" s="24">
        <v>203.2</v>
      </c>
      <c r="V871" s="24">
        <v>0</v>
      </c>
      <c r="W871" s="24" t="s">
        <v>528</v>
      </c>
      <c r="X871" s="24" t="s">
        <v>528</v>
      </c>
      <c r="Y871" s="24" t="s">
        <v>529</v>
      </c>
      <c r="Z871" s="102" t="s">
        <v>528</v>
      </c>
      <c r="AA871" s="24" t="s">
        <v>528</v>
      </c>
      <c r="AB871" s="24" t="s">
        <v>528</v>
      </c>
      <c r="AC871" s="24" t="s">
        <v>528</v>
      </c>
      <c r="AD871" s="24" t="s">
        <v>528</v>
      </c>
      <c r="AE871" s="24" t="s">
        <v>529</v>
      </c>
      <c r="AF871" s="24">
        <v>0</v>
      </c>
      <c r="AG871" s="24" t="s">
        <v>529</v>
      </c>
      <c r="AH871" s="24" t="s">
        <v>529</v>
      </c>
      <c r="AI871" s="24" t="s">
        <v>529</v>
      </c>
      <c r="AJ871" s="24">
        <v>1</v>
      </c>
      <c r="AK871" s="24" t="s">
        <v>530</v>
      </c>
      <c r="AL871" s="24"/>
    </row>
    <row r="872" spans="1:38" ht="31.2" x14ac:dyDescent="0.3">
      <c r="A872" s="53">
        <v>865</v>
      </c>
      <c r="B872" s="24" t="s">
        <v>544</v>
      </c>
      <c r="C872" s="24" t="s">
        <v>552</v>
      </c>
      <c r="D872" s="82" t="s">
        <v>1463</v>
      </c>
      <c r="E872" s="24" t="s">
        <v>1334</v>
      </c>
      <c r="F872" s="24" t="s">
        <v>200</v>
      </c>
      <c r="G872" s="24"/>
      <c r="H872" s="24" t="s">
        <v>1712</v>
      </c>
      <c r="I872" s="30" t="s">
        <v>525</v>
      </c>
      <c r="J872" s="24"/>
      <c r="K872" s="24" t="s">
        <v>199</v>
      </c>
      <c r="L872" s="24" t="s">
        <v>199</v>
      </c>
      <c r="M872" s="24">
        <v>1898</v>
      </c>
      <c r="N872" s="24" t="s">
        <v>527</v>
      </c>
      <c r="O872" s="24">
        <v>4</v>
      </c>
      <c r="P872" s="24">
        <v>0</v>
      </c>
      <c r="Q872" s="24">
        <v>2</v>
      </c>
      <c r="R872" s="24">
        <v>13</v>
      </c>
      <c r="S872" s="24">
        <v>1177.2</v>
      </c>
      <c r="T872" s="24">
        <v>1177.2</v>
      </c>
      <c r="U872" s="24">
        <v>922</v>
      </c>
      <c r="V872" s="24">
        <v>255.2</v>
      </c>
      <c r="W872" s="24" t="s">
        <v>528</v>
      </c>
      <c r="X872" s="24" t="s">
        <v>528</v>
      </c>
      <c r="Y872" s="24" t="s">
        <v>529</v>
      </c>
      <c r="Z872" s="102" t="s">
        <v>528</v>
      </c>
      <c r="AA872" s="24" t="s">
        <v>528</v>
      </c>
      <c r="AB872" s="24" t="s">
        <v>528</v>
      </c>
      <c r="AC872" s="24" t="s">
        <v>528</v>
      </c>
      <c r="AD872" s="24" t="s">
        <v>528</v>
      </c>
      <c r="AE872" s="24" t="s">
        <v>529</v>
      </c>
      <c r="AF872" s="24">
        <v>0</v>
      </c>
      <c r="AG872" s="24" t="s">
        <v>529</v>
      </c>
      <c r="AH872" s="24">
        <v>1</v>
      </c>
      <c r="AI872" s="24" t="s">
        <v>529</v>
      </c>
      <c r="AJ872" s="24" t="s">
        <v>529</v>
      </c>
      <c r="AK872" s="24" t="s">
        <v>530</v>
      </c>
      <c r="AL872" s="24"/>
    </row>
    <row r="873" spans="1:38" ht="31.2" x14ac:dyDescent="0.3">
      <c r="A873" s="53">
        <v>866</v>
      </c>
      <c r="B873" s="24" t="s">
        <v>544</v>
      </c>
      <c r="C873" s="24" t="s">
        <v>653</v>
      </c>
      <c r="D873" s="82" t="s">
        <v>431</v>
      </c>
      <c r="E873" s="24" t="s">
        <v>1713</v>
      </c>
      <c r="F873" s="24" t="s">
        <v>200</v>
      </c>
      <c r="G873" s="24"/>
      <c r="H873" s="24" t="s">
        <v>1714</v>
      </c>
      <c r="I873" s="30" t="s">
        <v>525</v>
      </c>
      <c r="J873" s="24"/>
      <c r="K873" s="24" t="s">
        <v>199</v>
      </c>
      <c r="L873" s="24" t="s">
        <v>199</v>
      </c>
      <c r="M873" s="24">
        <v>1910</v>
      </c>
      <c r="N873" s="24" t="s">
        <v>527</v>
      </c>
      <c r="O873" s="24">
        <v>6</v>
      </c>
      <c r="P873" s="24">
        <v>0</v>
      </c>
      <c r="Q873" s="24">
        <v>2</v>
      </c>
      <c r="R873" s="24">
        <v>30</v>
      </c>
      <c r="S873" s="24">
        <v>2613.42</v>
      </c>
      <c r="T873" s="24">
        <v>2613.42</v>
      </c>
      <c r="U873" s="24">
        <v>2359.4299999999998</v>
      </c>
      <c r="V873" s="24">
        <v>254</v>
      </c>
      <c r="W873" s="24" t="s">
        <v>528</v>
      </c>
      <c r="X873" s="24" t="s">
        <v>528</v>
      </c>
      <c r="Y873" s="24" t="s">
        <v>529</v>
      </c>
      <c r="Z873" s="102" t="s">
        <v>528</v>
      </c>
      <c r="AA873" s="24" t="s">
        <v>528</v>
      </c>
      <c r="AB873" s="24" t="s">
        <v>528</v>
      </c>
      <c r="AC873" s="24" t="s">
        <v>528</v>
      </c>
      <c r="AD873" s="24" t="s">
        <v>528</v>
      </c>
      <c r="AE873" s="24" t="s">
        <v>529</v>
      </c>
      <c r="AF873" s="24">
        <v>0</v>
      </c>
      <c r="AG873" s="24" t="s">
        <v>529</v>
      </c>
      <c r="AH873" s="24">
        <v>1</v>
      </c>
      <c r="AI873" s="24" t="s">
        <v>529</v>
      </c>
      <c r="AJ873" s="24">
        <v>1</v>
      </c>
      <c r="AK873" s="24" t="s">
        <v>530</v>
      </c>
      <c r="AL873" s="24"/>
    </row>
    <row r="874" spans="1:38" ht="31.2" x14ac:dyDescent="0.3">
      <c r="A874" s="53">
        <v>867</v>
      </c>
      <c r="B874" s="24" t="s">
        <v>544</v>
      </c>
      <c r="C874" s="24" t="s">
        <v>653</v>
      </c>
      <c r="D874" s="82" t="s">
        <v>431</v>
      </c>
      <c r="E874" s="24" t="s">
        <v>1713</v>
      </c>
      <c r="F874" s="24" t="s">
        <v>205</v>
      </c>
      <c r="G874" s="24"/>
      <c r="H874" s="24" t="s">
        <v>1715</v>
      </c>
      <c r="I874" s="30" t="s">
        <v>525</v>
      </c>
      <c r="J874" s="24"/>
      <c r="K874" s="24" t="s">
        <v>199</v>
      </c>
      <c r="L874" s="24" t="s">
        <v>199</v>
      </c>
      <c r="M874" s="24">
        <v>1910</v>
      </c>
      <c r="N874" s="24" t="s">
        <v>527</v>
      </c>
      <c r="O874" s="24">
        <v>2</v>
      </c>
      <c r="P874" s="24">
        <v>0</v>
      </c>
      <c r="Q874" s="24">
        <v>1</v>
      </c>
      <c r="R874" s="24">
        <v>5</v>
      </c>
      <c r="S874" s="24">
        <v>525.29999999999995</v>
      </c>
      <c r="T874" s="24">
        <v>525.29999999999995</v>
      </c>
      <c r="U874" s="24">
        <v>525.29999999999995</v>
      </c>
      <c r="V874" s="24">
        <v>0</v>
      </c>
      <c r="W874" s="24" t="s">
        <v>528</v>
      </c>
      <c r="X874" s="24" t="s">
        <v>528</v>
      </c>
      <c r="Y874" s="24" t="s">
        <v>529</v>
      </c>
      <c r="Z874" s="102" t="s">
        <v>528</v>
      </c>
      <c r="AA874" s="24" t="s">
        <v>528</v>
      </c>
      <c r="AB874" s="24" t="s">
        <v>528</v>
      </c>
      <c r="AC874" s="24" t="s">
        <v>529</v>
      </c>
      <c r="AD874" s="24" t="s">
        <v>528</v>
      </c>
      <c r="AE874" s="24" t="s">
        <v>529</v>
      </c>
      <c r="AF874" s="24">
        <v>0</v>
      </c>
      <c r="AG874" s="24" t="s">
        <v>529</v>
      </c>
      <c r="AH874" s="24" t="s">
        <v>529</v>
      </c>
      <c r="AI874" s="24" t="s">
        <v>529</v>
      </c>
      <c r="AJ874" s="24" t="s">
        <v>529</v>
      </c>
      <c r="AK874" s="24" t="s">
        <v>530</v>
      </c>
      <c r="AL874" s="24"/>
    </row>
    <row r="875" spans="1:38" ht="31.2" x14ac:dyDescent="0.3">
      <c r="A875" s="53">
        <v>868</v>
      </c>
      <c r="B875" s="24" t="s">
        <v>544</v>
      </c>
      <c r="C875" s="24" t="s">
        <v>653</v>
      </c>
      <c r="D875" s="82" t="s">
        <v>431</v>
      </c>
      <c r="E875" s="24" t="s">
        <v>1716</v>
      </c>
      <c r="F875" s="24" t="s">
        <v>200</v>
      </c>
      <c r="G875" s="24"/>
      <c r="H875" s="24" t="s">
        <v>1717</v>
      </c>
      <c r="I875" s="30" t="s">
        <v>525</v>
      </c>
      <c r="J875" s="24"/>
      <c r="K875" s="24" t="s">
        <v>199</v>
      </c>
      <c r="L875" s="24" t="s">
        <v>199</v>
      </c>
      <c r="M875" s="24">
        <v>1909</v>
      </c>
      <c r="N875" s="24" t="s">
        <v>527</v>
      </c>
      <c r="O875" s="24">
        <v>4</v>
      </c>
      <c r="P875" s="24">
        <v>0</v>
      </c>
      <c r="Q875" s="24">
        <v>2</v>
      </c>
      <c r="R875" s="24">
        <v>17</v>
      </c>
      <c r="S875" s="24">
        <v>1320.1</v>
      </c>
      <c r="T875" s="24">
        <v>1320.1</v>
      </c>
      <c r="U875" s="24">
        <v>1154.0999999999999</v>
      </c>
      <c r="V875" s="24">
        <v>166</v>
      </c>
      <c r="W875" s="24" t="s">
        <v>528</v>
      </c>
      <c r="X875" s="24" t="s">
        <v>528</v>
      </c>
      <c r="Y875" s="24" t="s">
        <v>529</v>
      </c>
      <c r="Z875" s="102" t="s">
        <v>528</v>
      </c>
      <c r="AA875" s="24" t="s">
        <v>528</v>
      </c>
      <c r="AB875" s="24" t="s">
        <v>528</v>
      </c>
      <c r="AC875" s="24" t="s">
        <v>528</v>
      </c>
      <c r="AD875" s="24" t="s">
        <v>528</v>
      </c>
      <c r="AE875" s="24" t="s">
        <v>529</v>
      </c>
      <c r="AF875" s="24">
        <v>0</v>
      </c>
      <c r="AG875" s="24" t="s">
        <v>529</v>
      </c>
      <c r="AH875" s="24">
        <v>1</v>
      </c>
      <c r="AI875" s="24" t="s">
        <v>529</v>
      </c>
      <c r="AJ875" s="24">
        <v>1</v>
      </c>
      <c r="AK875" s="24" t="s">
        <v>530</v>
      </c>
      <c r="AL875" s="24"/>
    </row>
    <row r="876" spans="1:38" ht="31.2" x14ac:dyDescent="0.3">
      <c r="A876" s="53">
        <v>869</v>
      </c>
      <c r="B876" s="24" t="s">
        <v>544</v>
      </c>
      <c r="C876" s="24" t="s">
        <v>653</v>
      </c>
      <c r="D876" s="82" t="s">
        <v>431</v>
      </c>
      <c r="E876" s="24" t="s">
        <v>1718</v>
      </c>
      <c r="F876" s="24" t="s">
        <v>200</v>
      </c>
      <c r="G876" s="24"/>
      <c r="H876" s="24" t="s">
        <v>1719</v>
      </c>
      <c r="I876" s="30" t="s">
        <v>525</v>
      </c>
      <c r="J876" s="24"/>
      <c r="K876" s="24" t="s">
        <v>1138</v>
      </c>
      <c r="L876" s="24" t="s">
        <v>199</v>
      </c>
      <c r="M876" s="24">
        <v>1959</v>
      </c>
      <c r="N876" s="24" t="s">
        <v>527</v>
      </c>
      <c r="O876" s="24">
        <v>5</v>
      </c>
      <c r="P876" s="24">
        <v>0</v>
      </c>
      <c r="Q876" s="24">
        <v>3</v>
      </c>
      <c r="R876" s="24">
        <v>41</v>
      </c>
      <c r="S876" s="24">
        <v>2832.68</v>
      </c>
      <c r="T876" s="24">
        <v>2832.68</v>
      </c>
      <c r="U876" s="24">
        <v>2416.6799999999998</v>
      </c>
      <c r="V876" s="24">
        <v>416</v>
      </c>
      <c r="W876" s="24" t="s">
        <v>528</v>
      </c>
      <c r="X876" s="24" t="s">
        <v>528</v>
      </c>
      <c r="Y876" s="24" t="s">
        <v>529</v>
      </c>
      <c r="Z876" s="102" t="s">
        <v>528</v>
      </c>
      <c r="AA876" s="24" t="s">
        <v>528</v>
      </c>
      <c r="AB876" s="24" t="s">
        <v>528</v>
      </c>
      <c r="AC876" s="24" t="s">
        <v>528</v>
      </c>
      <c r="AD876" s="24" t="s">
        <v>528</v>
      </c>
      <c r="AE876" s="24" t="s">
        <v>529</v>
      </c>
      <c r="AF876" s="24">
        <v>0</v>
      </c>
      <c r="AG876" s="24" t="s">
        <v>529</v>
      </c>
      <c r="AH876" s="24">
        <v>1</v>
      </c>
      <c r="AI876" s="24" t="s">
        <v>529</v>
      </c>
      <c r="AJ876" s="24" t="s">
        <v>529</v>
      </c>
      <c r="AK876" s="24" t="s">
        <v>530</v>
      </c>
      <c r="AL876" s="24"/>
    </row>
    <row r="877" spans="1:38" ht="31.2" x14ac:dyDescent="0.3">
      <c r="A877" s="53">
        <v>870</v>
      </c>
      <c r="B877" s="24" t="s">
        <v>544</v>
      </c>
      <c r="C877" s="24" t="s">
        <v>653</v>
      </c>
      <c r="D877" s="82" t="s">
        <v>431</v>
      </c>
      <c r="E877" s="24" t="s">
        <v>1326</v>
      </c>
      <c r="F877" s="24" t="s">
        <v>200</v>
      </c>
      <c r="G877" s="24"/>
      <c r="H877" s="24" t="s">
        <v>1720</v>
      </c>
      <c r="I877" s="30" t="s">
        <v>525</v>
      </c>
      <c r="J877" s="24"/>
      <c r="K877" s="24" t="s">
        <v>199</v>
      </c>
      <c r="L877" s="24" t="s">
        <v>199</v>
      </c>
      <c r="M877" s="24">
        <v>1906</v>
      </c>
      <c r="N877" s="24" t="s">
        <v>527</v>
      </c>
      <c r="O877" s="24">
        <v>4</v>
      </c>
      <c r="P877" s="24">
        <v>0</v>
      </c>
      <c r="Q877" s="24">
        <v>2</v>
      </c>
      <c r="R877" s="24">
        <v>19</v>
      </c>
      <c r="S877" s="24">
        <v>1423.9</v>
      </c>
      <c r="T877" s="24">
        <v>1423.9</v>
      </c>
      <c r="U877" s="24">
        <v>1423.9</v>
      </c>
      <c r="V877" s="24">
        <v>0</v>
      </c>
      <c r="W877" s="24" t="s">
        <v>528</v>
      </c>
      <c r="X877" s="24" t="s">
        <v>528</v>
      </c>
      <c r="Y877" s="24" t="s">
        <v>529</v>
      </c>
      <c r="Z877" s="102" t="s">
        <v>528</v>
      </c>
      <c r="AA877" s="24" t="s">
        <v>528</v>
      </c>
      <c r="AB877" s="24" t="s">
        <v>528</v>
      </c>
      <c r="AC877" s="24" t="s">
        <v>528</v>
      </c>
      <c r="AD877" s="24" t="s">
        <v>528</v>
      </c>
      <c r="AE877" s="24" t="s">
        <v>529</v>
      </c>
      <c r="AF877" s="24">
        <v>0</v>
      </c>
      <c r="AG877" s="24" t="s">
        <v>529</v>
      </c>
      <c r="AH877" s="24">
        <v>1</v>
      </c>
      <c r="AI877" s="24" t="s">
        <v>529</v>
      </c>
      <c r="AJ877" s="24" t="s">
        <v>529</v>
      </c>
      <c r="AK877" s="24" t="s">
        <v>530</v>
      </c>
      <c r="AL877" s="24"/>
    </row>
    <row r="878" spans="1:38" ht="31.2" x14ac:dyDescent="0.3">
      <c r="A878" s="53">
        <v>871</v>
      </c>
      <c r="B878" s="24" t="s">
        <v>544</v>
      </c>
      <c r="C878" s="24" t="s">
        <v>552</v>
      </c>
      <c r="D878" s="82" t="s">
        <v>218</v>
      </c>
      <c r="E878" s="24" t="s">
        <v>1339</v>
      </c>
      <c r="F878" s="24" t="s">
        <v>200</v>
      </c>
      <c r="G878" s="24"/>
      <c r="H878" s="24" t="s">
        <v>1721</v>
      </c>
      <c r="I878" s="30" t="s">
        <v>525</v>
      </c>
      <c r="J878" s="24" t="s">
        <v>535</v>
      </c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102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</row>
    <row r="879" spans="1:38" ht="31.2" x14ac:dyDescent="0.3">
      <c r="A879" s="53">
        <v>872</v>
      </c>
      <c r="B879" s="24" t="s">
        <v>544</v>
      </c>
      <c r="C879" s="24" t="s">
        <v>552</v>
      </c>
      <c r="D879" s="82" t="s">
        <v>218</v>
      </c>
      <c r="E879" s="24" t="s">
        <v>1132</v>
      </c>
      <c r="F879" s="24" t="s">
        <v>200</v>
      </c>
      <c r="G879" s="24"/>
      <c r="H879" s="24" t="s">
        <v>1722</v>
      </c>
      <c r="I879" s="30" t="s">
        <v>525</v>
      </c>
      <c r="J879" s="24"/>
      <c r="K879" s="24" t="s">
        <v>199</v>
      </c>
      <c r="L879" s="24" t="s">
        <v>199</v>
      </c>
      <c r="M879" s="24">
        <v>1911</v>
      </c>
      <c r="N879" s="24" t="s">
        <v>527</v>
      </c>
      <c r="O879" s="24">
        <v>6</v>
      </c>
      <c r="P879" s="24">
        <v>0</v>
      </c>
      <c r="Q879" s="24">
        <v>4</v>
      </c>
      <c r="R879" s="24">
        <v>71</v>
      </c>
      <c r="S879" s="24">
        <v>5443.4</v>
      </c>
      <c r="T879" s="24">
        <v>5443.4</v>
      </c>
      <c r="U879" s="24">
        <v>5294.6</v>
      </c>
      <c r="V879" s="24">
        <v>148.80000000000001</v>
      </c>
      <c r="W879" s="24" t="s">
        <v>528</v>
      </c>
      <c r="X879" s="24" t="s">
        <v>528</v>
      </c>
      <c r="Y879" s="24" t="s">
        <v>529</v>
      </c>
      <c r="Z879" s="102" t="s">
        <v>528</v>
      </c>
      <c r="AA879" s="24" t="s">
        <v>528</v>
      </c>
      <c r="AB879" s="24" t="s">
        <v>528</v>
      </c>
      <c r="AC879" s="24" t="s">
        <v>528</v>
      </c>
      <c r="AD879" s="24" t="s">
        <v>528</v>
      </c>
      <c r="AE879" s="24" t="s">
        <v>529</v>
      </c>
      <c r="AF879" s="24">
        <v>2</v>
      </c>
      <c r="AG879" s="24" t="s">
        <v>529</v>
      </c>
      <c r="AH879" s="24">
        <v>2</v>
      </c>
      <c r="AI879" s="24" t="s">
        <v>529</v>
      </c>
      <c r="AJ879" s="24">
        <v>1</v>
      </c>
      <c r="AK879" s="24" t="s">
        <v>530</v>
      </c>
      <c r="AL879" s="24"/>
    </row>
    <row r="880" spans="1:38" ht="31.2" x14ac:dyDescent="0.3">
      <c r="A880" s="53">
        <v>873</v>
      </c>
      <c r="B880" s="24" t="s">
        <v>544</v>
      </c>
      <c r="C880" s="24" t="s">
        <v>552</v>
      </c>
      <c r="D880" s="82" t="s">
        <v>218</v>
      </c>
      <c r="E880" s="24" t="s">
        <v>1723</v>
      </c>
      <c r="F880" s="24" t="s">
        <v>200</v>
      </c>
      <c r="G880" s="24"/>
      <c r="H880" s="24" t="s">
        <v>1724</v>
      </c>
      <c r="I880" s="30" t="s">
        <v>525</v>
      </c>
      <c r="J880" s="24"/>
      <c r="K880" s="24" t="s">
        <v>199</v>
      </c>
      <c r="L880" s="24" t="s">
        <v>199</v>
      </c>
      <c r="M880" s="24">
        <v>1904</v>
      </c>
      <c r="N880" s="24" t="s">
        <v>527</v>
      </c>
      <c r="O880" s="24">
        <v>6</v>
      </c>
      <c r="P880" s="24">
        <v>0</v>
      </c>
      <c r="Q880" s="24">
        <v>3</v>
      </c>
      <c r="R880" s="24">
        <v>57</v>
      </c>
      <c r="S880" s="24">
        <v>2418.6</v>
      </c>
      <c r="T880" s="24">
        <v>2418.6</v>
      </c>
      <c r="U880" s="24">
        <v>2414.9</v>
      </c>
      <c r="V880" s="24">
        <v>3.7</v>
      </c>
      <c r="W880" s="24" t="s">
        <v>528</v>
      </c>
      <c r="X880" s="24" t="s">
        <v>528</v>
      </c>
      <c r="Y880" s="24" t="s">
        <v>529</v>
      </c>
      <c r="Z880" s="102" t="s">
        <v>528</v>
      </c>
      <c r="AA880" s="24" t="s">
        <v>528</v>
      </c>
      <c r="AB880" s="24" t="s">
        <v>528</v>
      </c>
      <c r="AC880" s="24" t="s">
        <v>528</v>
      </c>
      <c r="AD880" s="24" t="s">
        <v>528</v>
      </c>
      <c r="AE880" s="24" t="s">
        <v>529</v>
      </c>
      <c r="AF880" s="24">
        <v>1</v>
      </c>
      <c r="AG880" s="24" t="s">
        <v>529</v>
      </c>
      <c r="AH880" s="24">
        <v>1</v>
      </c>
      <c r="AI880" s="24" t="s">
        <v>529</v>
      </c>
      <c r="AJ880" s="24">
        <v>1</v>
      </c>
      <c r="AK880" s="24" t="s">
        <v>530</v>
      </c>
      <c r="AL880" s="24"/>
    </row>
    <row r="881" spans="1:38" ht="31.2" x14ac:dyDescent="0.3">
      <c r="A881" s="53">
        <v>874</v>
      </c>
      <c r="B881" s="24" t="s">
        <v>544</v>
      </c>
      <c r="C881" s="24" t="s">
        <v>552</v>
      </c>
      <c r="D881" s="82" t="s">
        <v>469</v>
      </c>
      <c r="E881" s="24" t="s">
        <v>1725</v>
      </c>
      <c r="F881" s="24" t="s">
        <v>205</v>
      </c>
      <c r="G881" s="24"/>
      <c r="H881" s="24" t="s">
        <v>1726</v>
      </c>
      <c r="I881" s="30" t="s">
        <v>525</v>
      </c>
      <c r="J881" s="24"/>
      <c r="K881" s="24" t="s">
        <v>199</v>
      </c>
      <c r="L881" s="24" t="s">
        <v>199</v>
      </c>
      <c r="M881" s="24">
        <v>1913</v>
      </c>
      <c r="N881" s="24" t="s">
        <v>527</v>
      </c>
      <c r="O881" s="24">
        <v>6</v>
      </c>
      <c r="P881" s="24">
        <v>0</v>
      </c>
      <c r="Q881" s="24">
        <v>2</v>
      </c>
      <c r="R881" s="24">
        <v>31</v>
      </c>
      <c r="S881" s="24">
        <v>2205.8000000000002</v>
      </c>
      <c r="T881" s="24">
        <v>2205.8000000000002</v>
      </c>
      <c r="U881" s="24">
        <v>2116.8000000000002</v>
      </c>
      <c r="V881" s="24">
        <v>89</v>
      </c>
      <c r="W881" s="24" t="s">
        <v>528</v>
      </c>
      <c r="X881" s="24" t="s">
        <v>528</v>
      </c>
      <c r="Y881" s="24" t="s">
        <v>529</v>
      </c>
      <c r="Z881" s="102" t="s">
        <v>528</v>
      </c>
      <c r="AA881" s="24" t="s">
        <v>528</v>
      </c>
      <c r="AB881" s="24" t="s">
        <v>528</v>
      </c>
      <c r="AC881" s="24" t="s">
        <v>528</v>
      </c>
      <c r="AD881" s="24" t="s">
        <v>528</v>
      </c>
      <c r="AE881" s="24" t="s">
        <v>529</v>
      </c>
      <c r="AF881" s="24">
        <v>0</v>
      </c>
      <c r="AG881" s="24" t="s">
        <v>529</v>
      </c>
      <c r="AH881" s="24">
        <v>1</v>
      </c>
      <c r="AI881" s="24" t="s">
        <v>529</v>
      </c>
      <c r="AJ881" s="24" t="s">
        <v>529</v>
      </c>
      <c r="AK881" s="24" t="s">
        <v>530</v>
      </c>
      <c r="AL881" s="24"/>
    </row>
    <row r="882" spans="1:38" ht="31.2" x14ac:dyDescent="0.3">
      <c r="A882" s="53">
        <v>875</v>
      </c>
      <c r="B882" s="24" t="s">
        <v>544</v>
      </c>
      <c r="C882" s="24" t="s">
        <v>552</v>
      </c>
      <c r="D882" s="82" t="s">
        <v>469</v>
      </c>
      <c r="E882" s="24" t="s">
        <v>1725</v>
      </c>
      <c r="F882" s="24" t="s">
        <v>200</v>
      </c>
      <c r="G882" s="24"/>
      <c r="H882" s="24" t="s">
        <v>1727</v>
      </c>
      <c r="I882" s="30" t="s">
        <v>525</v>
      </c>
      <c r="J882" s="24"/>
      <c r="K882" s="24" t="s">
        <v>199</v>
      </c>
      <c r="L882" s="24" t="s">
        <v>199</v>
      </c>
      <c r="M882" s="24">
        <v>1913</v>
      </c>
      <c r="N882" s="24" t="s">
        <v>527</v>
      </c>
      <c r="O882" s="24">
        <v>6</v>
      </c>
      <c r="P882" s="24">
        <v>0</v>
      </c>
      <c r="Q882" s="24">
        <v>1</v>
      </c>
      <c r="R882" s="24">
        <v>16</v>
      </c>
      <c r="S882" s="24">
        <v>1724.4</v>
      </c>
      <c r="T882" s="24">
        <v>1724.4</v>
      </c>
      <c r="U882" s="24">
        <v>1437.4</v>
      </c>
      <c r="V882" s="24">
        <v>287</v>
      </c>
      <c r="W882" s="24" t="s">
        <v>528</v>
      </c>
      <c r="X882" s="24" t="s">
        <v>528</v>
      </c>
      <c r="Y882" s="24" t="s">
        <v>529</v>
      </c>
      <c r="Z882" s="102" t="s">
        <v>528</v>
      </c>
      <c r="AA882" s="24" t="s">
        <v>528</v>
      </c>
      <c r="AB882" s="24" t="s">
        <v>528</v>
      </c>
      <c r="AC882" s="24" t="s">
        <v>528</v>
      </c>
      <c r="AD882" s="24" t="s">
        <v>528</v>
      </c>
      <c r="AE882" s="24" t="s">
        <v>529</v>
      </c>
      <c r="AF882" s="24">
        <v>0</v>
      </c>
      <c r="AG882" s="24" t="s">
        <v>529</v>
      </c>
      <c r="AH882" s="24" t="s">
        <v>529</v>
      </c>
      <c r="AI882" s="24" t="s">
        <v>529</v>
      </c>
      <c r="AJ882" s="24" t="s">
        <v>529</v>
      </c>
      <c r="AK882" s="24" t="s">
        <v>530</v>
      </c>
      <c r="AL882" s="24"/>
    </row>
    <row r="883" spans="1:38" ht="31.2" x14ac:dyDescent="0.3">
      <c r="A883" s="53">
        <v>876</v>
      </c>
      <c r="B883" s="24" t="s">
        <v>544</v>
      </c>
      <c r="C883" s="24" t="s">
        <v>552</v>
      </c>
      <c r="D883" s="82" t="s">
        <v>469</v>
      </c>
      <c r="E883" s="24" t="s">
        <v>1728</v>
      </c>
      <c r="F883" s="24" t="s">
        <v>200</v>
      </c>
      <c r="G883" s="24"/>
      <c r="H883" s="24" t="s">
        <v>1729</v>
      </c>
      <c r="I883" s="30" t="s">
        <v>525</v>
      </c>
      <c r="J883" s="24"/>
      <c r="K883" s="24" t="s">
        <v>199</v>
      </c>
      <c r="L883" s="24" t="s">
        <v>199</v>
      </c>
      <c r="M883" s="24">
        <v>1896</v>
      </c>
      <c r="N883" s="24" t="s">
        <v>527</v>
      </c>
      <c r="O883" s="24">
        <v>3</v>
      </c>
      <c r="P883" s="24">
        <v>0</v>
      </c>
      <c r="Q883" s="24">
        <v>1</v>
      </c>
      <c r="R883" s="24">
        <v>6</v>
      </c>
      <c r="S883" s="24">
        <v>933.1</v>
      </c>
      <c r="T883" s="24">
        <v>933.1</v>
      </c>
      <c r="U883" s="24">
        <v>624.1</v>
      </c>
      <c r="V883" s="24">
        <v>309</v>
      </c>
      <c r="W883" s="24" t="s">
        <v>528</v>
      </c>
      <c r="X883" s="24" t="s">
        <v>528</v>
      </c>
      <c r="Y883" s="24" t="s">
        <v>529</v>
      </c>
      <c r="Z883" s="102" t="s">
        <v>528</v>
      </c>
      <c r="AA883" s="24" t="s">
        <v>528</v>
      </c>
      <c r="AB883" s="24" t="s">
        <v>528</v>
      </c>
      <c r="AC883" s="24" t="s">
        <v>528</v>
      </c>
      <c r="AD883" s="24" t="s">
        <v>528</v>
      </c>
      <c r="AE883" s="24" t="s">
        <v>529</v>
      </c>
      <c r="AF883" s="24">
        <v>0</v>
      </c>
      <c r="AG883" s="24" t="s">
        <v>529</v>
      </c>
      <c r="AH883" s="24">
        <v>1</v>
      </c>
      <c r="AI883" s="24" t="s">
        <v>529</v>
      </c>
      <c r="AJ883" s="24" t="s">
        <v>529</v>
      </c>
      <c r="AK883" s="24" t="s">
        <v>530</v>
      </c>
      <c r="AL883" s="24"/>
    </row>
    <row r="884" spans="1:38" ht="31.2" x14ac:dyDescent="0.3">
      <c r="A884" s="53">
        <v>877</v>
      </c>
      <c r="B884" s="24" t="s">
        <v>544</v>
      </c>
      <c r="C884" s="24" t="s">
        <v>552</v>
      </c>
      <c r="D884" s="82" t="s">
        <v>469</v>
      </c>
      <c r="E884" s="24" t="s">
        <v>1231</v>
      </c>
      <c r="F884" s="24" t="s">
        <v>200</v>
      </c>
      <c r="G884" s="24"/>
      <c r="H884" s="24" t="s">
        <v>1730</v>
      </c>
      <c r="I884" s="30" t="s">
        <v>525</v>
      </c>
      <c r="J884" s="24"/>
      <c r="K884" s="24" t="s">
        <v>199</v>
      </c>
      <c r="L884" s="24" t="s">
        <v>199</v>
      </c>
      <c r="M884" s="24">
        <v>1902</v>
      </c>
      <c r="N884" s="24" t="s">
        <v>527</v>
      </c>
      <c r="O884" s="24">
        <v>5</v>
      </c>
      <c r="P884" s="24">
        <v>0</v>
      </c>
      <c r="Q884" s="24">
        <v>5</v>
      </c>
      <c r="R884" s="24">
        <v>44</v>
      </c>
      <c r="S884" s="24">
        <v>3905.5</v>
      </c>
      <c r="T884" s="24">
        <v>3905.5</v>
      </c>
      <c r="U884" s="24">
        <v>3447.5</v>
      </c>
      <c r="V884" s="24">
        <v>458</v>
      </c>
      <c r="W884" s="24" t="s">
        <v>528</v>
      </c>
      <c r="X884" s="24" t="s">
        <v>528</v>
      </c>
      <c r="Y884" s="24" t="s">
        <v>529</v>
      </c>
      <c r="Z884" s="102" t="s">
        <v>528</v>
      </c>
      <c r="AA884" s="24" t="s">
        <v>528</v>
      </c>
      <c r="AB884" s="24" t="s">
        <v>528</v>
      </c>
      <c r="AC884" s="24" t="s">
        <v>528</v>
      </c>
      <c r="AD884" s="24" t="s">
        <v>528</v>
      </c>
      <c r="AE884" s="24" t="s">
        <v>529</v>
      </c>
      <c r="AF884" s="24">
        <v>1</v>
      </c>
      <c r="AG884" s="24" t="s">
        <v>529</v>
      </c>
      <c r="AH884" s="24">
        <v>1</v>
      </c>
      <c r="AI884" s="24" t="s">
        <v>529</v>
      </c>
      <c r="AJ884" s="24">
        <v>2</v>
      </c>
      <c r="AK884" s="24" t="s">
        <v>530</v>
      </c>
      <c r="AL884" s="24"/>
    </row>
    <row r="885" spans="1:38" ht="31.2" x14ac:dyDescent="0.3">
      <c r="A885" s="53">
        <v>878</v>
      </c>
      <c r="B885" s="24" t="s">
        <v>544</v>
      </c>
      <c r="C885" s="24" t="s">
        <v>552</v>
      </c>
      <c r="D885" s="82" t="s">
        <v>469</v>
      </c>
      <c r="E885" s="24" t="s">
        <v>1236</v>
      </c>
      <c r="F885" s="24" t="s">
        <v>200</v>
      </c>
      <c r="G885" s="24"/>
      <c r="H885" s="24" t="s">
        <v>1731</v>
      </c>
      <c r="I885" s="30" t="s">
        <v>525</v>
      </c>
      <c r="J885" s="24"/>
      <c r="K885" s="24" t="s">
        <v>199</v>
      </c>
      <c r="L885" s="24" t="s">
        <v>199</v>
      </c>
      <c r="M885" s="24">
        <v>1914</v>
      </c>
      <c r="N885" s="24" t="s">
        <v>527</v>
      </c>
      <c r="O885" s="24">
        <v>7</v>
      </c>
      <c r="P885" s="24">
        <v>0</v>
      </c>
      <c r="Q885" s="24">
        <v>4</v>
      </c>
      <c r="R885" s="24">
        <v>43</v>
      </c>
      <c r="S885" s="24">
        <v>4757.8999999999996</v>
      </c>
      <c r="T885" s="24">
        <v>4757.8999999999996</v>
      </c>
      <c r="U885" s="24">
        <v>3767.9</v>
      </c>
      <c r="V885" s="24">
        <v>990</v>
      </c>
      <c r="W885" s="24" t="s">
        <v>528</v>
      </c>
      <c r="X885" s="24" t="s">
        <v>528</v>
      </c>
      <c r="Y885" s="24" t="s">
        <v>529</v>
      </c>
      <c r="Z885" s="102" t="s">
        <v>528</v>
      </c>
      <c r="AA885" s="24" t="s">
        <v>528</v>
      </c>
      <c r="AB885" s="24" t="s">
        <v>528</v>
      </c>
      <c r="AC885" s="24" t="s">
        <v>528</v>
      </c>
      <c r="AD885" s="24" t="s">
        <v>528</v>
      </c>
      <c r="AE885" s="24" t="s">
        <v>529</v>
      </c>
      <c r="AF885" s="24">
        <v>2</v>
      </c>
      <c r="AG885" s="24" t="s">
        <v>529</v>
      </c>
      <c r="AH885" s="24">
        <v>1</v>
      </c>
      <c r="AI885" s="24" t="s">
        <v>529</v>
      </c>
      <c r="AJ885" s="24">
        <v>1</v>
      </c>
      <c r="AK885" s="24" t="s">
        <v>530</v>
      </c>
      <c r="AL885" s="24"/>
    </row>
    <row r="886" spans="1:38" ht="31.2" x14ac:dyDescent="0.3">
      <c r="A886" s="53">
        <v>879</v>
      </c>
      <c r="B886" s="24" t="s">
        <v>544</v>
      </c>
      <c r="C886" s="24" t="s">
        <v>552</v>
      </c>
      <c r="D886" s="82" t="s">
        <v>1732</v>
      </c>
      <c r="E886" s="24" t="s">
        <v>1733</v>
      </c>
      <c r="F886" s="24" t="s">
        <v>200</v>
      </c>
      <c r="G886" s="24"/>
      <c r="H886" s="24" t="s">
        <v>1734</v>
      </c>
      <c r="I886" s="30" t="s">
        <v>525</v>
      </c>
      <c r="J886" s="24"/>
      <c r="K886" s="24" t="s">
        <v>199</v>
      </c>
      <c r="L886" s="24" t="s">
        <v>199</v>
      </c>
      <c r="M886" s="24">
        <v>1903</v>
      </c>
      <c r="N886" s="24" t="s">
        <v>527</v>
      </c>
      <c r="O886" s="24">
        <v>6</v>
      </c>
      <c r="P886" s="24">
        <v>0</v>
      </c>
      <c r="Q886" s="24">
        <v>1</v>
      </c>
      <c r="R886" s="24">
        <v>28</v>
      </c>
      <c r="S886" s="24">
        <v>1998</v>
      </c>
      <c r="T886" s="24">
        <v>1998</v>
      </c>
      <c r="U886" s="24">
        <v>1933</v>
      </c>
      <c r="V886" s="24">
        <v>65</v>
      </c>
      <c r="W886" s="24" t="s">
        <v>528</v>
      </c>
      <c r="X886" s="24" t="s">
        <v>528</v>
      </c>
      <c r="Y886" s="24" t="s">
        <v>529</v>
      </c>
      <c r="Z886" s="102" t="s">
        <v>528</v>
      </c>
      <c r="AA886" s="24" t="s">
        <v>528</v>
      </c>
      <c r="AB886" s="24" t="s">
        <v>528</v>
      </c>
      <c r="AC886" s="24" t="s">
        <v>528</v>
      </c>
      <c r="AD886" s="24" t="s">
        <v>528</v>
      </c>
      <c r="AE886" s="24" t="s">
        <v>529</v>
      </c>
      <c r="AF886" s="24">
        <v>1</v>
      </c>
      <c r="AG886" s="24" t="s">
        <v>529</v>
      </c>
      <c r="AH886" s="24">
        <v>1</v>
      </c>
      <c r="AI886" s="24" t="s">
        <v>529</v>
      </c>
      <c r="AJ886" s="24">
        <v>1</v>
      </c>
      <c r="AK886" s="24" t="s">
        <v>530</v>
      </c>
      <c r="AL886" s="24"/>
    </row>
    <row r="887" spans="1:38" ht="31.2" x14ac:dyDescent="0.3">
      <c r="A887" s="53">
        <v>880</v>
      </c>
      <c r="B887" s="24" t="s">
        <v>544</v>
      </c>
      <c r="C887" s="24" t="s">
        <v>552</v>
      </c>
      <c r="D887" s="82" t="s">
        <v>1732</v>
      </c>
      <c r="E887" s="24" t="s">
        <v>1516</v>
      </c>
      <c r="F887" s="24" t="s">
        <v>200</v>
      </c>
      <c r="G887" s="24"/>
      <c r="H887" s="24" t="s">
        <v>1735</v>
      </c>
      <c r="I887" s="30" t="s">
        <v>525</v>
      </c>
      <c r="J887" s="24"/>
      <c r="K887" s="24" t="s">
        <v>199</v>
      </c>
      <c r="L887" s="24" t="s">
        <v>199</v>
      </c>
      <c r="M887" s="24">
        <v>1902</v>
      </c>
      <c r="N887" s="24" t="s">
        <v>527</v>
      </c>
      <c r="O887" s="24">
        <v>5</v>
      </c>
      <c r="P887" s="24">
        <v>0</v>
      </c>
      <c r="Q887" s="24">
        <v>2</v>
      </c>
      <c r="R887" s="24">
        <v>29</v>
      </c>
      <c r="S887" s="24">
        <v>2070.6</v>
      </c>
      <c r="T887" s="24">
        <v>2070.6</v>
      </c>
      <c r="U887" s="24">
        <v>1933.6</v>
      </c>
      <c r="V887" s="24">
        <v>137</v>
      </c>
      <c r="W887" s="24" t="s">
        <v>528</v>
      </c>
      <c r="X887" s="24" t="s">
        <v>528</v>
      </c>
      <c r="Y887" s="24" t="s">
        <v>529</v>
      </c>
      <c r="Z887" s="102" t="s">
        <v>528</v>
      </c>
      <c r="AA887" s="24" t="s">
        <v>528</v>
      </c>
      <c r="AB887" s="24" t="s">
        <v>528</v>
      </c>
      <c r="AC887" s="24" t="s">
        <v>528</v>
      </c>
      <c r="AD887" s="24" t="s">
        <v>528</v>
      </c>
      <c r="AE887" s="24" t="s">
        <v>529</v>
      </c>
      <c r="AF887" s="24">
        <v>1</v>
      </c>
      <c r="AG887" s="24" t="s">
        <v>529</v>
      </c>
      <c r="AH887" s="24">
        <v>1</v>
      </c>
      <c r="AI887" s="24" t="s">
        <v>529</v>
      </c>
      <c r="AJ887" s="24" t="s">
        <v>529</v>
      </c>
      <c r="AK887" s="24" t="s">
        <v>530</v>
      </c>
      <c r="AL887" s="24"/>
    </row>
    <row r="888" spans="1:38" ht="31.2" x14ac:dyDescent="0.3">
      <c r="A888" s="53">
        <v>881</v>
      </c>
      <c r="B888" s="24" t="s">
        <v>544</v>
      </c>
      <c r="C888" s="24" t="s">
        <v>552</v>
      </c>
      <c r="D888" s="82" t="s">
        <v>469</v>
      </c>
      <c r="E888" s="24" t="s">
        <v>1706</v>
      </c>
      <c r="F888" s="24" t="s">
        <v>200</v>
      </c>
      <c r="G888" s="24"/>
      <c r="H888" s="24" t="s">
        <v>1736</v>
      </c>
      <c r="I888" s="30" t="s">
        <v>525</v>
      </c>
      <c r="J888" s="24"/>
      <c r="K888" s="24" t="s">
        <v>199</v>
      </c>
      <c r="L888" s="24" t="s">
        <v>199</v>
      </c>
      <c r="M888" s="24">
        <v>1912</v>
      </c>
      <c r="N888" s="24" t="s">
        <v>527</v>
      </c>
      <c r="O888" s="24">
        <v>6</v>
      </c>
      <c r="P888" s="24">
        <v>0</v>
      </c>
      <c r="Q888" s="24">
        <v>2</v>
      </c>
      <c r="R888" s="24">
        <v>29</v>
      </c>
      <c r="S888" s="24">
        <v>2163.1</v>
      </c>
      <c r="T888" s="24">
        <v>2163.1</v>
      </c>
      <c r="U888" s="24">
        <v>1905.3</v>
      </c>
      <c r="V888" s="24">
        <v>257.8</v>
      </c>
      <c r="W888" s="24" t="s">
        <v>528</v>
      </c>
      <c r="X888" s="24" t="s">
        <v>528</v>
      </c>
      <c r="Y888" s="24" t="s">
        <v>529</v>
      </c>
      <c r="Z888" s="102" t="s">
        <v>528</v>
      </c>
      <c r="AA888" s="24" t="s">
        <v>528</v>
      </c>
      <c r="AB888" s="24" t="s">
        <v>528</v>
      </c>
      <c r="AC888" s="24" t="s">
        <v>528</v>
      </c>
      <c r="AD888" s="24" t="s">
        <v>528</v>
      </c>
      <c r="AE888" s="24" t="s">
        <v>529</v>
      </c>
      <c r="AF888" s="24">
        <v>2</v>
      </c>
      <c r="AG888" s="24" t="s">
        <v>529</v>
      </c>
      <c r="AH888" s="24">
        <v>1</v>
      </c>
      <c r="AI888" s="24" t="s">
        <v>529</v>
      </c>
      <c r="AJ888" s="24" t="s">
        <v>529</v>
      </c>
      <c r="AK888" s="24" t="s">
        <v>530</v>
      </c>
      <c r="AL888" s="24"/>
    </row>
    <row r="889" spans="1:38" ht="31.2" x14ac:dyDescent="0.3">
      <c r="A889" s="53">
        <v>882</v>
      </c>
      <c r="B889" s="24" t="s">
        <v>544</v>
      </c>
      <c r="C889" s="24" t="s">
        <v>552</v>
      </c>
      <c r="D889" s="82" t="s">
        <v>469</v>
      </c>
      <c r="E889" s="24" t="s">
        <v>1706</v>
      </c>
      <c r="F889" s="24" t="s">
        <v>217</v>
      </c>
      <c r="G889" s="24"/>
      <c r="H889" s="24" t="s">
        <v>1737</v>
      </c>
      <c r="I889" s="30" t="s">
        <v>525</v>
      </c>
      <c r="J889" s="24"/>
      <c r="K889" s="24" t="s">
        <v>199</v>
      </c>
      <c r="L889" s="24" t="s">
        <v>199</v>
      </c>
      <c r="M889" s="24">
        <v>1910</v>
      </c>
      <c r="N889" s="24" t="s">
        <v>527</v>
      </c>
      <c r="O889" s="24">
        <v>6</v>
      </c>
      <c r="P889" s="24">
        <v>0</v>
      </c>
      <c r="Q889" s="24">
        <v>1</v>
      </c>
      <c r="R889" s="24">
        <v>23</v>
      </c>
      <c r="S889" s="24">
        <v>1716.8</v>
      </c>
      <c r="T889" s="24">
        <v>1716.8</v>
      </c>
      <c r="U889" s="24">
        <v>1596.8</v>
      </c>
      <c r="V889" s="24">
        <v>120</v>
      </c>
      <c r="W889" s="24" t="s">
        <v>528</v>
      </c>
      <c r="X889" s="24" t="s">
        <v>528</v>
      </c>
      <c r="Y889" s="24" t="s">
        <v>529</v>
      </c>
      <c r="Z889" s="102" t="s">
        <v>528</v>
      </c>
      <c r="AA889" s="24" t="s">
        <v>528</v>
      </c>
      <c r="AB889" s="24" t="s">
        <v>528</v>
      </c>
      <c r="AC889" s="24" t="s">
        <v>528</v>
      </c>
      <c r="AD889" s="24" t="s">
        <v>528</v>
      </c>
      <c r="AE889" s="24" t="s">
        <v>529</v>
      </c>
      <c r="AF889" s="24">
        <v>0</v>
      </c>
      <c r="AG889" s="24" t="s">
        <v>529</v>
      </c>
      <c r="AH889" s="24" t="s">
        <v>529</v>
      </c>
      <c r="AI889" s="24" t="s">
        <v>529</v>
      </c>
      <c r="AJ889" s="24" t="s">
        <v>529</v>
      </c>
      <c r="AK889" s="24" t="s">
        <v>530</v>
      </c>
      <c r="AL889" s="24"/>
    </row>
    <row r="890" spans="1:38" ht="31.2" x14ac:dyDescent="0.3">
      <c r="A890" s="53">
        <v>883</v>
      </c>
      <c r="B890" s="24" t="s">
        <v>544</v>
      </c>
      <c r="C890" s="24" t="s">
        <v>552</v>
      </c>
      <c r="D890" s="82" t="s">
        <v>1732</v>
      </c>
      <c r="E890" s="24" t="s">
        <v>1196</v>
      </c>
      <c r="F890" s="24" t="s">
        <v>200</v>
      </c>
      <c r="G890" s="24"/>
      <c r="H890" s="24" t="s">
        <v>1738</v>
      </c>
      <c r="I890" s="30" t="s">
        <v>525</v>
      </c>
      <c r="J890" s="24"/>
      <c r="K890" s="24" t="s">
        <v>199</v>
      </c>
      <c r="L890" s="24" t="s">
        <v>199</v>
      </c>
      <c r="M890" s="24">
        <v>1914</v>
      </c>
      <c r="N890" s="24" t="s">
        <v>527</v>
      </c>
      <c r="O890" s="24">
        <v>6</v>
      </c>
      <c r="P890" s="24">
        <v>0</v>
      </c>
      <c r="Q890" s="24">
        <v>3</v>
      </c>
      <c r="R890" s="24">
        <v>57</v>
      </c>
      <c r="S890" s="24">
        <v>3893.9</v>
      </c>
      <c r="T890" s="24">
        <v>3893.9</v>
      </c>
      <c r="U890" s="24">
        <v>3763.9</v>
      </c>
      <c r="V890" s="24">
        <v>130</v>
      </c>
      <c r="W890" s="24" t="s">
        <v>528</v>
      </c>
      <c r="X890" s="24" t="s">
        <v>528</v>
      </c>
      <c r="Y890" s="24" t="s">
        <v>529</v>
      </c>
      <c r="Z890" s="102" t="s">
        <v>528</v>
      </c>
      <c r="AA890" s="24" t="s">
        <v>528</v>
      </c>
      <c r="AB890" s="24" t="s">
        <v>528</v>
      </c>
      <c r="AC890" s="24" t="s">
        <v>528</v>
      </c>
      <c r="AD890" s="24" t="s">
        <v>528</v>
      </c>
      <c r="AE890" s="24" t="s">
        <v>529</v>
      </c>
      <c r="AF890" s="24">
        <v>2</v>
      </c>
      <c r="AG890" s="24" t="s">
        <v>529</v>
      </c>
      <c r="AH890" s="24">
        <v>1</v>
      </c>
      <c r="AI890" s="24" t="s">
        <v>529</v>
      </c>
      <c r="AJ890" s="24">
        <v>1</v>
      </c>
      <c r="AK890" s="24" t="s">
        <v>530</v>
      </c>
      <c r="AL890" s="24"/>
    </row>
    <row r="891" spans="1:38" ht="31.2" x14ac:dyDescent="0.3">
      <c r="A891" s="53">
        <v>884</v>
      </c>
      <c r="B891" s="24" t="s">
        <v>544</v>
      </c>
      <c r="C891" s="24" t="s">
        <v>552</v>
      </c>
      <c r="D891" s="82" t="s">
        <v>1739</v>
      </c>
      <c r="E891" s="24" t="s">
        <v>1208</v>
      </c>
      <c r="F891" s="24" t="s">
        <v>200</v>
      </c>
      <c r="G891" s="24"/>
      <c r="H891" s="24" t="s">
        <v>1740</v>
      </c>
      <c r="I891" s="30" t="s">
        <v>525</v>
      </c>
      <c r="J891" s="24"/>
      <c r="K891" s="24" t="s">
        <v>199</v>
      </c>
      <c r="L891" s="24" t="s">
        <v>199</v>
      </c>
      <c r="M891" s="24">
        <v>1907</v>
      </c>
      <c r="N891" s="24" t="s">
        <v>527</v>
      </c>
      <c r="O891" s="24">
        <v>5</v>
      </c>
      <c r="P891" s="24">
        <v>0</v>
      </c>
      <c r="Q891" s="24">
        <v>1</v>
      </c>
      <c r="R891" s="24">
        <v>20</v>
      </c>
      <c r="S891" s="24">
        <v>2131</v>
      </c>
      <c r="T891" s="24">
        <v>2131</v>
      </c>
      <c r="U891" s="24">
        <v>1832</v>
      </c>
      <c r="V891" s="24">
        <v>299</v>
      </c>
      <c r="W891" s="24" t="s">
        <v>528</v>
      </c>
      <c r="X891" s="24" t="s">
        <v>528</v>
      </c>
      <c r="Y891" s="24" t="s">
        <v>529</v>
      </c>
      <c r="Z891" s="102" t="s">
        <v>528</v>
      </c>
      <c r="AA891" s="24" t="s">
        <v>528</v>
      </c>
      <c r="AB891" s="24" t="s">
        <v>528</v>
      </c>
      <c r="AC891" s="24" t="s">
        <v>528</v>
      </c>
      <c r="AD891" s="24" t="s">
        <v>528</v>
      </c>
      <c r="AE891" s="24" t="s">
        <v>529</v>
      </c>
      <c r="AF891" s="24">
        <v>1</v>
      </c>
      <c r="AG891" s="24" t="s">
        <v>529</v>
      </c>
      <c r="AH891" s="24">
        <v>1</v>
      </c>
      <c r="AI891" s="24" t="s">
        <v>529</v>
      </c>
      <c r="AJ891" s="24" t="s">
        <v>529</v>
      </c>
      <c r="AK891" s="24" t="s">
        <v>530</v>
      </c>
      <c r="AL891" s="24"/>
    </row>
    <row r="892" spans="1:38" ht="31.2" x14ac:dyDescent="0.3">
      <c r="A892" s="53">
        <v>885</v>
      </c>
      <c r="B892" s="24" t="s">
        <v>544</v>
      </c>
      <c r="C892" s="24" t="s">
        <v>552</v>
      </c>
      <c r="D892" s="82" t="s">
        <v>1732</v>
      </c>
      <c r="E892" s="24" t="s">
        <v>174</v>
      </c>
      <c r="F892" s="24" t="s">
        <v>200</v>
      </c>
      <c r="G892" s="24"/>
      <c r="H892" s="24" t="s">
        <v>1741</v>
      </c>
      <c r="I892" s="30" t="s">
        <v>525</v>
      </c>
      <c r="J892" s="24"/>
      <c r="K892" s="24" t="s">
        <v>199</v>
      </c>
      <c r="L892" s="24" t="s">
        <v>199</v>
      </c>
      <c r="M892" s="24">
        <v>1913</v>
      </c>
      <c r="N892" s="24" t="s">
        <v>527</v>
      </c>
      <c r="O892" s="24">
        <v>6</v>
      </c>
      <c r="P892" s="24">
        <v>0</v>
      </c>
      <c r="Q892" s="24">
        <v>3</v>
      </c>
      <c r="R892" s="24">
        <v>64</v>
      </c>
      <c r="S892" s="24">
        <v>2575.15</v>
      </c>
      <c r="T892" s="24">
        <v>2575.15</v>
      </c>
      <c r="U892" s="24">
        <v>2516.15</v>
      </c>
      <c r="V892" s="24">
        <v>59</v>
      </c>
      <c r="W892" s="24" t="s">
        <v>528</v>
      </c>
      <c r="X892" s="24" t="s">
        <v>528</v>
      </c>
      <c r="Y892" s="24" t="s">
        <v>529</v>
      </c>
      <c r="Z892" s="102" t="s">
        <v>528</v>
      </c>
      <c r="AA892" s="24" t="s">
        <v>528</v>
      </c>
      <c r="AB892" s="24" t="s">
        <v>528</v>
      </c>
      <c r="AC892" s="24" t="s">
        <v>528</v>
      </c>
      <c r="AD892" s="24" t="s">
        <v>528</v>
      </c>
      <c r="AE892" s="24" t="s">
        <v>529</v>
      </c>
      <c r="AF892" s="24">
        <v>2</v>
      </c>
      <c r="AG892" s="24" t="s">
        <v>529</v>
      </c>
      <c r="AH892" s="24">
        <v>1</v>
      </c>
      <c r="AI892" s="24" t="s">
        <v>529</v>
      </c>
      <c r="AJ892" s="24" t="s">
        <v>529</v>
      </c>
      <c r="AK892" s="24" t="s">
        <v>530</v>
      </c>
      <c r="AL892" s="24"/>
    </row>
    <row r="893" spans="1:38" ht="31.2" x14ac:dyDescent="0.3">
      <c r="A893" s="53">
        <v>886</v>
      </c>
      <c r="B893" s="24" t="s">
        <v>544</v>
      </c>
      <c r="C893" s="24" t="s">
        <v>552</v>
      </c>
      <c r="D893" s="82" t="s">
        <v>1742</v>
      </c>
      <c r="E893" s="24" t="s">
        <v>536</v>
      </c>
      <c r="F893" s="24" t="s">
        <v>200</v>
      </c>
      <c r="G893" s="24"/>
      <c r="H893" s="24" t="s">
        <v>1743</v>
      </c>
      <c r="I893" s="30" t="s">
        <v>525</v>
      </c>
      <c r="J893" s="24"/>
      <c r="K893" s="24" t="s">
        <v>1157</v>
      </c>
      <c r="L893" s="24" t="s">
        <v>199</v>
      </c>
      <c r="M893" s="24">
        <v>1939</v>
      </c>
      <c r="N893" s="24" t="s">
        <v>527</v>
      </c>
      <c r="O893" s="24">
        <v>5</v>
      </c>
      <c r="P893" s="24">
        <v>0</v>
      </c>
      <c r="Q893" s="24">
        <v>3</v>
      </c>
      <c r="R893" s="24">
        <v>31</v>
      </c>
      <c r="S893" s="24">
        <v>5934.6</v>
      </c>
      <c r="T893" s="24">
        <v>5934.6</v>
      </c>
      <c r="U893" s="24">
        <v>4963.3</v>
      </c>
      <c r="V893" s="24">
        <v>971.3</v>
      </c>
      <c r="W893" s="24" t="s">
        <v>528</v>
      </c>
      <c r="X893" s="24" t="s">
        <v>528</v>
      </c>
      <c r="Y893" s="24" t="s">
        <v>529</v>
      </c>
      <c r="Z893" s="102" t="s">
        <v>528</v>
      </c>
      <c r="AA893" s="24" t="s">
        <v>528</v>
      </c>
      <c r="AB893" s="24" t="s">
        <v>528</v>
      </c>
      <c r="AC893" s="24" t="s">
        <v>528</v>
      </c>
      <c r="AD893" s="24" t="s">
        <v>528</v>
      </c>
      <c r="AE893" s="24" t="s">
        <v>529</v>
      </c>
      <c r="AF893" s="24">
        <v>0</v>
      </c>
      <c r="AG893" s="24" t="s">
        <v>529</v>
      </c>
      <c r="AH893" s="24">
        <v>1</v>
      </c>
      <c r="AI893" s="24" t="s">
        <v>529</v>
      </c>
      <c r="AJ893" s="24">
        <v>1</v>
      </c>
      <c r="AK893" s="24" t="s">
        <v>530</v>
      </c>
      <c r="AL893" s="24"/>
    </row>
    <row r="894" spans="1:38" ht="31.2" x14ac:dyDescent="0.3">
      <c r="A894" s="53">
        <v>887</v>
      </c>
      <c r="B894" s="24" t="s">
        <v>544</v>
      </c>
      <c r="C894" s="24" t="s">
        <v>552</v>
      </c>
      <c r="D894" s="82" t="s">
        <v>469</v>
      </c>
      <c r="E894" s="24" t="s">
        <v>1405</v>
      </c>
      <c r="F894" s="24" t="s">
        <v>200</v>
      </c>
      <c r="G894" s="24"/>
      <c r="H894" s="24" t="s">
        <v>1744</v>
      </c>
      <c r="I894" s="30" t="s">
        <v>525</v>
      </c>
      <c r="J894" s="24"/>
      <c r="K894" s="24" t="s">
        <v>1238</v>
      </c>
      <c r="L894" s="24" t="s">
        <v>199</v>
      </c>
      <c r="M894" s="24">
        <v>2003</v>
      </c>
      <c r="N894" s="24" t="s">
        <v>527</v>
      </c>
      <c r="O894" s="24">
        <v>7</v>
      </c>
      <c r="P894" s="24">
        <v>0</v>
      </c>
      <c r="Q894" s="24">
        <v>4</v>
      </c>
      <c r="R894" s="24">
        <v>121</v>
      </c>
      <c r="S894" s="24">
        <v>5405.5</v>
      </c>
      <c r="T894" s="24">
        <v>5405.5</v>
      </c>
      <c r="U894" s="24">
        <v>4638.5</v>
      </c>
      <c r="V894" s="24">
        <v>767</v>
      </c>
      <c r="W894" s="24" t="s">
        <v>528</v>
      </c>
      <c r="X894" s="24" t="s">
        <v>528</v>
      </c>
      <c r="Y894" s="24" t="s">
        <v>528</v>
      </c>
      <c r="Z894" s="102" t="s">
        <v>528</v>
      </c>
      <c r="AA894" s="24" t="s">
        <v>528</v>
      </c>
      <c r="AB894" s="24" t="s">
        <v>529</v>
      </c>
      <c r="AC894" s="24" t="s">
        <v>529</v>
      </c>
      <c r="AD894" s="24" t="s">
        <v>529</v>
      </c>
      <c r="AE894" s="24" t="s">
        <v>528</v>
      </c>
      <c r="AF894" s="24">
        <v>8</v>
      </c>
      <c r="AG894" s="24" t="s">
        <v>529</v>
      </c>
      <c r="AH894" s="24">
        <v>1</v>
      </c>
      <c r="AI894" s="24">
        <v>1</v>
      </c>
      <c r="AJ894" s="24">
        <v>1</v>
      </c>
      <c r="AK894" s="24" t="s">
        <v>530</v>
      </c>
      <c r="AL894" s="24"/>
    </row>
    <row r="895" spans="1:38" ht="31.2" x14ac:dyDescent="0.3">
      <c r="A895" s="53">
        <v>888</v>
      </c>
      <c r="B895" s="24" t="s">
        <v>544</v>
      </c>
      <c r="C895" s="24" t="s">
        <v>552</v>
      </c>
      <c r="D895" s="82" t="s">
        <v>1739</v>
      </c>
      <c r="E895" s="24" t="s">
        <v>1745</v>
      </c>
      <c r="F895" s="24" t="s">
        <v>200</v>
      </c>
      <c r="G895" s="24"/>
      <c r="H895" s="24" t="s">
        <v>1746</v>
      </c>
      <c r="I895" s="30" t="s">
        <v>525</v>
      </c>
      <c r="J895" s="24"/>
      <c r="K895" s="24" t="s">
        <v>199</v>
      </c>
      <c r="L895" s="24" t="s">
        <v>199</v>
      </c>
      <c r="M895" s="24">
        <v>1909</v>
      </c>
      <c r="N895" s="24" t="s">
        <v>527</v>
      </c>
      <c r="O895" s="24">
        <v>6</v>
      </c>
      <c r="P895" s="24">
        <v>0</v>
      </c>
      <c r="Q895" s="24">
        <v>2</v>
      </c>
      <c r="R895" s="24">
        <v>38</v>
      </c>
      <c r="S895" s="24">
        <v>2317.1</v>
      </c>
      <c r="T895" s="24">
        <v>2317.1</v>
      </c>
      <c r="U895" s="24">
        <v>2317.1</v>
      </c>
      <c r="V895" s="24">
        <v>0</v>
      </c>
      <c r="W895" s="24" t="s">
        <v>528</v>
      </c>
      <c r="X895" s="24" t="s">
        <v>528</v>
      </c>
      <c r="Y895" s="24" t="s">
        <v>529</v>
      </c>
      <c r="Z895" s="102" t="s">
        <v>528</v>
      </c>
      <c r="AA895" s="24" t="s">
        <v>528</v>
      </c>
      <c r="AB895" s="24" t="s">
        <v>528</v>
      </c>
      <c r="AC895" s="24" t="s">
        <v>528</v>
      </c>
      <c r="AD895" s="24" t="s">
        <v>528</v>
      </c>
      <c r="AE895" s="24" t="s">
        <v>529</v>
      </c>
      <c r="AF895" s="24">
        <v>2</v>
      </c>
      <c r="AG895" s="24" t="s">
        <v>529</v>
      </c>
      <c r="AH895" s="24">
        <v>1</v>
      </c>
      <c r="AI895" s="24" t="s">
        <v>529</v>
      </c>
      <c r="AJ895" s="24">
        <v>1</v>
      </c>
      <c r="AK895" s="24" t="s">
        <v>530</v>
      </c>
      <c r="AL895" s="24"/>
    </row>
    <row r="896" spans="1:38" ht="31.2" x14ac:dyDescent="0.3">
      <c r="A896" s="53">
        <v>889</v>
      </c>
      <c r="B896" s="24" t="s">
        <v>544</v>
      </c>
      <c r="C896" s="24" t="s">
        <v>552</v>
      </c>
      <c r="D896" s="82" t="s">
        <v>1747</v>
      </c>
      <c r="E896" s="24" t="s">
        <v>1132</v>
      </c>
      <c r="F896" s="24" t="s">
        <v>200</v>
      </c>
      <c r="G896" s="24"/>
      <c r="H896" s="24" t="s">
        <v>1748</v>
      </c>
      <c r="I896" s="30" t="s">
        <v>525</v>
      </c>
      <c r="J896" s="24"/>
      <c r="K896" s="24" t="s">
        <v>199</v>
      </c>
      <c r="L896" s="24" t="s">
        <v>199</v>
      </c>
      <c r="M896" s="24">
        <v>1904</v>
      </c>
      <c r="N896" s="24" t="s">
        <v>527</v>
      </c>
      <c r="O896" s="24">
        <v>5</v>
      </c>
      <c r="P896" s="24">
        <v>0</v>
      </c>
      <c r="Q896" s="24">
        <v>3</v>
      </c>
      <c r="R896" s="24">
        <v>36</v>
      </c>
      <c r="S896" s="24">
        <v>2819</v>
      </c>
      <c r="T896" s="24">
        <v>2819</v>
      </c>
      <c r="U896" s="24">
        <v>2580</v>
      </c>
      <c r="V896" s="24">
        <v>239</v>
      </c>
      <c r="W896" s="24" t="s">
        <v>528</v>
      </c>
      <c r="X896" s="24" t="s">
        <v>528</v>
      </c>
      <c r="Y896" s="24" t="s">
        <v>529</v>
      </c>
      <c r="Z896" s="102" t="s">
        <v>528</v>
      </c>
      <c r="AA896" s="24" t="s">
        <v>528</v>
      </c>
      <c r="AB896" s="24" t="s">
        <v>528</v>
      </c>
      <c r="AC896" s="24" t="s">
        <v>528</v>
      </c>
      <c r="AD896" s="24" t="s">
        <v>528</v>
      </c>
      <c r="AE896" s="24" t="s">
        <v>529</v>
      </c>
      <c r="AF896" s="24">
        <v>2</v>
      </c>
      <c r="AG896" s="24" t="s">
        <v>529</v>
      </c>
      <c r="AH896" s="24">
        <v>1</v>
      </c>
      <c r="AI896" s="24" t="s">
        <v>529</v>
      </c>
      <c r="AJ896" s="24">
        <v>1</v>
      </c>
      <c r="AK896" s="24" t="s">
        <v>530</v>
      </c>
      <c r="AL896" s="24"/>
    </row>
    <row r="897" spans="1:38" ht="31.2" x14ac:dyDescent="0.3">
      <c r="A897" s="53">
        <v>890</v>
      </c>
      <c r="B897" s="24" t="s">
        <v>544</v>
      </c>
      <c r="C897" s="24" t="s">
        <v>552</v>
      </c>
      <c r="D897" s="82" t="s">
        <v>1747</v>
      </c>
      <c r="E897" s="24" t="s">
        <v>1453</v>
      </c>
      <c r="F897" s="24" t="s">
        <v>206</v>
      </c>
      <c r="G897" s="24"/>
      <c r="H897" s="24" t="s">
        <v>1749</v>
      </c>
      <c r="I897" s="30" t="s">
        <v>525</v>
      </c>
      <c r="J897" s="24"/>
      <c r="K897" s="24" t="s">
        <v>199</v>
      </c>
      <c r="L897" s="24" t="s">
        <v>199</v>
      </c>
      <c r="M897" s="24">
        <v>1901</v>
      </c>
      <c r="N897" s="24" t="s">
        <v>527</v>
      </c>
      <c r="O897" s="24">
        <v>4</v>
      </c>
      <c r="P897" s="24">
        <v>0</v>
      </c>
      <c r="Q897" s="24">
        <v>1</v>
      </c>
      <c r="R897" s="24">
        <v>8</v>
      </c>
      <c r="S897" s="24">
        <v>567.9</v>
      </c>
      <c r="T897" s="24">
        <v>567.9</v>
      </c>
      <c r="U897" s="24">
        <v>474.9</v>
      </c>
      <c r="V897" s="24">
        <v>93</v>
      </c>
      <c r="W897" s="24" t="s">
        <v>528</v>
      </c>
      <c r="X897" s="24" t="s">
        <v>528</v>
      </c>
      <c r="Y897" s="24" t="s">
        <v>529</v>
      </c>
      <c r="Z897" s="102" t="s">
        <v>528</v>
      </c>
      <c r="AA897" s="24" t="s">
        <v>528</v>
      </c>
      <c r="AB897" s="24" t="s">
        <v>528</v>
      </c>
      <c r="AC897" s="24" t="s">
        <v>528</v>
      </c>
      <c r="AD897" s="24" t="s">
        <v>528</v>
      </c>
      <c r="AE897" s="24" t="s">
        <v>529</v>
      </c>
      <c r="AF897" s="24">
        <v>0</v>
      </c>
      <c r="AG897" s="24" t="s">
        <v>529</v>
      </c>
      <c r="AH897" s="24">
        <v>1</v>
      </c>
      <c r="AI897" s="24" t="s">
        <v>529</v>
      </c>
      <c r="AJ897" s="24" t="s">
        <v>529</v>
      </c>
      <c r="AK897" s="24" t="s">
        <v>530</v>
      </c>
      <c r="AL897" s="24"/>
    </row>
    <row r="898" spans="1:38" ht="31.2" x14ac:dyDescent="0.3">
      <c r="A898" s="53">
        <v>891</v>
      </c>
      <c r="B898" s="24" t="s">
        <v>544</v>
      </c>
      <c r="C898" s="24" t="s">
        <v>552</v>
      </c>
      <c r="D898" s="82" t="s">
        <v>469</v>
      </c>
      <c r="E898" s="24" t="s">
        <v>1392</v>
      </c>
      <c r="F898" s="24" t="s">
        <v>200</v>
      </c>
      <c r="G898" s="24"/>
      <c r="H898" s="24" t="s">
        <v>1750</v>
      </c>
      <c r="I898" s="30" t="s">
        <v>525</v>
      </c>
      <c r="J898" s="24"/>
      <c r="K898" s="24" t="s">
        <v>199</v>
      </c>
      <c r="L898" s="24" t="s">
        <v>199</v>
      </c>
      <c r="M898" s="24">
        <v>1912</v>
      </c>
      <c r="N898" s="24" t="s">
        <v>527</v>
      </c>
      <c r="O898" s="24">
        <v>6</v>
      </c>
      <c r="P898" s="24">
        <v>0</v>
      </c>
      <c r="Q898" s="24">
        <v>2</v>
      </c>
      <c r="R898" s="24">
        <v>53</v>
      </c>
      <c r="S898" s="24">
        <v>3612.4</v>
      </c>
      <c r="T898" s="24">
        <v>3612.4</v>
      </c>
      <c r="U898" s="24">
        <v>3464.4</v>
      </c>
      <c r="V898" s="24">
        <v>148</v>
      </c>
      <c r="W898" s="24" t="s">
        <v>528</v>
      </c>
      <c r="X898" s="24" t="s">
        <v>528</v>
      </c>
      <c r="Y898" s="24" t="s">
        <v>529</v>
      </c>
      <c r="Z898" s="102" t="s">
        <v>528</v>
      </c>
      <c r="AA898" s="24" t="s">
        <v>528</v>
      </c>
      <c r="AB898" s="24" t="s">
        <v>528</v>
      </c>
      <c r="AC898" s="24" t="s">
        <v>528</v>
      </c>
      <c r="AD898" s="24" t="s">
        <v>528</v>
      </c>
      <c r="AE898" s="24" t="s">
        <v>529</v>
      </c>
      <c r="AF898" s="24">
        <v>0</v>
      </c>
      <c r="AG898" s="24" t="s">
        <v>529</v>
      </c>
      <c r="AH898" s="24">
        <v>1</v>
      </c>
      <c r="AI898" s="24" t="s">
        <v>529</v>
      </c>
      <c r="AJ898" s="24">
        <v>1</v>
      </c>
      <c r="AK898" s="24" t="s">
        <v>530</v>
      </c>
      <c r="AL898" s="24"/>
    </row>
    <row r="899" spans="1:38" ht="31.2" x14ac:dyDescent="0.3">
      <c r="A899" s="53">
        <v>892</v>
      </c>
      <c r="B899" s="24" t="s">
        <v>544</v>
      </c>
      <c r="C899" s="24" t="s">
        <v>552</v>
      </c>
      <c r="D899" s="82" t="s">
        <v>1742</v>
      </c>
      <c r="E899" s="24" t="s">
        <v>1751</v>
      </c>
      <c r="F899" s="24" t="s">
        <v>200</v>
      </c>
      <c r="G899" s="24"/>
      <c r="H899" s="24" t="s">
        <v>1752</v>
      </c>
      <c r="I899" s="30" t="s">
        <v>525</v>
      </c>
      <c r="J899" s="24"/>
      <c r="K899" s="24" t="s">
        <v>199</v>
      </c>
      <c r="L899" s="24" t="s">
        <v>199</v>
      </c>
      <c r="M899" s="24">
        <v>1905</v>
      </c>
      <c r="N899" s="24" t="s">
        <v>527</v>
      </c>
      <c r="O899" s="24">
        <v>4</v>
      </c>
      <c r="P899" s="24">
        <v>0</v>
      </c>
      <c r="Q899" s="24">
        <v>1</v>
      </c>
      <c r="R899" s="24">
        <v>6</v>
      </c>
      <c r="S899" s="24">
        <v>329.4</v>
      </c>
      <c r="T899" s="24">
        <v>329.4</v>
      </c>
      <c r="U899" s="24">
        <v>287.39999999999998</v>
      </c>
      <c r="V899" s="24">
        <v>42</v>
      </c>
      <c r="W899" s="24" t="s">
        <v>528</v>
      </c>
      <c r="X899" s="24" t="s">
        <v>528</v>
      </c>
      <c r="Y899" s="24" t="s">
        <v>529</v>
      </c>
      <c r="Z899" s="102" t="s">
        <v>528</v>
      </c>
      <c r="AA899" s="24" t="s">
        <v>528</v>
      </c>
      <c r="AB899" s="24" t="s">
        <v>528</v>
      </c>
      <c r="AC899" s="24" t="s">
        <v>528</v>
      </c>
      <c r="AD899" s="24" t="s">
        <v>528</v>
      </c>
      <c r="AE899" s="24" t="s">
        <v>529</v>
      </c>
      <c r="AF899" s="24">
        <v>0</v>
      </c>
      <c r="AG899" s="24" t="s">
        <v>529</v>
      </c>
      <c r="AH899" s="24">
        <v>1</v>
      </c>
      <c r="AI899" s="24" t="s">
        <v>529</v>
      </c>
      <c r="AJ899" s="24" t="s">
        <v>529</v>
      </c>
      <c r="AK899" s="24" t="s">
        <v>530</v>
      </c>
      <c r="AL899" s="24"/>
    </row>
    <row r="900" spans="1:38" ht="31.2" x14ac:dyDescent="0.3">
      <c r="A900" s="53">
        <v>893</v>
      </c>
      <c r="B900" s="24" t="s">
        <v>544</v>
      </c>
      <c r="C900" s="24" t="s">
        <v>552</v>
      </c>
      <c r="D900" s="82" t="s">
        <v>1742</v>
      </c>
      <c r="E900" s="24" t="s">
        <v>1751</v>
      </c>
      <c r="F900" s="24" t="s">
        <v>206</v>
      </c>
      <c r="G900" s="24"/>
      <c r="H900" s="24" t="s">
        <v>1753</v>
      </c>
      <c r="I900" s="30" t="s">
        <v>525</v>
      </c>
      <c r="J900" s="24"/>
      <c r="K900" s="24" t="s">
        <v>199</v>
      </c>
      <c r="L900" s="24" t="s">
        <v>199</v>
      </c>
      <c r="M900" s="24">
        <v>1910</v>
      </c>
      <c r="N900" s="24" t="s">
        <v>527</v>
      </c>
      <c r="O900" s="24">
        <v>5</v>
      </c>
      <c r="P900" s="24">
        <v>0</v>
      </c>
      <c r="Q900" s="24">
        <v>1</v>
      </c>
      <c r="R900" s="24">
        <v>10</v>
      </c>
      <c r="S900" s="24">
        <v>535.79999999999995</v>
      </c>
      <c r="T900" s="24">
        <v>535.79999999999995</v>
      </c>
      <c r="U900" s="24">
        <v>40</v>
      </c>
      <c r="V900" s="24">
        <v>495.8</v>
      </c>
      <c r="W900" s="24" t="s">
        <v>528</v>
      </c>
      <c r="X900" s="24" t="s">
        <v>528</v>
      </c>
      <c r="Y900" s="24" t="s">
        <v>529</v>
      </c>
      <c r="Z900" s="102" t="s">
        <v>528</v>
      </c>
      <c r="AA900" s="24" t="s">
        <v>528</v>
      </c>
      <c r="AB900" s="24" t="s">
        <v>528</v>
      </c>
      <c r="AC900" s="24" t="s">
        <v>528</v>
      </c>
      <c r="AD900" s="24" t="s">
        <v>528</v>
      </c>
      <c r="AE900" s="24" t="s">
        <v>529</v>
      </c>
      <c r="AF900" s="24">
        <v>0</v>
      </c>
      <c r="AG900" s="24" t="s">
        <v>529</v>
      </c>
      <c r="AH900" s="24" t="s">
        <v>529</v>
      </c>
      <c r="AI900" s="24" t="s">
        <v>529</v>
      </c>
      <c r="AJ900" s="24" t="s">
        <v>529</v>
      </c>
      <c r="AK900" s="24" t="s">
        <v>530</v>
      </c>
      <c r="AL900" s="24"/>
    </row>
    <row r="901" spans="1:38" ht="41.4" x14ac:dyDescent="0.3">
      <c r="A901" s="53">
        <v>894</v>
      </c>
      <c r="B901" s="24" t="s">
        <v>544</v>
      </c>
      <c r="C901" s="24" t="s">
        <v>552</v>
      </c>
      <c r="D901" s="82" t="s">
        <v>234</v>
      </c>
      <c r="E901" s="24" t="s">
        <v>170</v>
      </c>
      <c r="F901" s="24" t="s">
        <v>200</v>
      </c>
      <c r="G901" s="24"/>
      <c r="H901" s="24" t="s">
        <v>1754</v>
      </c>
      <c r="I901" s="30" t="s">
        <v>525</v>
      </c>
      <c r="J901" s="24" t="s">
        <v>535</v>
      </c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102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</row>
    <row r="902" spans="1:38" ht="41.4" x14ac:dyDescent="0.3">
      <c r="A902" s="53">
        <v>895</v>
      </c>
      <c r="B902" s="24" t="s">
        <v>544</v>
      </c>
      <c r="C902" s="24" t="s">
        <v>552</v>
      </c>
      <c r="D902" s="82" t="s">
        <v>234</v>
      </c>
      <c r="E902" s="24" t="s">
        <v>173</v>
      </c>
      <c r="F902" s="24" t="s">
        <v>200</v>
      </c>
      <c r="G902" s="24"/>
      <c r="H902" s="24" t="s">
        <v>1755</v>
      </c>
      <c r="I902" s="30" t="s">
        <v>525</v>
      </c>
      <c r="J902" s="24"/>
      <c r="K902" s="24" t="s">
        <v>199</v>
      </c>
      <c r="L902" s="24" t="s">
        <v>199</v>
      </c>
      <c r="M902" s="24">
        <v>1914</v>
      </c>
      <c r="N902" s="24" t="s">
        <v>527</v>
      </c>
      <c r="O902" s="24">
        <v>7</v>
      </c>
      <c r="P902" s="24">
        <v>0</v>
      </c>
      <c r="Q902" s="24">
        <v>4</v>
      </c>
      <c r="R902" s="24">
        <v>77</v>
      </c>
      <c r="S902" s="24">
        <v>5284.2</v>
      </c>
      <c r="T902" s="24">
        <v>5284.2</v>
      </c>
      <c r="U902" s="24">
        <v>4954.2</v>
      </c>
      <c r="V902" s="24">
        <v>330</v>
      </c>
      <c r="W902" s="24" t="s">
        <v>528</v>
      </c>
      <c r="X902" s="24" t="s">
        <v>528</v>
      </c>
      <c r="Y902" s="24" t="s">
        <v>529</v>
      </c>
      <c r="Z902" s="102" t="s">
        <v>528</v>
      </c>
      <c r="AA902" s="24" t="s">
        <v>528</v>
      </c>
      <c r="AB902" s="24" t="s">
        <v>528</v>
      </c>
      <c r="AC902" s="24" t="s">
        <v>528</v>
      </c>
      <c r="AD902" s="24" t="s">
        <v>528</v>
      </c>
      <c r="AE902" s="24" t="s">
        <v>529</v>
      </c>
      <c r="AF902" s="24">
        <v>2</v>
      </c>
      <c r="AG902" s="24" t="s">
        <v>529</v>
      </c>
      <c r="AH902" s="24">
        <v>1</v>
      </c>
      <c r="AI902" s="24" t="s">
        <v>529</v>
      </c>
      <c r="AJ902" s="24">
        <v>1</v>
      </c>
      <c r="AK902" s="24" t="s">
        <v>530</v>
      </c>
      <c r="AL902" s="24"/>
    </row>
    <row r="903" spans="1:38" ht="41.4" x14ac:dyDescent="0.3">
      <c r="A903" s="53">
        <v>896</v>
      </c>
      <c r="B903" s="24" t="s">
        <v>544</v>
      </c>
      <c r="C903" s="24" t="s">
        <v>552</v>
      </c>
      <c r="D903" s="82" t="s">
        <v>234</v>
      </c>
      <c r="E903" s="24" t="s">
        <v>175</v>
      </c>
      <c r="F903" s="24" t="s">
        <v>205</v>
      </c>
      <c r="G903" s="24"/>
      <c r="H903" s="24" t="s">
        <v>1756</v>
      </c>
      <c r="I903" s="30" t="s">
        <v>525</v>
      </c>
      <c r="J903" s="24"/>
      <c r="K903" s="24" t="s">
        <v>199</v>
      </c>
      <c r="L903" s="24" t="s">
        <v>199</v>
      </c>
      <c r="M903" s="24">
        <v>1914</v>
      </c>
      <c r="N903" s="24" t="s">
        <v>527</v>
      </c>
      <c r="O903" s="24">
        <v>8</v>
      </c>
      <c r="P903" s="24">
        <v>0</v>
      </c>
      <c r="Q903" s="24">
        <v>4</v>
      </c>
      <c r="R903" s="24">
        <v>81</v>
      </c>
      <c r="S903" s="24">
        <v>5513.17</v>
      </c>
      <c r="T903" s="24">
        <v>5513.17</v>
      </c>
      <c r="U903" s="24">
        <v>4928.17</v>
      </c>
      <c r="V903" s="24">
        <v>585</v>
      </c>
      <c r="W903" s="24" t="s">
        <v>528</v>
      </c>
      <c r="X903" s="24" t="s">
        <v>528</v>
      </c>
      <c r="Y903" s="24" t="s">
        <v>529</v>
      </c>
      <c r="Z903" s="102" t="s">
        <v>528</v>
      </c>
      <c r="AA903" s="24" t="s">
        <v>528</v>
      </c>
      <c r="AB903" s="24" t="s">
        <v>528</v>
      </c>
      <c r="AC903" s="24" t="s">
        <v>528</v>
      </c>
      <c r="AD903" s="24" t="s">
        <v>528</v>
      </c>
      <c r="AE903" s="24" t="s">
        <v>529</v>
      </c>
      <c r="AF903" s="24">
        <v>4</v>
      </c>
      <c r="AG903" s="24" t="s">
        <v>529</v>
      </c>
      <c r="AH903" s="24">
        <v>1</v>
      </c>
      <c r="AI903" s="24" t="s">
        <v>529</v>
      </c>
      <c r="AJ903" s="24">
        <v>1</v>
      </c>
      <c r="AK903" s="24" t="s">
        <v>530</v>
      </c>
      <c r="AL903" s="24"/>
    </row>
    <row r="904" spans="1:38" ht="41.4" x14ac:dyDescent="0.3">
      <c r="A904" s="53">
        <v>897</v>
      </c>
      <c r="B904" s="24" t="s">
        <v>544</v>
      </c>
      <c r="C904" s="24" t="s">
        <v>552</v>
      </c>
      <c r="D904" s="82" t="s">
        <v>234</v>
      </c>
      <c r="E904" s="24" t="s">
        <v>177</v>
      </c>
      <c r="F904" s="24" t="s">
        <v>200</v>
      </c>
      <c r="G904" s="24"/>
      <c r="H904" s="24" t="s">
        <v>1757</v>
      </c>
      <c r="I904" s="30" t="s">
        <v>525</v>
      </c>
      <c r="J904" s="24"/>
      <c r="K904" s="24" t="s">
        <v>1138</v>
      </c>
      <c r="L904" s="24" t="s">
        <v>199</v>
      </c>
      <c r="M904" s="24">
        <v>1960</v>
      </c>
      <c r="N904" s="24" t="s">
        <v>527</v>
      </c>
      <c r="O904" s="24">
        <v>5</v>
      </c>
      <c r="P904" s="24">
        <v>0</v>
      </c>
      <c r="Q904" s="24">
        <v>3</v>
      </c>
      <c r="R904" s="24">
        <v>44</v>
      </c>
      <c r="S904" s="24">
        <v>3374.1</v>
      </c>
      <c r="T904" s="24">
        <v>3374.1</v>
      </c>
      <c r="U904" s="24">
        <v>2584.1</v>
      </c>
      <c r="V904" s="24">
        <v>790</v>
      </c>
      <c r="W904" s="24" t="s">
        <v>528</v>
      </c>
      <c r="X904" s="24" t="s">
        <v>528</v>
      </c>
      <c r="Y904" s="24" t="s">
        <v>529</v>
      </c>
      <c r="Z904" s="102" t="s">
        <v>528</v>
      </c>
      <c r="AA904" s="24" t="s">
        <v>528</v>
      </c>
      <c r="AB904" s="24" t="s">
        <v>528</v>
      </c>
      <c r="AC904" s="24" t="s">
        <v>528</v>
      </c>
      <c r="AD904" s="24" t="s">
        <v>528</v>
      </c>
      <c r="AE904" s="24" t="s">
        <v>529</v>
      </c>
      <c r="AF904" s="24">
        <v>0</v>
      </c>
      <c r="AG904" s="24" t="s">
        <v>529</v>
      </c>
      <c r="AH904" s="24">
        <v>1</v>
      </c>
      <c r="AI904" s="24" t="s">
        <v>529</v>
      </c>
      <c r="AJ904" s="24">
        <v>1</v>
      </c>
      <c r="AK904" s="24" t="s">
        <v>530</v>
      </c>
      <c r="AL904" s="24"/>
    </row>
    <row r="905" spans="1:38" ht="31.2" x14ac:dyDescent="0.3">
      <c r="A905" s="53">
        <v>898</v>
      </c>
      <c r="B905" s="24" t="s">
        <v>544</v>
      </c>
      <c r="C905" s="24" t="s">
        <v>545</v>
      </c>
      <c r="D905" s="82" t="s">
        <v>371</v>
      </c>
      <c r="E905" s="24" t="s">
        <v>1713</v>
      </c>
      <c r="F905" s="24" t="s">
        <v>200</v>
      </c>
      <c r="G905" s="24"/>
      <c r="H905" s="24" t="s">
        <v>1758</v>
      </c>
      <c r="I905" s="30" t="s">
        <v>525</v>
      </c>
      <c r="J905" s="24"/>
      <c r="K905" s="24" t="s">
        <v>199</v>
      </c>
      <c r="L905" s="24" t="s">
        <v>199</v>
      </c>
      <c r="M905" s="24">
        <v>1906</v>
      </c>
      <c r="N905" s="24" t="s">
        <v>527</v>
      </c>
      <c r="O905" s="24">
        <v>6</v>
      </c>
      <c r="P905" s="24">
        <v>0</v>
      </c>
      <c r="Q905" s="24">
        <v>5</v>
      </c>
      <c r="R905" s="24">
        <v>38</v>
      </c>
      <c r="S905" s="24">
        <v>2891.4</v>
      </c>
      <c r="T905" s="24">
        <v>2891.4</v>
      </c>
      <c r="U905" s="24">
        <v>2537.4</v>
      </c>
      <c r="V905" s="24">
        <v>354</v>
      </c>
      <c r="W905" s="24" t="s">
        <v>528</v>
      </c>
      <c r="X905" s="24" t="s">
        <v>528</v>
      </c>
      <c r="Y905" s="24" t="s">
        <v>529</v>
      </c>
      <c r="Z905" s="102" t="s">
        <v>528</v>
      </c>
      <c r="AA905" s="24" t="s">
        <v>528</v>
      </c>
      <c r="AB905" s="24" t="s">
        <v>528</v>
      </c>
      <c r="AC905" s="24" t="s">
        <v>528</v>
      </c>
      <c r="AD905" s="24" t="s">
        <v>528</v>
      </c>
      <c r="AE905" s="24" t="s">
        <v>529</v>
      </c>
      <c r="AF905" s="24">
        <v>2</v>
      </c>
      <c r="AG905" s="24" t="s">
        <v>529</v>
      </c>
      <c r="AH905" s="24">
        <v>1</v>
      </c>
      <c r="AI905" s="24" t="s">
        <v>529</v>
      </c>
      <c r="AJ905" s="24">
        <v>1</v>
      </c>
      <c r="AK905" s="24" t="s">
        <v>530</v>
      </c>
      <c r="AL905" s="24"/>
    </row>
    <row r="906" spans="1:38" ht="31.2" x14ac:dyDescent="0.3">
      <c r="A906" s="53">
        <v>899</v>
      </c>
      <c r="B906" s="24" t="s">
        <v>544</v>
      </c>
      <c r="C906" s="24" t="s">
        <v>545</v>
      </c>
      <c r="D906" s="82" t="s">
        <v>371</v>
      </c>
      <c r="E906" s="24" t="s">
        <v>1759</v>
      </c>
      <c r="F906" s="24" t="s">
        <v>200</v>
      </c>
      <c r="G906" s="24"/>
      <c r="H906" s="24" t="s">
        <v>1760</v>
      </c>
      <c r="I906" s="30" t="s">
        <v>525</v>
      </c>
      <c r="J906" s="24"/>
      <c r="K906" s="24" t="s">
        <v>199</v>
      </c>
      <c r="L906" s="24" t="s">
        <v>199</v>
      </c>
      <c r="M906" s="24">
        <v>1910</v>
      </c>
      <c r="N906" s="24" t="s">
        <v>527</v>
      </c>
      <c r="O906" s="24">
        <v>4</v>
      </c>
      <c r="P906" s="24">
        <v>0</v>
      </c>
      <c r="Q906" s="24">
        <v>2</v>
      </c>
      <c r="R906" s="24">
        <v>24</v>
      </c>
      <c r="S906" s="24">
        <v>2102.6999999999998</v>
      </c>
      <c r="T906" s="24">
        <v>2102.6999999999998</v>
      </c>
      <c r="U906" s="24">
        <v>1711.7</v>
      </c>
      <c r="V906" s="24">
        <v>391</v>
      </c>
      <c r="W906" s="24" t="s">
        <v>528</v>
      </c>
      <c r="X906" s="24" t="s">
        <v>528</v>
      </c>
      <c r="Y906" s="24" t="s">
        <v>529</v>
      </c>
      <c r="Z906" s="102" t="s">
        <v>528</v>
      </c>
      <c r="AA906" s="24" t="s">
        <v>528</v>
      </c>
      <c r="AB906" s="24" t="s">
        <v>528</v>
      </c>
      <c r="AC906" s="24" t="s">
        <v>528</v>
      </c>
      <c r="AD906" s="24" t="s">
        <v>528</v>
      </c>
      <c r="AE906" s="24" t="s">
        <v>529</v>
      </c>
      <c r="AF906" s="24">
        <v>0</v>
      </c>
      <c r="AG906" s="24" t="s">
        <v>529</v>
      </c>
      <c r="AH906" s="24">
        <v>1</v>
      </c>
      <c r="AI906" s="24" t="s">
        <v>529</v>
      </c>
      <c r="AJ906" s="24">
        <v>1</v>
      </c>
      <c r="AK906" s="24" t="s">
        <v>530</v>
      </c>
      <c r="AL906" s="24"/>
    </row>
    <row r="907" spans="1:38" ht="31.2" x14ac:dyDescent="0.3">
      <c r="A907" s="53">
        <v>900</v>
      </c>
      <c r="B907" s="24" t="s">
        <v>544</v>
      </c>
      <c r="C907" s="24" t="s">
        <v>545</v>
      </c>
      <c r="D907" s="82" t="s">
        <v>371</v>
      </c>
      <c r="E907" s="24" t="s">
        <v>1314</v>
      </c>
      <c r="F907" s="24" t="s">
        <v>200</v>
      </c>
      <c r="G907" s="24"/>
      <c r="H907" s="24" t="s">
        <v>1761</v>
      </c>
      <c r="I907" s="30" t="s">
        <v>525</v>
      </c>
      <c r="J907" s="24"/>
      <c r="K907" s="24" t="s">
        <v>199</v>
      </c>
      <c r="L907" s="24" t="s">
        <v>199</v>
      </c>
      <c r="M907" s="24">
        <v>1903</v>
      </c>
      <c r="N907" s="24" t="s">
        <v>527</v>
      </c>
      <c r="O907" s="24">
        <v>5</v>
      </c>
      <c r="P907" s="24">
        <v>0</v>
      </c>
      <c r="Q907" s="24">
        <v>1</v>
      </c>
      <c r="R907" s="24">
        <v>16</v>
      </c>
      <c r="S907" s="24">
        <v>1528.5</v>
      </c>
      <c r="T907" s="24">
        <v>1528.5</v>
      </c>
      <c r="U907" s="24">
        <v>1250.5</v>
      </c>
      <c r="V907" s="24">
        <v>278</v>
      </c>
      <c r="W907" s="24" t="s">
        <v>528</v>
      </c>
      <c r="X907" s="24" t="s">
        <v>528</v>
      </c>
      <c r="Y907" s="24" t="s">
        <v>529</v>
      </c>
      <c r="Z907" s="102" t="s">
        <v>528</v>
      </c>
      <c r="AA907" s="24" t="s">
        <v>528</v>
      </c>
      <c r="AB907" s="24" t="s">
        <v>528</v>
      </c>
      <c r="AC907" s="24" t="s">
        <v>528</v>
      </c>
      <c r="AD907" s="24" t="s">
        <v>528</v>
      </c>
      <c r="AE907" s="24" t="s">
        <v>529</v>
      </c>
      <c r="AF907" s="24">
        <v>0</v>
      </c>
      <c r="AG907" s="24" t="s">
        <v>529</v>
      </c>
      <c r="AH907" s="24">
        <v>1</v>
      </c>
      <c r="AI907" s="24" t="s">
        <v>529</v>
      </c>
      <c r="AJ907" s="24" t="s">
        <v>529</v>
      </c>
      <c r="AK907" s="24" t="s">
        <v>530</v>
      </c>
      <c r="AL907" s="24"/>
    </row>
    <row r="908" spans="1:38" ht="31.2" x14ac:dyDescent="0.3">
      <c r="A908" s="53">
        <v>901</v>
      </c>
      <c r="B908" s="24" t="s">
        <v>544</v>
      </c>
      <c r="C908" s="24" t="s">
        <v>545</v>
      </c>
      <c r="D908" s="82" t="s">
        <v>371</v>
      </c>
      <c r="E908" s="24" t="s">
        <v>1762</v>
      </c>
      <c r="F908" s="24" t="s">
        <v>200</v>
      </c>
      <c r="G908" s="24"/>
      <c r="H908" s="24" t="s">
        <v>1763</v>
      </c>
      <c r="I908" s="30" t="s">
        <v>525</v>
      </c>
      <c r="J908" s="24"/>
      <c r="K908" s="24" t="s">
        <v>1157</v>
      </c>
      <c r="L908" s="24" t="s">
        <v>199</v>
      </c>
      <c r="M908" s="24">
        <v>1956</v>
      </c>
      <c r="N908" s="24" t="s">
        <v>527</v>
      </c>
      <c r="O908" s="24">
        <v>6</v>
      </c>
      <c r="P908" s="24">
        <v>0</v>
      </c>
      <c r="Q908" s="24">
        <v>6</v>
      </c>
      <c r="R908" s="24">
        <v>75</v>
      </c>
      <c r="S908" s="24">
        <v>6263.9</v>
      </c>
      <c r="T908" s="24">
        <v>6263.9</v>
      </c>
      <c r="U908" s="24">
        <v>5117.8999999999996</v>
      </c>
      <c r="V908" s="24">
        <v>1146</v>
      </c>
      <c r="W908" s="24" t="s">
        <v>528</v>
      </c>
      <c r="X908" s="24" t="s">
        <v>528</v>
      </c>
      <c r="Y908" s="24" t="s">
        <v>529</v>
      </c>
      <c r="Z908" s="102" t="s">
        <v>528</v>
      </c>
      <c r="AA908" s="24" t="s">
        <v>528</v>
      </c>
      <c r="AB908" s="24" t="s">
        <v>528</v>
      </c>
      <c r="AC908" s="24" t="s">
        <v>528</v>
      </c>
      <c r="AD908" s="24" t="s">
        <v>528</v>
      </c>
      <c r="AE908" s="24" t="s">
        <v>529</v>
      </c>
      <c r="AF908" s="24">
        <v>5</v>
      </c>
      <c r="AG908" s="24" t="s">
        <v>529</v>
      </c>
      <c r="AH908" s="24">
        <v>2</v>
      </c>
      <c r="AI908" s="24" t="s">
        <v>529</v>
      </c>
      <c r="AJ908" s="24">
        <v>1</v>
      </c>
      <c r="AK908" s="24" t="s">
        <v>530</v>
      </c>
      <c r="AL908" s="24"/>
    </row>
    <row r="909" spans="1:38" ht="31.2" x14ac:dyDescent="0.3">
      <c r="A909" s="53">
        <v>902</v>
      </c>
      <c r="B909" s="24" t="s">
        <v>544</v>
      </c>
      <c r="C909" s="24" t="s">
        <v>545</v>
      </c>
      <c r="D909" s="82" t="s">
        <v>371</v>
      </c>
      <c r="E909" s="24" t="s">
        <v>1764</v>
      </c>
      <c r="F909" s="24" t="s">
        <v>200</v>
      </c>
      <c r="G909" s="24"/>
      <c r="H909" s="24" t="s">
        <v>1765</v>
      </c>
      <c r="I909" s="30" t="s">
        <v>525</v>
      </c>
      <c r="J909" s="24"/>
      <c r="K909" s="24" t="s">
        <v>199</v>
      </c>
      <c r="L909" s="24" t="s">
        <v>199</v>
      </c>
      <c r="M909" s="24">
        <v>1913</v>
      </c>
      <c r="N909" s="24" t="s">
        <v>527</v>
      </c>
      <c r="O909" s="24">
        <v>7</v>
      </c>
      <c r="P909" s="24">
        <v>0</v>
      </c>
      <c r="Q909" s="24">
        <v>4</v>
      </c>
      <c r="R909" s="24">
        <v>42</v>
      </c>
      <c r="S909" s="24">
        <v>3757.16</v>
      </c>
      <c r="T909" s="24">
        <v>3757.16</v>
      </c>
      <c r="U909" s="24">
        <v>3382.46</v>
      </c>
      <c r="V909" s="24">
        <v>374.7</v>
      </c>
      <c r="W909" s="24" t="s">
        <v>528</v>
      </c>
      <c r="X909" s="24" t="s">
        <v>528</v>
      </c>
      <c r="Y909" s="24" t="s">
        <v>529</v>
      </c>
      <c r="Z909" s="102" t="s">
        <v>528</v>
      </c>
      <c r="AA909" s="24" t="s">
        <v>528</v>
      </c>
      <c r="AB909" s="24" t="s">
        <v>528</v>
      </c>
      <c r="AC909" s="24" t="s">
        <v>528</v>
      </c>
      <c r="AD909" s="24" t="s">
        <v>528</v>
      </c>
      <c r="AE909" s="24" t="s">
        <v>529</v>
      </c>
      <c r="AF909" s="24">
        <v>2</v>
      </c>
      <c r="AG909" s="24" t="s">
        <v>529</v>
      </c>
      <c r="AH909" s="24">
        <v>1</v>
      </c>
      <c r="AI909" s="24" t="s">
        <v>529</v>
      </c>
      <c r="AJ909" s="24">
        <v>1</v>
      </c>
      <c r="AK909" s="24" t="s">
        <v>530</v>
      </c>
      <c r="AL909" s="24"/>
    </row>
    <row r="910" spans="1:38" ht="31.2" x14ac:dyDescent="0.3">
      <c r="A910" s="53">
        <v>903</v>
      </c>
      <c r="B910" s="24" t="s">
        <v>544</v>
      </c>
      <c r="C910" s="24" t="s">
        <v>545</v>
      </c>
      <c r="D910" s="82" t="s">
        <v>371</v>
      </c>
      <c r="E910" s="24" t="s">
        <v>1440</v>
      </c>
      <c r="F910" s="24" t="s">
        <v>200</v>
      </c>
      <c r="G910" s="24"/>
      <c r="H910" s="24" t="s">
        <v>1766</v>
      </c>
      <c r="I910" s="30" t="s">
        <v>525</v>
      </c>
      <c r="J910" s="24"/>
      <c r="K910" s="24" t="s">
        <v>199</v>
      </c>
      <c r="L910" s="24" t="s">
        <v>199</v>
      </c>
      <c r="M910" s="24">
        <v>1912</v>
      </c>
      <c r="N910" s="24" t="s">
        <v>527</v>
      </c>
      <c r="O910" s="24">
        <v>6</v>
      </c>
      <c r="P910" s="24">
        <v>0</v>
      </c>
      <c r="Q910" s="24">
        <v>5</v>
      </c>
      <c r="R910" s="24">
        <v>43</v>
      </c>
      <c r="S910" s="24">
        <v>4968.2</v>
      </c>
      <c r="T910" s="24">
        <v>4968.2</v>
      </c>
      <c r="U910" s="24">
        <v>4452.2</v>
      </c>
      <c r="V910" s="24">
        <v>516</v>
      </c>
      <c r="W910" s="24" t="s">
        <v>528</v>
      </c>
      <c r="X910" s="24" t="s">
        <v>528</v>
      </c>
      <c r="Y910" s="24" t="s">
        <v>529</v>
      </c>
      <c r="Z910" s="102" t="s">
        <v>528</v>
      </c>
      <c r="AA910" s="24" t="s">
        <v>528</v>
      </c>
      <c r="AB910" s="24" t="s">
        <v>528</v>
      </c>
      <c r="AC910" s="24" t="s">
        <v>528</v>
      </c>
      <c r="AD910" s="24" t="s">
        <v>528</v>
      </c>
      <c r="AE910" s="24" t="s">
        <v>529</v>
      </c>
      <c r="AF910" s="24">
        <v>1</v>
      </c>
      <c r="AG910" s="24" t="s">
        <v>529</v>
      </c>
      <c r="AH910" s="24">
        <v>1</v>
      </c>
      <c r="AI910" s="24" t="s">
        <v>529</v>
      </c>
      <c r="AJ910" s="24">
        <v>1</v>
      </c>
      <c r="AK910" s="24" t="s">
        <v>530</v>
      </c>
      <c r="AL910" s="24"/>
    </row>
    <row r="911" spans="1:38" ht="31.2" x14ac:dyDescent="0.3">
      <c r="A911" s="53">
        <v>904</v>
      </c>
      <c r="B911" s="24" t="s">
        <v>544</v>
      </c>
      <c r="C911" s="24" t="s">
        <v>552</v>
      </c>
      <c r="D911" s="82" t="s">
        <v>1742</v>
      </c>
      <c r="E911" s="24" t="s">
        <v>1339</v>
      </c>
      <c r="F911" s="24" t="s">
        <v>200</v>
      </c>
      <c r="G911" s="24"/>
      <c r="H911" s="24" t="s">
        <v>1767</v>
      </c>
      <c r="I911" s="30" t="s">
        <v>525</v>
      </c>
      <c r="J911" s="24"/>
      <c r="K911" s="24" t="s">
        <v>1157</v>
      </c>
      <c r="L911" s="24" t="s">
        <v>199</v>
      </c>
      <c r="M911" s="24">
        <v>1956</v>
      </c>
      <c r="N911" s="24" t="s">
        <v>527</v>
      </c>
      <c r="O911" s="24">
        <v>6</v>
      </c>
      <c r="P911" s="24">
        <v>0</v>
      </c>
      <c r="Q911" s="24">
        <v>7</v>
      </c>
      <c r="R911" s="24">
        <v>63</v>
      </c>
      <c r="S911" s="24">
        <v>7600.7</v>
      </c>
      <c r="T911" s="24">
        <v>7600.7</v>
      </c>
      <c r="U911" s="24">
        <v>6192.7</v>
      </c>
      <c r="V911" s="24">
        <v>1408</v>
      </c>
      <c r="W911" s="24" t="s">
        <v>528</v>
      </c>
      <c r="X911" s="24" t="s">
        <v>528</v>
      </c>
      <c r="Y911" s="24" t="s">
        <v>528</v>
      </c>
      <c r="Z911" s="102" t="s">
        <v>528</v>
      </c>
      <c r="AA911" s="24" t="s">
        <v>528</v>
      </c>
      <c r="AB911" s="24" t="s">
        <v>528</v>
      </c>
      <c r="AC911" s="24" t="s">
        <v>529</v>
      </c>
      <c r="AD911" s="24" t="s">
        <v>528</v>
      </c>
      <c r="AE911" s="24" t="s">
        <v>529</v>
      </c>
      <c r="AF911" s="24">
        <v>2</v>
      </c>
      <c r="AG911" s="24" t="s">
        <v>529</v>
      </c>
      <c r="AH911" s="24">
        <v>1</v>
      </c>
      <c r="AI911" s="24">
        <v>1</v>
      </c>
      <c r="AJ911" s="24">
        <v>1</v>
      </c>
      <c r="AK911" s="24" t="s">
        <v>530</v>
      </c>
      <c r="AL911" s="24"/>
    </row>
    <row r="912" spans="1:38" ht="31.2" x14ac:dyDescent="0.3">
      <c r="A912" s="53">
        <v>905</v>
      </c>
      <c r="B912" s="24" t="s">
        <v>544</v>
      </c>
      <c r="C912" s="24" t="s">
        <v>552</v>
      </c>
      <c r="D912" s="82" t="s">
        <v>1742</v>
      </c>
      <c r="E912" s="24" t="s">
        <v>1189</v>
      </c>
      <c r="F912" s="24" t="s">
        <v>200</v>
      </c>
      <c r="G912" s="24"/>
      <c r="H912" s="24" t="s">
        <v>1768</v>
      </c>
      <c r="I912" s="30" t="s">
        <v>525</v>
      </c>
      <c r="J912" s="24"/>
      <c r="K912" s="24" t="s">
        <v>199</v>
      </c>
      <c r="L912" s="24" t="s">
        <v>199</v>
      </c>
      <c r="M912" s="24">
        <v>1912</v>
      </c>
      <c r="N912" s="24" t="s">
        <v>527</v>
      </c>
      <c r="O912" s="24">
        <v>6</v>
      </c>
      <c r="P912" s="24">
        <v>0</v>
      </c>
      <c r="Q912" s="24">
        <v>3</v>
      </c>
      <c r="R912" s="24">
        <v>48</v>
      </c>
      <c r="S912" s="24">
        <v>5934.6</v>
      </c>
      <c r="T912" s="24">
        <v>5934.6</v>
      </c>
      <c r="U912" s="24">
        <v>971.3</v>
      </c>
      <c r="V912" s="24">
        <v>4963.3</v>
      </c>
      <c r="W912" s="24" t="s">
        <v>528</v>
      </c>
      <c r="X912" s="24" t="s">
        <v>528</v>
      </c>
      <c r="Y912" s="24" t="s">
        <v>529</v>
      </c>
      <c r="Z912" s="102" t="s">
        <v>528</v>
      </c>
      <c r="AA912" s="24" t="s">
        <v>528</v>
      </c>
      <c r="AB912" s="24" t="s">
        <v>528</v>
      </c>
      <c r="AC912" s="24" t="s">
        <v>528</v>
      </c>
      <c r="AD912" s="24" t="s">
        <v>528</v>
      </c>
      <c r="AE912" s="24" t="s">
        <v>529</v>
      </c>
      <c r="AF912" s="24">
        <v>0</v>
      </c>
      <c r="AG912" s="24" t="s">
        <v>529</v>
      </c>
      <c r="AH912" s="24">
        <v>1</v>
      </c>
      <c r="AI912" s="24" t="s">
        <v>529</v>
      </c>
      <c r="AJ912" s="24">
        <v>1</v>
      </c>
      <c r="AK912" s="24" t="s">
        <v>530</v>
      </c>
      <c r="AL912" s="24"/>
    </row>
    <row r="913" spans="1:38" ht="31.2" x14ac:dyDescent="0.3">
      <c r="A913" s="53">
        <v>906</v>
      </c>
      <c r="B913" s="24" t="s">
        <v>544</v>
      </c>
      <c r="C913" s="24" t="s">
        <v>545</v>
      </c>
      <c r="D913" s="82" t="s">
        <v>1769</v>
      </c>
      <c r="E913" s="24" t="s">
        <v>1334</v>
      </c>
      <c r="F913" s="24" t="s">
        <v>200</v>
      </c>
      <c r="G913" s="24"/>
      <c r="H913" s="24" t="s">
        <v>1770</v>
      </c>
      <c r="I913" s="30" t="s">
        <v>525</v>
      </c>
      <c r="J913" s="24"/>
      <c r="K913" s="24" t="s">
        <v>199</v>
      </c>
      <c r="L913" s="24" t="s">
        <v>199</v>
      </c>
      <c r="M913" s="24">
        <v>1910</v>
      </c>
      <c r="N913" s="24" t="s">
        <v>527</v>
      </c>
      <c r="O913" s="24">
        <v>6</v>
      </c>
      <c r="P913" s="24">
        <v>0</v>
      </c>
      <c r="Q913" s="24">
        <v>6</v>
      </c>
      <c r="R913" s="24">
        <v>58</v>
      </c>
      <c r="S913" s="24">
        <v>5975.6</v>
      </c>
      <c r="T913" s="24">
        <v>5975.6</v>
      </c>
      <c r="U913" s="24">
        <v>5075.6000000000004</v>
      </c>
      <c r="V913" s="24">
        <v>900</v>
      </c>
      <c r="W913" s="24" t="s">
        <v>528</v>
      </c>
      <c r="X913" s="24" t="s">
        <v>528</v>
      </c>
      <c r="Y913" s="24" t="s">
        <v>529</v>
      </c>
      <c r="Z913" s="102" t="s">
        <v>528</v>
      </c>
      <c r="AA913" s="24" t="s">
        <v>528</v>
      </c>
      <c r="AB913" s="24" t="s">
        <v>528</v>
      </c>
      <c r="AC913" s="24" t="s">
        <v>528</v>
      </c>
      <c r="AD913" s="24" t="s">
        <v>528</v>
      </c>
      <c r="AE913" s="24" t="s">
        <v>529</v>
      </c>
      <c r="AF913" s="24">
        <v>4</v>
      </c>
      <c r="AG913" s="24" t="s">
        <v>529</v>
      </c>
      <c r="AH913" s="24">
        <v>1</v>
      </c>
      <c r="AI913" s="24" t="s">
        <v>529</v>
      </c>
      <c r="AJ913" s="24">
        <v>1</v>
      </c>
      <c r="AK913" s="24" t="s">
        <v>530</v>
      </c>
      <c r="AL913" s="24"/>
    </row>
    <row r="914" spans="1:38" ht="31.2" x14ac:dyDescent="0.3">
      <c r="A914" s="53">
        <v>907</v>
      </c>
      <c r="B914" s="24" t="s">
        <v>544</v>
      </c>
      <c r="C914" s="24" t="s">
        <v>545</v>
      </c>
      <c r="D914" s="82" t="s">
        <v>1769</v>
      </c>
      <c r="E914" s="24" t="s">
        <v>1234</v>
      </c>
      <c r="F914" s="24" t="s">
        <v>200</v>
      </c>
      <c r="G914" s="24"/>
      <c r="H914" s="24" t="s">
        <v>1771</v>
      </c>
      <c r="I914" s="30" t="s">
        <v>525</v>
      </c>
      <c r="J914" s="24"/>
      <c r="K914" s="24" t="s">
        <v>199</v>
      </c>
      <c r="L914" s="24" t="s">
        <v>199</v>
      </c>
      <c r="M914" s="24">
        <v>1912</v>
      </c>
      <c r="N914" s="24" t="s">
        <v>527</v>
      </c>
      <c r="O914" s="24">
        <v>7</v>
      </c>
      <c r="P914" s="24">
        <v>0</v>
      </c>
      <c r="Q914" s="24">
        <v>1</v>
      </c>
      <c r="R914" s="24">
        <v>26</v>
      </c>
      <c r="S914" s="24">
        <v>2575.11</v>
      </c>
      <c r="T914" s="24">
        <v>2575.11</v>
      </c>
      <c r="U914" s="24">
        <v>2575.11</v>
      </c>
      <c r="V914" s="24">
        <v>0</v>
      </c>
      <c r="W914" s="24" t="s">
        <v>528</v>
      </c>
      <c r="X914" s="24" t="s">
        <v>528</v>
      </c>
      <c r="Y914" s="24" t="s">
        <v>529</v>
      </c>
      <c r="Z914" s="102" t="s">
        <v>528</v>
      </c>
      <c r="AA914" s="24" t="s">
        <v>528</v>
      </c>
      <c r="AB914" s="24" t="s">
        <v>528</v>
      </c>
      <c r="AC914" s="24" t="s">
        <v>528</v>
      </c>
      <c r="AD914" s="24" t="s">
        <v>528</v>
      </c>
      <c r="AE914" s="24" t="s">
        <v>529</v>
      </c>
      <c r="AF914" s="24">
        <v>1</v>
      </c>
      <c r="AG914" s="24" t="s">
        <v>529</v>
      </c>
      <c r="AH914" s="24">
        <v>1</v>
      </c>
      <c r="AI914" s="24" t="s">
        <v>529</v>
      </c>
      <c r="AJ914" s="24">
        <v>1</v>
      </c>
      <c r="AK914" s="24" t="s">
        <v>530</v>
      </c>
      <c r="AL914" s="24"/>
    </row>
    <row r="915" spans="1:38" ht="31.2" x14ac:dyDescent="0.3">
      <c r="A915" s="53">
        <v>908</v>
      </c>
      <c r="B915" s="24" t="s">
        <v>544</v>
      </c>
      <c r="C915" s="24" t="s">
        <v>552</v>
      </c>
      <c r="D915" s="82" t="s">
        <v>469</v>
      </c>
      <c r="E915" s="24" t="s">
        <v>1772</v>
      </c>
      <c r="F915" s="24" t="s">
        <v>200</v>
      </c>
      <c r="G915" s="24"/>
      <c r="H915" s="24" t="s">
        <v>1773</v>
      </c>
      <c r="I915" s="30" t="s">
        <v>525</v>
      </c>
      <c r="J915" s="24"/>
      <c r="K915" s="24" t="s">
        <v>199</v>
      </c>
      <c r="L915" s="24" t="s">
        <v>199</v>
      </c>
      <c r="M915" s="24">
        <v>1912</v>
      </c>
      <c r="N915" s="24" t="s">
        <v>527</v>
      </c>
      <c r="O915" s="24">
        <v>6</v>
      </c>
      <c r="P915" s="24">
        <v>0</v>
      </c>
      <c r="Q915" s="24">
        <v>4</v>
      </c>
      <c r="R915" s="24">
        <v>82</v>
      </c>
      <c r="S915" s="24">
        <v>8441.1299999999992</v>
      </c>
      <c r="T915" s="24">
        <v>8441.1299999999992</v>
      </c>
      <c r="U915" s="24">
        <v>7285.13</v>
      </c>
      <c r="V915" s="24">
        <v>1156</v>
      </c>
      <c r="W915" s="24" t="s">
        <v>528</v>
      </c>
      <c r="X915" s="24" t="s">
        <v>528</v>
      </c>
      <c r="Y915" s="24" t="s">
        <v>529</v>
      </c>
      <c r="Z915" s="102" t="s">
        <v>528</v>
      </c>
      <c r="AA915" s="24" t="s">
        <v>528</v>
      </c>
      <c r="AB915" s="24" t="s">
        <v>528</v>
      </c>
      <c r="AC915" s="24" t="s">
        <v>528</v>
      </c>
      <c r="AD915" s="24" t="s">
        <v>528</v>
      </c>
      <c r="AE915" s="24" t="s">
        <v>529</v>
      </c>
      <c r="AF915" s="24">
        <v>1</v>
      </c>
      <c r="AG915" s="24" t="s">
        <v>529</v>
      </c>
      <c r="AH915" s="24">
        <v>1</v>
      </c>
      <c r="AI915" s="24" t="s">
        <v>529</v>
      </c>
      <c r="AJ915" s="24">
        <v>1</v>
      </c>
      <c r="AK915" s="24" t="s">
        <v>530</v>
      </c>
      <c r="AL915" s="24"/>
    </row>
    <row r="916" spans="1:38" ht="31.2" x14ac:dyDescent="0.3">
      <c r="A916" s="53">
        <v>909</v>
      </c>
      <c r="B916" s="24" t="s">
        <v>544</v>
      </c>
      <c r="C916" s="24" t="s">
        <v>552</v>
      </c>
      <c r="D916" s="82" t="s">
        <v>469</v>
      </c>
      <c r="E916" s="24" t="s">
        <v>1774</v>
      </c>
      <c r="F916" s="24" t="s">
        <v>200</v>
      </c>
      <c r="G916" s="24"/>
      <c r="H916" s="24" t="s">
        <v>1775</v>
      </c>
      <c r="I916" s="30" t="s">
        <v>525</v>
      </c>
      <c r="J916" s="24"/>
      <c r="K916" s="24" t="s">
        <v>199</v>
      </c>
      <c r="L916" s="24" t="s">
        <v>199</v>
      </c>
      <c r="M916" s="24">
        <v>1913</v>
      </c>
      <c r="N916" s="24" t="s">
        <v>527</v>
      </c>
      <c r="O916" s="24">
        <v>8</v>
      </c>
      <c r="P916" s="24">
        <v>0</v>
      </c>
      <c r="Q916" s="24">
        <v>4</v>
      </c>
      <c r="R916" s="24">
        <v>84</v>
      </c>
      <c r="S916" s="24">
        <v>7196.3</v>
      </c>
      <c r="T916" s="24">
        <v>7196.3</v>
      </c>
      <c r="U916" s="24">
        <v>6630.3</v>
      </c>
      <c r="V916" s="24">
        <v>566</v>
      </c>
      <c r="W916" s="24" t="s">
        <v>528</v>
      </c>
      <c r="X916" s="24" t="s">
        <v>528</v>
      </c>
      <c r="Y916" s="24" t="s">
        <v>529</v>
      </c>
      <c r="Z916" s="102" t="s">
        <v>528</v>
      </c>
      <c r="AA916" s="24" t="s">
        <v>528</v>
      </c>
      <c r="AB916" s="24" t="s">
        <v>528</v>
      </c>
      <c r="AC916" s="24" t="s">
        <v>528</v>
      </c>
      <c r="AD916" s="24" t="s">
        <v>528</v>
      </c>
      <c r="AE916" s="24" t="s">
        <v>529</v>
      </c>
      <c r="AF916" s="24">
        <v>4</v>
      </c>
      <c r="AG916" s="24" t="s">
        <v>529</v>
      </c>
      <c r="AH916" s="24">
        <v>1</v>
      </c>
      <c r="AI916" s="24" t="s">
        <v>529</v>
      </c>
      <c r="AJ916" s="24">
        <v>1</v>
      </c>
      <c r="AK916" s="24" t="s">
        <v>530</v>
      </c>
      <c r="AL916" s="24"/>
    </row>
    <row r="917" spans="1:38" ht="31.2" x14ac:dyDescent="0.3">
      <c r="A917" s="53">
        <v>910</v>
      </c>
      <c r="B917" s="24" t="s">
        <v>544</v>
      </c>
      <c r="C917" s="24" t="s">
        <v>552</v>
      </c>
      <c r="D917" s="82" t="s">
        <v>469</v>
      </c>
      <c r="E917" s="24" t="s">
        <v>1440</v>
      </c>
      <c r="F917" s="24" t="s">
        <v>200</v>
      </c>
      <c r="G917" s="24"/>
      <c r="H917" s="24" t="s">
        <v>1776</v>
      </c>
      <c r="I917" s="30" t="s">
        <v>525</v>
      </c>
      <c r="J917" s="24"/>
      <c r="K917" s="24" t="s">
        <v>199</v>
      </c>
      <c r="L917" s="24" t="s">
        <v>199</v>
      </c>
      <c r="M917" s="24">
        <v>1911</v>
      </c>
      <c r="N917" s="24" t="s">
        <v>527</v>
      </c>
      <c r="O917" s="24">
        <v>7</v>
      </c>
      <c r="P917" s="24">
        <v>0</v>
      </c>
      <c r="Q917" s="24">
        <v>6</v>
      </c>
      <c r="R917" s="24">
        <v>91</v>
      </c>
      <c r="S917" s="24">
        <v>7982.04</v>
      </c>
      <c r="T917" s="24">
        <v>7982.04</v>
      </c>
      <c r="U917" s="24">
        <v>7204.74</v>
      </c>
      <c r="V917" s="24">
        <v>777.3</v>
      </c>
      <c r="W917" s="24" t="s">
        <v>528</v>
      </c>
      <c r="X917" s="24" t="s">
        <v>528</v>
      </c>
      <c r="Y917" s="24" t="s">
        <v>529</v>
      </c>
      <c r="Z917" s="102" t="s">
        <v>528</v>
      </c>
      <c r="AA917" s="24" t="s">
        <v>528</v>
      </c>
      <c r="AB917" s="24" t="s">
        <v>528</v>
      </c>
      <c r="AC917" s="24" t="s">
        <v>528</v>
      </c>
      <c r="AD917" s="24" t="s">
        <v>528</v>
      </c>
      <c r="AE917" s="24" t="s">
        <v>529</v>
      </c>
      <c r="AF917" s="24">
        <v>3</v>
      </c>
      <c r="AG917" s="24" t="s">
        <v>529</v>
      </c>
      <c r="AH917" s="24">
        <v>1</v>
      </c>
      <c r="AI917" s="24" t="s">
        <v>529</v>
      </c>
      <c r="AJ917" s="24">
        <v>1</v>
      </c>
      <c r="AK917" s="24" t="s">
        <v>530</v>
      </c>
      <c r="AL917" s="24"/>
    </row>
    <row r="918" spans="1:38" ht="31.2" x14ac:dyDescent="0.3">
      <c r="A918" s="53">
        <v>911</v>
      </c>
      <c r="B918" s="24" t="s">
        <v>544</v>
      </c>
      <c r="C918" s="24" t="s">
        <v>552</v>
      </c>
      <c r="D918" s="82" t="s">
        <v>469</v>
      </c>
      <c r="E918" s="24" t="s">
        <v>1777</v>
      </c>
      <c r="F918" s="24" t="s">
        <v>200</v>
      </c>
      <c r="G918" s="24"/>
      <c r="H918" s="24" t="s">
        <v>1778</v>
      </c>
      <c r="I918" s="30" t="s">
        <v>525</v>
      </c>
      <c r="J918" s="24"/>
      <c r="K918" s="24" t="s">
        <v>199</v>
      </c>
      <c r="L918" s="24" t="s">
        <v>199</v>
      </c>
      <c r="M918" s="24">
        <v>1911</v>
      </c>
      <c r="N918" s="24" t="s">
        <v>527</v>
      </c>
      <c r="O918" s="24">
        <v>6</v>
      </c>
      <c r="P918" s="24">
        <v>0</v>
      </c>
      <c r="Q918" s="24">
        <v>1</v>
      </c>
      <c r="R918" s="24">
        <v>30</v>
      </c>
      <c r="S918" s="24">
        <v>2008.21</v>
      </c>
      <c r="T918" s="24">
        <v>2008.21</v>
      </c>
      <c r="U918" s="24">
        <v>1691.21</v>
      </c>
      <c r="V918" s="24">
        <v>317</v>
      </c>
      <c r="W918" s="24" t="s">
        <v>528</v>
      </c>
      <c r="X918" s="24" t="s">
        <v>528</v>
      </c>
      <c r="Y918" s="24" t="s">
        <v>529</v>
      </c>
      <c r="Z918" s="102" t="s">
        <v>528</v>
      </c>
      <c r="AA918" s="24" t="s">
        <v>528</v>
      </c>
      <c r="AB918" s="24" t="s">
        <v>528</v>
      </c>
      <c r="AC918" s="24" t="s">
        <v>528</v>
      </c>
      <c r="AD918" s="24" t="s">
        <v>528</v>
      </c>
      <c r="AE918" s="24" t="s">
        <v>529</v>
      </c>
      <c r="AF918" s="24">
        <v>2</v>
      </c>
      <c r="AG918" s="24" t="s">
        <v>529</v>
      </c>
      <c r="AH918" s="24">
        <v>1</v>
      </c>
      <c r="AI918" s="24" t="s">
        <v>529</v>
      </c>
      <c r="AJ918" s="24">
        <v>1</v>
      </c>
      <c r="AK918" s="24" t="s">
        <v>530</v>
      </c>
      <c r="AL918" s="24"/>
    </row>
    <row r="919" spans="1:38" ht="31.2" x14ac:dyDescent="0.3">
      <c r="A919" s="53">
        <v>912</v>
      </c>
      <c r="B919" s="24" t="s">
        <v>544</v>
      </c>
      <c r="C919" s="24" t="s">
        <v>552</v>
      </c>
      <c r="D919" s="82" t="s">
        <v>469</v>
      </c>
      <c r="E919" s="24" t="s">
        <v>1777</v>
      </c>
      <c r="F919" s="24" t="s">
        <v>205</v>
      </c>
      <c r="G919" s="24"/>
      <c r="H919" s="24" t="s">
        <v>1779</v>
      </c>
      <c r="I919" s="30" t="s">
        <v>525</v>
      </c>
      <c r="J919" s="24"/>
      <c r="K919" s="24" t="s">
        <v>199</v>
      </c>
      <c r="L919" s="24" t="s">
        <v>199</v>
      </c>
      <c r="M919" s="24">
        <v>1911</v>
      </c>
      <c r="N919" s="24" t="s">
        <v>527</v>
      </c>
      <c r="O919" s="24">
        <v>6</v>
      </c>
      <c r="P919" s="24">
        <v>0</v>
      </c>
      <c r="Q919" s="24">
        <v>1</v>
      </c>
      <c r="R919" s="24">
        <v>30</v>
      </c>
      <c r="S919" s="24">
        <v>1836.5</v>
      </c>
      <c r="T919" s="24">
        <v>1836.5</v>
      </c>
      <c r="U919" s="24">
        <v>1568.5</v>
      </c>
      <c r="V919" s="24">
        <v>268</v>
      </c>
      <c r="W919" s="24" t="s">
        <v>528</v>
      </c>
      <c r="X919" s="24" t="s">
        <v>528</v>
      </c>
      <c r="Y919" s="24" t="s">
        <v>529</v>
      </c>
      <c r="Z919" s="102" t="s">
        <v>528</v>
      </c>
      <c r="AA919" s="24" t="s">
        <v>528</v>
      </c>
      <c r="AB919" s="24" t="s">
        <v>528</v>
      </c>
      <c r="AC919" s="24" t="s">
        <v>528</v>
      </c>
      <c r="AD919" s="24" t="s">
        <v>528</v>
      </c>
      <c r="AE919" s="24" t="s">
        <v>529</v>
      </c>
      <c r="AF919" s="24">
        <v>0</v>
      </c>
      <c r="AG919" s="24" t="s">
        <v>529</v>
      </c>
      <c r="AH919" s="24" t="s">
        <v>529</v>
      </c>
      <c r="AI919" s="24" t="s">
        <v>529</v>
      </c>
      <c r="AJ919" s="24">
        <v>1</v>
      </c>
      <c r="AK919" s="24" t="s">
        <v>530</v>
      </c>
      <c r="AL919" s="24"/>
    </row>
    <row r="920" spans="1:38" ht="31.2" x14ac:dyDescent="0.3">
      <c r="A920" s="53">
        <v>913</v>
      </c>
      <c r="B920" s="24" t="s">
        <v>544</v>
      </c>
      <c r="C920" s="24" t="s">
        <v>552</v>
      </c>
      <c r="D920" s="82" t="s">
        <v>469</v>
      </c>
      <c r="E920" s="24" t="s">
        <v>1780</v>
      </c>
      <c r="F920" s="24" t="s">
        <v>200</v>
      </c>
      <c r="G920" s="24"/>
      <c r="H920" s="24" t="s">
        <v>1781</v>
      </c>
      <c r="I920" s="30" t="s">
        <v>525</v>
      </c>
      <c r="J920" s="24"/>
      <c r="K920" s="24" t="s">
        <v>199</v>
      </c>
      <c r="L920" s="24" t="s">
        <v>199</v>
      </c>
      <c r="M920" s="24">
        <v>1912</v>
      </c>
      <c r="N920" s="24" t="s">
        <v>527</v>
      </c>
      <c r="O920" s="24">
        <v>6</v>
      </c>
      <c r="P920" s="24">
        <v>0</v>
      </c>
      <c r="Q920" s="24">
        <v>1</v>
      </c>
      <c r="R920" s="24">
        <v>30</v>
      </c>
      <c r="S920" s="24">
        <v>2036.02</v>
      </c>
      <c r="T920" s="24">
        <v>2036.02</v>
      </c>
      <c r="U920" s="24">
        <v>1728.02</v>
      </c>
      <c r="V920" s="24">
        <v>308</v>
      </c>
      <c r="W920" s="24" t="s">
        <v>528</v>
      </c>
      <c r="X920" s="24" t="s">
        <v>528</v>
      </c>
      <c r="Y920" s="24" t="s">
        <v>529</v>
      </c>
      <c r="Z920" s="102" t="s">
        <v>528</v>
      </c>
      <c r="AA920" s="24" t="s">
        <v>528</v>
      </c>
      <c r="AB920" s="24" t="s">
        <v>528</v>
      </c>
      <c r="AC920" s="24" t="s">
        <v>528</v>
      </c>
      <c r="AD920" s="24" t="s">
        <v>528</v>
      </c>
      <c r="AE920" s="24" t="s">
        <v>529</v>
      </c>
      <c r="AF920" s="24">
        <v>1</v>
      </c>
      <c r="AG920" s="24" t="s">
        <v>529</v>
      </c>
      <c r="AH920" s="24">
        <v>1</v>
      </c>
      <c r="AI920" s="24" t="s">
        <v>529</v>
      </c>
      <c r="AJ920" s="24">
        <v>1</v>
      </c>
      <c r="AK920" s="24" t="s">
        <v>530</v>
      </c>
      <c r="AL920" s="24"/>
    </row>
    <row r="921" spans="1:38" ht="31.2" x14ac:dyDescent="0.3">
      <c r="A921" s="53">
        <v>914</v>
      </c>
      <c r="B921" s="24" t="s">
        <v>544</v>
      </c>
      <c r="C921" s="24" t="s">
        <v>552</v>
      </c>
      <c r="D921" s="82" t="s">
        <v>469</v>
      </c>
      <c r="E921" s="24" t="s">
        <v>1780</v>
      </c>
      <c r="F921" s="24" t="s">
        <v>205</v>
      </c>
      <c r="G921" s="24"/>
      <c r="H921" s="24" t="s">
        <v>1782</v>
      </c>
      <c r="I921" s="30" t="s">
        <v>525</v>
      </c>
      <c r="J921" s="24"/>
      <c r="K921" s="24" t="s">
        <v>199</v>
      </c>
      <c r="L921" s="24" t="s">
        <v>199</v>
      </c>
      <c r="M921" s="24">
        <v>1912</v>
      </c>
      <c r="N921" s="24" t="s">
        <v>527</v>
      </c>
      <c r="O921" s="24">
        <v>6</v>
      </c>
      <c r="P921" s="24">
        <v>0</v>
      </c>
      <c r="Q921" s="24">
        <v>1</v>
      </c>
      <c r="R921" s="24">
        <v>30</v>
      </c>
      <c r="S921" s="24">
        <v>1848.6</v>
      </c>
      <c r="T921" s="24">
        <v>1848.6</v>
      </c>
      <c r="U921" s="24">
        <v>1571.6</v>
      </c>
      <c r="V921" s="24">
        <v>277</v>
      </c>
      <c r="W921" s="24" t="s">
        <v>528</v>
      </c>
      <c r="X921" s="24" t="s">
        <v>528</v>
      </c>
      <c r="Y921" s="24" t="s">
        <v>529</v>
      </c>
      <c r="Z921" s="102" t="s">
        <v>528</v>
      </c>
      <c r="AA921" s="24" t="s">
        <v>528</v>
      </c>
      <c r="AB921" s="24" t="s">
        <v>528</v>
      </c>
      <c r="AC921" s="24" t="s">
        <v>528</v>
      </c>
      <c r="AD921" s="24" t="s">
        <v>528</v>
      </c>
      <c r="AE921" s="24" t="s">
        <v>529</v>
      </c>
      <c r="AF921" s="24">
        <v>0</v>
      </c>
      <c r="AG921" s="24" t="s">
        <v>529</v>
      </c>
      <c r="AH921" s="24" t="s">
        <v>529</v>
      </c>
      <c r="AI921" s="24" t="s">
        <v>529</v>
      </c>
      <c r="AJ921" s="24" t="s">
        <v>529</v>
      </c>
      <c r="AK921" s="24" t="s">
        <v>530</v>
      </c>
      <c r="AL921" s="24"/>
    </row>
    <row r="922" spans="1:38" ht="41.4" x14ac:dyDescent="0.3">
      <c r="A922" s="53">
        <v>915</v>
      </c>
      <c r="B922" s="24" t="s">
        <v>544</v>
      </c>
      <c r="C922" s="24" t="s">
        <v>552</v>
      </c>
      <c r="D922" s="82" t="s">
        <v>234</v>
      </c>
      <c r="E922" s="24" t="s">
        <v>712</v>
      </c>
      <c r="F922" s="24" t="s">
        <v>200</v>
      </c>
      <c r="G922" s="24"/>
      <c r="H922" s="24" t="s">
        <v>1783</v>
      </c>
      <c r="I922" s="30" t="s">
        <v>525</v>
      </c>
      <c r="J922" s="24"/>
      <c r="K922" s="24" t="s">
        <v>199</v>
      </c>
      <c r="L922" s="24" t="s">
        <v>199</v>
      </c>
      <c r="M922" s="24">
        <v>1913</v>
      </c>
      <c r="N922" s="24" t="s">
        <v>527</v>
      </c>
      <c r="O922" s="24">
        <v>7</v>
      </c>
      <c r="P922" s="24">
        <v>0</v>
      </c>
      <c r="Q922" s="24">
        <v>1</v>
      </c>
      <c r="R922" s="24">
        <v>34</v>
      </c>
      <c r="S922" s="24">
        <v>3196.8</v>
      </c>
      <c r="T922" s="24">
        <v>3196.8</v>
      </c>
      <c r="U922" s="24">
        <v>2909.8</v>
      </c>
      <c r="V922" s="24">
        <v>287</v>
      </c>
      <c r="W922" s="24" t="s">
        <v>528</v>
      </c>
      <c r="X922" s="24" t="s">
        <v>528</v>
      </c>
      <c r="Y922" s="24" t="s">
        <v>529</v>
      </c>
      <c r="Z922" s="102" t="s">
        <v>528</v>
      </c>
      <c r="AA922" s="24" t="s">
        <v>528</v>
      </c>
      <c r="AB922" s="24" t="s">
        <v>528</v>
      </c>
      <c r="AC922" s="24" t="s">
        <v>528</v>
      </c>
      <c r="AD922" s="24" t="s">
        <v>528</v>
      </c>
      <c r="AE922" s="24" t="s">
        <v>529</v>
      </c>
      <c r="AF922" s="24">
        <v>1</v>
      </c>
      <c r="AG922" s="24" t="s">
        <v>529</v>
      </c>
      <c r="AH922" s="24">
        <v>1</v>
      </c>
      <c r="AI922" s="24" t="s">
        <v>529</v>
      </c>
      <c r="AJ922" s="24">
        <v>1</v>
      </c>
      <c r="AK922" s="24" t="s">
        <v>530</v>
      </c>
      <c r="AL922" s="24"/>
    </row>
    <row r="923" spans="1:38" ht="31.2" x14ac:dyDescent="0.3">
      <c r="A923" s="53">
        <v>916</v>
      </c>
      <c r="B923" s="24" t="s">
        <v>544</v>
      </c>
      <c r="C923" s="24" t="s">
        <v>545</v>
      </c>
      <c r="D923" s="82" t="s">
        <v>1769</v>
      </c>
      <c r="E923" s="24" t="s">
        <v>1392</v>
      </c>
      <c r="F923" s="24" t="s">
        <v>200</v>
      </c>
      <c r="G923" s="24"/>
      <c r="H923" s="24" t="s">
        <v>1784</v>
      </c>
      <c r="I923" s="30" t="s">
        <v>525</v>
      </c>
      <c r="J923" s="24"/>
      <c r="K923" s="24" t="s">
        <v>1138</v>
      </c>
      <c r="L923" s="24" t="s">
        <v>199</v>
      </c>
      <c r="M923" s="24">
        <v>1957</v>
      </c>
      <c r="N923" s="24" t="s">
        <v>527</v>
      </c>
      <c r="O923" s="24">
        <v>7</v>
      </c>
      <c r="P923" s="24">
        <v>0</v>
      </c>
      <c r="Q923" s="24">
        <v>3</v>
      </c>
      <c r="R923" s="24">
        <v>99</v>
      </c>
      <c r="S923" s="24">
        <v>8477.6299999999992</v>
      </c>
      <c r="T923" s="24">
        <v>8477.6299999999992</v>
      </c>
      <c r="U923" s="24">
        <v>6742.63</v>
      </c>
      <c r="V923" s="24">
        <v>1735</v>
      </c>
      <c r="W923" s="24" t="s">
        <v>528</v>
      </c>
      <c r="X923" s="24" t="s">
        <v>528</v>
      </c>
      <c r="Y923" s="24" t="s">
        <v>529</v>
      </c>
      <c r="Z923" s="102" t="s">
        <v>528</v>
      </c>
      <c r="AA923" s="24" t="s">
        <v>528</v>
      </c>
      <c r="AB923" s="24" t="s">
        <v>528</v>
      </c>
      <c r="AC923" s="24" t="s">
        <v>528</v>
      </c>
      <c r="AD923" s="24" t="s">
        <v>528</v>
      </c>
      <c r="AE923" s="24" t="s">
        <v>529</v>
      </c>
      <c r="AF923" s="24">
        <v>3</v>
      </c>
      <c r="AG923" s="24" t="s">
        <v>529</v>
      </c>
      <c r="AH923" s="24">
        <v>1</v>
      </c>
      <c r="AI923" s="24" t="s">
        <v>529</v>
      </c>
      <c r="AJ923" s="24">
        <v>1</v>
      </c>
      <c r="AK923" s="24" t="s">
        <v>530</v>
      </c>
      <c r="AL923" s="24"/>
    </row>
    <row r="924" spans="1:38" ht="31.2" x14ac:dyDescent="0.3">
      <c r="A924" s="53">
        <v>917</v>
      </c>
      <c r="B924" s="24" t="s">
        <v>544</v>
      </c>
      <c r="C924" s="24" t="s">
        <v>545</v>
      </c>
      <c r="D924" s="82" t="s">
        <v>1769</v>
      </c>
      <c r="E924" s="24" t="s">
        <v>1405</v>
      </c>
      <c r="F924" s="24" t="s">
        <v>200</v>
      </c>
      <c r="G924" s="24"/>
      <c r="H924" s="24" t="s">
        <v>1785</v>
      </c>
      <c r="I924" s="30" t="s">
        <v>525</v>
      </c>
      <c r="J924" s="24" t="s">
        <v>535</v>
      </c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102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</row>
    <row r="925" spans="1:38" ht="31.2" x14ac:dyDescent="0.3">
      <c r="A925" s="53">
        <v>918</v>
      </c>
      <c r="B925" s="24" t="s">
        <v>544</v>
      </c>
      <c r="C925" s="24" t="s">
        <v>545</v>
      </c>
      <c r="D925" s="82" t="s">
        <v>216</v>
      </c>
      <c r="E925" s="24" t="s">
        <v>594</v>
      </c>
      <c r="F925" s="24"/>
      <c r="G925" s="24"/>
      <c r="H925" s="24" t="s">
        <v>1786</v>
      </c>
      <c r="I925" s="30" t="s">
        <v>525</v>
      </c>
      <c r="J925" s="24"/>
      <c r="K925" s="24" t="s">
        <v>199</v>
      </c>
      <c r="L925" s="24" t="s">
        <v>199</v>
      </c>
      <c r="M925" s="24">
        <v>1907</v>
      </c>
      <c r="N925" s="24" t="s">
        <v>527</v>
      </c>
      <c r="O925" s="24">
        <v>5</v>
      </c>
      <c r="P925" s="24">
        <v>0</v>
      </c>
      <c r="Q925" s="24">
        <v>4</v>
      </c>
      <c r="R925" s="24">
        <v>31</v>
      </c>
      <c r="S925" s="24">
        <v>3638.6</v>
      </c>
      <c r="T925" s="24">
        <v>3638.6</v>
      </c>
      <c r="U925" s="24">
        <v>3037.2</v>
      </c>
      <c r="V925" s="24">
        <v>601.4</v>
      </c>
      <c r="W925" s="24" t="s">
        <v>528</v>
      </c>
      <c r="X925" s="24" t="s">
        <v>528</v>
      </c>
      <c r="Y925" s="24" t="s">
        <v>529</v>
      </c>
      <c r="Z925" s="102" t="s">
        <v>528</v>
      </c>
      <c r="AA925" s="24" t="s">
        <v>528</v>
      </c>
      <c r="AB925" s="24" t="s">
        <v>528</v>
      </c>
      <c r="AC925" s="24" t="s">
        <v>528</v>
      </c>
      <c r="AD925" s="24" t="s">
        <v>528</v>
      </c>
      <c r="AE925" s="24" t="s">
        <v>529</v>
      </c>
      <c r="AF925" s="24">
        <v>0</v>
      </c>
      <c r="AG925" s="24" t="s">
        <v>529</v>
      </c>
      <c r="AH925" s="24">
        <v>1</v>
      </c>
      <c r="AI925" s="24" t="s">
        <v>529</v>
      </c>
      <c r="AJ925" s="24">
        <v>1</v>
      </c>
      <c r="AK925" s="24" t="s">
        <v>530</v>
      </c>
      <c r="AL925" s="24"/>
    </row>
    <row r="926" spans="1:38" ht="31.2" x14ac:dyDescent="0.3">
      <c r="A926" s="53">
        <v>919</v>
      </c>
      <c r="B926" s="24" t="s">
        <v>544</v>
      </c>
      <c r="C926" s="24" t="s">
        <v>552</v>
      </c>
      <c r="D926" s="82" t="s">
        <v>420</v>
      </c>
      <c r="E926" s="24" t="s">
        <v>1787</v>
      </c>
      <c r="F926" s="24" t="s">
        <v>205</v>
      </c>
      <c r="G926" s="24"/>
      <c r="H926" s="24" t="s">
        <v>1788</v>
      </c>
      <c r="I926" s="30" t="s">
        <v>525</v>
      </c>
      <c r="J926" s="24" t="s">
        <v>535</v>
      </c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102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</row>
    <row r="927" spans="1:38" ht="31.2" x14ac:dyDescent="0.3">
      <c r="A927" s="53">
        <v>920</v>
      </c>
      <c r="B927" s="24" t="s">
        <v>544</v>
      </c>
      <c r="C927" s="24" t="s">
        <v>552</v>
      </c>
      <c r="D927" s="82" t="s">
        <v>236</v>
      </c>
      <c r="E927" s="24" t="s">
        <v>1189</v>
      </c>
      <c r="F927" s="24" t="s">
        <v>200</v>
      </c>
      <c r="G927" s="24"/>
      <c r="H927" s="24" t="s">
        <v>1789</v>
      </c>
      <c r="I927" s="30" t="s">
        <v>525</v>
      </c>
      <c r="J927" s="24"/>
      <c r="K927" s="24" t="s">
        <v>1157</v>
      </c>
      <c r="L927" s="24" t="s">
        <v>199</v>
      </c>
      <c r="M927" s="24">
        <v>1938</v>
      </c>
      <c r="N927" s="24" t="s">
        <v>527</v>
      </c>
      <c r="O927" s="24">
        <v>5</v>
      </c>
      <c r="P927" s="24">
        <v>0</v>
      </c>
      <c r="Q927" s="24">
        <v>10</v>
      </c>
      <c r="R927" s="24">
        <v>109</v>
      </c>
      <c r="S927" s="24">
        <v>6957.7</v>
      </c>
      <c r="T927" s="24">
        <v>6957.7</v>
      </c>
      <c r="U927" s="24">
        <v>6133.2</v>
      </c>
      <c r="V927" s="24">
        <v>824.5</v>
      </c>
      <c r="W927" s="24" t="s">
        <v>528</v>
      </c>
      <c r="X927" s="24" t="s">
        <v>528</v>
      </c>
      <c r="Y927" s="24" t="s">
        <v>529</v>
      </c>
      <c r="Z927" s="102" t="s">
        <v>528</v>
      </c>
      <c r="AA927" s="24" t="s">
        <v>528</v>
      </c>
      <c r="AB927" s="24" t="s">
        <v>528</v>
      </c>
      <c r="AC927" s="24" t="s">
        <v>528</v>
      </c>
      <c r="AD927" s="24" t="s">
        <v>528</v>
      </c>
      <c r="AE927" s="24" t="s">
        <v>529</v>
      </c>
      <c r="AF927" s="24">
        <v>4</v>
      </c>
      <c r="AG927" s="24" t="s">
        <v>529</v>
      </c>
      <c r="AH927" s="24">
        <v>1</v>
      </c>
      <c r="AI927" s="24" t="s">
        <v>529</v>
      </c>
      <c r="AJ927" s="24">
        <v>1</v>
      </c>
      <c r="AK927" s="24" t="s">
        <v>530</v>
      </c>
      <c r="AL927" s="24"/>
    </row>
    <row r="928" spans="1:38" ht="31.2" x14ac:dyDescent="0.3">
      <c r="A928" s="53">
        <v>921</v>
      </c>
      <c r="B928" s="24" t="s">
        <v>544</v>
      </c>
      <c r="C928" s="24" t="s">
        <v>552</v>
      </c>
      <c r="D928" s="82" t="s">
        <v>1790</v>
      </c>
      <c r="E928" s="24" t="s">
        <v>1189</v>
      </c>
      <c r="F928" s="24" t="s">
        <v>200</v>
      </c>
      <c r="G928" s="24"/>
      <c r="H928" s="24" t="s">
        <v>1791</v>
      </c>
      <c r="I928" s="30" t="s">
        <v>525</v>
      </c>
      <c r="J928" s="24"/>
      <c r="K928" s="24" t="s">
        <v>1138</v>
      </c>
      <c r="L928" s="24" t="s">
        <v>199</v>
      </c>
      <c r="M928" s="24">
        <v>1959</v>
      </c>
      <c r="N928" s="24" t="s">
        <v>1792</v>
      </c>
      <c r="O928" s="24">
        <v>5</v>
      </c>
      <c r="P928" s="24">
        <v>0</v>
      </c>
      <c r="Q928" s="24">
        <v>3</v>
      </c>
      <c r="R928" s="24">
        <v>60</v>
      </c>
      <c r="S928" s="24">
        <v>4427.7</v>
      </c>
      <c r="T928" s="24">
        <v>4427.7</v>
      </c>
      <c r="U928" s="24">
        <v>3648.7</v>
      </c>
      <c r="V928" s="24">
        <v>779</v>
      </c>
      <c r="W928" s="24" t="s">
        <v>528</v>
      </c>
      <c r="X928" s="24" t="s">
        <v>528</v>
      </c>
      <c r="Y928" s="24" t="s">
        <v>529</v>
      </c>
      <c r="Z928" s="102" t="s">
        <v>528</v>
      </c>
      <c r="AA928" s="24" t="s">
        <v>528</v>
      </c>
      <c r="AB928" s="24" t="s">
        <v>528</v>
      </c>
      <c r="AC928" s="24" t="s">
        <v>528</v>
      </c>
      <c r="AD928" s="24" t="s">
        <v>528</v>
      </c>
      <c r="AE928" s="24" t="s">
        <v>529</v>
      </c>
      <c r="AF928" s="24">
        <v>0</v>
      </c>
      <c r="AG928" s="24" t="s">
        <v>529</v>
      </c>
      <c r="AH928" s="24">
        <v>1</v>
      </c>
      <c r="AI928" s="24" t="s">
        <v>529</v>
      </c>
      <c r="AJ928" s="24">
        <v>1</v>
      </c>
      <c r="AK928" s="24" t="s">
        <v>530</v>
      </c>
      <c r="AL928" s="24"/>
    </row>
    <row r="929" spans="1:38" ht="31.2" x14ac:dyDescent="0.3">
      <c r="A929" s="53">
        <v>922</v>
      </c>
      <c r="B929" s="24" t="s">
        <v>544</v>
      </c>
      <c r="C929" s="24" t="s">
        <v>552</v>
      </c>
      <c r="D929" s="82" t="s">
        <v>442</v>
      </c>
      <c r="E929" s="24" t="s">
        <v>1793</v>
      </c>
      <c r="F929" s="24" t="s">
        <v>200</v>
      </c>
      <c r="G929" s="24"/>
      <c r="H929" s="24" t="s">
        <v>1794</v>
      </c>
      <c r="I929" s="30" t="s">
        <v>525</v>
      </c>
      <c r="J929" s="24" t="s">
        <v>535</v>
      </c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102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</row>
    <row r="930" spans="1:38" ht="31.2" x14ac:dyDescent="0.3">
      <c r="A930" s="53">
        <v>923</v>
      </c>
      <c r="B930" s="24" t="s">
        <v>544</v>
      </c>
      <c r="C930" s="24" t="s">
        <v>552</v>
      </c>
      <c r="D930" s="82" t="s">
        <v>442</v>
      </c>
      <c r="E930" s="24" t="s">
        <v>1793</v>
      </c>
      <c r="F930" s="24" t="s">
        <v>205</v>
      </c>
      <c r="G930" s="24"/>
      <c r="H930" s="24" t="s">
        <v>1795</v>
      </c>
      <c r="I930" s="30" t="s">
        <v>525</v>
      </c>
      <c r="J930" s="24" t="s">
        <v>535</v>
      </c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102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</row>
    <row r="931" spans="1:38" ht="31.2" x14ac:dyDescent="0.3">
      <c r="A931" s="53">
        <v>924</v>
      </c>
      <c r="B931" s="24" t="s">
        <v>544</v>
      </c>
      <c r="C931" s="24" t="s">
        <v>552</v>
      </c>
      <c r="D931" s="82" t="s">
        <v>442</v>
      </c>
      <c r="E931" s="24" t="s">
        <v>1696</v>
      </c>
      <c r="F931" s="24" t="s">
        <v>200</v>
      </c>
      <c r="G931" s="24"/>
      <c r="H931" s="24" t="s">
        <v>1796</v>
      </c>
      <c r="I931" s="30" t="s">
        <v>525</v>
      </c>
      <c r="J931" s="24"/>
      <c r="K931" s="24" t="s">
        <v>1157</v>
      </c>
      <c r="L931" s="24" t="s">
        <v>199</v>
      </c>
      <c r="M931" s="24">
        <v>1936</v>
      </c>
      <c r="N931" s="24" t="s">
        <v>527</v>
      </c>
      <c r="O931" s="24">
        <v>6</v>
      </c>
      <c r="P931" s="24">
        <v>0</v>
      </c>
      <c r="Q931" s="24">
        <v>3</v>
      </c>
      <c r="R931" s="24">
        <v>68</v>
      </c>
      <c r="S931" s="24">
        <v>5602.9</v>
      </c>
      <c r="T931" s="24">
        <v>5602.9</v>
      </c>
      <c r="U931" s="24">
        <v>4748.8999999999996</v>
      </c>
      <c r="V931" s="24">
        <v>854</v>
      </c>
      <c r="W931" s="24" t="s">
        <v>528</v>
      </c>
      <c r="X931" s="24" t="s">
        <v>528</v>
      </c>
      <c r="Y931" s="24" t="s">
        <v>529</v>
      </c>
      <c r="Z931" s="102" t="s">
        <v>528</v>
      </c>
      <c r="AA931" s="24" t="s">
        <v>528</v>
      </c>
      <c r="AB931" s="24" t="s">
        <v>528</v>
      </c>
      <c r="AC931" s="24" t="s">
        <v>528</v>
      </c>
      <c r="AD931" s="24" t="s">
        <v>528</v>
      </c>
      <c r="AE931" s="24" t="s">
        <v>529</v>
      </c>
      <c r="AF931" s="24">
        <v>3</v>
      </c>
      <c r="AG931" s="24" t="s">
        <v>529</v>
      </c>
      <c r="AH931" s="24">
        <v>1</v>
      </c>
      <c r="AI931" s="24" t="s">
        <v>529</v>
      </c>
      <c r="AJ931" s="24">
        <v>2</v>
      </c>
      <c r="AK931" s="24" t="s">
        <v>530</v>
      </c>
      <c r="AL931" s="24"/>
    </row>
    <row r="932" spans="1:38" ht="31.2" x14ac:dyDescent="0.3">
      <c r="A932" s="53">
        <v>925</v>
      </c>
      <c r="B932" s="24" t="s">
        <v>544</v>
      </c>
      <c r="C932" s="24" t="s">
        <v>555</v>
      </c>
      <c r="D932" s="82" t="s">
        <v>1797</v>
      </c>
      <c r="E932" s="24" t="s">
        <v>1798</v>
      </c>
      <c r="F932" s="24" t="s">
        <v>206</v>
      </c>
      <c r="G932" s="24"/>
      <c r="H932" s="24" t="s">
        <v>1799</v>
      </c>
      <c r="I932" s="30" t="s">
        <v>525</v>
      </c>
      <c r="J932" s="24"/>
      <c r="K932" s="24" t="s">
        <v>1157</v>
      </c>
      <c r="L932" s="24" t="s">
        <v>199</v>
      </c>
      <c r="M932" s="24">
        <v>1934</v>
      </c>
      <c r="N932" s="24" t="s">
        <v>1792</v>
      </c>
      <c r="O932" s="24">
        <v>6</v>
      </c>
      <c r="P932" s="24">
        <v>0</v>
      </c>
      <c r="Q932" s="24">
        <v>7</v>
      </c>
      <c r="R932" s="24">
        <v>33</v>
      </c>
      <c r="S932" s="24">
        <v>4484.3</v>
      </c>
      <c r="T932" s="24">
        <v>4484.3</v>
      </c>
      <c r="U932" s="24">
        <v>1517</v>
      </c>
      <c r="V932" s="24">
        <v>2967.3</v>
      </c>
      <c r="W932" s="24" t="s">
        <v>528</v>
      </c>
      <c r="X932" s="24" t="s">
        <v>528</v>
      </c>
      <c r="Y932" s="24" t="s">
        <v>529</v>
      </c>
      <c r="Z932" s="102" t="s">
        <v>528</v>
      </c>
      <c r="AA932" s="24" t="s">
        <v>528</v>
      </c>
      <c r="AB932" s="24" t="s">
        <v>528</v>
      </c>
      <c r="AC932" s="24" t="s">
        <v>528</v>
      </c>
      <c r="AD932" s="24" t="s">
        <v>528</v>
      </c>
      <c r="AE932" s="24" t="s">
        <v>529</v>
      </c>
      <c r="AF932" s="24">
        <v>1</v>
      </c>
      <c r="AG932" s="24" t="s">
        <v>529</v>
      </c>
      <c r="AH932" s="24">
        <v>1</v>
      </c>
      <c r="AI932" s="24" t="s">
        <v>529</v>
      </c>
      <c r="AJ932" s="24">
        <v>1</v>
      </c>
      <c r="AK932" s="24" t="s">
        <v>530</v>
      </c>
      <c r="AL932" s="24"/>
    </row>
    <row r="933" spans="1:38" ht="31.2" x14ac:dyDescent="0.3">
      <c r="A933" s="53">
        <v>926</v>
      </c>
      <c r="B933" s="24" t="s">
        <v>544</v>
      </c>
      <c r="C933" s="24" t="s">
        <v>545</v>
      </c>
      <c r="D933" s="82" t="s">
        <v>203</v>
      </c>
      <c r="E933" s="24" t="s">
        <v>1764</v>
      </c>
      <c r="F933" s="24" t="s">
        <v>200</v>
      </c>
      <c r="G933" s="24"/>
      <c r="H933" s="24" t="s">
        <v>1800</v>
      </c>
      <c r="I933" s="30" t="s">
        <v>525</v>
      </c>
      <c r="J933" s="24"/>
      <c r="K933" s="24" t="s">
        <v>199</v>
      </c>
      <c r="L933" s="24" t="s">
        <v>199</v>
      </c>
      <c r="M933" s="24">
        <v>1909</v>
      </c>
      <c r="N933" s="24" t="s">
        <v>527</v>
      </c>
      <c r="O933" s="24">
        <v>4</v>
      </c>
      <c r="P933" s="24">
        <v>0</v>
      </c>
      <c r="Q933" s="24">
        <v>9</v>
      </c>
      <c r="R933" s="24">
        <v>41</v>
      </c>
      <c r="S933" s="24">
        <v>6003.5</v>
      </c>
      <c r="T933" s="24">
        <v>6003.5</v>
      </c>
      <c r="U933" s="24">
        <v>4935.6000000000004</v>
      </c>
      <c r="V933" s="24">
        <v>1067.9000000000001</v>
      </c>
      <c r="W933" s="24" t="s">
        <v>528</v>
      </c>
      <c r="X933" s="24" t="s">
        <v>528</v>
      </c>
      <c r="Y933" s="24" t="s">
        <v>529</v>
      </c>
      <c r="Z933" s="102" t="s">
        <v>528</v>
      </c>
      <c r="AA933" s="24" t="s">
        <v>528</v>
      </c>
      <c r="AB933" s="24" t="s">
        <v>528</v>
      </c>
      <c r="AC933" s="24" t="s">
        <v>528</v>
      </c>
      <c r="AD933" s="24" t="s">
        <v>528</v>
      </c>
      <c r="AE933" s="24" t="s">
        <v>529</v>
      </c>
      <c r="AF933" s="24">
        <v>0</v>
      </c>
      <c r="AG933" s="24" t="s">
        <v>529</v>
      </c>
      <c r="AH933" s="24">
        <v>1</v>
      </c>
      <c r="AI933" s="24" t="s">
        <v>529</v>
      </c>
      <c r="AJ933" s="24">
        <v>2</v>
      </c>
      <c r="AK933" s="24" t="s">
        <v>530</v>
      </c>
      <c r="AL933" s="24"/>
    </row>
    <row r="934" spans="1:38" ht="31.2" x14ac:dyDescent="0.3">
      <c r="A934" s="53">
        <v>927</v>
      </c>
      <c r="B934" s="24" t="s">
        <v>544</v>
      </c>
      <c r="C934" s="24" t="s">
        <v>552</v>
      </c>
      <c r="D934" s="82" t="s">
        <v>442</v>
      </c>
      <c r="E934" s="24" t="s">
        <v>1222</v>
      </c>
      <c r="F934" s="24" t="s">
        <v>200</v>
      </c>
      <c r="G934" s="24"/>
      <c r="H934" s="24" t="s">
        <v>1801</v>
      </c>
      <c r="I934" s="30" t="s">
        <v>525</v>
      </c>
      <c r="J934" s="24"/>
      <c r="K934" s="24" t="s">
        <v>199</v>
      </c>
      <c r="L934" s="24" t="s">
        <v>199</v>
      </c>
      <c r="M934" s="24">
        <v>1911</v>
      </c>
      <c r="N934" s="24" t="s">
        <v>527</v>
      </c>
      <c r="O934" s="24">
        <v>7</v>
      </c>
      <c r="P934" s="24">
        <v>0</v>
      </c>
      <c r="Q934" s="24">
        <v>3</v>
      </c>
      <c r="R934" s="24">
        <v>19</v>
      </c>
      <c r="S934" s="24">
        <v>3026.6</v>
      </c>
      <c r="T934" s="24">
        <v>3026.6</v>
      </c>
      <c r="U934" s="24">
        <v>2799.6</v>
      </c>
      <c r="V934" s="24">
        <v>227</v>
      </c>
      <c r="W934" s="24" t="s">
        <v>528</v>
      </c>
      <c r="X934" s="24" t="s">
        <v>528</v>
      </c>
      <c r="Y934" s="24" t="s">
        <v>529</v>
      </c>
      <c r="Z934" s="102" t="s">
        <v>528</v>
      </c>
      <c r="AA934" s="24" t="s">
        <v>528</v>
      </c>
      <c r="AB934" s="24" t="s">
        <v>528</v>
      </c>
      <c r="AC934" s="24" t="s">
        <v>528</v>
      </c>
      <c r="AD934" s="24" t="s">
        <v>528</v>
      </c>
      <c r="AE934" s="24" t="s">
        <v>529</v>
      </c>
      <c r="AF934" s="24">
        <v>1</v>
      </c>
      <c r="AG934" s="24" t="s">
        <v>529</v>
      </c>
      <c r="AH934" s="24">
        <v>1</v>
      </c>
      <c r="AI934" s="24" t="s">
        <v>529</v>
      </c>
      <c r="AJ934" s="24">
        <v>1</v>
      </c>
      <c r="AK934" s="24" t="s">
        <v>530</v>
      </c>
      <c r="AL934" s="24"/>
    </row>
    <row r="935" spans="1:38" ht="31.2" x14ac:dyDescent="0.3">
      <c r="A935" s="53">
        <v>928</v>
      </c>
      <c r="B935" s="24" t="s">
        <v>544</v>
      </c>
      <c r="C935" s="24" t="s">
        <v>552</v>
      </c>
      <c r="D935" s="82" t="s">
        <v>442</v>
      </c>
      <c r="E935" s="24" t="s">
        <v>1392</v>
      </c>
      <c r="F935" s="24" t="s">
        <v>200</v>
      </c>
      <c r="G935" s="24"/>
      <c r="H935" s="24" t="s">
        <v>1802</v>
      </c>
      <c r="I935" s="30" t="s">
        <v>525</v>
      </c>
      <c r="J935" s="24" t="s">
        <v>535</v>
      </c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102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</row>
    <row r="936" spans="1:38" ht="31.2" x14ac:dyDescent="0.3">
      <c r="A936" s="53">
        <v>929</v>
      </c>
      <c r="B936" s="24" t="s">
        <v>544</v>
      </c>
      <c r="C936" s="24" t="s">
        <v>552</v>
      </c>
      <c r="D936" s="82" t="s">
        <v>442</v>
      </c>
      <c r="E936" s="24" t="s">
        <v>1405</v>
      </c>
      <c r="F936" s="24" t="s">
        <v>200</v>
      </c>
      <c r="G936" s="24"/>
      <c r="H936" s="24" t="s">
        <v>1803</v>
      </c>
      <c r="I936" s="30" t="s">
        <v>525</v>
      </c>
      <c r="J936" s="24"/>
      <c r="K936" s="24" t="s">
        <v>199</v>
      </c>
      <c r="L936" s="24" t="s">
        <v>199</v>
      </c>
      <c r="M936" s="24">
        <v>1917</v>
      </c>
      <c r="N936" s="24" t="s">
        <v>527</v>
      </c>
      <c r="O936" s="24">
        <v>4</v>
      </c>
      <c r="P936" s="24">
        <v>0</v>
      </c>
      <c r="Q936" s="24">
        <v>1</v>
      </c>
      <c r="R936" s="24">
        <v>16</v>
      </c>
      <c r="S936" s="24">
        <v>1338.9</v>
      </c>
      <c r="T936" s="24">
        <v>1338.9</v>
      </c>
      <c r="U936" s="24">
        <v>1338.9</v>
      </c>
      <c r="V936" s="24">
        <v>0</v>
      </c>
      <c r="W936" s="24" t="s">
        <v>528</v>
      </c>
      <c r="X936" s="24" t="s">
        <v>528</v>
      </c>
      <c r="Y936" s="24" t="s">
        <v>529</v>
      </c>
      <c r="Z936" s="102" t="s">
        <v>528</v>
      </c>
      <c r="AA936" s="24" t="s">
        <v>528</v>
      </c>
      <c r="AB936" s="24" t="s">
        <v>528</v>
      </c>
      <c r="AC936" s="24" t="s">
        <v>528</v>
      </c>
      <c r="AD936" s="24" t="s">
        <v>528</v>
      </c>
      <c r="AE936" s="24" t="s">
        <v>529</v>
      </c>
      <c r="AF936" s="24">
        <v>0</v>
      </c>
      <c r="AG936" s="24" t="s">
        <v>529</v>
      </c>
      <c r="AH936" s="24">
        <v>1</v>
      </c>
      <c r="AI936" s="24" t="s">
        <v>529</v>
      </c>
      <c r="AJ936" s="24" t="s">
        <v>529</v>
      </c>
      <c r="AK936" s="24" t="s">
        <v>530</v>
      </c>
      <c r="AL936" s="24"/>
    </row>
    <row r="937" spans="1:38" ht="31.2" x14ac:dyDescent="0.3">
      <c r="A937" s="53">
        <v>930</v>
      </c>
      <c r="B937" s="24" t="s">
        <v>544</v>
      </c>
      <c r="C937" s="24" t="s">
        <v>552</v>
      </c>
      <c r="D937" s="82" t="s">
        <v>442</v>
      </c>
      <c r="E937" s="24" t="s">
        <v>1334</v>
      </c>
      <c r="F937" s="24" t="s">
        <v>200</v>
      </c>
      <c r="G937" s="24"/>
      <c r="H937" s="24" t="s">
        <v>1804</v>
      </c>
      <c r="I937" s="30" t="s">
        <v>525</v>
      </c>
      <c r="J937" s="24"/>
      <c r="K937" s="24" t="s">
        <v>199</v>
      </c>
      <c r="L937" s="24" t="s">
        <v>199</v>
      </c>
      <c r="M937" s="24">
        <v>1909</v>
      </c>
      <c r="N937" s="24" t="s">
        <v>527</v>
      </c>
      <c r="O937" s="24">
        <v>4</v>
      </c>
      <c r="P937" s="24">
        <v>0</v>
      </c>
      <c r="Q937" s="24">
        <v>5</v>
      </c>
      <c r="R937" s="24">
        <v>32</v>
      </c>
      <c r="S937" s="24">
        <v>1945.6</v>
      </c>
      <c r="T937" s="24">
        <v>1945.6</v>
      </c>
      <c r="U937" s="24">
        <v>1857.6</v>
      </c>
      <c r="V937" s="24">
        <v>88</v>
      </c>
      <c r="W937" s="24" t="s">
        <v>528</v>
      </c>
      <c r="X937" s="24" t="s">
        <v>528</v>
      </c>
      <c r="Y937" s="24" t="s">
        <v>529</v>
      </c>
      <c r="Z937" s="102" t="s">
        <v>528</v>
      </c>
      <c r="AA937" s="24" t="s">
        <v>528</v>
      </c>
      <c r="AB937" s="24" t="s">
        <v>528</v>
      </c>
      <c r="AC937" s="24" t="s">
        <v>528</v>
      </c>
      <c r="AD937" s="24" t="s">
        <v>528</v>
      </c>
      <c r="AE937" s="24" t="s">
        <v>529</v>
      </c>
      <c r="AF937" s="24">
        <v>0</v>
      </c>
      <c r="AG937" s="24" t="s">
        <v>529</v>
      </c>
      <c r="AH937" s="24">
        <v>1</v>
      </c>
      <c r="AI937" s="24" t="s">
        <v>529</v>
      </c>
      <c r="AJ937" s="24" t="s">
        <v>529</v>
      </c>
      <c r="AK937" s="24" t="s">
        <v>530</v>
      </c>
      <c r="AL937" s="24"/>
    </row>
    <row r="938" spans="1:38" ht="31.2" x14ac:dyDescent="0.3">
      <c r="A938" s="53">
        <v>931</v>
      </c>
      <c r="B938" s="24" t="s">
        <v>544</v>
      </c>
      <c r="C938" s="24" t="s">
        <v>552</v>
      </c>
      <c r="D938" s="82" t="s">
        <v>442</v>
      </c>
      <c r="E938" s="24" t="s">
        <v>1805</v>
      </c>
      <c r="F938" s="24" t="s">
        <v>200</v>
      </c>
      <c r="G938" s="24"/>
      <c r="H938" s="24" t="s">
        <v>1806</v>
      </c>
      <c r="I938" s="30" t="s">
        <v>525</v>
      </c>
      <c r="J938" s="24"/>
      <c r="K938" s="24" t="s">
        <v>1138</v>
      </c>
      <c r="L938" s="24" t="s">
        <v>199</v>
      </c>
      <c r="M938" s="24">
        <v>1962</v>
      </c>
      <c r="N938" s="24" t="s">
        <v>527</v>
      </c>
      <c r="O938" s="24">
        <v>5</v>
      </c>
      <c r="P938" s="24">
        <v>0</v>
      </c>
      <c r="Q938" s="24">
        <v>2</v>
      </c>
      <c r="R938" s="24">
        <v>6</v>
      </c>
      <c r="S938" s="24">
        <v>2165.9</v>
      </c>
      <c r="T938" s="24">
        <v>2165.9</v>
      </c>
      <c r="U938" s="24">
        <v>1991.1</v>
      </c>
      <c r="V938" s="24">
        <v>174.8</v>
      </c>
      <c r="W938" s="24" t="s">
        <v>528</v>
      </c>
      <c r="X938" s="24" t="s">
        <v>528</v>
      </c>
      <c r="Y938" s="24" t="s">
        <v>528</v>
      </c>
      <c r="Z938" s="102" t="s">
        <v>528</v>
      </c>
      <c r="AA938" s="24" t="s">
        <v>528</v>
      </c>
      <c r="AB938" s="24" t="s">
        <v>528</v>
      </c>
      <c r="AC938" s="24" t="s">
        <v>529</v>
      </c>
      <c r="AD938" s="24" t="s">
        <v>528</v>
      </c>
      <c r="AE938" s="24" t="s">
        <v>529</v>
      </c>
      <c r="AF938" s="24">
        <v>0</v>
      </c>
      <c r="AG938" s="24" t="s">
        <v>529</v>
      </c>
      <c r="AH938" s="24" t="s">
        <v>529</v>
      </c>
      <c r="AI938" s="24" t="s">
        <v>529</v>
      </c>
      <c r="AJ938" s="24" t="s">
        <v>529</v>
      </c>
      <c r="AK938" s="24" t="s">
        <v>530</v>
      </c>
      <c r="AL938" s="24"/>
    </row>
    <row r="939" spans="1:38" ht="31.2" x14ac:dyDescent="0.3">
      <c r="A939" s="53">
        <v>932</v>
      </c>
      <c r="B939" s="24" t="s">
        <v>544</v>
      </c>
      <c r="C939" s="24" t="s">
        <v>552</v>
      </c>
      <c r="D939" s="82" t="s">
        <v>442</v>
      </c>
      <c r="E939" s="24" t="s">
        <v>1229</v>
      </c>
      <c r="F939" s="24" t="s">
        <v>200</v>
      </c>
      <c r="G939" s="24"/>
      <c r="H939" s="24" t="s">
        <v>1807</v>
      </c>
      <c r="I939" s="30" t="s">
        <v>525</v>
      </c>
      <c r="J939" s="24"/>
      <c r="K939" s="24" t="s">
        <v>199</v>
      </c>
      <c r="L939" s="24" t="s">
        <v>199</v>
      </c>
      <c r="M939" s="24">
        <v>1917</v>
      </c>
      <c r="N939" s="24" t="s">
        <v>527</v>
      </c>
      <c r="O939" s="24">
        <v>5</v>
      </c>
      <c r="P939" s="24">
        <v>0</v>
      </c>
      <c r="Q939" s="24">
        <v>2</v>
      </c>
      <c r="R939" s="24">
        <v>22</v>
      </c>
      <c r="S939" s="24">
        <v>2400.6999999999998</v>
      </c>
      <c r="T939" s="24">
        <v>2400.6999999999998</v>
      </c>
      <c r="U939" s="24">
        <v>1227.7</v>
      </c>
      <c r="V939" s="24">
        <v>1173</v>
      </c>
      <c r="W939" s="24" t="s">
        <v>528</v>
      </c>
      <c r="X939" s="24" t="s">
        <v>528</v>
      </c>
      <c r="Y939" s="24" t="s">
        <v>528</v>
      </c>
      <c r="Z939" s="102" t="s">
        <v>528</v>
      </c>
      <c r="AA939" s="24" t="s">
        <v>528</v>
      </c>
      <c r="AB939" s="24" t="s">
        <v>528</v>
      </c>
      <c r="AC939" s="24" t="s">
        <v>529</v>
      </c>
      <c r="AD939" s="24" t="s">
        <v>528</v>
      </c>
      <c r="AE939" s="24" t="s">
        <v>529</v>
      </c>
      <c r="AF939" s="24">
        <v>0</v>
      </c>
      <c r="AG939" s="24" t="s">
        <v>529</v>
      </c>
      <c r="AH939" s="24">
        <v>1</v>
      </c>
      <c r="AI939" s="24">
        <v>2</v>
      </c>
      <c r="AJ939" s="24">
        <v>3</v>
      </c>
      <c r="AK939" s="24" t="s">
        <v>530</v>
      </c>
      <c r="AL939" s="24"/>
    </row>
    <row r="940" spans="1:38" ht="31.2" x14ac:dyDescent="0.3">
      <c r="A940" s="53">
        <v>933</v>
      </c>
      <c r="B940" s="24" t="s">
        <v>544</v>
      </c>
      <c r="C940" s="24" t="s">
        <v>552</v>
      </c>
      <c r="D940" s="82" t="s">
        <v>203</v>
      </c>
      <c r="E940" s="24" t="s">
        <v>1808</v>
      </c>
      <c r="F940" s="24" t="s">
        <v>200</v>
      </c>
      <c r="G940" s="24"/>
      <c r="H940" s="24" t="s">
        <v>1809</v>
      </c>
      <c r="I940" s="30" t="s">
        <v>525</v>
      </c>
      <c r="J940" s="24"/>
      <c r="K940" s="24" t="s">
        <v>1157</v>
      </c>
      <c r="L940" s="24" t="s">
        <v>199</v>
      </c>
      <c r="M940" s="24">
        <v>1931</v>
      </c>
      <c r="N940" s="24" t="s">
        <v>1792</v>
      </c>
      <c r="O940" s="24">
        <v>5</v>
      </c>
      <c r="P940" s="24">
        <v>0</v>
      </c>
      <c r="Q940" s="24">
        <v>2</v>
      </c>
      <c r="R940" s="24">
        <v>16</v>
      </c>
      <c r="S940" s="24">
        <v>1756.1</v>
      </c>
      <c r="T940" s="24">
        <v>1756.1</v>
      </c>
      <c r="U940" s="24">
        <v>1406.1</v>
      </c>
      <c r="V940" s="24">
        <v>350</v>
      </c>
      <c r="W940" s="24" t="s">
        <v>528</v>
      </c>
      <c r="X940" s="24" t="s">
        <v>528</v>
      </c>
      <c r="Y940" s="24" t="s">
        <v>529</v>
      </c>
      <c r="Z940" s="102" t="s">
        <v>528</v>
      </c>
      <c r="AA940" s="24" t="s">
        <v>528</v>
      </c>
      <c r="AB940" s="24" t="s">
        <v>528</v>
      </c>
      <c r="AC940" s="24" t="s">
        <v>528</v>
      </c>
      <c r="AD940" s="24" t="s">
        <v>528</v>
      </c>
      <c r="AE940" s="24" t="s">
        <v>529</v>
      </c>
      <c r="AF940" s="24">
        <v>0</v>
      </c>
      <c r="AG940" s="24" t="s">
        <v>529</v>
      </c>
      <c r="AH940" s="24" t="s">
        <v>529</v>
      </c>
      <c r="AI940" s="24" t="s">
        <v>529</v>
      </c>
      <c r="AJ940" s="24">
        <v>1</v>
      </c>
      <c r="AK940" s="24" t="s">
        <v>530</v>
      </c>
      <c r="AL940" s="24"/>
    </row>
    <row r="941" spans="1:38" ht="31.2" x14ac:dyDescent="0.3">
      <c r="A941" s="53">
        <v>934</v>
      </c>
      <c r="B941" s="24" t="s">
        <v>544</v>
      </c>
      <c r="C941" s="24" t="s">
        <v>552</v>
      </c>
      <c r="D941" s="82" t="s">
        <v>203</v>
      </c>
      <c r="E941" s="24" t="s">
        <v>1810</v>
      </c>
      <c r="F941" s="24" t="s">
        <v>1811</v>
      </c>
      <c r="G941" s="24"/>
      <c r="H941" s="24" t="s">
        <v>1812</v>
      </c>
      <c r="I941" s="30" t="s">
        <v>525</v>
      </c>
      <c r="J941" s="24"/>
      <c r="K941" s="24" t="s">
        <v>1157</v>
      </c>
      <c r="L941" s="24" t="s">
        <v>199</v>
      </c>
      <c r="M941" s="24">
        <v>1931</v>
      </c>
      <c r="N941" s="24" t="s">
        <v>1792</v>
      </c>
      <c r="O941" s="24">
        <v>5</v>
      </c>
      <c r="P941" s="24">
        <v>0</v>
      </c>
      <c r="Q941" s="24">
        <v>3</v>
      </c>
      <c r="R941" s="24">
        <v>85</v>
      </c>
      <c r="S941" s="24">
        <v>3564.81</v>
      </c>
      <c r="T941" s="24">
        <v>3564.81</v>
      </c>
      <c r="U941" s="24">
        <v>3564.81</v>
      </c>
      <c r="V941" s="24">
        <v>0</v>
      </c>
      <c r="W941" s="24" t="s">
        <v>528</v>
      </c>
      <c r="X941" s="24" t="s">
        <v>528</v>
      </c>
      <c r="Y941" s="24" t="s">
        <v>529</v>
      </c>
      <c r="Z941" s="102" t="s">
        <v>528</v>
      </c>
      <c r="AA941" s="24" t="s">
        <v>528</v>
      </c>
      <c r="AB941" s="24" t="s">
        <v>528</v>
      </c>
      <c r="AC941" s="24" t="s">
        <v>528</v>
      </c>
      <c r="AD941" s="24" t="s">
        <v>528</v>
      </c>
      <c r="AE941" s="24" t="s">
        <v>529</v>
      </c>
      <c r="AF941" s="24">
        <v>0</v>
      </c>
      <c r="AG941" s="24" t="s">
        <v>529</v>
      </c>
      <c r="AH941" s="24" t="s">
        <v>529</v>
      </c>
      <c r="AI941" s="24" t="s">
        <v>529</v>
      </c>
      <c r="AJ941" s="24">
        <v>1</v>
      </c>
      <c r="AK941" s="24" t="s">
        <v>530</v>
      </c>
      <c r="AL941" s="24"/>
    </row>
    <row r="942" spans="1:38" ht="31.2" x14ac:dyDescent="0.3">
      <c r="A942" s="53">
        <v>935</v>
      </c>
      <c r="B942" s="24" t="s">
        <v>544</v>
      </c>
      <c r="C942" s="24" t="s">
        <v>552</v>
      </c>
      <c r="D942" s="82" t="s">
        <v>203</v>
      </c>
      <c r="E942" s="24" t="s">
        <v>1813</v>
      </c>
      <c r="F942" s="24" t="s">
        <v>819</v>
      </c>
      <c r="G942" s="24"/>
      <c r="H942" s="24" t="s">
        <v>1814</v>
      </c>
      <c r="I942" s="30" t="s">
        <v>525</v>
      </c>
      <c r="J942" s="24"/>
      <c r="K942" s="24" t="s">
        <v>1157</v>
      </c>
      <c r="L942" s="24" t="s">
        <v>199</v>
      </c>
      <c r="M942" s="24">
        <v>1932</v>
      </c>
      <c r="N942" s="24" t="s">
        <v>1792</v>
      </c>
      <c r="O942" s="24">
        <v>5</v>
      </c>
      <c r="P942" s="24">
        <v>0</v>
      </c>
      <c r="Q942" s="24">
        <v>7</v>
      </c>
      <c r="R942" s="24">
        <v>70</v>
      </c>
      <c r="S942" s="24">
        <v>3764.97</v>
      </c>
      <c r="T942" s="24">
        <v>3764.97</v>
      </c>
      <c r="U942" s="24">
        <v>3764.97</v>
      </c>
      <c r="V942" s="24">
        <v>0</v>
      </c>
      <c r="W942" s="24" t="s">
        <v>528</v>
      </c>
      <c r="X942" s="24" t="s">
        <v>528</v>
      </c>
      <c r="Y942" s="24" t="s">
        <v>529</v>
      </c>
      <c r="Z942" s="102" t="s">
        <v>528</v>
      </c>
      <c r="AA942" s="24" t="s">
        <v>528</v>
      </c>
      <c r="AB942" s="24" t="s">
        <v>528</v>
      </c>
      <c r="AC942" s="24" t="s">
        <v>528</v>
      </c>
      <c r="AD942" s="24" t="s">
        <v>528</v>
      </c>
      <c r="AE942" s="24" t="s">
        <v>529</v>
      </c>
      <c r="AF942" s="24">
        <v>0</v>
      </c>
      <c r="AG942" s="24" t="s">
        <v>529</v>
      </c>
      <c r="AH942" s="24">
        <v>1</v>
      </c>
      <c r="AI942" s="24" t="s">
        <v>529</v>
      </c>
      <c r="AJ942" s="24">
        <v>1</v>
      </c>
      <c r="AK942" s="24" t="s">
        <v>530</v>
      </c>
      <c r="AL942" s="24"/>
    </row>
    <row r="943" spans="1:38" ht="31.2" x14ac:dyDescent="0.3">
      <c r="A943" s="53">
        <v>936</v>
      </c>
      <c r="B943" s="24" t="s">
        <v>544</v>
      </c>
      <c r="C943" s="24" t="s">
        <v>552</v>
      </c>
      <c r="D943" s="82" t="s">
        <v>203</v>
      </c>
      <c r="E943" s="24" t="s">
        <v>1815</v>
      </c>
      <c r="F943" s="24" t="s">
        <v>208</v>
      </c>
      <c r="G943" s="24"/>
      <c r="H943" s="24" t="s">
        <v>1816</v>
      </c>
      <c r="I943" s="30" t="s">
        <v>525</v>
      </c>
      <c r="J943" s="24"/>
      <c r="K943" s="24" t="s">
        <v>1157</v>
      </c>
      <c r="L943" s="24" t="s">
        <v>199</v>
      </c>
      <c r="M943" s="24">
        <v>1931</v>
      </c>
      <c r="N943" s="24" t="s">
        <v>1792</v>
      </c>
      <c r="O943" s="24">
        <v>5</v>
      </c>
      <c r="P943" s="24">
        <v>0</v>
      </c>
      <c r="Q943" s="24">
        <v>10</v>
      </c>
      <c r="R943" s="24">
        <v>94</v>
      </c>
      <c r="S943" s="24">
        <v>8045.7</v>
      </c>
      <c r="T943" s="24">
        <v>8045.7</v>
      </c>
      <c r="U943" s="24">
        <v>7410.7</v>
      </c>
      <c r="V943" s="24">
        <v>635</v>
      </c>
      <c r="W943" s="24" t="s">
        <v>528</v>
      </c>
      <c r="X943" s="24" t="s">
        <v>528</v>
      </c>
      <c r="Y943" s="24" t="s">
        <v>529</v>
      </c>
      <c r="Z943" s="102" t="s">
        <v>528</v>
      </c>
      <c r="AA943" s="24" t="s">
        <v>528</v>
      </c>
      <c r="AB943" s="24" t="s">
        <v>528</v>
      </c>
      <c r="AC943" s="24" t="s">
        <v>528</v>
      </c>
      <c r="AD943" s="24" t="s">
        <v>528</v>
      </c>
      <c r="AE943" s="24" t="s">
        <v>529</v>
      </c>
      <c r="AF943" s="24">
        <v>0</v>
      </c>
      <c r="AG943" s="24" t="s">
        <v>529</v>
      </c>
      <c r="AH943" s="24">
        <v>1</v>
      </c>
      <c r="AI943" s="24" t="s">
        <v>529</v>
      </c>
      <c r="AJ943" s="24">
        <v>1</v>
      </c>
      <c r="AK943" s="24" t="s">
        <v>530</v>
      </c>
      <c r="AL943" s="24"/>
    </row>
    <row r="944" spans="1:38" ht="31.2" x14ac:dyDescent="0.3">
      <c r="A944" s="53">
        <v>937</v>
      </c>
      <c r="B944" s="24" t="s">
        <v>544</v>
      </c>
      <c r="C944" s="24" t="s">
        <v>552</v>
      </c>
      <c r="D944" s="82" t="s">
        <v>203</v>
      </c>
      <c r="E944" s="24" t="s">
        <v>1817</v>
      </c>
      <c r="F944" s="24" t="s">
        <v>1818</v>
      </c>
      <c r="G944" s="24"/>
      <c r="H944" s="24" t="s">
        <v>1819</v>
      </c>
      <c r="I944" s="30" t="s">
        <v>525</v>
      </c>
      <c r="J944" s="24"/>
      <c r="K944" s="24" t="s">
        <v>1157</v>
      </c>
      <c r="L944" s="24" t="s">
        <v>199</v>
      </c>
      <c r="M944" s="24">
        <v>1934</v>
      </c>
      <c r="N944" s="24" t="s">
        <v>527</v>
      </c>
      <c r="O944" s="24">
        <v>5</v>
      </c>
      <c r="P944" s="24">
        <v>0</v>
      </c>
      <c r="Q944" s="24">
        <v>5</v>
      </c>
      <c r="R944" s="24">
        <v>57</v>
      </c>
      <c r="S944" s="24">
        <v>3263.9</v>
      </c>
      <c r="T944" s="24">
        <v>3263.9</v>
      </c>
      <c r="U944" s="24">
        <v>3263.9</v>
      </c>
      <c r="V944" s="24">
        <v>0</v>
      </c>
      <c r="W944" s="24" t="s">
        <v>528</v>
      </c>
      <c r="X944" s="24" t="s">
        <v>528</v>
      </c>
      <c r="Y944" s="24" t="s">
        <v>529</v>
      </c>
      <c r="Z944" s="102" t="s">
        <v>528</v>
      </c>
      <c r="AA944" s="24" t="s">
        <v>528</v>
      </c>
      <c r="AB944" s="24" t="s">
        <v>528</v>
      </c>
      <c r="AC944" s="24" t="s">
        <v>528</v>
      </c>
      <c r="AD944" s="24" t="s">
        <v>528</v>
      </c>
      <c r="AE944" s="24" t="s">
        <v>529</v>
      </c>
      <c r="AF944" s="24">
        <v>0</v>
      </c>
      <c r="AG944" s="24" t="s">
        <v>529</v>
      </c>
      <c r="AH944" s="24">
        <v>1</v>
      </c>
      <c r="AI944" s="24" t="s">
        <v>529</v>
      </c>
      <c r="AJ944" s="24">
        <v>1</v>
      </c>
      <c r="AK944" s="24" t="s">
        <v>530</v>
      </c>
      <c r="AL944" s="24"/>
    </row>
    <row r="945" spans="1:38" ht="31.2" x14ac:dyDescent="0.3">
      <c r="A945" s="53">
        <v>938</v>
      </c>
      <c r="B945" s="24" t="s">
        <v>544</v>
      </c>
      <c r="C945" s="24" t="s">
        <v>552</v>
      </c>
      <c r="D945" s="82" t="s">
        <v>203</v>
      </c>
      <c r="E945" s="24" t="s">
        <v>1820</v>
      </c>
      <c r="F945" s="24" t="s">
        <v>1821</v>
      </c>
      <c r="G945" s="24"/>
      <c r="H945" s="24" t="s">
        <v>1822</v>
      </c>
      <c r="I945" s="30" t="s">
        <v>525</v>
      </c>
      <c r="J945" s="24"/>
      <c r="K945" s="24" t="s">
        <v>1157</v>
      </c>
      <c r="L945" s="24" t="s">
        <v>199</v>
      </c>
      <c r="M945" s="24">
        <v>1933</v>
      </c>
      <c r="N945" s="24" t="s">
        <v>1792</v>
      </c>
      <c r="O945" s="24">
        <v>5</v>
      </c>
      <c r="P945" s="24">
        <v>0</v>
      </c>
      <c r="Q945" s="24">
        <v>5</v>
      </c>
      <c r="R945" s="24">
        <v>100</v>
      </c>
      <c r="S945" s="24">
        <v>4342.6000000000004</v>
      </c>
      <c r="T945" s="24">
        <v>4342.6000000000004</v>
      </c>
      <c r="U945" s="24">
        <v>4342.6000000000004</v>
      </c>
      <c r="V945" s="24">
        <v>0</v>
      </c>
      <c r="W945" s="24" t="s">
        <v>528</v>
      </c>
      <c r="X945" s="24" t="s">
        <v>528</v>
      </c>
      <c r="Y945" s="24" t="s">
        <v>529</v>
      </c>
      <c r="Z945" s="102" t="s">
        <v>528</v>
      </c>
      <c r="AA945" s="24" t="s">
        <v>528</v>
      </c>
      <c r="AB945" s="24" t="s">
        <v>528</v>
      </c>
      <c r="AC945" s="24" t="s">
        <v>528</v>
      </c>
      <c r="AD945" s="24" t="s">
        <v>528</v>
      </c>
      <c r="AE945" s="24" t="s">
        <v>529</v>
      </c>
      <c r="AF945" s="24">
        <v>0</v>
      </c>
      <c r="AG945" s="24" t="s">
        <v>529</v>
      </c>
      <c r="AH945" s="24">
        <v>1</v>
      </c>
      <c r="AI945" s="24" t="s">
        <v>529</v>
      </c>
      <c r="AJ945" s="24">
        <v>1</v>
      </c>
      <c r="AK945" s="24" t="s">
        <v>530</v>
      </c>
      <c r="AL945" s="24"/>
    </row>
    <row r="946" spans="1:38" ht="31.2" x14ac:dyDescent="0.3">
      <c r="A946" s="53">
        <v>939</v>
      </c>
      <c r="B946" s="24" t="s">
        <v>544</v>
      </c>
      <c r="C946" s="24" t="s">
        <v>552</v>
      </c>
      <c r="D946" s="82" t="s">
        <v>203</v>
      </c>
      <c r="E946" s="24" t="s">
        <v>1823</v>
      </c>
      <c r="F946" s="24" t="s">
        <v>200</v>
      </c>
      <c r="G946" s="24"/>
      <c r="H946" s="24" t="s">
        <v>1824</v>
      </c>
      <c r="I946" s="30" t="s">
        <v>525</v>
      </c>
      <c r="J946" s="24" t="s">
        <v>535</v>
      </c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102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</row>
    <row r="947" spans="1:38" ht="31.2" x14ac:dyDescent="0.3">
      <c r="A947" s="53">
        <v>940</v>
      </c>
      <c r="B947" s="24" t="s">
        <v>544</v>
      </c>
      <c r="C947" s="24" t="s">
        <v>552</v>
      </c>
      <c r="D947" s="82" t="s">
        <v>203</v>
      </c>
      <c r="E947" s="24" t="s">
        <v>1440</v>
      </c>
      <c r="F947" s="24" t="s">
        <v>200</v>
      </c>
      <c r="G947" s="24"/>
      <c r="H947" s="24" t="s">
        <v>1825</v>
      </c>
      <c r="I947" s="30" t="s">
        <v>525</v>
      </c>
      <c r="J947" s="24" t="s">
        <v>535</v>
      </c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102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</row>
    <row r="948" spans="1:38" ht="31.2" x14ac:dyDescent="0.3">
      <c r="A948" s="53">
        <v>941</v>
      </c>
      <c r="B948" s="24" t="s">
        <v>544</v>
      </c>
      <c r="C948" s="24" t="s">
        <v>552</v>
      </c>
      <c r="D948" s="82" t="s">
        <v>203</v>
      </c>
      <c r="E948" s="24" t="s">
        <v>1826</v>
      </c>
      <c r="F948" s="24" t="s">
        <v>206</v>
      </c>
      <c r="G948" s="24"/>
      <c r="H948" s="24" t="s">
        <v>1827</v>
      </c>
      <c r="I948" s="30" t="s">
        <v>525</v>
      </c>
      <c r="J948" s="24"/>
      <c r="K948" s="24" t="s">
        <v>1157</v>
      </c>
      <c r="L948" s="24" t="s">
        <v>199</v>
      </c>
      <c r="M948" s="24">
        <v>1935</v>
      </c>
      <c r="N948" s="24" t="s">
        <v>527</v>
      </c>
      <c r="O948" s="24">
        <v>5</v>
      </c>
      <c r="P948" s="24">
        <v>0</v>
      </c>
      <c r="Q948" s="24">
        <v>1</v>
      </c>
      <c r="R948" s="24">
        <v>49</v>
      </c>
      <c r="S948" s="24">
        <v>3010.18</v>
      </c>
      <c r="T948" s="24">
        <v>3010.18</v>
      </c>
      <c r="U948" s="24">
        <v>2923.18</v>
      </c>
      <c r="V948" s="24">
        <v>87</v>
      </c>
      <c r="W948" s="24" t="s">
        <v>528</v>
      </c>
      <c r="X948" s="24" t="s">
        <v>528</v>
      </c>
      <c r="Y948" s="24" t="s">
        <v>529</v>
      </c>
      <c r="Z948" s="102" t="s">
        <v>528</v>
      </c>
      <c r="AA948" s="24" t="s">
        <v>528</v>
      </c>
      <c r="AB948" s="24" t="s">
        <v>528</v>
      </c>
      <c r="AC948" s="24" t="s">
        <v>528</v>
      </c>
      <c r="AD948" s="24" t="s">
        <v>528</v>
      </c>
      <c r="AE948" s="24" t="s">
        <v>529</v>
      </c>
      <c r="AF948" s="24">
        <v>0</v>
      </c>
      <c r="AG948" s="24" t="s">
        <v>529</v>
      </c>
      <c r="AH948" s="24" t="s">
        <v>529</v>
      </c>
      <c r="AI948" s="24" t="s">
        <v>529</v>
      </c>
      <c r="AJ948" s="24">
        <v>1</v>
      </c>
      <c r="AK948" s="24" t="s">
        <v>530</v>
      </c>
      <c r="AL948" s="24"/>
    </row>
    <row r="949" spans="1:38" ht="31.2" x14ac:dyDescent="0.3">
      <c r="A949" s="53">
        <v>942</v>
      </c>
      <c r="B949" s="24" t="s">
        <v>544</v>
      </c>
      <c r="C949" s="24" t="s">
        <v>552</v>
      </c>
      <c r="D949" s="82" t="s">
        <v>203</v>
      </c>
      <c r="E949" s="24" t="s">
        <v>1828</v>
      </c>
      <c r="F949" s="24" t="s">
        <v>207</v>
      </c>
      <c r="G949" s="24"/>
      <c r="H949" s="24" t="s">
        <v>1829</v>
      </c>
      <c r="I949" s="30" t="s">
        <v>525</v>
      </c>
      <c r="J949" s="24"/>
      <c r="K949" s="24" t="s">
        <v>1157</v>
      </c>
      <c r="L949" s="24" t="s">
        <v>199</v>
      </c>
      <c r="M949" s="24">
        <v>1935</v>
      </c>
      <c r="N949" s="24" t="s">
        <v>527</v>
      </c>
      <c r="O949" s="24">
        <v>5</v>
      </c>
      <c r="P949" s="24">
        <v>0</v>
      </c>
      <c r="Q949" s="24">
        <v>1</v>
      </c>
      <c r="R949" s="24">
        <v>48</v>
      </c>
      <c r="S949" s="24">
        <v>3051.09</v>
      </c>
      <c r="T949" s="24">
        <v>3051.09</v>
      </c>
      <c r="U949" s="24">
        <v>2896.08</v>
      </c>
      <c r="V949" s="24">
        <v>155</v>
      </c>
      <c r="W949" s="24" t="s">
        <v>528</v>
      </c>
      <c r="X949" s="24" t="s">
        <v>528</v>
      </c>
      <c r="Y949" s="24" t="s">
        <v>529</v>
      </c>
      <c r="Z949" s="102" t="s">
        <v>528</v>
      </c>
      <c r="AA949" s="24" t="s">
        <v>528</v>
      </c>
      <c r="AB949" s="24" t="s">
        <v>528</v>
      </c>
      <c r="AC949" s="24" t="s">
        <v>528</v>
      </c>
      <c r="AD949" s="24" t="s">
        <v>528</v>
      </c>
      <c r="AE949" s="24" t="s">
        <v>529</v>
      </c>
      <c r="AF949" s="24">
        <v>0</v>
      </c>
      <c r="AG949" s="24" t="s">
        <v>529</v>
      </c>
      <c r="AH949" s="24" t="s">
        <v>529</v>
      </c>
      <c r="AI949" s="24" t="s">
        <v>529</v>
      </c>
      <c r="AJ949" s="24">
        <v>1</v>
      </c>
      <c r="AK949" s="24" t="s">
        <v>530</v>
      </c>
      <c r="AL949" s="24"/>
    </row>
    <row r="950" spans="1:38" ht="31.2" x14ac:dyDescent="0.3">
      <c r="A950" s="53">
        <v>943</v>
      </c>
      <c r="B950" s="24" t="s">
        <v>544</v>
      </c>
      <c r="C950" s="24" t="s">
        <v>552</v>
      </c>
      <c r="D950" s="82" t="s">
        <v>1830</v>
      </c>
      <c r="E950" s="24" t="s">
        <v>1164</v>
      </c>
      <c r="F950" s="24" t="s">
        <v>200</v>
      </c>
      <c r="G950" s="24"/>
      <c r="H950" s="24" t="s">
        <v>1831</v>
      </c>
      <c r="I950" s="30" t="s">
        <v>525</v>
      </c>
      <c r="J950" s="24"/>
      <c r="K950" s="24" t="s">
        <v>199</v>
      </c>
      <c r="L950" s="24" t="s">
        <v>199</v>
      </c>
      <c r="M950" s="24">
        <v>1917</v>
      </c>
      <c r="N950" s="24" t="s">
        <v>1792</v>
      </c>
      <c r="O950" s="24">
        <v>2</v>
      </c>
      <c r="P950" s="24">
        <v>0</v>
      </c>
      <c r="Q950" s="24">
        <v>1</v>
      </c>
      <c r="R950" s="24">
        <v>8</v>
      </c>
      <c r="S950" s="24">
        <v>623.62</v>
      </c>
      <c r="T950" s="24">
        <v>623.62</v>
      </c>
      <c r="U950" s="24">
        <v>623.62</v>
      </c>
      <c r="V950" s="24">
        <v>0</v>
      </c>
      <c r="W950" s="24" t="s">
        <v>528</v>
      </c>
      <c r="X950" s="24" t="s">
        <v>528</v>
      </c>
      <c r="Y950" s="24" t="s">
        <v>529</v>
      </c>
      <c r="Z950" s="102" t="s">
        <v>528</v>
      </c>
      <c r="AA950" s="24" t="s">
        <v>528</v>
      </c>
      <c r="AB950" s="24" t="s">
        <v>528</v>
      </c>
      <c r="AC950" s="24" t="s">
        <v>529</v>
      </c>
      <c r="AD950" s="24" t="s">
        <v>528</v>
      </c>
      <c r="AE950" s="24" t="s">
        <v>529</v>
      </c>
      <c r="AF950" s="24">
        <v>0</v>
      </c>
      <c r="AG950" s="24" t="s">
        <v>529</v>
      </c>
      <c r="AH950" s="24">
        <v>1</v>
      </c>
      <c r="AI950" s="24" t="s">
        <v>529</v>
      </c>
      <c r="AJ950" s="24" t="s">
        <v>529</v>
      </c>
      <c r="AK950" s="24" t="s">
        <v>530</v>
      </c>
      <c r="AL950" s="24"/>
    </row>
    <row r="951" spans="1:38" ht="31.2" x14ac:dyDescent="0.3">
      <c r="A951" s="53">
        <v>944</v>
      </c>
      <c r="B951" s="24" t="s">
        <v>544</v>
      </c>
      <c r="C951" s="24" t="s">
        <v>552</v>
      </c>
      <c r="D951" s="82" t="s">
        <v>1587</v>
      </c>
      <c r="E951" s="24" t="s">
        <v>1832</v>
      </c>
      <c r="F951" s="24" t="s">
        <v>200</v>
      </c>
      <c r="G951" s="24"/>
      <c r="H951" s="24" t="s">
        <v>1833</v>
      </c>
      <c r="I951" s="30" t="s">
        <v>525</v>
      </c>
      <c r="J951" s="24"/>
      <c r="K951" s="24" t="s">
        <v>199</v>
      </c>
      <c r="L951" s="24" t="s">
        <v>199</v>
      </c>
      <c r="M951" s="24">
        <v>1907</v>
      </c>
      <c r="N951" s="24" t="s">
        <v>527</v>
      </c>
      <c r="O951" s="24">
        <v>5</v>
      </c>
      <c r="P951" s="24">
        <v>0</v>
      </c>
      <c r="Q951" s="24">
        <v>1</v>
      </c>
      <c r="R951" s="24">
        <v>16</v>
      </c>
      <c r="S951" s="24">
        <v>870.3</v>
      </c>
      <c r="T951" s="24">
        <v>870.3</v>
      </c>
      <c r="U951" s="24">
        <v>700.3</v>
      </c>
      <c r="V951" s="24">
        <v>170</v>
      </c>
      <c r="W951" s="24" t="s">
        <v>528</v>
      </c>
      <c r="X951" s="24" t="s">
        <v>528</v>
      </c>
      <c r="Y951" s="24" t="s">
        <v>529</v>
      </c>
      <c r="Z951" s="102" t="s">
        <v>528</v>
      </c>
      <c r="AA951" s="24" t="s">
        <v>528</v>
      </c>
      <c r="AB951" s="24" t="s">
        <v>528</v>
      </c>
      <c r="AC951" s="24" t="s">
        <v>528</v>
      </c>
      <c r="AD951" s="24" t="s">
        <v>528</v>
      </c>
      <c r="AE951" s="24" t="s">
        <v>529</v>
      </c>
      <c r="AF951" s="24">
        <v>0</v>
      </c>
      <c r="AG951" s="24" t="s">
        <v>529</v>
      </c>
      <c r="AH951" s="24">
        <v>1</v>
      </c>
      <c r="AI951" s="24" t="s">
        <v>529</v>
      </c>
      <c r="AJ951" s="24" t="s">
        <v>529</v>
      </c>
      <c r="AK951" s="24" t="s">
        <v>530</v>
      </c>
      <c r="AL951" s="24"/>
    </row>
    <row r="952" spans="1:38" ht="31.2" x14ac:dyDescent="0.3">
      <c r="A952" s="53">
        <v>945</v>
      </c>
      <c r="B952" s="24" t="s">
        <v>544</v>
      </c>
      <c r="C952" s="24" t="s">
        <v>552</v>
      </c>
      <c r="D952" s="82" t="s">
        <v>1587</v>
      </c>
      <c r="E952" s="24" t="s">
        <v>1832</v>
      </c>
      <c r="F952" s="24" t="s">
        <v>205</v>
      </c>
      <c r="G952" s="24"/>
      <c r="H952" s="24" t="s">
        <v>1834</v>
      </c>
      <c r="I952" s="30" t="s">
        <v>525</v>
      </c>
      <c r="J952" s="24"/>
      <c r="K952" s="24" t="s">
        <v>199</v>
      </c>
      <c r="L952" s="24" t="s">
        <v>199</v>
      </c>
      <c r="M952" s="24">
        <v>1862</v>
      </c>
      <c r="N952" s="24" t="s">
        <v>527</v>
      </c>
      <c r="O952" s="24">
        <v>5</v>
      </c>
      <c r="P952" s="24">
        <v>0</v>
      </c>
      <c r="Q952" s="24">
        <v>1</v>
      </c>
      <c r="R952" s="24">
        <v>5</v>
      </c>
      <c r="S952" s="24">
        <v>634.6</v>
      </c>
      <c r="T952" s="24">
        <v>634.6</v>
      </c>
      <c r="U952" s="24">
        <v>417.6</v>
      </c>
      <c r="V952" s="24">
        <v>217</v>
      </c>
      <c r="W952" s="24" t="s">
        <v>528</v>
      </c>
      <c r="X952" s="24" t="s">
        <v>528</v>
      </c>
      <c r="Y952" s="24" t="s">
        <v>529</v>
      </c>
      <c r="Z952" s="102" t="s">
        <v>528</v>
      </c>
      <c r="AA952" s="24" t="s">
        <v>528</v>
      </c>
      <c r="AB952" s="24" t="s">
        <v>528</v>
      </c>
      <c r="AC952" s="24" t="s">
        <v>528</v>
      </c>
      <c r="AD952" s="24" t="s">
        <v>528</v>
      </c>
      <c r="AE952" s="24" t="s">
        <v>529</v>
      </c>
      <c r="AF952" s="24">
        <v>0</v>
      </c>
      <c r="AG952" s="24" t="s">
        <v>529</v>
      </c>
      <c r="AH952" s="24" t="s">
        <v>529</v>
      </c>
      <c r="AI952" s="24" t="s">
        <v>529</v>
      </c>
      <c r="AJ952" s="24" t="s">
        <v>529</v>
      </c>
      <c r="AK952" s="24" t="s">
        <v>530</v>
      </c>
      <c r="AL952" s="24"/>
    </row>
    <row r="953" spans="1:38" ht="31.2" x14ac:dyDescent="0.3">
      <c r="A953" s="53">
        <v>946</v>
      </c>
      <c r="B953" s="24" t="s">
        <v>544</v>
      </c>
      <c r="C953" s="24" t="s">
        <v>552</v>
      </c>
      <c r="D953" s="82" t="s">
        <v>1587</v>
      </c>
      <c r="E953" s="24" t="s">
        <v>1713</v>
      </c>
      <c r="F953" s="24" t="s">
        <v>200</v>
      </c>
      <c r="G953" s="24"/>
      <c r="H953" s="24" t="s">
        <v>1835</v>
      </c>
      <c r="I953" s="30" t="s">
        <v>525</v>
      </c>
      <c r="J953" s="24"/>
      <c r="K953" s="24" t="s">
        <v>199</v>
      </c>
      <c r="L953" s="24" t="s">
        <v>199</v>
      </c>
      <c r="M953" s="24">
        <v>1888</v>
      </c>
      <c r="N953" s="24" t="s">
        <v>527</v>
      </c>
      <c r="O953" s="24">
        <v>4</v>
      </c>
      <c r="P953" s="24">
        <v>0</v>
      </c>
      <c r="Q953" s="24">
        <v>2</v>
      </c>
      <c r="R953" s="24">
        <v>12</v>
      </c>
      <c r="S953" s="24">
        <v>732</v>
      </c>
      <c r="T953" s="24">
        <v>732</v>
      </c>
      <c r="U953" s="24">
        <v>732</v>
      </c>
      <c r="V953" s="24">
        <v>0</v>
      </c>
      <c r="W953" s="24" t="s">
        <v>528</v>
      </c>
      <c r="X953" s="24" t="s">
        <v>528</v>
      </c>
      <c r="Y953" s="24" t="s">
        <v>529</v>
      </c>
      <c r="Z953" s="102" t="s">
        <v>528</v>
      </c>
      <c r="AA953" s="24" t="s">
        <v>528</v>
      </c>
      <c r="AB953" s="24" t="s">
        <v>528</v>
      </c>
      <c r="AC953" s="24" t="s">
        <v>528</v>
      </c>
      <c r="AD953" s="24" t="s">
        <v>528</v>
      </c>
      <c r="AE953" s="24" t="s">
        <v>529</v>
      </c>
      <c r="AF953" s="24">
        <v>0</v>
      </c>
      <c r="AG953" s="24" t="s">
        <v>529</v>
      </c>
      <c r="AH953" s="24">
        <v>1</v>
      </c>
      <c r="AI953" s="24" t="s">
        <v>529</v>
      </c>
      <c r="AJ953" s="24" t="s">
        <v>529</v>
      </c>
      <c r="AK953" s="24" t="s">
        <v>530</v>
      </c>
      <c r="AL953" s="24"/>
    </row>
    <row r="954" spans="1:38" ht="31.2" x14ac:dyDescent="0.3">
      <c r="A954" s="53">
        <v>947</v>
      </c>
      <c r="B954" s="24" t="s">
        <v>544</v>
      </c>
      <c r="C954" s="24" t="s">
        <v>552</v>
      </c>
      <c r="D954" s="82" t="s">
        <v>1587</v>
      </c>
      <c r="E954" s="24" t="s">
        <v>1759</v>
      </c>
      <c r="F954" s="24" t="s">
        <v>200</v>
      </c>
      <c r="G954" s="24"/>
      <c r="H954" s="24" t="s">
        <v>1836</v>
      </c>
      <c r="I954" s="30" t="s">
        <v>525</v>
      </c>
      <c r="J954" s="24"/>
      <c r="K954" s="24" t="s">
        <v>199</v>
      </c>
      <c r="L954" s="24" t="s">
        <v>199</v>
      </c>
      <c r="M954" s="24">
        <v>1906</v>
      </c>
      <c r="N954" s="24" t="s">
        <v>527</v>
      </c>
      <c r="O954" s="24">
        <v>6</v>
      </c>
      <c r="P954" s="24">
        <v>0</v>
      </c>
      <c r="Q954" s="24">
        <v>2</v>
      </c>
      <c r="R954" s="24">
        <v>37</v>
      </c>
      <c r="S954" s="24">
        <v>2684.6</v>
      </c>
      <c r="T954" s="24">
        <v>2684.6</v>
      </c>
      <c r="U954" s="24">
        <v>2254.3000000000002</v>
      </c>
      <c r="V954" s="24">
        <v>430</v>
      </c>
      <c r="W954" s="24" t="s">
        <v>528</v>
      </c>
      <c r="X954" s="24" t="s">
        <v>528</v>
      </c>
      <c r="Y954" s="24" t="s">
        <v>529</v>
      </c>
      <c r="Z954" s="102" t="s">
        <v>528</v>
      </c>
      <c r="AA954" s="24" t="s">
        <v>528</v>
      </c>
      <c r="AB954" s="24" t="s">
        <v>528</v>
      </c>
      <c r="AC954" s="24" t="s">
        <v>528</v>
      </c>
      <c r="AD954" s="24" t="s">
        <v>528</v>
      </c>
      <c r="AE954" s="24" t="s">
        <v>529</v>
      </c>
      <c r="AF954" s="24">
        <v>2</v>
      </c>
      <c r="AG954" s="24" t="s">
        <v>529</v>
      </c>
      <c r="AH954" s="24">
        <v>1</v>
      </c>
      <c r="AI954" s="24" t="s">
        <v>529</v>
      </c>
      <c r="AJ954" s="24" t="s">
        <v>529</v>
      </c>
      <c r="AK954" s="24" t="s">
        <v>530</v>
      </c>
      <c r="AL954" s="24"/>
    </row>
    <row r="955" spans="1:38" ht="31.2" x14ac:dyDescent="0.3">
      <c r="A955" s="53">
        <v>948</v>
      </c>
      <c r="B955" s="24" t="s">
        <v>544</v>
      </c>
      <c r="C955" s="24" t="s">
        <v>552</v>
      </c>
      <c r="D955" s="82" t="s">
        <v>1837</v>
      </c>
      <c r="E955" s="24" t="s">
        <v>171</v>
      </c>
      <c r="F955" s="24" t="s">
        <v>200</v>
      </c>
      <c r="G955" s="24"/>
      <c r="H955" s="24" t="s">
        <v>1838</v>
      </c>
      <c r="I955" s="30" t="s">
        <v>525</v>
      </c>
      <c r="J955" s="24"/>
      <c r="K955" s="24" t="s">
        <v>199</v>
      </c>
      <c r="L955" s="24" t="s">
        <v>199</v>
      </c>
      <c r="M955" s="24">
        <v>1917</v>
      </c>
      <c r="N955" s="24" t="s">
        <v>527</v>
      </c>
      <c r="O955" s="24">
        <v>4</v>
      </c>
      <c r="P955" s="24">
        <v>0</v>
      </c>
      <c r="Q955" s="24">
        <v>2</v>
      </c>
      <c r="R955" s="24">
        <v>31</v>
      </c>
      <c r="S955" s="24">
        <v>1561.6</v>
      </c>
      <c r="T955" s="24">
        <v>1561.6</v>
      </c>
      <c r="U955" s="24">
        <v>1545.6</v>
      </c>
      <c r="V955" s="24">
        <v>16</v>
      </c>
      <c r="W955" s="24" t="s">
        <v>528</v>
      </c>
      <c r="X955" s="24" t="s">
        <v>528</v>
      </c>
      <c r="Y955" s="24" t="s">
        <v>529</v>
      </c>
      <c r="Z955" s="102" t="s">
        <v>528</v>
      </c>
      <c r="AA955" s="24" t="s">
        <v>528</v>
      </c>
      <c r="AB955" s="24" t="s">
        <v>528</v>
      </c>
      <c r="AC955" s="24" t="s">
        <v>528</v>
      </c>
      <c r="AD955" s="24" t="s">
        <v>528</v>
      </c>
      <c r="AE955" s="24" t="s">
        <v>529</v>
      </c>
      <c r="AF955" s="24">
        <v>0</v>
      </c>
      <c r="AG955" s="24" t="s">
        <v>529</v>
      </c>
      <c r="AH955" s="24">
        <v>1</v>
      </c>
      <c r="AI955" s="24" t="s">
        <v>529</v>
      </c>
      <c r="AJ955" s="24" t="s">
        <v>529</v>
      </c>
      <c r="AK955" s="24" t="s">
        <v>530</v>
      </c>
      <c r="AL955" s="24"/>
    </row>
    <row r="956" spans="1:38" ht="31.2" x14ac:dyDescent="0.3">
      <c r="A956" s="53">
        <v>949</v>
      </c>
      <c r="B956" s="24" t="s">
        <v>544</v>
      </c>
      <c r="C956" s="24" t="s">
        <v>653</v>
      </c>
      <c r="D956" s="82" t="s">
        <v>431</v>
      </c>
      <c r="E956" s="24" t="s">
        <v>1839</v>
      </c>
      <c r="F956" s="24" t="s">
        <v>200</v>
      </c>
      <c r="G956" s="24"/>
      <c r="H956" s="24" t="s">
        <v>1840</v>
      </c>
      <c r="I956" s="30" t="s">
        <v>525</v>
      </c>
      <c r="J956" s="24"/>
      <c r="K956" s="24" t="s">
        <v>199</v>
      </c>
      <c r="L956" s="24" t="s">
        <v>199</v>
      </c>
      <c r="M956" s="24">
        <v>1907</v>
      </c>
      <c r="N956" s="24" t="s">
        <v>527</v>
      </c>
      <c r="O956" s="24">
        <v>6</v>
      </c>
      <c r="P956" s="24">
        <v>0</v>
      </c>
      <c r="Q956" s="24">
        <v>1</v>
      </c>
      <c r="R956" s="24">
        <v>20</v>
      </c>
      <c r="S956" s="24">
        <v>876.3</v>
      </c>
      <c r="T956" s="24">
        <v>876.3</v>
      </c>
      <c r="U956" s="24">
        <v>845.3</v>
      </c>
      <c r="V956" s="24">
        <v>31</v>
      </c>
      <c r="W956" s="24" t="s">
        <v>528</v>
      </c>
      <c r="X956" s="24" t="s">
        <v>528</v>
      </c>
      <c r="Y956" s="24" t="s">
        <v>529</v>
      </c>
      <c r="Z956" s="102" t="s">
        <v>528</v>
      </c>
      <c r="AA956" s="24" t="s">
        <v>528</v>
      </c>
      <c r="AB956" s="24" t="s">
        <v>528</v>
      </c>
      <c r="AC956" s="24" t="s">
        <v>528</v>
      </c>
      <c r="AD956" s="24" t="s">
        <v>528</v>
      </c>
      <c r="AE956" s="24" t="s">
        <v>529</v>
      </c>
      <c r="AF956" s="24">
        <v>0</v>
      </c>
      <c r="AG956" s="24" t="s">
        <v>529</v>
      </c>
      <c r="AH956" s="24">
        <v>1</v>
      </c>
      <c r="AI956" s="24" t="s">
        <v>529</v>
      </c>
      <c r="AJ956" s="24" t="s">
        <v>529</v>
      </c>
      <c r="AK956" s="24" t="s">
        <v>530</v>
      </c>
      <c r="AL956" s="24"/>
    </row>
    <row r="957" spans="1:38" ht="31.2" x14ac:dyDescent="0.3">
      <c r="A957" s="53">
        <v>950</v>
      </c>
      <c r="B957" s="24" t="s">
        <v>544</v>
      </c>
      <c r="C957" s="24" t="s">
        <v>653</v>
      </c>
      <c r="D957" s="82" t="s">
        <v>431</v>
      </c>
      <c r="E957" s="24" t="s">
        <v>1762</v>
      </c>
      <c r="F957" s="24" t="s">
        <v>200</v>
      </c>
      <c r="G957" s="24"/>
      <c r="H957" s="24" t="s">
        <v>1841</v>
      </c>
      <c r="I957" s="30" t="s">
        <v>525</v>
      </c>
      <c r="J957" s="24"/>
      <c r="K957" s="24" t="s">
        <v>199</v>
      </c>
      <c r="L957" s="24" t="s">
        <v>199</v>
      </c>
      <c r="M957" s="24">
        <v>1901</v>
      </c>
      <c r="N957" s="24" t="s">
        <v>527</v>
      </c>
      <c r="O957" s="24">
        <v>4</v>
      </c>
      <c r="P957" s="24">
        <v>0</v>
      </c>
      <c r="Q957" s="24">
        <v>1</v>
      </c>
      <c r="R957" s="24">
        <v>13</v>
      </c>
      <c r="S957" s="24">
        <v>723.04</v>
      </c>
      <c r="T957" s="24">
        <v>723.04</v>
      </c>
      <c r="U957" s="24">
        <v>575.04</v>
      </c>
      <c r="V957" s="24">
        <v>148</v>
      </c>
      <c r="W957" s="24" t="s">
        <v>528</v>
      </c>
      <c r="X957" s="24" t="s">
        <v>528</v>
      </c>
      <c r="Y957" s="24" t="s">
        <v>529</v>
      </c>
      <c r="Z957" s="102" t="s">
        <v>528</v>
      </c>
      <c r="AA957" s="24" t="s">
        <v>528</v>
      </c>
      <c r="AB957" s="24" t="s">
        <v>528</v>
      </c>
      <c r="AC957" s="24" t="s">
        <v>528</v>
      </c>
      <c r="AD957" s="24" t="s">
        <v>528</v>
      </c>
      <c r="AE957" s="24" t="s">
        <v>529</v>
      </c>
      <c r="AF957" s="24">
        <v>0</v>
      </c>
      <c r="AG957" s="24" t="s">
        <v>529</v>
      </c>
      <c r="AH957" s="24">
        <v>1</v>
      </c>
      <c r="AI957" s="24" t="s">
        <v>529</v>
      </c>
      <c r="AJ957" s="24" t="s">
        <v>529</v>
      </c>
      <c r="AK957" s="24" t="s">
        <v>530</v>
      </c>
      <c r="AL957" s="24"/>
    </row>
    <row r="958" spans="1:38" ht="31.2" x14ac:dyDescent="0.3">
      <c r="A958" s="53">
        <v>951</v>
      </c>
      <c r="B958" s="24" t="s">
        <v>544</v>
      </c>
      <c r="C958" s="24" t="s">
        <v>552</v>
      </c>
      <c r="D958" s="82" t="s">
        <v>1587</v>
      </c>
      <c r="E958" s="24" t="s">
        <v>1155</v>
      </c>
      <c r="F958" s="24" t="s">
        <v>200</v>
      </c>
      <c r="G958" s="24"/>
      <c r="H958" s="24" t="s">
        <v>1842</v>
      </c>
      <c r="I958" s="30" t="s">
        <v>525</v>
      </c>
      <c r="J958" s="24"/>
      <c r="K958" s="24" t="s">
        <v>199</v>
      </c>
      <c r="L958" s="24" t="s">
        <v>199</v>
      </c>
      <c r="M958" s="24">
        <v>1882</v>
      </c>
      <c r="N958" s="24" t="s">
        <v>527</v>
      </c>
      <c r="O958" s="24">
        <v>4</v>
      </c>
      <c r="P958" s="24">
        <v>0</v>
      </c>
      <c r="Q958" s="24">
        <v>2</v>
      </c>
      <c r="R958" s="24">
        <v>14</v>
      </c>
      <c r="S958" s="24">
        <v>3600.37</v>
      </c>
      <c r="T958" s="24">
        <v>3600.37</v>
      </c>
      <c r="U958" s="24">
        <v>2804.37</v>
      </c>
      <c r="V958" s="24">
        <v>796</v>
      </c>
      <c r="W958" s="24" t="s">
        <v>528</v>
      </c>
      <c r="X958" s="24" t="s">
        <v>528</v>
      </c>
      <c r="Y958" s="24" t="s">
        <v>529</v>
      </c>
      <c r="Z958" s="102" t="s">
        <v>528</v>
      </c>
      <c r="AA958" s="24" t="s">
        <v>528</v>
      </c>
      <c r="AB958" s="24" t="s">
        <v>528</v>
      </c>
      <c r="AC958" s="24" t="s">
        <v>528</v>
      </c>
      <c r="AD958" s="24" t="s">
        <v>528</v>
      </c>
      <c r="AE958" s="24" t="s">
        <v>529</v>
      </c>
      <c r="AF958" s="24">
        <v>0</v>
      </c>
      <c r="AG958" s="24" t="s">
        <v>529</v>
      </c>
      <c r="AH958" s="24">
        <v>1</v>
      </c>
      <c r="AI958" s="24" t="s">
        <v>529</v>
      </c>
      <c r="AJ958" s="24">
        <v>1</v>
      </c>
      <c r="AK958" s="24" t="s">
        <v>530</v>
      </c>
      <c r="AL958" s="24"/>
    </row>
    <row r="959" spans="1:38" ht="31.2" x14ac:dyDescent="0.3">
      <c r="A959" s="53">
        <v>952</v>
      </c>
      <c r="B959" s="24" t="s">
        <v>544</v>
      </c>
      <c r="C959" s="24" t="s">
        <v>552</v>
      </c>
      <c r="D959" s="82" t="s">
        <v>495</v>
      </c>
      <c r="E959" s="24" t="s">
        <v>1158</v>
      </c>
      <c r="F959" s="24" t="s">
        <v>200</v>
      </c>
      <c r="G959" s="24"/>
      <c r="H959" s="24" t="s">
        <v>1843</v>
      </c>
      <c r="I959" s="30" t="s">
        <v>525</v>
      </c>
      <c r="J959" s="24"/>
      <c r="K959" s="24" t="s">
        <v>199</v>
      </c>
      <c r="L959" s="24" t="s">
        <v>199</v>
      </c>
      <c r="M959" s="24">
        <v>1878</v>
      </c>
      <c r="N959" s="24" t="s">
        <v>527</v>
      </c>
      <c r="O959" s="24">
        <v>4</v>
      </c>
      <c r="P959" s="24">
        <v>0</v>
      </c>
      <c r="Q959" s="24">
        <v>1</v>
      </c>
      <c r="R959" s="24">
        <v>7</v>
      </c>
      <c r="S959" s="24">
        <v>357.8</v>
      </c>
      <c r="T959" s="24">
        <v>357.8</v>
      </c>
      <c r="U959" s="24">
        <v>357.8</v>
      </c>
      <c r="V959" s="24">
        <v>0</v>
      </c>
      <c r="W959" s="24" t="s">
        <v>528</v>
      </c>
      <c r="X959" s="24" t="s">
        <v>528</v>
      </c>
      <c r="Y959" s="24" t="s">
        <v>529</v>
      </c>
      <c r="Z959" s="102" t="s">
        <v>528</v>
      </c>
      <c r="AA959" s="24" t="s">
        <v>528</v>
      </c>
      <c r="AB959" s="24" t="s">
        <v>528</v>
      </c>
      <c r="AC959" s="24" t="s">
        <v>528</v>
      </c>
      <c r="AD959" s="24" t="s">
        <v>528</v>
      </c>
      <c r="AE959" s="24" t="s">
        <v>529</v>
      </c>
      <c r="AF959" s="24">
        <v>0</v>
      </c>
      <c r="AG959" s="24" t="s">
        <v>529</v>
      </c>
      <c r="AH959" s="24">
        <v>1</v>
      </c>
      <c r="AI959" s="24" t="s">
        <v>529</v>
      </c>
      <c r="AJ959" s="24" t="s">
        <v>529</v>
      </c>
      <c r="AK959" s="24" t="s">
        <v>530</v>
      </c>
      <c r="AL959" s="24"/>
    </row>
    <row r="960" spans="1:38" ht="31.2" x14ac:dyDescent="0.3">
      <c r="A960" s="53">
        <v>953</v>
      </c>
      <c r="B960" s="24" t="s">
        <v>544</v>
      </c>
      <c r="C960" s="24" t="s">
        <v>552</v>
      </c>
      <c r="D960" s="82" t="s">
        <v>495</v>
      </c>
      <c r="E960" s="24" t="s">
        <v>1158</v>
      </c>
      <c r="F960" s="24" t="s">
        <v>207</v>
      </c>
      <c r="G960" s="24"/>
      <c r="H960" s="24" t="s">
        <v>1844</v>
      </c>
      <c r="I960" s="30" t="s">
        <v>525</v>
      </c>
      <c r="J960" s="24"/>
      <c r="K960" s="24" t="s">
        <v>199</v>
      </c>
      <c r="L960" s="24" t="s">
        <v>199</v>
      </c>
      <c r="M960" s="24">
        <v>1908</v>
      </c>
      <c r="N960" s="24" t="s">
        <v>527</v>
      </c>
      <c r="O960" s="24">
        <v>4</v>
      </c>
      <c r="P960" s="24">
        <v>0</v>
      </c>
      <c r="Q960" s="24">
        <v>1</v>
      </c>
      <c r="R960" s="24">
        <v>9</v>
      </c>
      <c r="S960" s="24">
        <v>845.2</v>
      </c>
      <c r="T960" s="24">
        <v>845.2</v>
      </c>
      <c r="U960" s="24">
        <v>626.5</v>
      </c>
      <c r="V960" s="24">
        <v>218.7</v>
      </c>
      <c r="W960" s="24" t="s">
        <v>528</v>
      </c>
      <c r="X960" s="24" t="s">
        <v>528</v>
      </c>
      <c r="Y960" s="24" t="s">
        <v>529</v>
      </c>
      <c r="Z960" s="102" t="s">
        <v>528</v>
      </c>
      <c r="AA960" s="24" t="s">
        <v>528</v>
      </c>
      <c r="AB960" s="24" t="s">
        <v>528</v>
      </c>
      <c r="AC960" s="24" t="s">
        <v>528</v>
      </c>
      <c r="AD960" s="24" t="s">
        <v>528</v>
      </c>
      <c r="AE960" s="24" t="s">
        <v>529</v>
      </c>
      <c r="AF960" s="24">
        <v>0</v>
      </c>
      <c r="AG960" s="24" t="s">
        <v>529</v>
      </c>
      <c r="AH960" s="24" t="s">
        <v>529</v>
      </c>
      <c r="AI960" s="24" t="s">
        <v>529</v>
      </c>
      <c r="AJ960" s="24" t="s">
        <v>529</v>
      </c>
      <c r="AK960" s="24" t="s">
        <v>530</v>
      </c>
      <c r="AL960" s="24"/>
    </row>
    <row r="961" spans="1:38" ht="31.2" x14ac:dyDescent="0.3">
      <c r="A961" s="53">
        <v>954</v>
      </c>
      <c r="B961" s="24" t="s">
        <v>544</v>
      </c>
      <c r="C961" s="24" t="s">
        <v>552</v>
      </c>
      <c r="D961" s="82" t="s">
        <v>495</v>
      </c>
      <c r="E961" s="24" t="s">
        <v>1158</v>
      </c>
      <c r="F961" s="24" t="s">
        <v>819</v>
      </c>
      <c r="G961" s="24"/>
      <c r="H961" s="24" t="s">
        <v>1845</v>
      </c>
      <c r="I961" s="30" t="s">
        <v>525</v>
      </c>
      <c r="J961" s="24"/>
      <c r="K961" s="24" t="s">
        <v>199</v>
      </c>
      <c r="L961" s="24" t="s">
        <v>199</v>
      </c>
      <c r="M961" s="24">
        <v>1878</v>
      </c>
      <c r="N961" s="24" t="s">
        <v>527</v>
      </c>
      <c r="O961" s="24">
        <v>5</v>
      </c>
      <c r="P961" s="24">
        <v>0</v>
      </c>
      <c r="Q961" s="24">
        <v>1</v>
      </c>
      <c r="R961" s="24">
        <v>20</v>
      </c>
      <c r="S961" s="24">
        <v>1098.5999999999999</v>
      </c>
      <c r="T961" s="24">
        <v>1098.5999999999999</v>
      </c>
      <c r="U961" s="24">
        <v>1098.5999999999999</v>
      </c>
      <c r="V961" s="24">
        <v>0</v>
      </c>
      <c r="W961" s="24" t="s">
        <v>528</v>
      </c>
      <c r="X961" s="24" t="s">
        <v>528</v>
      </c>
      <c r="Y961" s="24" t="s">
        <v>529</v>
      </c>
      <c r="Z961" s="102" t="s">
        <v>528</v>
      </c>
      <c r="AA961" s="24" t="s">
        <v>528</v>
      </c>
      <c r="AB961" s="24" t="s">
        <v>528</v>
      </c>
      <c r="AC961" s="24" t="s">
        <v>528</v>
      </c>
      <c r="AD961" s="24" t="s">
        <v>528</v>
      </c>
      <c r="AE961" s="24" t="s">
        <v>529</v>
      </c>
      <c r="AF961" s="24">
        <v>0</v>
      </c>
      <c r="AG961" s="24" t="s">
        <v>529</v>
      </c>
      <c r="AH961" s="24" t="s">
        <v>529</v>
      </c>
      <c r="AI961" s="24" t="s">
        <v>529</v>
      </c>
      <c r="AJ961" s="24" t="s">
        <v>529</v>
      </c>
      <c r="AK961" s="24" t="s">
        <v>530</v>
      </c>
      <c r="AL961" s="24"/>
    </row>
    <row r="962" spans="1:38" ht="31.2" x14ac:dyDescent="0.3">
      <c r="A962" s="53">
        <v>955</v>
      </c>
      <c r="B962" s="24" t="s">
        <v>544</v>
      </c>
      <c r="C962" s="24" t="s">
        <v>653</v>
      </c>
      <c r="D962" s="82" t="s">
        <v>1846</v>
      </c>
      <c r="E962" s="24" t="s">
        <v>1293</v>
      </c>
      <c r="F962" s="24" t="s">
        <v>200</v>
      </c>
      <c r="G962" s="24"/>
      <c r="H962" s="24" t="s">
        <v>1847</v>
      </c>
      <c r="I962" s="30" t="s">
        <v>525</v>
      </c>
      <c r="J962" s="24"/>
      <c r="K962" s="24" t="s">
        <v>199</v>
      </c>
      <c r="L962" s="24" t="s">
        <v>199</v>
      </c>
      <c r="M962" s="24">
        <v>1899</v>
      </c>
      <c r="N962" s="24" t="s">
        <v>527</v>
      </c>
      <c r="O962" s="24">
        <v>4</v>
      </c>
      <c r="P962" s="24">
        <v>0</v>
      </c>
      <c r="Q962" s="24">
        <v>1</v>
      </c>
      <c r="R962" s="24">
        <v>7</v>
      </c>
      <c r="S962" s="24">
        <v>377.44</v>
      </c>
      <c r="T962" s="24">
        <v>377.44</v>
      </c>
      <c r="U962" s="24">
        <v>377.44</v>
      </c>
      <c r="V962" s="24">
        <v>0</v>
      </c>
      <c r="W962" s="24" t="s">
        <v>528</v>
      </c>
      <c r="X962" s="24" t="s">
        <v>528</v>
      </c>
      <c r="Y962" s="24" t="s">
        <v>529</v>
      </c>
      <c r="Z962" s="102" t="s">
        <v>528</v>
      </c>
      <c r="AA962" s="24" t="s">
        <v>528</v>
      </c>
      <c r="AB962" s="24" t="s">
        <v>528</v>
      </c>
      <c r="AC962" s="24" t="s">
        <v>528</v>
      </c>
      <c r="AD962" s="24" t="s">
        <v>528</v>
      </c>
      <c r="AE962" s="24" t="s">
        <v>529</v>
      </c>
      <c r="AF962" s="24">
        <v>0</v>
      </c>
      <c r="AG962" s="24" t="s">
        <v>529</v>
      </c>
      <c r="AH962" s="24">
        <v>1</v>
      </c>
      <c r="AI962" s="24" t="s">
        <v>529</v>
      </c>
      <c r="AJ962" s="24" t="s">
        <v>529</v>
      </c>
      <c r="AK962" s="24" t="s">
        <v>530</v>
      </c>
      <c r="AL962" s="24"/>
    </row>
    <row r="963" spans="1:38" ht="31.2" x14ac:dyDescent="0.3">
      <c r="A963" s="53">
        <v>956</v>
      </c>
      <c r="B963" s="24" t="s">
        <v>544</v>
      </c>
      <c r="C963" s="24" t="s">
        <v>653</v>
      </c>
      <c r="D963" s="82" t="s">
        <v>428</v>
      </c>
      <c r="E963" s="24" t="s">
        <v>594</v>
      </c>
      <c r="F963" s="24" t="s">
        <v>200</v>
      </c>
      <c r="G963" s="24"/>
      <c r="H963" s="24" t="s">
        <v>1848</v>
      </c>
      <c r="I963" s="30" t="s">
        <v>525</v>
      </c>
      <c r="J963" s="24"/>
      <c r="K963" s="24" t="s">
        <v>1238</v>
      </c>
      <c r="L963" s="24" t="s">
        <v>199</v>
      </c>
      <c r="M963" s="24">
        <v>1928</v>
      </c>
      <c r="N963" s="24" t="s">
        <v>527</v>
      </c>
      <c r="O963" s="24">
        <v>2</v>
      </c>
      <c r="P963" s="24">
        <v>0</v>
      </c>
      <c r="Q963" s="24">
        <v>1</v>
      </c>
      <c r="R963" s="24">
        <v>4</v>
      </c>
      <c r="S963" s="24">
        <v>1365.8</v>
      </c>
      <c r="T963" s="24">
        <v>1365.8</v>
      </c>
      <c r="U963" s="24">
        <v>860.2</v>
      </c>
      <c r="V963" s="24">
        <v>505.6</v>
      </c>
      <c r="W963" s="24" t="s">
        <v>528</v>
      </c>
      <c r="X963" s="24" t="s">
        <v>528</v>
      </c>
      <c r="Y963" s="24" t="s">
        <v>529</v>
      </c>
      <c r="Z963" s="102" t="s">
        <v>528</v>
      </c>
      <c r="AA963" s="24" t="s">
        <v>528</v>
      </c>
      <c r="AB963" s="24" t="s">
        <v>528</v>
      </c>
      <c r="AC963" s="24" t="s">
        <v>528</v>
      </c>
      <c r="AD963" s="24" t="s">
        <v>528</v>
      </c>
      <c r="AE963" s="24" t="s">
        <v>529</v>
      </c>
      <c r="AF963" s="24">
        <v>0</v>
      </c>
      <c r="AG963" s="24" t="s">
        <v>529</v>
      </c>
      <c r="AH963" s="24">
        <v>1</v>
      </c>
      <c r="AI963" s="24" t="s">
        <v>529</v>
      </c>
      <c r="AJ963" s="24" t="s">
        <v>529</v>
      </c>
      <c r="AK963" s="24" t="s">
        <v>530</v>
      </c>
      <c r="AL963" s="24"/>
    </row>
    <row r="964" spans="1:38" ht="31.2" x14ac:dyDescent="0.3">
      <c r="A964" s="53">
        <v>957</v>
      </c>
      <c r="B964" s="24" t="s">
        <v>544</v>
      </c>
      <c r="C964" s="24" t="s">
        <v>653</v>
      </c>
      <c r="D964" s="82" t="s">
        <v>428</v>
      </c>
      <c r="E964" s="24" t="s">
        <v>536</v>
      </c>
      <c r="F964" s="24" t="s">
        <v>200</v>
      </c>
      <c r="G964" s="24"/>
      <c r="H964" s="24" t="s">
        <v>1849</v>
      </c>
      <c r="I964" s="30" t="s">
        <v>525</v>
      </c>
      <c r="J964" s="24"/>
      <c r="K964" s="24" t="s">
        <v>199</v>
      </c>
      <c r="L964" s="24" t="s">
        <v>199</v>
      </c>
      <c r="M964" s="24">
        <v>1917</v>
      </c>
      <c r="N964" s="24" t="s">
        <v>527</v>
      </c>
      <c r="O964" s="24">
        <v>4</v>
      </c>
      <c r="P964" s="24">
        <v>0</v>
      </c>
      <c r="Q964" s="24">
        <v>2</v>
      </c>
      <c r="R964" s="24">
        <v>14</v>
      </c>
      <c r="S964" s="24">
        <v>1258.2</v>
      </c>
      <c r="T964" s="24">
        <v>1258.2</v>
      </c>
      <c r="U964" s="24">
        <v>880.2</v>
      </c>
      <c r="V964" s="24">
        <v>378</v>
      </c>
      <c r="W964" s="24" t="s">
        <v>528</v>
      </c>
      <c r="X964" s="24" t="s">
        <v>528</v>
      </c>
      <c r="Y964" s="24" t="s">
        <v>529</v>
      </c>
      <c r="Z964" s="102" t="s">
        <v>528</v>
      </c>
      <c r="AA964" s="24" t="s">
        <v>528</v>
      </c>
      <c r="AB964" s="24" t="s">
        <v>528</v>
      </c>
      <c r="AC964" s="24" t="s">
        <v>528</v>
      </c>
      <c r="AD964" s="24" t="s">
        <v>528</v>
      </c>
      <c r="AE964" s="24" t="s">
        <v>529</v>
      </c>
      <c r="AF964" s="24">
        <v>0</v>
      </c>
      <c r="AG964" s="24" t="s">
        <v>529</v>
      </c>
      <c r="AH964" s="24">
        <v>1</v>
      </c>
      <c r="AI964" s="24" t="s">
        <v>529</v>
      </c>
      <c r="AJ964" s="24">
        <v>1</v>
      </c>
      <c r="AK964" s="24" t="s">
        <v>530</v>
      </c>
      <c r="AL964" s="24"/>
    </row>
    <row r="965" spans="1:38" ht="31.2" x14ac:dyDescent="0.3">
      <c r="A965" s="53">
        <v>958</v>
      </c>
      <c r="B965" s="24" t="s">
        <v>544</v>
      </c>
      <c r="C965" s="24" t="s">
        <v>552</v>
      </c>
      <c r="D965" s="82" t="s">
        <v>1850</v>
      </c>
      <c r="E965" s="24" t="s">
        <v>1189</v>
      </c>
      <c r="F965" s="24" t="s">
        <v>200</v>
      </c>
      <c r="G965" s="24"/>
      <c r="H965" s="24" t="s">
        <v>1851</v>
      </c>
      <c r="I965" s="30" t="s">
        <v>525</v>
      </c>
      <c r="J965" s="24" t="s">
        <v>1195</v>
      </c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102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</row>
    <row r="966" spans="1:38" ht="31.2" x14ac:dyDescent="0.3">
      <c r="A966" s="53">
        <v>959</v>
      </c>
      <c r="B966" s="24" t="s">
        <v>544</v>
      </c>
      <c r="C966" s="24" t="s">
        <v>552</v>
      </c>
      <c r="D966" s="82" t="s">
        <v>1587</v>
      </c>
      <c r="E966" s="24" t="s">
        <v>712</v>
      </c>
      <c r="F966" s="24" t="s">
        <v>200</v>
      </c>
      <c r="G966" s="24"/>
      <c r="H966" s="24" t="s">
        <v>1852</v>
      </c>
      <c r="I966" s="30" t="s">
        <v>525</v>
      </c>
      <c r="J966" s="24"/>
      <c r="K966" s="24" t="s">
        <v>199</v>
      </c>
      <c r="L966" s="24" t="s">
        <v>199</v>
      </c>
      <c r="M966" s="24">
        <v>1908</v>
      </c>
      <c r="N966" s="24" t="s">
        <v>527</v>
      </c>
      <c r="O966" s="24">
        <v>4</v>
      </c>
      <c r="P966" s="24">
        <v>0</v>
      </c>
      <c r="Q966" s="24">
        <v>1</v>
      </c>
      <c r="R966" s="24">
        <v>10</v>
      </c>
      <c r="S966" s="24">
        <v>1250</v>
      </c>
      <c r="T966" s="24">
        <v>1250</v>
      </c>
      <c r="U966" s="24">
        <v>1250</v>
      </c>
      <c r="V966" s="24">
        <v>0</v>
      </c>
      <c r="W966" s="24" t="s">
        <v>528</v>
      </c>
      <c r="X966" s="24" t="s">
        <v>528</v>
      </c>
      <c r="Y966" s="24" t="s">
        <v>529</v>
      </c>
      <c r="Z966" s="102" t="s">
        <v>528</v>
      </c>
      <c r="AA966" s="24" t="s">
        <v>528</v>
      </c>
      <c r="AB966" s="24" t="s">
        <v>528</v>
      </c>
      <c r="AC966" s="24" t="s">
        <v>528</v>
      </c>
      <c r="AD966" s="24" t="s">
        <v>528</v>
      </c>
      <c r="AE966" s="24" t="s">
        <v>529</v>
      </c>
      <c r="AF966" s="24">
        <v>0</v>
      </c>
      <c r="AG966" s="24" t="s">
        <v>529</v>
      </c>
      <c r="AH966" s="24">
        <v>1</v>
      </c>
      <c r="AI966" s="24" t="s">
        <v>529</v>
      </c>
      <c r="AJ966" s="24">
        <v>1</v>
      </c>
      <c r="AK966" s="24" t="s">
        <v>530</v>
      </c>
      <c r="AL966" s="24"/>
    </row>
    <row r="967" spans="1:38" ht="31.2" x14ac:dyDescent="0.3">
      <c r="A967" s="53">
        <v>960</v>
      </c>
      <c r="B967" s="24" t="s">
        <v>544</v>
      </c>
      <c r="C967" s="24" t="s">
        <v>552</v>
      </c>
      <c r="D967" s="82" t="s">
        <v>1587</v>
      </c>
      <c r="E967" s="24" t="s">
        <v>1153</v>
      </c>
      <c r="F967" s="24" t="s">
        <v>200</v>
      </c>
      <c r="G967" s="24"/>
      <c r="H967" s="24" t="s">
        <v>1853</v>
      </c>
      <c r="I967" s="30" t="s">
        <v>525</v>
      </c>
      <c r="J967" s="24"/>
      <c r="K967" s="24" t="s">
        <v>1157</v>
      </c>
      <c r="L967" s="24" t="s">
        <v>199</v>
      </c>
      <c r="M967" s="24">
        <v>1952</v>
      </c>
      <c r="N967" s="24" t="s">
        <v>527</v>
      </c>
      <c r="O967" s="24">
        <v>5</v>
      </c>
      <c r="P967" s="24">
        <v>0</v>
      </c>
      <c r="Q967" s="24">
        <v>4</v>
      </c>
      <c r="R967" s="24">
        <v>44</v>
      </c>
      <c r="S967" s="24">
        <v>2623.3</v>
      </c>
      <c r="T967" s="24">
        <v>2623.3</v>
      </c>
      <c r="U967" s="24">
        <v>2623.3</v>
      </c>
      <c r="V967" s="24">
        <v>0</v>
      </c>
      <c r="W967" s="24" t="s">
        <v>528</v>
      </c>
      <c r="X967" s="24" t="s">
        <v>528</v>
      </c>
      <c r="Y967" s="24" t="s">
        <v>529</v>
      </c>
      <c r="Z967" s="102" t="s">
        <v>528</v>
      </c>
      <c r="AA967" s="24" t="s">
        <v>528</v>
      </c>
      <c r="AB967" s="24" t="s">
        <v>528</v>
      </c>
      <c r="AC967" s="24" t="s">
        <v>528</v>
      </c>
      <c r="AD967" s="24" t="s">
        <v>528</v>
      </c>
      <c r="AE967" s="24" t="s">
        <v>529</v>
      </c>
      <c r="AF967" s="24">
        <v>0</v>
      </c>
      <c r="AG967" s="24" t="s">
        <v>529</v>
      </c>
      <c r="AH967" s="24">
        <v>1</v>
      </c>
      <c r="AI967" s="24" t="s">
        <v>529</v>
      </c>
      <c r="AJ967" s="24">
        <v>1</v>
      </c>
      <c r="AK967" s="24" t="s">
        <v>530</v>
      </c>
      <c r="AL967" s="24"/>
    </row>
    <row r="968" spans="1:38" ht="31.2" x14ac:dyDescent="0.3">
      <c r="A968" s="53">
        <v>961</v>
      </c>
      <c r="B968" s="24" t="s">
        <v>544</v>
      </c>
      <c r="C968" s="24" t="s">
        <v>552</v>
      </c>
      <c r="D968" s="82" t="s">
        <v>1587</v>
      </c>
      <c r="E968" s="24" t="s">
        <v>1222</v>
      </c>
      <c r="F968" s="24" t="s">
        <v>200</v>
      </c>
      <c r="G968" s="24"/>
      <c r="H968" s="24" t="s">
        <v>1854</v>
      </c>
      <c r="I968" s="30" t="s">
        <v>525</v>
      </c>
      <c r="J968" s="24"/>
      <c r="K968" s="24" t="s">
        <v>1138</v>
      </c>
      <c r="L968" s="24" t="s">
        <v>199</v>
      </c>
      <c r="M968" s="24">
        <v>1959</v>
      </c>
      <c r="N968" s="24" t="s">
        <v>527</v>
      </c>
      <c r="O968" s="24">
        <v>5</v>
      </c>
      <c r="P968" s="24">
        <v>0</v>
      </c>
      <c r="Q968" s="24">
        <v>5</v>
      </c>
      <c r="R968" s="24">
        <v>70</v>
      </c>
      <c r="S968" s="24">
        <v>4756</v>
      </c>
      <c r="T968" s="24">
        <v>4756</v>
      </c>
      <c r="U968" s="24">
        <v>4756</v>
      </c>
      <c r="V968" s="24">
        <v>0</v>
      </c>
      <c r="W968" s="24" t="s">
        <v>528</v>
      </c>
      <c r="X968" s="24" t="s">
        <v>528</v>
      </c>
      <c r="Y968" s="24" t="s">
        <v>529</v>
      </c>
      <c r="Z968" s="102" t="s">
        <v>528</v>
      </c>
      <c r="AA968" s="24" t="s">
        <v>528</v>
      </c>
      <c r="AB968" s="24" t="s">
        <v>528</v>
      </c>
      <c r="AC968" s="24" t="s">
        <v>528</v>
      </c>
      <c r="AD968" s="24" t="s">
        <v>528</v>
      </c>
      <c r="AE968" s="24" t="s">
        <v>529</v>
      </c>
      <c r="AF968" s="24">
        <v>0</v>
      </c>
      <c r="AG968" s="24" t="s">
        <v>529</v>
      </c>
      <c r="AH968" s="24">
        <v>1</v>
      </c>
      <c r="AI968" s="24" t="s">
        <v>529</v>
      </c>
      <c r="AJ968" s="24">
        <v>1</v>
      </c>
      <c r="AK968" s="24" t="s">
        <v>530</v>
      </c>
      <c r="AL968" s="24"/>
    </row>
    <row r="969" spans="1:38" ht="31.2" x14ac:dyDescent="0.3">
      <c r="A969" s="53">
        <v>962</v>
      </c>
      <c r="B969" s="24" t="s">
        <v>544</v>
      </c>
      <c r="C969" s="24" t="s">
        <v>552</v>
      </c>
      <c r="D969" s="82" t="s">
        <v>1587</v>
      </c>
      <c r="E969" s="24" t="s">
        <v>1855</v>
      </c>
      <c r="F969" s="24" t="s">
        <v>200</v>
      </c>
      <c r="G969" s="24"/>
      <c r="H969" s="24" t="s">
        <v>1856</v>
      </c>
      <c r="I969" s="30" t="s">
        <v>525</v>
      </c>
      <c r="J969" s="24"/>
      <c r="K969" s="24" t="s">
        <v>199</v>
      </c>
      <c r="L969" s="24" t="s">
        <v>199</v>
      </c>
      <c r="M969" s="24">
        <v>1902</v>
      </c>
      <c r="N969" s="24" t="s">
        <v>527</v>
      </c>
      <c r="O969" s="24">
        <v>3</v>
      </c>
      <c r="P969" s="24">
        <v>0</v>
      </c>
      <c r="Q969" s="24">
        <v>2</v>
      </c>
      <c r="R969" s="24">
        <v>14</v>
      </c>
      <c r="S969" s="24">
        <v>918.7</v>
      </c>
      <c r="T969" s="24">
        <v>918.7</v>
      </c>
      <c r="U969" s="24">
        <v>918.7</v>
      </c>
      <c r="V969" s="24">
        <v>0</v>
      </c>
      <c r="W969" s="24" t="s">
        <v>528</v>
      </c>
      <c r="X969" s="24" t="s">
        <v>528</v>
      </c>
      <c r="Y969" s="24" t="s">
        <v>529</v>
      </c>
      <c r="Z969" s="102" t="s">
        <v>528</v>
      </c>
      <c r="AA969" s="24" t="s">
        <v>528</v>
      </c>
      <c r="AB969" s="24" t="s">
        <v>528</v>
      </c>
      <c r="AC969" s="24" t="s">
        <v>528</v>
      </c>
      <c r="AD969" s="24" t="s">
        <v>528</v>
      </c>
      <c r="AE969" s="24" t="s">
        <v>529</v>
      </c>
      <c r="AF969" s="24">
        <v>0</v>
      </c>
      <c r="AG969" s="24" t="s">
        <v>529</v>
      </c>
      <c r="AH969" s="24" t="s">
        <v>529</v>
      </c>
      <c r="AI969" s="24" t="s">
        <v>529</v>
      </c>
      <c r="AJ969" s="24" t="s">
        <v>529</v>
      </c>
      <c r="AK969" s="24" t="s">
        <v>530</v>
      </c>
      <c r="AL969" s="24"/>
    </row>
    <row r="970" spans="1:38" ht="31.2" x14ac:dyDescent="0.3">
      <c r="A970" s="53">
        <v>963</v>
      </c>
      <c r="B970" s="24" t="s">
        <v>544</v>
      </c>
      <c r="C970" s="24" t="s">
        <v>552</v>
      </c>
      <c r="D970" s="82" t="s">
        <v>1587</v>
      </c>
      <c r="E970" s="24" t="s">
        <v>1855</v>
      </c>
      <c r="F970" s="24" t="s">
        <v>205</v>
      </c>
      <c r="G970" s="24"/>
      <c r="H970" s="24" t="s">
        <v>1857</v>
      </c>
      <c r="I970" s="30" t="s">
        <v>525</v>
      </c>
      <c r="J970" s="24"/>
      <c r="K970" s="24" t="s">
        <v>199</v>
      </c>
      <c r="L970" s="24" t="s">
        <v>199</v>
      </c>
      <c r="M970" s="24">
        <v>1917</v>
      </c>
      <c r="N970" s="24" t="s">
        <v>527</v>
      </c>
      <c r="O970" s="24">
        <v>3</v>
      </c>
      <c r="P970" s="24">
        <v>0</v>
      </c>
      <c r="Q970" s="24">
        <v>3</v>
      </c>
      <c r="R970" s="24">
        <v>24</v>
      </c>
      <c r="S970" s="24">
        <v>1112.9000000000001</v>
      </c>
      <c r="T970" s="24">
        <v>1112.9000000000001</v>
      </c>
      <c r="U970" s="24">
        <v>1112.9000000000001</v>
      </c>
      <c r="V970" s="24">
        <v>0</v>
      </c>
      <c r="W970" s="24" t="s">
        <v>528</v>
      </c>
      <c r="X970" s="24" t="s">
        <v>528</v>
      </c>
      <c r="Y970" s="24" t="s">
        <v>529</v>
      </c>
      <c r="Z970" s="102" t="s">
        <v>528</v>
      </c>
      <c r="AA970" s="24" t="s">
        <v>528</v>
      </c>
      <c r="AB970" s="24" t="s">
        <v>528</v>
      </c>
      <c r="AC970" s="24" t="s">
        <v>528</v>
      </c>
      <c r="AD970" s="24" t="s">
        <v>528</v>
      </c>
      <c r="AE970" s="24" t="s">
        <v>529</v>
      </c>
      <c r="AF970" s="24">
        <v>0</v>
      </c>
      <c r="AG970" s="24" t="s">
        <v>529</v>
      </c>
      <c r="AH970" s="24" t="s">
        <v>529</v>
      </c>
      <c r="AI970" s="24" t="s">
        <v>529</v>
      </c>
      <c r="AJ970" s="24" t="s">
        <v>529</v>
      </c>
      <c r="AK970" s="24" t="s">
        <v>530</v>
      </c>
      <c r="AL970" s="24"/>
    </row>
    <row r="971" spans="1:38" ht="31.2" x14ac:dyDescent="0.3">
      <c r="A971" s="53">
        <v>964</v>
      </c>
      <c r="B971" s="24" t="s">
        <v>544</v>
      </c>
      <c r="C971" s="24" t="s">
        <v>552</v>
      </c>
      <c r="D971" s="82" t="s">
        <v>1850</v>
      </c>
      <c r="E971" s="24" t="s">
        <v>536</v>
      </c>
      <c r="F971" s="24" t="s">
        <v>200</v>
      </c>
      <c r="G971" s="24"/>
      <c r="H971" s="24" t="s">
        <v>1858</v>
      </c>
      <c r="I971" s="30" t="s">
        <v>525</v>
      </c>
      <c r="J971" s="24"/>
      <c r="K971" s="24" t="s">
        <v>1157</v>
      </c>
      <c r="L971" s="24" t="s">
        <v>199</v>
      </c>
      <c r="M971" s="24">
        <v>1936</v>
      </c>
      <c r="N971" s="24" t="s">
        <v>527</v>
      </c>
      <c r="O971" s="24">
        <v>5</v>
      </c>
      <c r="P971" s="24">
        <v>0</v>
      </c>
      <c r="Q971" s="24">
        <v>5</v>
      </c>
      <c r="R971" s="24">
        <v>68</v>
      </c>
      <c r="S971" s="24">
        <v>3243.9</v>
      </c>
      <c r="T971" s="24">
        <v>3243.9</v>
      </c>
      <c r="U971" s="24">
        <v>3243.9</v>
      </c>
      <c r="V971" s="24">
        <v>0</v>
      </c>
      <c r="W971" s="24" t="s">
        <v>528</v>
      </c>
      <c r="X971" s="24" t="s">
        <v>528</v>
      </c>
      <c r="Y971" s="24" t="s">
        <v>529</v>
      </c>
      <c r="Z971" s="102" t="s">
        <v>528</v>
      </c>
      <c r="AA971" s="24" t="s">
        <v>528</v>
      </c>
      <c r="AB971" s="24" t="s">
        <v>528</v>
      </c>
      <c r="AC971" s="24" t="s">
        <v>528</v>
      </c>
      <c r="AD971" s="24" t="s">
        <v>528</v>
      </c>
      <c r="AE971" s="24" t="s">
        <v>529</v>
      </c>
      <c r="AF971" s="24">
        <v>0</v>
      </c>
      <c r="AG971" s="24" t="s">
        <v>529</v>
      </c>
      <c r="AH971" s="24">
        <v>1</v>
      </c>
      <c r="AI971" s="24" t="s">
        <v>529</v>
      </c>
      <c r="AJ971" s="24" t="s">
        <v>529</v>
      </c>
      <c r="AK971" s="24" t="s">
        <v>530</v>
      </c>
      <c r="AL971" s="24"/>
    </row>
    <row r="972" spans="1:38" ht="31.2" x14ac:dyDescent="0.3">
      <c r="A972" s="53">
        <v>965</v>
      </c>
      <c r="B972" s="24" t="s">
        <v>544</v>
      </c>
      <c r="C972" s="24" t="s">
        <v>653</v>
      </c>
      <c r="D972" s="82" t="s">
        <v>1846</v>
      </c>
      <c r="E972" s="24" t="s">
        <v>1208</v>
      </c>
      <c r="F972" s="24" t="s">
        <v>200</v>
      </c>
      <c r="G972" s="24"/>
      <c r="H972" s="24" t="s">
        <v>1859</v>
      </c>
      <c r="I972" s="30" t="s">
        <v>525</v>
      </c>
      <c r="J972" s="24"/>
      <c r="K972" s="24" t="s">
        <v>199</v>
      </c>
      <c r="L972" s="24" t="s">
        <v>199</v>
      </c>
      <c r="M972" s="24">
        <v>1914</v>
      </c>
      <c r="N972" s="24" t="s">
        <v>527</v>
      </c>
      <c r="O972" s="24">
        <v>2</v>
      </c>
      <c r="P972" s="24">
        <v>0</v>
      </c>
      <c r="Q972" s="24">
        <v>1</v>
      </c>
      <c r="R972" s="24">
        <v>7</v>
      </c>
      <c r="S972" s="24">
        <v>2387.8000000000002</v>
      </c>
      <c r="T972" s="24">
        <v>2387.8000000000002</v>
      </c>
      <c r="U972" s="24">
        <v>2139</v>
      </c>
      <c r="V972" s="24">
        <v>248</v>
      </c>
      <c r="W972" s="24" t="s">
        <v>528</v>
      </c>
      <c r="X972" s="24" t="s">
        <v>528</v>
      </c>
      <c r="Y972" s="24" t="s">
        <v>528</v>
      </c>
      <c r="Z972" s="102" t="s">
        <v>528</v>
      </c>
      <c r="AA972" s="24" t="s">
        <v>528</v>
      </c>
      <c r="AB972" s="24" t="s">
        <v>528</v>
      </c>
      <c r="AC972" s="24" t="s">
        <v>529</v>
      </c>
      <c r="AD972" s="24" t="s">
        <v>528</v>
      </c>
      <c r="AE972" s="24" t="s">
        <v>529</v>
      </c>
      <c r="AF972" s="24">
        <v>0</v>
      </c>
      <c r="AG972" s="24" t="s">
        <v>529</v>
      </c>
      <c r="AH972" s="24" t="s">
        <v>529</v>
      </c>
      <c r="AI972" s="24">
        <v>1</v>
      </c>
      <c r="AJ972" s="24">
        <v>1</v>
      </c>
      <c r="AK972" s="24" t="s">
        <v>530</v>
      </c>
      <c r="AL972" s="24"/>
    </row>
    <row r="973" spans="1:38" ht="31.2" x14ac:dyDescent="0.3">
      <c r="A973" s="53">
        <v>966</v>
      </c>
      <c r="B973" s="24" t="s">
        <v>544</v>
      </c>
      <c r="C973" s="24" t="s">
        <v>653</v>
      </c>
      <c r="D973" s="82" t="s">
        <v>1846</v>
      </c>
      <c r="E973" s="24" t="s">
        <v>536</v>
      </c>
      <c r="F973" s="24" t="s">
        <v>200</v>
      </c>
      <c r="G973" s="24"/>
      <c r="H973" s="24" t="s">
        <v>1860</v>
      </c>
      <c r="I973" s="30" t="s">
        <v>525</v>
      </c>
      <c r="J973" s="24"/>
      <c r="K973" s="24" t="s">
        <v>199</v>
      </c>
      <c r="L973" s="24" t="s">
        <v>199</v>
      </c>
      <c r="M973" s="24">
        <v>1916</v>
      </c>
      <c r="N973" s="24" t="s">
        <v>527</v>
      </c>
      <c r="O973" s="24">
        <v>3</v>
      </c>
      <c r="P973" s="24">
        <v>0</v>
      </c>
      <c r="Q973" s="24">
        <v>1</v>
      </c>
      <c r="R973" s="24">
        <v>11</v>
      </c>
      <c r="S973" s="24">
        <v>932.4</v>
      </c>
      <c r="T973" s="24">
        <v>932.4</v>
      </c>
      <c r="U973" s="24">
        <v>906.3</v>
      </c>
      <c r="V973" s="24">
        <v>26.1</v>
      </c>
      <c r="W973" s="24" t="s">
        <v>528</v>
      </c>
      <c r="X973" s="24" t="s">
        <v>528</v>
      </c>
      <c r="Y973" s="24" t="s">
        <v>529</v>
      </c>
      <c r="Z973" s="102" t="s">
        <v>528</v>
      </c>
      <c r="AA973" s="24" t="s">
        <v>528</v>
      </c>
      <c r="AB973" s="24" t="s">
        <v>528</v>
      </c>
      <c r="AC973" s="24" t="s">
        <v>528</v>
      </c>
      <c r="AD973" s="24" t="s">
        <v>528</v>
      </c>
      <c r="AE973" s="24" t="s">
        <v>529</v>
      </c>
      <c r="AF973" s="24">
        <v>0</v>
      </c>
      <c r="AG973" s="24" t="s">
        <v>529</v>
      </c>
      <c r="AH973" s="24">
        <v>1</v>
      </c>
      <c r="AI973" s="24">
        <v>1</v>
      </c>
      <c r="AJ973" s="24" t="s">
        <v>529</v>
      </c>
      <c r="AK973" s="24" t="s">
        <v>530</v>
      </c>
      <c r="AL973" s="24"/>
    </row>
    <row r="974" spans="1:38" ht="31.2" x14ac:dyDescent="0.3">
      <c r="A974" s="53">
        <v>967</v>
      </c>
      <c r="B974" s="24" t="s">
        <v>544</v>
      </c>
      <c r="C974" s="24" t="s">
        <v>653</v>
      </c>
      <c r="D974" s="82" t="s">
        <v>428</v>
      </c>
      <c r="E974" s="24" t="s">
        <v>1861</v>
      </c>
      <c r="F974" s="24" t="s">
        <v>200</v>
      </c>
      <c r="G974" s="24"/>
      <c r="H974" s="24" t="s">
        <v>1862</v>
      </c>
      <c r="I974" s="30" t="s">
        <v>525</v>
      </c>
      <c r="J974" s="24"/>
      <c r="K974" s="24" t="s">
        <v>1138</v>
      </c>
      <c r="L974" s="24" t="s">
        <v>199</v>
      </c>
      <c r="M974" s="24">
        <v>1960</v>
      </c>
      <c r="N974" s="24" t="s">
        <v>527</v>
      </c>
      <c r="O974" s="24">
        <v>4</v>
      </c>
      <c r="P974" s="24">
        <v>0</v>
      </c>
      <c r="Q974" s="24">
        <v>1</v>
      </c>
      <c r="R974" s="24">
        <v>12</v>
      </c>
      <c r="S974" s="24">
        <v>1374.7</v>
      </c>
      <c r="T974" s="24">
        <v>1374.7</v>
      </c>
      <c r="U974" s="24">
        <v>1332.9</v>
      </c>
      <c r="V974" s="24">
        <v>41.8</v>
      </c>
      <c r="W974" s="24" t="s">
        <v>528</v>
      </c>
      <c r="X974" s="24" t="s">
        <v>528</v>
      </c>
      <c r="Y974" s="24" t="s">
        <v>529</v>
      </c>
      <c r="Z974" s="102" t="s">
        <v>528</v>
      </c>
      <c r="AA974" s="24" t="s">
        <v>528</v>
      </c>
      <c r="AB974" s="24" t="s">
        <v>528</v>
      </c>
      <c r="AC974" s="24" t="s">
        <v>528</v>
      </c>
      <c r="AD974" s="24" t="s">
        <v>528</v>
      </c>
      <c r="AE974" s="24" t="s">
        <v>529</v>
      </c>
      <c r="AF974" s="24">
        <v>0</v>
      </c>
      <c r="AG974" s="24" t="s">
        <v>529</v>
      </c>
      <c r="AH974" s="24" t="s">
        <v>529</v>
      </c>
      <c r="AI974" s="24" t="s">
        <v>529</v>
      </c>
      <c r="AJ974" s="24">
        <v>1</v>
      </c>
      <c r="AK974" s="24" t="s">
        <v>530</v>
      </c>
      <c r="AL974" s="24"/>
    </row>
    <row r="975" spans="1:38" ht="31.2" x14ac:dyDescent="0.3">
      <c r="A975" s="53">
        <v>968</v>
      </c>
      <c r="B975" s="24" t="s">
        <v>544</v>
      </c>
      <c r="C975" s="24" t="s">
        <v>653</v>
      </c>
      <c r="D975" s="82" t="s">
        <v>428</v>
      </c>
      <c r="E975" s="24" t="s">
        <v>1863</v>
      </c>
      <c r="F975" s="24" t="s">
        <v>200</v>
      </c>
      <c r="G975" s="24"/>
      <c r="H975" s="24" t="s">
        <v>1864</v>
      </c>
      <c r="I975" s="30" t="s">
        <v>525</v>
      </c>
      <c r="J975" s="24"/>
      <c r="K975" s="24" t="s">
        <v>199</v>
      </c>
      <c r="L975" s="24" t="s">
        <v>199</v>
      </c>
      <c r="M975" s="24">
        <v>1883</v>
      </c>
      <c r="N975" s="24" t="s">
        <v>527</v>
      </c>
      <c r="O975" s="24">
        <v>2</v>
      </c>
      <c r="P975" s="24">
        <v>0</v>
      </c>
      <c r="Q975" s="24">
        <v>1</v>
      </c>
      <c r="R975" s="24">
        <v>1</v>
      </c>
      <c r="S975" s="24">
        <v>940</v>
      </c>
      <c r="T975" s="24">
        <v>940</v>
      </c>
      <c r="U975" s="24">
        <v>543.29999999999995</v>
      </c>
      <c r="V975" s="24">
        <v>396.7</v>
      </c>
      <c r="W975" s="24" t="s">
        <v>528</v>
      </c>
      <c r="X975" s="24" t="s">
        <v>528</v>
      </c>
      <c r="Y975" s="24" t="s">
        <v>529</v>
      </c>
      <c r="Z975" s="102" t="s">
        <v>528</v>
      </c>
      <c r="AA975" s="24" t="s">
        <v>528</v>
      </c>
      <c r="AB975" s="24" t="s">
        <v>528</v>
      </c>
      <c r="AC975" s="24" t="s">
        <v>528</v>
      </c>
      <c r="AD975" s="24" t="s">
        <v>528</v>
      </c>
      <c r="AE975" s="24" t="s">
        <v>529</v>
      </c>
      <c r="AF975" s="24">
        <v>0</v>
      </c>
      <c r="AG975" s="24" t="s">
        <v>529</v>
      </c>
      <c r="AH975" s="24" t="s">
        <v>529</v>
      </c>
      <c r="AI975" s="24" t="s">
        <v>529</v>
      </c>
      <c r="AJ975" s="24" t="s">
        <v>529</v>
      </c>
      <c r="AK975" s="24" t="s">
        <v>530</v>
      </c>
      <c r="AL975" s="24"/>
    </row>
    <row r="976" spans="1:38" ht="31.2" x14ac:dyDescent="0.3">
      <c r="A976" s="53">
        <v>969</v>
      </c>
      <c r="B976" s="24" t="s">
        <v>544</v>
      </c>
      <c r="C976" s="24" t="s">
        <v>653</v>
      </c>
      <c r="D976" s="82" t="s">
        <v>428</v>
      </c>
      <c r="E976" s="24" t="s">
        <v>1865</v>
      </c>
      <c r="F976" s="24" t="s">
        <v>200</v>
      </c>
      <c r="G976" s="24"/>
      <c r="H976" s="24" t="s">
        <v>1866</v>
      </c>
      <c r="I976" s="30" t="s">
        <v>525</v>
      </c>
      <c r="J976" s="24"/>
      <c r="K976" s="24" t="s">
        <v>199</v>
      </c>
      <c r="L976" s="24" t="s">
        <v>199</v>
      </c>
      <c r="M976" s="24">
        <v>1917</v>
      </c>
      <c r="N976" s="24" t="s">
        <v>527</v>
      </c>
      <c r="O976" s="24">
        <v>3</v>
      </c>
      <c r="P976" s="24">
        <v>0</v>
      </c>
      <c r="Q976" s="24">
        <v>2</v>
      </c>
      <c r="R976" s="24">
        <v>11</v>
      </c>
      <c r="S976" s="24">
        <v>1066.3</v>
      </c>
      <c r="T976" s="24">
        <v>1066.3</v>
      </c>
      <c r="U976" s="24">
        <v>952.8</v>
      </c>
      <c r="V976" s="24">
        <v>113.5</v>
      </c>
      <c r="W976" s="24" t="s">
        <v>528</v>
      </c>
      <c r="X976" s="24" t="s">
        <v>528</v>
      </c>
      <c r="Y976" s="24" t="s">
        <v>529</v>
      </c>
      <c r="Z976" s="102" t="s">
        <v>528</v>
      </c>
      <c r="AA976" s="24" t="s">
        <v>528</v>
      </c>
      <c r="AB976" s="24" t="s">
        <v>528</v>
      </c>
      <c r="AC976" s="24" t="s">
        <v>528</v>
      </c>
      <c r="AD976" s="24" t="s">
        <v>528</v>
      </c>
      <c r="AE976" s="24" t="s">
        <v>529</v>
      </c>
      <c r="AF976" s="24">
        <v>0</v>
      </c>
      <c r="AG976" s="24" t="s">
        <v>529</v>
      </c>
      <c r="AH976" s="24" t="s">
        <v>529</v>
      </c>
      <c r="AI976" s="24" t="s">
        <v>529</v>
      </c>
      <c r="AJ976" s="24" t="s">
        <v>529</v>
      </c>
      <c r="AK976" s="24" t="s">
        <v>530</v>
      </c>
      <c r="AL976" s="24"/>
    </row>
    <row r="977" spans="1:38" ht="31.2" x14ac:dyDescent="0.3">
      <c r="A977" s="53">
        <v>970</v>
      </c>
      <c r="B977" s="24" t="s">
        <v>544</v>
      </c>
      <c r="C977" s="24" t="s">
        <v>653</v>
      </c>
      <c r="D977" s="82" t="s">
        <v>428</v>
      </c>
      <c r="E977" s="24" t="s">
        <v>1867</v>
      </c>
      <c r="F977" s="24" t="s">
        <v>200</v>
      </c>
      <c r="G977" s="24"/>
      <c r="H977" s="24" t="s">
        <v>1868</v>
      </c>
      <c r="I977" s="30" t="s">
        <v>525</v>
      </c>
      <c r="J977" s="24"/>
      <c r="K977" s="24" t="s">
        <v>199</v>
      </c>
      <c r="L977" s="24" t="s">
        <v>199</v>
      </c>
      <c r="M977" s="24">
        <v>1917</v>
      </c>
      <c r="N977" s="24" t="s">
        <v>527</v>
      </c>
      <c r="O977" s="24">
        <v>1</v>
      </c>
      <c r="P977" s="24">
        <v>0</v>
      </c>
      <c r="Q977" s="24">
        <v>1</v>
      </c>
      <c r="R977" s="24">
        <v>1</v>
      </c>
      <c r="S977" s="24">
        <v>115.3</v>
      </c>
      <c r="T977" s="24">
        <v>115.3</v>
      </c>
      <c r="U977" s="24">
        <v>78.900000000000006</v>
      </c>
      <c r="V977" s="24">
        <v>36.4</v>
      </c>
      <c r="W977" s="24" t="s">
        <v>528</v>
      </c>
      <c r="X977" s="24" t="s">
        <v>528</v>
      </c>
      <c r="Y977" s="24" t="s">
        <v>529</v>
      </c>
      <c r="Z977" s="102" t="s">
        <v>528</v>
      </c>
      <c r="AA977" s="24" t="s">
        <v>528</v>
      </c>
      <c r="AB977" s="24" t="s">
        <v>528</v>
      </c>
      <c r="AC977" s="24" t="s">
        <v>528</v>
      </c>
      <c r="AD977" s="24" t="s">
        <v>528</v>
      </c>
      <c r="AE977" s="24" t="s">
        <v>529</v>
      </c>
      <c r="AF977" s="24">
        <v>0</v>
      </c>
      <c r="AG977" s="24" t="s">
        <v>529</v>
      </c>
      <c r="AH977" s="24" t="s">
        <v>529</v>
      </c>
      <c r="AI977" s="24" t="s">
        <v>529</v>
      </c>
      <c r="AJ977" s="24" t="s">
        <v>529</v>
      </c>
      <c r="AK977" s="24" t="s">
        <v>530</v>
      </c>
      <c r="AL977" s="24"/>
    </row>
    <row r="978" spans="1:38" ht="31.2" x14ac:dyDescent="0.3">
      <c r="A978" s="53">
        <v>971</v>
      </c>
      <c r="B978" s="24" t="s">
        <v>544</v>
      </c>
      <c r="C978" s="24" t="s">
        <v>653</v>
      </c>
      <c r="D978" s="82" t="s">
        <v>428</v>
      </c>
      <c r="E978" s="24" t="s">
        <v>1869</v>
      </c>
      <c r="F978" s="24" t="s">
        <v>200</v>
      </c>
      <c r="G978" s="24"/>
      <c r="H978" s="24" t="s">
        <v>1870</v>
      </c>
      <c r="I978" s="30" t="s">
        <v>525</v>
      </c>
      <c r="J978" s="24"/>
      <c r="K978" s="24" t="s">
        <v>199</v>
      </c>
      <c r="L978" s="24" t="s">
        <v>199</v>
      </c>
      <c r="M978" s="24">
        <v>1917</v>
      </c>
      <c r="N978" s="24" t="s">
        <v>527</v>
      </c>
      <c r="O978" s="24">
        <v>1</v>
      </c>
      <c r="P978" s="24">
        <v>0</v>
      </c>
      <c r="Q978" s="24">
        <v>1</v>
      </c>
      <c r="R978" s="24">
        <v>2</v>
      </c>
      <c r="S978" s="24">
        <v>222</v>
      </c>
      <c r="T978" s="24">
        <v>222</v>
      </c>
      <c r="U978" s="24">
        <v>222</v>
      </c>
      <c r="V978" s="24">
        <v>0</v>
      </c>
      <c r="W978" s="24" t="s">
        <v>528</v>
      </c>
      <c r="X978" s="24" t="s">
        <v>528</v>
      </c>
      <c r="Y978" s="24" t="s">
        <v>529</v>
      </c>
      <c r="Z978" s="102" t="s">
        <v>528</v>
      </c>
      <c r="AA978" s="24" t="s">
        <v>528</v>
      </c>
      <c r="AB978" s="24" t="s">
        <v>528</v>
      </c>
      <c r="AC978" s="24" t="s">
        <v>528</v>
      </c>
      <c r="AD978" s="24" t="s">
        <v>528</v>
      </c>
      <c r="AE978" s="24" t="s">
        <v>529</v>
      </c>
      <c r="AF978" s="24">
        <v>0</v>
      </c>
      <c r="AG978" s="24" t="s">
        <v>529</v>
      </c>
      <c r="AH978" s="24" t="s">
        <v>529</v>
      </c>
      <c r="AI978" s="24" t="s">
        <v>529</v>
      </c>
      <c r="AJ978" s="24" t="s">
        <v>529</v>
      </c>
      <c r="AK978" s="24" t="s">
        <v>530</v>
      </c>
      <c r="AL978" s="24"/>
    </row>
    <row r="979" spans="1:38" ht="31.2" x14ac:dyDescent="0.3">
      <c r="A979" s="53">
        <v>972</v>
      </c>
      <c r="B979" s="24" t="s">
        <v>544</v>
      </c>
      <c r="C979" s="24" t="s">
        <v>653</v>
      </c>
      <c r="D979" s="82" t="s">
        <v>428</v>
      </c>
      <c r="E979" s="24" t="s">
        <v>1871</v>
      </c>
      <c r="F979" s="24" t="s">
        <v>200</v>
      </c>
      <c r="G979" s="24"/>
      <c r="H979" s="24" t="s">
        <v>1872</v>
      </c>
      <c r="I979" s="30" t="s">
        <v>525</v>
      </c>
      <c r="J979" s="24"/>
      <c r="K979" s="24" t="s">
        <v>199</v>
      </c>
      <c r="L979" s="24" t="s">
        <v>199</v>
      </c>
      <c r="M979" s="24">
        <v>1917</v>
      </c>
      <c r="N979" s="24" t="s">
        <v>527</v>
      </c>
      <c r="O979" s="24">
        <v>4</v>
      </c>
      <c r="P979" s="24">
        <v>0</v>
      </c>
      <c r="Q979" s="24">
        <v>1</v>
      </c>
      <c r="R979" s="24">
        <v>8</v>
      </c>
      <c r="S979" s="24">
        <v>1192.5</v>
      </c>
      <c r="T979" s="24">
        <v>1192.5</v>
      </c>
      <c r="U979" s="24">
        <v>1192.5</v>
      </c>
      <c r="V979" s="24">
        <v>0</v>
      </c>
      <c r="W979" s="24" t="s">
        <v>528</v>
      </c>
      <c r="X979" s="24" t="s">
        <v>528</v>
      </c>
      <c r="Y979" s="24" t="s">
        <v>529</v>
      </c>
      <c r="Z979" s="102" t="s">
        <v>528</v>
      </c>
      <c r="AA979" s="24" t="s">
        <v>528</v>
      </c>
      <c r="AB979" s="24" t="s">
        <v>528</v>
      </c>
      <c r="AC979" s="24" t="s">
        <v>529</v>
      </c>
      <c r="AD979" s="24" t="s">
        <v>528</v>
      </c>
      <c r="AE979" s="24" t="s">
        <v>529</v>
      </c>
      <c r="AF979" s="24">
        <v>0</v>
      </c>
      <c r="AG979" s="24" t="s">
        <v>529</v>
      </c>
      <c r="AH979" s="24">
        <v>1</v>
      </c>
      <c r="AI979" s="24" t="s">
        <v>529</v>
      </c>
      <c r="AJ979" s="24" t="s">
        <v>529</v>
      </c>
      <c r="AK979" s="24" t="s">
        <v>530</v>
      </c>
      <c r="AL979" s="24"/>
    </row>
    <row r="980" spans="1:38" ht="31.2" x14ac:dyDescent="0.3">
      <c r="A980" s="53">
        <v>973</v>
      </c>
      <c r="B980" s="24" t="s">
        <v>544</v>
      </c>
      <c r="C980" s="24" t="s">
        <v>552</v>
      </c>
      <c r="D980" s="82" t="s">
        <v>1587</v>
      </c>
      <c r="E980" s="24" t="s">
        <v>1164</v>
      </c>
      <c r="F980" s="24" t="s">
        <v>200</v>
      </c>
      <c r="G980" s="24"/>
      <c r="H980" s="24" t="s">
        <v>1873</v>
      </c>
      <c r="I980" s="30" t="s">
        <v>525</v>
      </c>
      <c r="J980" s="24" t="s">
        <v>276</v>
      </c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102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</row>
    <row r="981" spans="1:38" ht="31.2" x14ac:dyDescent="0.3">
      <c r="A981" s="53">
        <v>974</v>
      </c>
      <c r="B981" s="24" t="s">
        <v>544</v>
      </c>
      <c r="C981" s="24" t="s">
        <v>552</v>
      </c>
      <c r="D981" s="82" t="s">
        <v>1587</v>
      </c>
      <c r="E981" s="24" t="s">
        <v>1392</v>
      </c>
      <c r="F981" s="24" t="s">
        <v>200</v>
      </c>
      <c r="G981" s="24"/>
      <c r="H981" s="24" t="s">
        <v>1874</v>
      </c>
      <c r="I981" s="30" t="s">
        <v>525</v>
      </c>
      <c r="J981" s="24"/>
      <c r="K981" s="24" t="s">
        <v>1138</v>
      </c>
      <c r="L981" s="24" t="s">
        <v>199</v>
      </c>
      <c r="M981" s="24">
        <v>1969</v>
      </c>
      <c r="N981" s="24" t="s">
        <v>527</v>
      </c>
      <c r="O981" s="24">
        <v>8</v>
      </c>
      <c r="P981" s="24">
        <v>0</v>
      </c>
      <c r="Q981" s="24">
        <v>3</v>
      </c>
      <c r="R981" s="24">
        <v>112</v>
      </c>
      <c r="S981" s="24">
        <v>6297.5</v>
      </c>
      <c r="T981" s="24">
        <v>6297.5</v>
      </c>
      <c r="U981" s="24">
        <v>5310.8</v>
      </c>
      <c r="V981" s="24">
        <v>986.7</v>
      </c>
      <c r="W981" s="24" t="s">
        <v>528</v>
      </c>
      <c r="X981" s="24" t="s">
        <v>528</v>
      </c>
      <c r="Y981" s="24" t="s">
        <v>528</v>
      </c>
      <c r="Z981" s="102" t="s">
        <v>528</v>
      </c>
      <c r="AA981" s="24" t="s">
        <v>528</v>
      </c>
      <c r="AB981" s="24" t="s">
        <v>528</v>
      </c>
      <c r="AC981" s="24" t="s">
        <v>529</v>
      </c>
      <c r="AD981" s="24" t="s">
        <v>528</v>
      </c>
      <c r="AE981" s="24" t="s">
        <v>529</v>
      </c>
      <c r="AF981" s="24">
        <v>3</v>
      </c>
      <c r="AG981" s="24" t="s">
        <v>529</v>
      </c>
      <c r="AH981" s="24">
        <v>1</v>
      </c>
      <c r="AI981" s="24">
        <v>1</v>
      </c>
      <c r="AJ981" s="24">
        <v>1</v>
      </c>
      <c r="AK981" s="24" t="s">
        <v>530</v>
      </c>
      <c r="AL981" s="24"/>
    </row>
    <row r="982" spans="1:38" ht="31.2" x14ac:dyDescent="0.3">
      <c r="A982" s="53">
        <v>975</v>
      </c>
      <c r="B982" s="24" t="s">
        <v>544</v>
      </c>
      <c r="C982" s="24" t="s">
        <v>552</v>
      </c>
      <c r="D982" s="82" t="s">
        <v>1587</v>
      </c>
      <c r="E982" s="24" t="s">
        <v>1405</v>
      </c>
      <c r="F982" s="24" t="s">
        <v>200</v>
      </c>
      <c r="G982" s="24"/>
      <c r="H982" s="24" t="s">
        <v>1875</v>
      </c>
      <c r="I982" s="30" t="s">
        <v>525</v>
      </c>
      <c r="J982" s="24"/>
      <c r="K982" s="24" t="s">
        <v>1138</v>
      </c>
      <c r="L982" s="24" t="s">
        <v>199</v>
      </c>
      <c r="M982" s="24">
        <v>1959</v>
      </c>
      <c r="N982" s="24" t="s">
        <v>527</v>
      </c>
      <c r="O982" s="24">
        <v>5</v>
      </c>
      <c r="P982" s="24">
        <v>0</v>
      </c>
      <c r="Q982" s="24">
        <v>5</v>
      </c>
      <c r="R982" s="24">
        <v>70</v>
      </c>
      <c r="S982" s="24">
        <v>5157.2</v>
      </c>
      <c r="T982" s="24">
        <v>5157.2</v>
      </c>
      <c r="U982" s="24">
        <v>4753.6000000000004</v>
      </c>
      <c r="V982" s="24">
        <v>403.6</v>
      </c>
      <c r="W982" s="24" t="s">
        <v>528</v>
      </c>
      <c r="X982" s="24" t="s">
        <v>528</v>
      </c>
      <c r="Y982" s="24" t="s">
        <v>529</v>
      </c>
      <c r="Z982" s="102" t="s">
        <v>528</v>
      </c>
      <c r="AA982" s="24" t="s">
        <v>528</v>
      </c>
      <c r="AB982" s="24" t="s">
        <v>528</v>
      </c>
      <c r="AC982" s="24" t="s">
        <v>528</v>
      </c>
      <c r="AD982" s="24" t="s">
        <v>528</v>
      </c>
      <c r="AE982" s="24" t="s">
        <v>529</v>
      </c>
      <c r="AF982" s="24">
        <v>0</v>
      </c>
      <c r="AG982" s="24" t="s">
        <v>529</v>
      </c>
      <c r="AH982" s="24">
        <v>1</v>
      </c>
      <c r="AI982" s="24" t="s">
        <v>529</v>
      </c>
      <c r="AJ982" s="24">
        <v>1</v>
      </c>
      <c r="AK982" s="24" t="s">
        <v>530</v>
      </c>
      <c r="AL982" s="24"/>
    </row>
    <row r="983" spans="1:38" ht="31.2" x14ac:dyDescent="0.3">
      <c r="A983" s="53">
        <v>976</v>
      </c>
      <c r="B983" s="24" t="s">
        <v>544</v>
      </c>
      <c r="C983" s="24" t="s">
        <v>552</v>
      </c>
      <c r="D983" s="82" t="s">
        <v>1463</v>
      </c>
      <c r="E983" s="24" t="s">
        <v>174</v>
      </c>
      <c r="F983" s="24" t="s">
        <v>200</v>
      </c>
      <c r="G983" s="24"/>
      <c r="H983" s="24" t="s">
        <v>1876</v>
      </c>
      <c r="I983" s="30" t="s">
        <v>525</v>
      </c>
      <c r="J983" s="24"/>
      <c r="K983" s="24" t="s">
        <v>199</v>
      </c>
      <c r="L983" s="24" t="s">
        <v>199</v>
      </c>
      <c r="M983" s="24">
        <v>1869</v>
      </c>
      <c r="N983" s="24" t="s">
        <v>527</v>
      </c>
      <c r="O983" s="24">
        <v>5</v>
      </c>
      <c r="P983" s="24">
        <v>0</v>
      </c>
      <c r="Q983" s="24">
        <v>3</v>
      </c>
      <c r="R983" s="24">
        <v>30</v>
      </c>
      <c r="S983" s="24">
        <v>2307.5</v>
      </c>
      <c r="T983" s="24">
        <v>2307.5</v>
      </c>
      <c r="U983" s="24">
        <v>1854.5</v>
      </c>
      <c r="V983" s="24">
        <v>453</v>
      </c>
      <c r="W983" s="24" t="s">
        <v>528</v>
      </c>
      <c r="X983" s="24" t="s">
        <v>528</v>
      </c>
      <c r="Y983" s="24" t="s">
        <v>529</v>
      </c>
      <c r="Z983" s="102" t="s">
        <v>528</v>
      </c>
      <c r="AA983" s="24" t="s">
        <v>528</v>
      </c>
      <c r="AB983" s="24" t="s">
        <v>528</v>
      </c>
      <c r="AC983" s="24" t="s">
        <v>528</v>
      </c>
      <c r="AD983" s="24" t="s">
        <v>528</v>
      </c>
      <c r="AE983" s="24" t="s">
        <v>529</v>
      </c>
      <c r="AF983" s="24">
        <v>0</v>
      </c>
      <c r="AG983" s="24" t="s">
        <v>529</v>
      </c>
      <c r="AH983" s="24">
        <v>1</v>
      </c>
      <c r="AI983" s="24" t="s">
        <v>529</v>
      </c>
      <c r="AJ983" s="24">
        <v>1</v>
      </c>
      <c r="AK983" s="24" t="s">
        <v>530</v>
      </c>
      <c r="AL983" s="24"/>
    </row>
    <row r="984" spans="1:38" ht="31.2" x14ac:dyDescent="0.3">
      <c r="A984" s="53">
        <v>977</v>
      </c>
      <c r="B984" s="24" t="s">
        <v>544</v>
      </c>
      <c r="C984" s="24" t="s">
        <v>552</v>
      </c>
      <c r="D984" s="82" t="s">
        <v>1463</v>
      </c>
      <c r="E984" s="24" t="s">
        <v>176</v>
      </c>
      <c r="F984" s="24" t="s">
        <v>200</v>
      </c>
      <c r="G984" s="24"/>
      <c r="H984" s="24" t="s">
        <v>1877</v>
      </c>
      <c r="I984" s="30" t="s">
        <v>525</v>
      </c>
      <c r="J984" s="24"/>
      <c r="K984" s="24" t="s">
        <v>199</v>
      </c>
      <c r="L984" s="24" t="s">
        <v>199</v>
      </c>
      <c r="M984" s="24">
        <v>1900</v>
      </c>
      <c r="N984" s="24" t="s">
        <v>527</v>
      </c>
      <c r="O984" s="24">
        <v>4</v>
      </c>
      <c r="P984" s="24">
        <v>0</v>
      </c>
      <c r="Q984" s="24">
        <v>1</v>
      </c>
      <c r="R984" s="24">
        <v>9</v>
      </c>
      <c r="S984" s="24">
        <v>1357.3</v>
      </c>
      <c r="T984" s="24">
        <v>1357.3</v>
      </c>
      <c r="U984" s="24">
        <v>1019.3</v>
      </c>
      <c r="V984" s="24">
        <v>338</v>
      </c>
      <c r="W984" s="24" t="s">
        <v>528</v>
      </c>
      <c r="X984" s="24" t="s">
        <v>528</v>
      </c>
      <c r="Y984" s="24" t="s">
        <v>529</v>
      </c>
      <c r="Z984" s="102" t="s">
        <v>528</v>
      </c>
      <c r="AA984" s="24" t="s">
        <v>528</v>
      </c>
      <c r="AB984" s="24" t="s">
        <v>528</v>
      </c>
      <c r="AC984" s="24" t="s">
        <v>528</v>
      </c>
      <c r="AD984" s="24" t="s">
        <v>528</v>
      </c>
      <c r="AE984" s="24" t="s">
        <v>529</v>
      </c>
      <c r="AF984" s="24">
        <v>0</v>
      </c>
      <c r="AG984" s="24" t="s">
        <v>529</v>
      </c>
      <c r="AH984" s="24">
        <v>1</v>
      </c>
      <c r="AI984" s="24" t="s">
        <v>529</v>
      </c>
      <c r="AJ984" s="24" t="s">
        <v>529</v>
      </c>
      <c r="AK984" s="24" t="s">
        <v>530</v>
      </c>
      <c r="AL984" s="24"/>
    </row>
    <row r="985" spans="1:38" ht="31.2" x14ac:dyDescent="0.3">
      <c r="A985" s="53">
        <v>978</v>
      </c>
      <c r="B985" s="24" t="s">
        <v>544</v>
      </c>
      <c r="C985" s="24" t="s">
        <v>552</v>
      </c>
      <c r="D985" s="82" t="s">
        <v>1463</v>
      </c>
      <c r="E985" s="24" t="s">
        <v>1878</v>
      </c>
      <c r="F985" s="24" t="s">
        <v>200</v>
      </c>
      <c r="G985" s="24"/>
      <c r="H985" s="24" t="s">
        <v>1879</v>
      </c>
      <c r="I985" s="30" t="s">
        <v>525</v>
      </c>
      <c r="J985" s="24"/>
      <c r="K985" s="24" t="s">
        <v>199</v>
      </c>
      <c r="L985" s="24" t="s">
        <v>199</v>
      </c>
      <c r="M985" s="24">
        <v>1902</v>
      </c>
      <c r="N985" s="24" t="s">
        <v>527</v>
      </c>
      <c r="O985" s="24">
        <v>4</v>
      </c>
      <c r="P985" s="24">
        <v>0</v>
      </c>
      <c r="Q985" s="24">
        <v>1</v>
      </c>
      <c r="R985" s="24">
        <v>19</v>
      </c>
      <c r="S985" s="24">
        <v>1816.9</v>
      </c>
      <c r="T985" s="24">
        <v>1816.9</v>
      </c>
      <c r="U985" s="24">
        <v>1476.9</v>
      </c>
      <c r="V985" s="24">
        <v>340</v>
      </c>
      <c r="W985" s="24" t="s">
        <v>528</v>
      </c>
      <c r="X985" s="24" t="s">
        <v>528</v>
      </c>
      <c r="Y985" s="24" t="s">
        <v>529</v>
      </c>
      <c r="Z985" s="102" t="s">
        <v>528</v>
      </c>
      <c r="AA985" s="24" t="s">
        <v>528</v>
      </c>
      <c r="AB985" s="24" t="s">
        <v>528</v>
      </c>
      <c r="AC985" s="24" t="s">
        <v>528</v>
      </c>
      <c r="AD985" s="24" t="s">
        <v>528</v>
      </c>
      <c r="AE985" s="24" t="s">
        <v>529</v>
      </c>
      <c r="AF985" s="24">
        <v>0</v>
      </c>
      <c r="AG985" s="24" t="s">
        <v>529</v>
      </c>
      <c r="AH985" s="24">
        <v>1</v>
      </c>
      <c r="AI985" s="24" t="s">
        <v>529</v>
      </c>
      <c r="AJ985" s="24">
        <v>1</v>
      </c>
      <c r="AK985" s="24" t="s">
        <v>530</v>
      </c>
      <c r="AL985" s="24"/>
    </row>
    <row r="986" spans="1:38" ht="31.2" x14ac:dyDescent="0.3">
      <c r="A986" s="53">
        <v>979</v>
      </c>
      <c r="B986" s="24" t="s">
        <v>544</v>
      </c>
      <c r="C986" s="24" t="s">
        <v>552</v>
      </c>
      <c r="D986" s="82" t="s">
        <v>1463</v>
      </c>
      <c r="E986" s="24" t="s">
        <v>1878</v>
      </c>
      <c r="F986" s="24" t="s">
        <v>205</v>
      </c>
      <c r="G986" s="24"/>
      <c r="H986" s="24" t="s">
        <v>1880</v>
      </c>
      <c r="I986" s="30" t="s">
        <v>525</v>
      </c>
      <c r="J986" s="24"/>
      <c r="K986" s="24" t="s">
        <v>199</v>
      </c>
      <c r="L986" s="24" t="s">
        <v>199</v>
      </c>
      <c r="M986" s="24">
        <v>1902</v>
      </c>
      <c r="N986" s="24" t="s">
        <v>527</v>
      </c>
      <c r="O986" s="24">
        <v>6</v>
      </c>
      <c r="P986" s="24">
        <v>0</v>
      </c>
      <c r="Q986" s="24">
        <v>2</v>
      </c>
      <c r="R986" s="24">
        <v>48</v>
      </c>
      <c r="S986" s="24">
        <v>2634</v>
      </c>
      <c r="T986" s="24">
        <v>2634</v>
      </c>
      <c r="U986" s="24">
        <v>2634</v>
      </c>
      <c r="V986" s="24">
        <v>0</v>
      </c>
      <c r="W986" s="24" t="s">
        <v>528</v>
      </c>
      <c r="X986" s="24" t="s">
        <v>528</v>
      </c>
      <c r="Y986" s="24" t="s">
        <v>529</v>
      </c>
      <c r="Z986" s="102" t="s">
        <v>528</v>
      </c>
      <c r="AA986" s="24" t="s">
        <v>528</v>
      </c>
      <c r="AB986" s="24" t="s">
        <v>528</v>
      </c>
      <c r="AC986" s="24" t="s">
        <v>528</v>
      </c>
      <c r="AD986" s="24" t="s">
        <v>528</v>
      </c>
      <c r="AE986" s="24" t="s">
        <v>529</v>
      </c>
      <c r="AF986" s="24">
        <v>2</v>
      </c>
      <c r="AG986" s="24" t="s">
        <v>529</v>
      </c>
      <c r="AH986" s="24" t="s">
        <v>529</v>
      </c>
      <c r="AI986" s="24" t="s">
        <v>529</v>
      </c>
      <c r="AJ986" s="24">
        <v>1</v>
      </c>
      <c r="AK986" s="24" t="s">
        <v>530</v>
      </c>
      <c r="AL986" s="24"/>
    </row>
    <row r="987" spans="1:38" ht="31.2" x14ac:dyDescent="0.3">
      <c r="A987" s="53">
        <v>980</v>
      </c>
      <c r="B987" s="24" t="s">
        <v>544</v>
      </c>
      <c r="C987" s="24" t="s">
        <v>552</v>
      </c>
      <c r="D987" s="82" t="s">
        <v>1463</v>
      </c>
      <c r="E987" s="24" t="s">
        <v>1878</v>
      </c>
      <c r="F987" s="24" t="s">
        <v>206</v>
      </c>
      <c r="G987" s="24"/>
      <c r="H987" s="24" t="s">
        <v>1881</v>
      </c>
      <c r="I987" s="30" t="s">
        <v>525</v>
      </c>
      <c r="J987" s="24"/>
      <c r="K987" s="24" t="s">
        <v>199</v>
      </c>
      <c r="L987" s="24" t="s">
        <v>199</v>
      </c>
      <c r="M987" s="24">
        <v>1900</v>
      </c>
      <c r="N987" s="24" t="s">
        <v>527</v>
      </c>
      <c r="O987" s="24">
        <v>6</v>
      </c>
      <c r="P987" s="24">
        <v>0</v>
      </c>
      <c r="Q987" s="24">
        <v>1</v>
      </c>
      <c r="R987" s="24">
        <v>12</v>
      </c>
      <c r="S987" s="24">
        <v>832.6</v>
      </c>
      <c r="T987" s="24">
        <v>832.6</v>
      </c>
      <c r="U987" s="24">
        <v>774.6</v>
      </c>
      <c r="V987" s="24">
        <v>58</v>
      </c>
      <c r="W987" s="24" t="s">
        <v>528</v>
      </c>
      <c r="X987" s="24" t="s">
        <v>528</v>
      </c>
      <c r="Y987" s="24" t="s">
        <v>529</v>
      </c>
      <c r="Z987" s="102" t="s">
        <v>528</v>
      </c>
      <c r="AA987" s="24" t="s">
        <v>528</v>
      </c>
      <c r="AB987" s="24" t="s">
        <v>528</v>
      </c>
      <c r="AC987" s="24" t="s">
        <v>528</v>
      </c>
      <c r="AD987" s="24" t="s">
        <v>528</v>
      </c>
      <c r="AE987" s="24" t="s">
        <v>529</v>
      </c>
      <c r="AF987" s="24">
        <v>1</v>
      </c>
      <c r="AG987" s="24" t="s">
        <v>529</v>
      </c>
      <c r="AH987" s="24" t="s">
        <v>529</v>
      </c>
      <c r="AI987" s="24" t="s">
        <v>529</v>
      </c>
      <c r="AJ987" s="24">
        <v>1</v>
      </c>
      <c r="AK987" s="24" t="s">
        <v>530</v>
      </c>
      <c r="AL987" s="24"/>
    </row>
    <row r="988" spans="1:38" ht="31.2" x14ac:dyDescent="0.3">
      <c r="A988" s="53">
        <v>981</v>
      </c>
      <c r="B988" s="24" t="s">
        <v>544</v>
      </c>
      <c r="C988" s="24" t="s">
        <v>552</v>
      </c>
      <c r="D988" s="82" t="s">
        <v>1463</v>
      </c>
      <c r="E988" s="24" t="s">
        <v>1086</v>
      </c>
      <c r="F988" s="24" t="s">
        <v>205</v>
      </c>
      <c r="G988" s="24"/>
      <c r="H988" s="24" t="s">
        <v>1882</v>
      </c>
      <c r="I988" s="30" t="s">
        <v>525</v>
      </c>
      <c r="J988" s="24" t="s">
        <v>535</v>
      </c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102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</row>
    <row r="989" spans="1:38" ht="31.2" x14ac:dyDescent="0.3">
      <c r="A989" s="53">
        <v>982</v>
      </c>
      <c r="B989" s="24" t="s">
        <v>544</v>
      </c>
      <c r="C989" s="24" t="s">
        <v>552</v>
      </c>
      <c r="D989" s="82" t="s">
        <v>1463</v>
      </c>
      <c r="E989" s="24" t="s">
        <v>1086</v>
      </c>
      <c r="F989" s="24" t="s">
        <v>200</v>
      </c>
      <c r="G989" s="24"/>
      <c r="H989" s="24" t="s">
        <v>1883</v>
      </c>
      <c r="I989" s="30" t="s">
        <v>525</v>
      </c>
      <c r="J989" s="24" t="s">
        <v>535</v>
      </c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102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</row>
    <row r="990" spans="1:38" ht="31.2" x14ac:dyDescent="0.3">
      <c r="A990" s="53">
        <v>983</v>
      </c>
      <c r="B990" s="24" t="s">
        <v>544</v>
      </c>
      <c r="C990" s="24" t="s">
        <v>552</v>
      </c>
      <c r="D990" s="82" t="s">
        <v>1463</v>
      </c>
      <c r="E990" s="24" t="s">
        <v>1254</v>
      </c>
      <c r="F990" s="24" t="s">
        <v>200</v>
      </c>
      <c r="G990" s="24"/>
      <c r="H990" s="24" t="s">
        <v>1884</v>
      </c>
      <c r="I990" s="30" t="s">
        <v>525</v>
      </c>
      <c r="J990" s="24" t="s">
        <v>535</v>
      </c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102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</row>
    <row r="991" spans="1:38" ht="31.2" x14ac:dyDescent="0.3">
      <c r="A991" s="53">
        <v>984</v>
      </c>
      <c r="B991" s="24" t="s">
        <v>544</v>
      </c>
      <c r="C991" s="24" t="s">
        <v>552</v>
      </c>
      <c r="D991" s="82" t="s">
        <v>1463</v>
      </c>
      <c r="E991" s="24" t="s">
        <v>1254</v>
      </c>
      <c r="F991" s="24" t="s">
        <v>205</v>
      </c>
      <c r="G991" s="24"/>
      <c r="H991" s="24" t="s">
        <v>1885</v>
      </c>
      <c r="I991" s="30" t="s">
        <v>525</v>
      </c>
      <c r="J991" s="24" t="s">
        <v>535</v>
      </c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102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</row>
    <row r="992" spans="1:38" ht="31.2" x14ac:dyDescent="0.3">
      <c r="A992" s="53">
        <v>985</v>
      </c>
      <c r="B992" s="24" t="s">
        <v>544</v>
      </c>
      <c r="C992" s="24" t="s">
        <v>552</v>
      </c>
      <c r="D992" s="82" t="s">
        <v>1463</v>
      </c>
      <c r="E992" s="24" t="s">
        <v>1886</v>
      </c>
      <c r="F992" s="24" t="s">
        <v>200</v>
      </c>
      <c r="G992" s="24"/>
      <c r="H992" s="24" t="s">
        <v>1887</v>
      </c>
      <c r="I992" s="30" t="s">
        <v>525</v>
      </c>
      <c r="J992" s="24"/>
      <c r="K992" s="24" t="s">
        <v>199</v>
      </c>
      <c r="L992" s="24" t="s">
        <v>199</v>
      </c>
      <c r="M992" s="24">
        <v>1903</v>
      </c>
      <c r="N992" s="24" t="s">
        <v>527</v>
      </c>
      <c r="O992" s="24">
        <v>6</v>
      </c>
      <c r="P992" s="24">
        <v>0</v>
      </c>
      <c r="Q992" s="24">
        <v>3</v>
      </c>
      <c r="R992" s="24">
        <v>33</v>
      </c>
      <c r="S992" s="24">
        <v>6898.1</v>
      </c>
      <c r="T992" s="24">
        <v>6898.1</v>
      </c>
      <c r="U992" s="24">
        <v>6382.1</v>
      </c>
      <c r="V992" s="24">
        <v>516</v>
      </c>
      <c r="W992" s="24" t="s">
        <v>528</v>
      </c>
      <c r="X992" s="24" t="s">
        <v>528</v>
      </c>
      <c r="Y992" s="24" t="s">
        <v>529</v>
      </c>
      <c r="Z992" s="102" t="s">
        <v>528</v>
      </c>
      <c r="AA992" s="24" t="s">
        <v>528</v>
      </c>
      <c r="AB992" s="24" t="s">
        <v>528</v>
      </c>
      <c r="AC992" s="24" t="s">
        <v>528</v>
      </c>
      <c r="AD992" s="24" t="s">
        <v>528</v>
      </c>
      <c r="AE992" s="24" t="s">
        <v>529</v>
      </c>
      <c r="AF992" s="24">
        <v>0</v>
      </c>
      <c r="AG992" s="24" t="s">
        <v>529</v>
      </c>
      <c r="AH992" s="24">
        <v>2</v>
      </c>
      <c r="AI992" s="24" t="s">
        <v>529</v>
      </c>
      <c r="AJ992" s="24">
        <v>1</v>
      </c>
      <c r="AK992" s="24" t="s">
        <v>530</v>
      </c>
      <c r="AL992" s="24"/>
    </row>
    <row r="993" spans="1:38" ht="31.2" x14ac:dyDescent="0.3">
      <c r="A993" s="53">
        <v>986</v>
      </c>
      <c r="B993" s="24" t="s">
        <v>544</v>
      </c>
      <c r="C993" s="24" t="s">
        <v>552</v>
      </c>
      <c r="D993" s="82" t="s">
        <v>429</v>
      </c>
      <c r="E993" s="24" t="s">
        <v>175</v>
      </c>
      <c r="F993" s="24" t="s">
        <v>200</v>
      </c>
      <c r="G993" s="24"/>
      <c r="H993" s="24" t="s">
        <v>1888</v>
      </c>
      <c r="I993" s="30" t="s">
        <v>525</v>
      </c>
      <c r="J993" s="24"/>
      <c r="K993" s="24" t="s">
        <v>199</v>
      </c>
      <c r="L993" s="24" t="s">
        <v>199</v>
      </c>
      <c r="M993" s="24">
        <v>1909</v>
      </c>
      <c r="N993" s="24" t="s">
        <v>527</v>
      </c>
      <c r="O993" s="24">
        <v>6</v>
      </c>
      <c r="P993" s="24">
        <v>0</v>
      </c>
      <c r="Q993" s="24">
        <v>2</v>
      </c>
      <c r="R993" s="24">
        <v>44</v>
      </c>
      <c r="S993" s="24">
        <v>2760.92</v>
      </c>
      <c r="T993" s="24">
        <v>2760.92</v>
      </c>
      <c r="U993" s="24">
        <v>2532.92</v>
      </c>
      <c r="V993" s="24">
        <v>228</v>
      </c>
      <c r="W993" s="24" t="s">
        <v>528</v>
      </c>
      <c r="X993" s="24" t="s">
        <v>528</v>
      </c>
      <c r="Y993" s="24" t="s">
        <v>529</v>
      </c>
      <c r="Z993" s="102" t="s">
        <v>528</v>
      </c>
      <c r="AA993" s="24" t="s">
        <v>528</v>
      </c>
      <c r="AB993" s="24" t="s">
        <v>528</v>
      </c>
      <c r="AC993" s="24" t="s">
        <v>528</v>
      </c>
      <c r="AD993" s="24" t="s">
        <v>528</v>
      </c>
      <c r="AE993" s="24" t="s">
        <v>529</v>
      </c>
      <c r="AF993" s="24">
        <v>1</v>
      </c>
      <c r="AG993" s="24" t="s">
        <v>529</v>
      </c>
      <c r="AH993" s="24">
        <v>1</v>
      </c>
      <c r="AI993" s="24" t="s">
        <v>529</v>
      </c>
      <c r="AJ993" s="24">
        <v>1</v>
      </c>
      <c r="AK993" s="24" t="s">
        <v>530</v>
      </c>
      <c r="AL993" s="24"/>
    </row>
    <row r="994" spans="1:38" ht="31.2" x14ac:dyDescent="0.3">
      <c r="A994" s="53">
        <v>987</v>
      </c>
      <c r="B994" s="24" t="s">
        <v>544</v>
      </c>
      <c r="C994" s="24" t="s">
        <v>552</v>
      </c>
      <c r="D994" s="82" t="s">
        <v>429</v>
      </c>
      <c r="E994" s="24" t="s">
        <v>177</v>
      </c>
      <c r="F994" s="24" t="s">
        <v>200</v>
      </c>
      <c r="G994" s="24"/>
      <c r="H994" s="24" t="s">
        <v>1889</v>
      </c>
      <c r="I994" s="30" t="s">
        <v>525</v>
      </c>
      <c r="J994" s="24"/>
      <c r="K994" s="24" t="s">
        <v>199</v>
      </c>
      <c r="L994" s="24" t="s">
        <v>199</v>
      </c>
      <c r="M994" s="24">
        <v>1909</v>
      </c>
      <c r="N994" s="24" t="s">
        <v>527</v>
      </c>
      <c r="O994" s="24">
        <v>6</v>
      </c>
      <c r="P994" s="24">
        <v>0</v>
      </c>
      <c r="Q994" s="24">
        <v>2</v>
      </c>
      <c r="R994" s="24">
        <v>40</v>
      </c>
      <c r="S994" s="24">
        <v>2399.5</v>
      </c>
      <c r="T994" s="24">
        <v>2399.5</v>
      </c>
      <c r="U994" s="24">
        <v>2202.5</v>
      </c>
      <c r="V994" s="24">
        <v>197</v>
      </c>
      <c r="W994" s="24" t="s">
        <v>528</v>
      </c>
      <c r="X994" s="24" t="s">
        <v>528</v>
      </c>
      <c r="Y994" s="24" t="s">
        <v>529</v>
      </c>
      <c r="Z994" s="102" t="s">
        <v>528</v>
      </c>
      <c r="AA994" s="24" t="s">
        <v>528</v>
      </c>
      <c r="AB994" s="24" t="s">
        <v>528</v>
      </c>
      <c r="AC994" s="24" t="s">
        <v>528</v>
      </c>
      <c r="AD994" s="24" t="s">
        <v>528</v>
      </c>
      <c r="AE994" s="24" t="s">
        <v>529</v>
      </c>
      <c r="AF994" s="24">
        <v>0</v>
      </c>
      <c r="AG994" s="24" t="s">
        <v>529</v>
      </c>
      <c r="AH994" s="24">
        <v>1</v>
      </c>
      <c r="AI994" s="24" t="s">
        <v>529</v>
      </c>
      <c r="AJ994" s="24" t="s">
        <v>529</v>
      </c>
      <c r="AK994" s="24" t="s">
        <v>530</v>
      </c>
      <c r="AL994" s="24"/>
    </row>
    <row r="995" spans="1:38" ht="31.2" x14ac:dyDescent="0.3">
      <c r="A995" s="53">
        <v>988</v>
      </c>
      <c r="B995" s="24" t="s">
        <v>544</v>
      </c>
      <c r="C995" s="24" t="s">
        <v>552</v>
      </c>
      <c r="D995" s="82" t="s">
        <v>1747</v>
      </c>
      <c r="E995" s="24" t="s">
        <v>1339</v>
      </c>
      <c r="F995" s="24" t="s">
        <v>200</v>
      </c>
      <c r="G995" s="24"/>
      <c r="H995" s="24" t="s">
        <v>1890</v>
      </c>
      <c r="I995" s="30" t="s">
        <v>525</v>
      </c>
      <c r="J995" s="24"/>
      <c r="K995" s="24" t="s">
        <v>1138</v>
      </c>
      <c r="L995" s="24" t="s">
        <v>199</v>
      </c>
      <c r="M995" s="24">
        <v>1962</v>
      </c>
      <c r="N995" s="24" t="s">
        <v>527</v>
      </c>
      <c r="O995" s="24">
        <v>5</v>
      </c>
      <c r="P995" s="24">
        <v>0</v>
      </c>
      <c r="Q995" s="24">
        <v>6</v>
      </c>
      <c r="R995" s="24">
        <v>115</v>
      </c>
      <c r="S995" s="24">
        <v>5353.43</v>
      </c>
      <c r="T995" s="24">
        <v>5353.43</v>
      </c>
      <c r="U995" s="24">
        <v>5132.43</v>
      </c>
      <c r="V995" s="24">
        <v>221</v>
      </c>
      <c r="W995" s="24" t="s">
        <v>528</v>
      </c>
      <c r="X995" s="24" t="s">
        <v>528</v>
      </c>
      <c r="Y995" s="24" t="s">
        <v>529</v>
      </c>
      <c r="Z995" s="102" t="s">
        <v>528</v>
      </c>
      <c r="AA995" s="24" t="s">
        <v>528</v>
      </c>
      <c r="AB995" s="24" t="s">
        <v>528</v>
      </c>
      <c r="AC995" s="24" t="s">
        <v>528</v>
      </c>
      <c r="AD995" s="24" t="s">
        <v>528</v>
      </c>
      <c r="AE995" s="24" t="s">
        <v>529</v>
      </c>
      <c r="AF995" s="24">
        <v>0</v>
      </c>
      <c r="AG995" s="24" t="s">
        <v>529</v>
      </c>
      <c r="AH995" s="24">
        <v>1</v>
      </c>
      <c r="AI995" s="24" t="s">
        <v>529</v>
      </c>
      <c r="AJ995" s="24">
        <v>1</v>
      </c>
      <c r="AK995" s="24" t="s">
        <v>530</v>
      </c>
      <c r="AL995" s="24"/>
    </row>
    <row r="996" spans="1:38" ht="31.2" x14ac:dyDescent="0.3">
      <c r="A996" s="53">
        <v>989</v>
      </c>
      <c r="B996" s="24" t="s">
        <v>544</v>
      </c>
      <c r="C996" s="24" t="s">
        <v>552</v>
      </c>
      <c r="D996" s="82" t="s">
        <v>429</v>
      </c>
      <c r="E996" s="24" t="s">
        <v>1443</v>
      </c>
      <c r="F996" s="24" t="s">
        <v>200</v>
      </c>
      <c r="G996" s="24"/>
      <c r="H996" s="24" t="s">
        <v>1891</v>
      </c>
      <c r="I996" s="30" t="s">
        <v>525</v>
      </c>
      <c r="J996" s="24"/>
      <c r="K996" s="24" t="s">
        <v>199</v>
      </c>
      <c r="L996" s="24" t="s">
        <v>199</v>
      </c>
      <c r="M996" s="24">
        <v>1900</v>
      </c>
      <c r="N996" s="24" t="s">
        <v>527</v>
      </c>
      <c r="O996" s="24">
        <v>5</v>
      </c>
      <c r="P996" s="24">
        <v>0</v>
      </c>
      <c r="Q996" s="24">
        <v>1</v>
      </c>
      <c r="R996" s="24">
        <v>19</v>
      </c>
      <c r="S996" s="24">
        <v>1453.7</v>
      </c>
      <c r="T996" s="24">
        <v>1453.7</v>
      </c>
      <c r="U996" s="24">
        <v>1453.7</v>
      </c>
      <c r="V996" s="24">
        <v>0</v>
      </c>
      <c r="W996" s="24" t="s">
        <v>528</v>
      </c>
      <c r="X996" s="24" t="s">
        <v>528</v>
      </c>
      <c r="Y996" s="24" t="s">
        <v>529</v>
      </c>
      <c r="Z996" s="102" t="s">
        <v>528</v>
      </c>
      <c r="AA996" s="24" t="s">
        <v>528</v>
      </c>
      <c r="AB996" s="24" t="s">
        <v>528</v>
      </c>
      <c r="AC996" s="24" t="s">
        <v>528</v>
      </c>
      <c r="AD996" s="24" t="s">
        <v>528</v>
      </c>
      <c r="AE996" s="24" t="s">
        <v>529</v>
      </c>
      <c r="AF996" s="24">
        <v>1</v>
      </c>
      <c r="AG996" s="24" t="s">
        <v>529</v>
      </c>
      <c r="AH996" s="24">
        <v>1</v>
      </c>
      <c r="AI996" s="24" t="s">
        <v>529</v>
      </c>
      <c r="AJ996" s="24" t="s">
        <v>529</v>
      </c>
      <c r="AK996" s="24" t="s">
        <v>530</v>
      </c>
      <c r="AL996" s="24"/>
    </row>
    <row r="997" spans="1:38" ht="31.2" x14ac:dyDescent="0.3">
      <c r="A997" s="53">
        <v>990</v>
      </c>
      <c r="B997" s="24" t="s">
        <v>544</v>
      </c>
      <c r="C997" s="24" t="s">
        <v>552</v>
      </c>
      <c r="D997" s="82" t="s">
        <v>429</v>
      </c>
      <c r="E997" s="24" t="s">
        <v>1443</v>
      </c>
      <c r="F997" s="24" t="s">
        <v>206</v>
      </c>
      <c r="G997" s="24"/>
      <c r="H997" s="24" t="s">
        <v>1892</v>
      </c>
      <c r="I997" s="30" t="s">
        <v>525</v>
      </c>
      <c r="J997" s="24"/>
      <c r="K997" s="24" t="s">
        <v>199</v>
      </c>
      <c r="L997" s="24" t="s">
        <v>199</v>
      </c>
      <c r="M997" s="24">
        <v>1900</v>
      </c>
      <c r="N997" s="24" t="s">
        <v>527</v>
      </c>
      <c r="O997" s="24">
        <v>5</v>
      </c>
      <c r="P997" s="24">
        <v>0</v>
      </c>
      <c r="Q997" s="24">
        <v>1</v>
      </c>
      <c r="R997" s="24">
        <v>20</v>
      </c>
      <c r="S997" s="24">
        <v>1510</v>
      </c>
      <c r="T997" s="24">
        <v>1510</v>
      </c>
      <c r="U997" s="24">
        <v>1510</v>
      </c>
      <c r="V997" s="24">
        <v>0</v>
      </c>
      <c r="W997" s="24" t="s">
        <v>528</v>
      </c>
      <c r="X997" s="24" t="s">
        <v>528</v>
      </c>
      <c r="Y997" s="24" t="s">
        <v>529</v>
      </c>
      <c r="Z997" s="102" t="s">
        <v>528</v>
      </c>
      <c r="AA997" s="24" t="s">
        <v>528</v>
      </c>
      <c r="AB997" s="24" t="s">
        <v>528</v>
      </c>
      <c r="AC997" s="24" t="s">
        <v>528</v>
      </c>
      <c r="AD997" s="24" t="s">
        <v>528</v>
      </c>
      <c r="AE997" s="24" t="s">
        <v>529</v>
      </c>
      <c r="AF997" s="24">
        <v>2</v>
      </c>
      <c r="AG997" s="24" t="s">
        <v>529</v>
      </c>
      <c r="AH997" s="24" t="s">
        <v>529</v>
      </c>
      <c r="AI997" s="24" t="s">
        <v>529</v>
      </c>
      <c r="AJ997" s="24" t="s">
        <v>529</v>
      </c>
      <c r="AK997" s="24" t="s">
        <v>530</v>
      </c>
      <c r="AL997" s="24"/>
    </row>
    <row r="998" spans="1:38" ht="31.2" x14ac:dyDescent="0.3">
      <c r="A998" s="53">
        <v>991</v>
      </c>
      <c r="B998" s="24" t="s">
        <v>544</v>
      </c>
      <c r="C998" s="24" t="s">
        <v>552</v>
      </c>
      <c r="D998" s="82" t="s">
        <v>429</v>
      </c>
      <c r="E998" s="24" t="s">
        <v>1443</v>
      </c>
      <c r="F998" s="24" t="s">
        <v>217</v>
      </c>
      <c r="G998" s="24"/>
      <c r="H998" s="24" t="s">
        <v>1893</v>
      </c>
      <c r="I998" s="30" t="s">
        <v>525</v>
      </c>
      <c r="J998" s="24"/>
      <c r="K998" s="24" t="s">
        <v>199</v>
      </c>
      <c r="L998" s="24" t="s">
        <v>199</v>
      </c>
      <c r="M998" s="24">
        <v>1900</v>
      </c>
      <c r="N998" s="24" t="s">
        <v>527</v>
      </c>
      <c r="O998" s="24">
        <v>5</v>
      </c>
      <c r="P998" s="24">
        <v>0</v>
      </c>
      <c r="Q998" s="24">
        <v>1</v>
      </c>
      <c r="R998" s="24">
        <v>39</v>
      </c>
      <c r="S998" s="24">
        <v>1510.4</v>
      </c>
      <c r="T998" s="24">
        <v>1510.4</v>
      </c>
      <c r="U998" s="24">
        <v>1332.4</v>
      </c>
      <c r="V998" s="24">
        <v>178</v>
      </c>
      <c r="W998" s="24" t="s">
        <v>528</v>
      </c>
      <c r="X998" s="24" t="s">
        <v>528</v>
      </c>
      <c r="Y998" s="24" t="s">
        <v>529</v>
      </c>
      <c r="Z998" s="102" t="s">
        <v>528</v>
      </c>
      <c r="AA998" s="24" t="s">
        <v>528</v>
      </c>
      <c r="AB998" s="24" t="s">
        <v>528</v>
      </c>
      <c r="AC998" s="24" t="s">
        <v>528</v>
      </c>
      <c r="AD998" s="24" t="s">
        <v>528</v>
      </c>
      <c r="AE998" s="24" t="s">
        <v>529</v>
      </c>
      <c r="AF998" s="24">
        <v>1</v>
      </c>
      <c r="AG998" s="24" t="s">
        <v>529</v>
      </c>
      <c r="AH998" s="24" t="s">
        <v>529</v>
      </c>
      <c r="AI998" s="24" t="s">
        <v>529</v>
      </c>
      <c r="AJ998" s="24" t="s">
        <v>529</v>
      </c>
      <c r="AK998" s="24" t="s">
        <v>530</v>
      </c>
      <c r="AL998" s="24"/>
    </row>
    <row r="999" spans="1:38" ht="31.2" x14ac:dyDescent="0.3">
      <c r="A999" s="53">
        <v>992</v>
      </c>
      <c r="B999" s="24" t="s">
        <v>544</v>
      </c>
      <c r="C999" s="24" t="s">
        <v>552</v>
      </c>
      <c r="D999" s="82" t="s">
        <v>429</v>
      </c>
      <c r="E999" s="24" t="s">
        <v>1208</v>
      </c>
      <c r="F999" s="24" t="s">
        <v>200</v>
      </c>
      <c r="G999" s="24"/>
      <c r="H999" s="24" t="s">
        <v>1894</v>
      </c>
      <c r="I999" s="30" t="s">
        <v>525</v>
      </c>
      <c r="J999" s="24"/>
      <c r="K999" s="24" t="s">
        <v>1238</v>
      </c>
      <c r="L999" s="24" t="s">
        <v>199</v>
      </c>
      <c r="M999" s="24">
        <v>1977</v>
      </c>
      <c r="N999" s="24" t="s">
        <v>527</v>
      </c>
      <c r="O999" s="24">
        <v>7</v>
      </c>
      <c r="P999" s="24">
        <v>0</v>
      </c>
      <c r="Q999" s="24">
        <v>1</v>
      </c>
      <c r="R999" s="24">
        <v>36</v>
      </c>
      <c r="S999" s="24">
        <v>2111.6999999999998</v>
      </c>
      <c r="T999" s="24">
        <v>2111.6999999999998</v>
      </c>
      <c r="U999" s="24">
        <v>2096.6999999999998</v>
      </c>
      <c r="V999" s="24">
        <v>15</v>
      </c>
      <c r="W999" s="24" t="s">
        <v>528</v>
      </c>
      <c r="X999" s="24" t="s">
        <v>528</v>
      </c>
      <c r="Y999" s="24" t="s">
        <v>528</v>
      </c>
      <c r="Z999" s="102" t="s">
        <v>528</v>
      </c>
      <c r="AA999" s="24" t="s">
        <v>528</v>
      </c>
      <c r="AB999" s="24" t="s">
        <v>528</v>
      </c>
      <c r="AC999" s="24" t="s">
        <v>529</v>
      </c>
      <c r="AD999" s="24" t="s">
        <v>528</v>
      </c>
      <c r="AE999" s="24" t="s">
        <v>529</v>
      </c>
      <c r="AF999" s="24">
        <v>1</v>
      </c>
      <c r="AG999" s="24" t="s">
        <v>529</v>
      </c>
      <c r="AH999" s="24">
        <v>1</v>
      </c>
      <c r="AI999" s="24">
        <v>1</v>
      </c>
      <c r="AJ999" s="24">
        <v>1</v>
      </c>
      <c r="AK999" s="24" t="s">
        <v>530</v>
      </c>
      <c r="AL999" s="24"/>
    </row>
    <row r="1000" spans="1:38" ht="31.2" x14ac:dyDescent="0.3">
      <c r="A1000" s="53">
        <v>993</v>
      </c>
      <c r="B1000" s="24" t="s">
        <v>544</v>
      </c>
      <c r="C1000" s="24" t="s">
        <v>552</v>
      </c>
      <c r="D1000" s="82" t="s">
        <v>429</v>
      </c>
      <c r="E1000" s="24" t="s">
        <v>1129</v>
      </c>
      <c r="F1000" s="24" t="s">
        <v>200</v>
      </c>
      <c r="G1000" s="24"/>
      <c r="H1000" s="24" t="s">
        <v>1895</v>
      </c>
      <c r="I1000" s="30" t="s">
        <v>525</v>
      </c>
      <c r="J1000" s="24"/>
      <c r="K1000" s="24" t="s">
        <v>199</v>
      </c>
      <c r="L1000" s="24" t="s">
        <v>199</v>
      </c>
      <c r="M1000" s="24">
        <v>1902</v>
      </c>
      <c r="N1000" s="24" t="s">
        <v>527</v>
      </c>
      <c r="O1000" s="24">
        <v>5</v>
      </c>
      <c r="P1000" s="24">
        <v>0</v>
      </c>
      <c r="Q1000" s="24">
        <v>3</v>
      </c>
      <c r="R1000" s="24">
        <v>19</v>
      </c>
      <c r="S1000" s="24">
        <v>1721.26</v>
      </c>
      <c r="T1000" s="24">
        <v>1721.26</v>
      </c>
      <c r="U1000" s="24">
        <v>1424.36</v>
      </c>
      <c r="V1000" s="24">
        <v>296.89999999999998</v>
      </c>
      <c r="W1000" s="24" t="s">
        <v>528</v>
      </c>
      <c r="X1000" s="24" t="s">
        <v>528</v>
      </c>
      <c r="Y1000" s="24" t="s">
        <v>529</v>
      </c>
      <c r="Z1000" s="102" t="s">
        <v>528</v>
      </c>
      <c r="AA1000" s="24" t="s">
        <v>528</v>
      </c>
      <c r="AB1000" s="24" t="s">
        <v>528</v>
      </c>
      <c r="AC1000" s="24" t="s">
        <v>528</v>
      </c>
      <c r="AD1000" s="24" t="s">
        <v>528</v>
      </c>
      <c r="AE1000" s="24" t="s">
        <v>529</v>
      </c>
      <c r="AF1000" s="24">
        <v>0</v>
      </c>
      <c r="AG1000" s="24" t="s">
        <v>529</v>
      </c>
      <c r="AH1000" s="24">
        <v>1</v>
      </c>
      <c r="AI1000" s="24" t="s">
        <v>529</v>
      </c>
      <c r="AJ1000" s="24" t="s">
        <v>529</v>
      </c>
      <c r="AK1000" s="24" t="s">
        <v>530</v>
      </c>
      <c r="AL1000" s="24"/>
    </row>
    <row r="1001" spans="1:38" ht="31.2" x14ac:dyDescent="0.3">
      <c r="A1001" s="53">
        <v>994</v>
      </c>
      <c r="B1001" s="24" t="s">
        <v>544</v>
      </c>
      <c r="C1001" s="24" t="s">
        <v>552</v>
      </c>
      <c r="D1001" s="82" t="s">
        <v>1739</v>
      </c>
      <c r="E1001" s="24" t="s">
        <v>1896</v>
      </c>
      <c r="F1001" s="24" t="s">
        <v>200</v>
      </c>
      <c r="G1001" s="24"/>
      <c r="H1001" s="24" t="s">
        <v>1897</v>
      </c>
      <c r="I1001" s="30" t="s">
        <v>525</v>
      </c>
      <c r="J1001" s="24"/>
      <c r="K1001" s="24" t="s">
        <v>199</v>
      </c>
      <c r="L1001" s="24" t="s">
        <v>199</v>
      </c>
      <c r="M1001" s="24">
        <v>1899</v>
      </c>
      <c r="N1001" s="24" t="s">
        <v>527</v>
      </c>
      <c r="O1001" s="24">
        <v>4</v>
      </c>
      <c r="P1001" s="24">
        <v>0</v>
      </c>
      <c r="Q1001" s="24">
        <v>4</v>
      </c>
      <c r="R1001" s="24">
        <v>65</v>
      </c>
      <c r="S1001" s="24">
        <v>4700.5</v>
      </c>
      <c r="T1001" s="24">
        <v>4700.5</v>
      </c>
      <c r="U1001" s="24">
        <v>4585.6000000000004</v>
      </c>
      <c r="V1001" s="24">
        <v>114.9</v>
      </c>
      <c r="W1001" s="24" t="s">
        <v>528</v>
      </c>
      <c r="X1001" s="24" t="s">
        <v>528</v>
      </c>
      <c r="Y1001" s="24" t="s">
        <v>529</v>
      </c>
      <c r="Z1001" s="102" t="s">
        <v>528</v>
      </c>
      <c r="AA1001" s="24" t="s">
        <v>528</v>
      </c>
      <c r="AB1001" s="24" t="s">
        <v>528</v>
      </c>
      <c r="AC1001" s="24" t="s">
        <v>528</v>
      </c>
      <c r="AD1001" s="24" t="s">
        <v>528</v>
      </c>
      <c r="AE1001" s="24" t="s">
        <v>529</v>
      </c>
      <c r="AF1001" s="24">
        <v>0</v>
      </c>
      <c r="AG1001" s="24" t="s">
        <v>529</v>
      </c>
      <c r="AH1001" s="24">
        <v>1</v>
      </c>
      <c r="AI1001" s="24" t="s">
        <v>529</v>
      </c>
      <c r="AJ1001" s="24">
        <v>1</v>
      </c>
      <c r="AK1001" s="24" t="s">
        <v>530</v>
      </c>
      <c r="AL1001" s="24"/>
    </row>
    <row r="1002" spans="1:38" ht="31.2" x14ac:dyDescent="0.3">
      <c r="A1002" s="53">
        <v>995</v>
      </c>
      <c r="B1002" s="24" t="s">
        <v>544</v>
      </c>
      <c r="C1002" s="24" t="s">
        <v>552</v>
      </c>
      <c r="D1002" s="82" t="s">
        <v>429</v>
      </c>
      <c r="E1002" s="24" t="s">
        <v>169</v>
      </c>
      <c r="F1002" s="24" t="s">
        <v>200</v>
      </c>
      <c r="G1002" s="24"/>
      <c r="H1002" s="24" t="s">
        <v>1898</v>
      </c>
      <c r="I1002" s="30" t="s">
        <v>525</v>
      </c>
      <c r="J1002" s="24"/>
      <c r="K1002" s="24" t="s">
        <v>199</v>
      </c>
      <c r="L1002" s="24" t="s">
        <v>199</v>
      </c>
      <c r="M1002" s="24">
        <v>1911</v>
      </c>
      <c r="N1002" s="24" t="s">
        <v>527</v>
      </c>
      <c r="O1002" s="24">
        <v>6</v>
      </c>
      <c r="P1002" s="24">
        <v>0</v>
      </c>
      <c r="Q1002" s="24">
        <v>1</v>
      </c>
      <c r="R1002" s="24">
        <v>15</v>
      </c>
      <c r="S1002" s="24">
        <v>1506.52</v>
      </c>
      <c r="T1002" s="24">
        <v>1506.52</v>
      </c>
      <c r="U1002" s="24">
        <v>1439.52</v>
      </c>
      <c r="V1002" s="24">
        <v>67</v>
      </c>
      <c r="W1002" s="24" t="s">
        <v>528</v>
      </c>
      <c r="X1002" s="24" t="s">
        <v>528</v>
      </c>
      <c r="Y1002" s="24" t="s">
        <v>529</v>
      </c>
      <c r="Z1002" s="102" t="s">
        <v>528</v>
      </c>
      <c r="AA1002" s="24" t="s">
        <v>528</v>
      </c>
      <c r="AB1002" s="24" t="s">
        <v>528</v>
      </c>
      <c r="AC1002" s="24" t="s">
        <v>528</v>
      </c>
      <c r="AD1002" s="24" t="s">
        <v>528</v>
      </c>
      <c r="AE1002" s="24" t="s">
        <v>529</v>
      </c>
      <c r="AF1002" s="24">
        <v>1</v>
      </c>
      <c r="AG1002" s="24" t="s">
        <v>529</v>
      </c>
      <c r="AH1002" s="24">
        <v>1</v>
      </c>
      <c r="AI1002" s="24" t="s">
        <v>529</v>
      </c>
      <c r="AJ1002" s="24" t="s">
        <v>529</v>
      </c>
      <c r="AK1002" s="24" t="s">
        <v>530</v>
      </c>
      <c r="AL1002" s="24"/>
    </row>
    <row r="1003" spans="1:38" x14ac:dyDescent="0.3">
      <c r="A1003" s="5"/>
      <c r="B1003" s="4"/>
      <c r="C1003" s="4"/>
      <c r="D1003" s="82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17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</row>
    <row r="1004" spans="1:38" x14ac:dyDescent="0.3">
      <c r="A1004" s="5"/>
      <c r="B1004" s="4"/>
      <c r="C1004" s="4"/>
      <c r="D1004" s="82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17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</row>
    <row r="1005" spans="1:38" x14ac:dyDescent="0.3">
      <c r="A1005" s="5"/>
      <c r="B1005" s="4"/>
      <c r="C1005" s="4"/>
      <c r="D1005" s="82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17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</row>
    <row r="1006" spans="1:38" x14ac:dyDescent="0.3">
      <c r="A1006" s="5"/>
      <c r="B1006" s="4"/>
      <c r="C1006" s="4"/>
      <c r="D1006" s="82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17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</row>
    <row r="1007" spans="1:38" x14ac:dyDescent="0.3">
      <c r="A1007" s="5"/>
      <c r="B1007" s="4"/>
      <c r="C1007" s="4"/>
      <c r="D1007" s="82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17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</row>
    <row r="1008" spans="1:38" x14ac:dyDescent="0.3">
      <c r="A1008" s="5"/>
      <c r="B1008" s="4"/>
      <c r="C1008" s="4"/>
      <c r="D1008" s="82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17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</row>
    <row r="1009" spans="1:38" x14ac:dyDescent="0.3">
      <c r="A1009" s="5"/>
      <c r="B1009" s="4"/>
      <c r="C1009" s="4"/>
      <c r="D1009" s="82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17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</row>
    <row r="1010" spans="1:38" x14ac:dyDescent="0.3">
      <c r="A1010" s="5"/>
      <c r="B1010" s="4"/>
      <c r="C1010" s="4"/>
      <c r="D1010" s="82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17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</row>
    <row r="1011" spans="1:38" x14ac:dyDescent="0.3">
      <c r="A1011" s="5"/>
      <c r="B1011" s="4"/>
      <c r="C1011" s="4"/>
      <c r="D1011" s="82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17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</row>
    <row r="1012" spans="1:38" x14ac:dyDescent="0.3">
      <c r="A1012" s="5"/>
      <c r="B1012" s="4"/>
      <c r="C1012" s="4"/>
      <c r="D1012" s="82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17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</row>
    <row r="1013" spans="1:38" x14ac:dyDescent="0.3">
      <c r="A1013" s="5"/>
      <c r="B1013" s="4"/>
      <c r="C1013" s="4"/>
      <c r="D1013" s="82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17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</row>
    <row r="1014" spans="1:38" x14ac:dyDescent="0.3">
      <c r="A1014" s="5"/>
      <c r="B1014" s="4"/>
      <c r="C1014" s="4"/>
      <c r="D1014" s="82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17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</row>
    <row r="1015" spans="1:38" x14ac:dyDescent="0.3">
      <c r="A1015" s="5"/>
      <c r="B1015" s="4"/>
      <c r="C1015" s="4"/>
      <c r="D1015" s="82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17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</row>
    <row r="1016" spans="1:38" x14ac:dyDescent="0.3">
      <c r="A1016" s="5"/>
      <c r="B1016" s="4"/>
      <c r="C1016" s="4"/>
      <c r="D1016" s="82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17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</row>
    <row r="1017" spans="1:38" x14ac:dyDescent="0.3">
      <c r="A1017" s="5"/>
      <c r="B1017" s="4"/>
      <c r="C1017" s="4"/>
      <c r="D1017" s="82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17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</row>
    <row r="1018" spans="1:38" x14ac:dyDescent="0.3">
      <c r="A1018" s="5"/>
      <c r="B1018" s="4"/>
      <c r="C1018" s="4"/>
      <c r="D1018" s="82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17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</row>
    <row r="1019" spans="1:38" x14ac:dyDescent="0.3">
      <c r="A1019" s="5"/>
      <c r="B1019" s="4"/>
      <c r="C1019" s="4"/>
      <c r="D1019" s="82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17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</row>
    <row r="1020" spans="1:38" x14ac:dyDescent="0.3">
      <c r="A1020" s="5"/>
      <c r="B1020" s="4"/>
      <c r="C1020" s="4"/>
      <c r="D1020" s="82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17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</row>
    <row r="1021" spans="1:38" x14ac:dyDescent="0.3">
      <c r="A1021" s="5"/>
      <c r="B1021" s="4"/>
      <c r="C1021" s="4"/>
      <c r="D1021" s="82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17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</row>
    <row r="1022" spans="1:38" x14ac:dyDescent="0.3">
      <c r="A1022" s="5"/>
      <c r="B1022" s="4"/>
      <c r="C1022" s="4"/>
      <c r="D1022" s="82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17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</row>
    <row r="1023" spans="1:38" x14ac:dyDescent="0.3">
      <c r="A1023" s="5"/>
      <c r="B1023" s="4"/>
      <c r="C1023" s="4"/>
      <c r="D1023" s="82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17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</row>
    <row r="1024" spans="1:38" x14ac:dyDescent="0.3">
      <c r="A1024" s="5"/>
      <c r="B1024" s="4"/>
      <c r="C1024" s="4"/>
      <c r="D1024" s="82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17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</row>
    <row r="1025" spans="1:38" x14ac:dyDescent="0.3">
      <c r="A1025" s="5"/>
      <c r="B1025" s="4"/>
      <c r="C1025" s="4"/>
      <c r="D1025" s="82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17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</row>
    <row r="1026" spans="1:38" x14ac:dyDescent="0.3">
      <c r="A1026" s="5"/>
      <c r="B1026" s="4"/>
      <c r="C1026" s="4"/>
      <c r="D1026" s="82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17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</row>
    <row r="1027" spans="1:38" x14ac:dyDescent="0.3">
      <c r="A1027" s="5"/>
      <c r="B1027" s="4"/>
      <c r="C1027" s="4"/>
      <c r="D1027" s="82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17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</row>
    <row r="1028" spans="1:38" x14ac:dyDescent="0.3">
      <c r="A1028" s="5"/>
      <c r="B1028" s="4"/>
      <c r="C1028" s="4"/>
      <c r="D1028" s="82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17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</row>
    <row r="1029" spans="1:38" x14ac:dyDescent="0.3">
      <c r="A1029" s="5"/>
      <c r="B1029" s="4"/>
      <c r="C1029" s="4"/>
      <c r="D1029" s="82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17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</row>
    <row r="1030" spans="1:38" x14ac:dyDescent="0.3">
      <c r="A1030" s="5"/>
      <c r="B1030" s="4"/>
      <c r="C1030" s="4"/>
      <c r="D1030" s="82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17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</row>
    <row r="1031" spans="1:38" x14ac:dyDescent="0.3">
      <c r="A1031" s="5"/>
      <c r="B1031" s="4"/>
      <c r="C1031" s="4"/>
      <c r="D1031" s="82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17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</row>
    <row r="1032" spans="1:38" x14ac:dyDescent="0.3">
      <c r="A1032" s="5"/>
      <c r="B1032" s="4"/>
      <c r="C1032" s="4"/>
      <c r="D1032" s="82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17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</row>
    <row r="1033" spans="1:38" x14ac:dyDescent="0.3">
      <c r="A1033" s="5"/>
      <c r="B1033" s="4"/>
      <c r="C1033" s="4"/>
      <c r="D1033" s="82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17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</row>
    <row r="1034" spans="1:38" x14ac:dyDescent="0.3">
      <c r="A1034" s="5"/>
      <c r="B1034" s="4"/>
      <c r="C1034" s="4"/>
      <c r="D1034" s="82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17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</row>
    <row r="1035" spans="1:38" x14ac:dyDescent="0.3">
      <c r="A1035" s="5"/>
      <c r="B1035" s="4"/>
      <c r="C1035" s="4"/>
      <c r="D1035" s="82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17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</row>
    <row r="1036" spans="1:38" x14ac:dyDescent="0.3">
      <c r="A1036" s="5"/>
      <c r="B1036" s="4"/>
      <c r="C1036" s="4"/>
      <c r="D1036" s="82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17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</row>
    <row r="1037" spans="1:38" x14ac:dyDescent="0.3">
      <c r="A1037" s="5"/>
      <c r="B1037" s="4"/>
      <c r="C1037" s="4"/>
      <c r="D1037" s="82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17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</row>
    <row r="1038" spans="1:38" x14ac:dyDescent="0.3">
      <c r="A1038" s="5"/>
      <c r="B1038" s="4"/>
      <c r="C1038" s="4"/>
      <c r="D1038" s="82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17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</row>
    <row r="1039" spans="1:38" x14ac:dyDescent="0.3">
      <c r="A1039" s="5"/>
      <c r="B1039" s="4"/>
      <c r="C1039" s="4"/>
      <c r="D1039" s="82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17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</row>
    <row r="1040" spans="1:38" x14ac:dyDescent="0.3">
      <c r="A1040" s="5"/>
      <c r="B1040" s="4"/>
      <c r="C1040" s="4"/>
      <c r="D1040" s="82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17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</row>
    <row r="1041" spans="1:38" x14ac:dyDescent="0.3">
      <c r="A1041" s="5"/>
      <c r="B1041" s="4"/>
      <c r="C1041" s="4"/>
      <c r="D1041" s="82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17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</row>
    <row r="1042" spans="1:38" x14ac:dyDescent="0.3">
      <c r="A1042" s="5"/>
      <c r="B1042" s="4"/>
      <c r="C1042" s="4"/>
      <c r="D1042" s="82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17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</row>
    <row r="1043" spans="1:38" x14ac:dyDescent="0.3">
      <c r="A1043" s="5"/>
      <c r="B1043" s="4"/>
      <c r="C1043" s="4"/>
      <c r="D1043" s="82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17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</row>
    <row r="1044" spans="1:38" x14ac:dyDescent="0.3">
      <c r="A1044" s="5"/>
      <c r="B1044" s="4"/>
      <c r="C1044" s="4"/>
      <c r="D1044" s="82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17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</row>
    <row r="1045" spans="1:38" x14ac:dyDescent="0.3">
      <c r="A1045" s="5"/>
      <c r="B1045" s="4"/>
      <c r="C1045" s="4"/>
      <c r="D1045" s="82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17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</row>
    <row r="1046" spans="1:38" x14ac:dyDescent="0.3">
      <c r="A1046" s="5"/>
      <c r="B1046" s="4"/>
      <c r="C1046" s="4"/>
      <c r="D1046" s="82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17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</row>
    <row r="1047" spans="1:38" x14ac:dyDescent="0.3">
      <c r="A1047" s="5"/>
      <c r="B1047" s="4"/>
      <c r="C1047" s="4"/>
      <c r="D1047" s="82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17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</row>
    <row r="1048" spans="1:38" x14ac:dyDescent="0.3">
      <c r="A1048" s="5"/>
      <c r="B1048" s="4"/>
      <c r="C1048" s="4"/>
      <c r="D1048" s="82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17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</row>
    <row r="1049" spans="1:38" x14ac:dyDescent="0.3">
      <c r="A1049" s="5"/>
      <c r="B1049" s="4"/>
      <c r="C1049" s="4"/>
      <c r="D1049" s="82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17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</row>
    <row r="1050" spans="1:38" x14ac:dyDescent="0.3">
      <c r="A1050" s="5"/>
      <c r="B1050" s="4"/>
      <c r="C1050" s="4"/>
      <c r="D1050" s="82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17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</row>
    <row r="1051" spans="1:38" x14ac:dyDescent="0.3">
      <c r="A1051" s="5"/>
      <c r="B1051" s="4"/>
      <c r="C1051" s="4"/>
      <c r="D1051" s="82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17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</row>
    <row r="1052" spans="1:38" x14ac:dyDescent="0.3">
      <c r="A1052" s="5"/>
      <c r="B1052" s="4"/>
      <c r="C1052" s="4"/>
      <c r="D1052" s="82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17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</row>
    <row r="1053" spans="1:38" x14ac:dyDescent="0.3">
      <c r="A1053" s="5"/>
      <c r="B1053" s="4"/>
      <c r="C1053" s="4"/>
      <c r="D1053" s="82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17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</row>
    <row r="1054" spans="1:38" x14ac:dyDescent="0.3">
      <c r="A1054" s="5"/>
      <c r="B1054" s="4"/>
      <c r="C1054" s="4"/>
      <c r="D1054" s="82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17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</row>
    <row r="1055" spans="1:38" x14ac:dyDescent="0.3">
      <c r="A1055" s="5"/>
      <c r="B1055" s="4"/>
      <c r="C1055" s="4"/>
      <c r="D1055" s="82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17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</row>
    <row r="1056" spans="1:38" x14ac:dyDescent="0.3">
      <c r="A1056" s="5"/>
      <c r="B1056" s="4"/>
      <c r="C1056" s="4"/>
      <c r="D1056" s="82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17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</row>
    <row r="1057" spans="1:38" x14ac:dyDescent="0.3">
      <c r="A1057" s="5"/>
      <c r="B1057" s="4"/>
      <c r="C1057" s="4"/>
      <c r="D1057" s="82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17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</row>
    <row r="1058" spans="1:38" x14ac:dyDescent="0.3">
      <c r="A1058" s="5"/>
      <c r="B1058" s="4"/>
      <c r="C1058" s="4"/>
      <c r="D1058" s="82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17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</row>
    <row r="1059" spans="1:38" x14ac:dyDescent="0.3">
      <c r="A1059" s="5"/>
      <c r="B1059" s="4"/>
      <c r="C1059" s="4"/>
      <c r="D1059" s="82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17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</row>
    <row r="1060" spans="1:38" x14ac:dyDescent="0.3">
      <c r="A1060" s="5"/>
      <c r="B1060" s="4"/>
      <c r="C1060" s="4"/>
      <c r="D1060" s="82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17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</row>
    <row r="1061" spans="1:38" x14ac:dyDescent="0.3">
      <c r="A1061" s="5"/>
      <c r="B1061" s="4"/>
      <c r="C1061" s="4"/>
      <c r="D1061" s="82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17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</row>
    <row r="1062" spans="1:38" x14ac:dyDescent="0.3">
      <c r="A1062" s="5"/>
      <c r="B1062" s="4"/>
      <c r="C1062" s="4"/>
      <c r="D1062" s="82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17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</row>
    <row r="1063" spans="1:38" x14ac:dyDescent="0.3">
      <c r="A1063" s="5"/>
      <c r="B1063" s="4"/>
      <c r="C1063" s="4"/>
      <c r="D1063" s="82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17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</row>
    <row r="1064" spans="1:38" x14ac:dyDescent="0.3">
      <c r="A1064" s="5"/>
      <c r="B1064" s="4"/>
      <c r="C1064" s="4"/>
      <c r="D1064" s="82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17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</row>
    <row r="1065" spans="1:38" x14ac:dyDescent="0.3">
      <c r="A1065" s="5"/>
      <c r="B1065" s="4"/>
      <c r="C1065" s="4"/>
      <c r="D1065" s="82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17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</row>
    <row r="1066" spans="1:38" x14ac:dyDescent="0.3">
      <c r="A1066" s="5"/>
      <c r="B1066" s="4"/>
      <c r="C1066" s="4"/>
      <c r="D1066" s="82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17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</row>
    <row r="1067" spans="1:38" x14ac:dyDescent="0.3">
      <c r="A1067" s="5"/>
      <c r="B1067" s="4"/>
      <c r="C1067" s="4"/>
      <c r="D1067" s="82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17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</row>
    <row r="1068" spans="1:38" x14ac:dyDescent="0.3">
      <c r="A1068" s="5"/>
      <c r="B1068" s="4"/>
      <c r="C1068" s="4"/>
      <c r="D1068" s="82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17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</row>
    <row r="1069" spans="1:38" x14ac:dyDescent="0.3">
      <c r="A1069" s="5"/>
      <c r="B1069" s="4"/>
      <c r="C1069" s="4"/>
      <c r="D1069" s="82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17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</row>
    <row r="1070" spans="1:38" x14ac:dyDescent="0.3">
      <c r="A1070" s="5"/>
      <c r="B1070" s="4"/>
      <c r="C1070" s="4"/>
      <c r="D1070" s="82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17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</row>
    <row r="1071" spans="1:38" x14ac:dyDescent="0.3">
      <c r="A1071" s="5"/>
      <c r="B1071" s="4"/>
      <c r="C1071" s="4"/>
      <c r="D1071" s="82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17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</row>
    <row r="1072" spans="1:38" x14ac:dyDescent="0.3">
      <c r="A1072" s="5"/>
      <c r="B1072" s="4"/>
      <c r="C1072" s="4"/>
      <c r="D1072" s="82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17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</row>
    <row r="1073" spans="1:38" x14ac:dyDescent="0.3">
      <c r="A1073" s="5"/>
      <c r="B1073" s="4"/>
      <c r="C1073" s="4"/>
      <c r="D1073" s="82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17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</row>
    <row r="1074" spans="1:38" x14ac:dyDescent="0.3">
      <c r="A1074" s="5"/>
      <c r="B1074" s="4"/>
      <c r="C1074" s="4"/>
      <c r="D1074" s="82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17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</row>
    <row r="1075" spans="1:38" x14ac:dyDescent="0.3">
      <c r="A1075" s="5"/>
      <c r="B1075" s="4"/>
      <c r="C1075" s="4"/>
      <c r="D1075" s="82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17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</row>
    <row r="1076" spans="1:38" x14ac:dyDescent="0.3">
      <c r="A1076" s="5"/>
      <c r="B1076" s="4"/>
      <c r="C1076" s="4"/>
      <c r="D1076" s="82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17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</row>
    <row r="1077" spans="1:38" x14ac:dyDescent="0.3">
      <c r="A1077" s="5"/>
      <c r="B1077" s="4"/>
      <c r="C1077" s="4"/>
      <c r="D1077" s="82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17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</row>
    <row r="1078" spans="1:38" x14ac:dyDescent="0.3">
      <c r="A1078" s="5"/>
      <c r="B1078" s="4"/>
      <c r="C1078" s="4"/>
      <c r="D1078" s="82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17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</row>
    <row r="1079" spans="1:38" x14ac:dyDescent="0.3">
      <c r="A1079" s="5"/>
      <c r="B1079" s="4"/>
      <c r="C1079" s="4"/>
      <c r="D1079" s="82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17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</row>
    <row r="1080" spans="1:38" x14ac:dyDescent="0.3">
      <c r="A1080" s="5"/>
      <c r="B1080" s="4"/>
      <c r="C1080" s="4"/>
      <c r="D1080" s="82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17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</row>
    <row r="1081" spans="1:38" x14ac:dyDescent="0.3">
      <c r="A1081" s="5"/>
      <c r="B1081" s="4"/>
      <c r="C1081" s="4"/>
      <c r="D1081" s="82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17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</row>
    <row r="1082" spans="1:38" x14ac:dyDescent="0.3">
      <c r="A1082" s="5"/>
      <c r="B1082" s="4"/>
      <c r="C1082" s="4"/>
      <c r="D1082" s="82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17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</row>
    <row r="1083" spans="1:38" x14ac:dyDescent="0.3">
      <c r="A1083" s="5"/>
      <c r="B1083" s="4"/>
      <c r="C1083" s="4"/>
      <c r="D1083" s="82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17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</row>
    <row r="1084" spans="1:38" x14ac:dyDescent="0.3">
      <c r="A1084" s="5"/>
      <c r="B1084" s="4"/>
      <c r="C1084" s="4"/>
      <c r="D1084" s="82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17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</row>
    <row r="1085" spans="1:38" x14ac:dyDescent="0.3">
      <c r="A1085" s="5"/>
      <c r="B1085" s="4"/>
      <c r="C1085" s="4"/>
      <c r="D1085" s="82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17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</row>
    <row r="1086" spans="1:38" x14ac:dyDescent="0.3">
      <c r="A1086" s="5"/>
      <c r="B1086" s="4"/>
      <c r="C1086" s="4"/>
      <c r="D1086" s="82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17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</row>
    <row r="1087" spans="1:38" x14ac:dyDescent="0.3">
      <c r="A1087" s="5"/>
      <c r="B1087" s="4"/>
      <c r="C1087" s="4"/>
      <c r="D1087" s="82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17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</row>
    <row r="1088" spans="1:38" x14ac:dyDescent="0.3">
      <c r="A1088" s="5"/>
      <c r="B1088" s="4"/>
      <c r="C1088" s="4"/>
      <c r="D1088" s="82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17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</row>
    <row r="1089" spans="1:38" x14ac:dyDescent="0.3">
      <c r="A1089" s="5"/>
      <c r="B1089" s="4"/>
      <c r="C1089" s="4"/>
      <c r="D1089" s="82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17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</row>
    <row r="1090" spans="1:38" x14ac:dyDescent="0.3">
      <c r="A1090" s="5"/>
      <c r="B1090" s="4"/>
      <c r="C1090" s="4"/>
      <c r="D1090" s="82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17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</row>
    <row r="1091" spans="1:38" x14ac:dyDescent="0.3">
      <c r="A1091" s="5"/>
      <c r="B1091" s="4"/>
      <c r="C1091" s="4"/>
      <c r="D1091" s="82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17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</row>
    <row r="1092" spans="1:38" x14ac:dyDescent="0.3">
      <c r="A1092" s="5"/>
      <c r="B1092" s="4"/>
      <c r="C1092" s="4"/>
      <c r="D1092" s="82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17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</row>
    <row r="1093" spans="1:38" x14ac:dyDescent="0.3">
      <c r="A1093" s="5"/>
      <c r="B1093" s="4"/>
      <c r="C1093" s="4"/>
      <c r="D1093" s="82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17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</row>
    <row r="1094" spans="1:38" x14ac:dyDescent="0.3">
      <c r="A1094" s="5"/>
      <c r="B1094" s="4"/>
      <c r="C1094" s="4"/>
      <c r="D1094" s="82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17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</row>
    <row r="1095" spans="1:38" x14ac:dyDescent="0.3">
      <c r="A1095" s="5"/>
      <c r="B1095" s="4"/>
      <c r="C1095" s="4"/>
      <c r="D1095" s="82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17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</row>
    <row r="1096" spans="1:38" x14ac:dyDescent="0.3">
      <c r="A1096" s="5"/>
      <c r="B1096" s="4"/>
      <c r="C1096" s="4"/>
      <c r="D1096" s="82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17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</row>
    <row r="1097" spans="1:38" x14ac:dyDescent="0.3">
      <c r="A1097" s="5"/>
      <c r="B1097" s="4"/>
      <c r="C1097" s="4"/>
      <c r="D1097" s="82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17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</row>
    <row r="1098" spans="1:38" x14ac:dyDescent="0.3">
      <c r="A1098" s="5"/>
      <c r="B1098" s="4"/>
      <c r="C1098" s="4"/>
      <c r="D1098" s="82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17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</row>
    <row r="1099" spans="1:38" x14ac:dyDescent="0.3">
      <c r="A1099" s="5"/>
      <c r="B1099" s="4"/>
      <c r="C1099" s="4"/>
      <c r="D1099" s="82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17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</row>
    <row r="1100" spans="1:38" x14ac:dyDescent="0.3">
      <c r="A1100" s="5"/>
      <c r="B1100" s="4"/>
      <c r="C1100" s="4"/>
      <c r="D1100" s="82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17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</row>
    <row r="1101" spans="1:38" x14ac:dyDescent="0.3">
      <c r="A1101" s="5"/>
      <c r="B1101" s="4"/>
      <c r="C1101" s="4"/>
      <c r="D1101" s="82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17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</row>
    <row r="1102" spans="1:38" x14ac:dyDescent="0.3">
      <c r="A1102" s="5"/>
      <c r="B1102" s="4"/>
      <c r="C1102" s="4"/>
      <c r="D1102" s="82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17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</row>
    <row r="1103" spans="1:38" x14ac:dyDescent="0.3">
      <c r="A1103" s="5"/>
      <c r="B1103" s="4"/>
      <c r="C1103" s="4"/>
      <c r="D1103" s="82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17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</row>
    <row r="1104" spans="1:38" x14ac:dyDescent="0.3">
      <c r="A1104" s="5"/>
      <c r="B1104" s="4"/>
      <c r="C1104" s="4"/>
      <c r="D1104" s="82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17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</row>
    <row r="1105" spans="1:38" x14ac:dyDescent="0.3">
      <c r="A1105" s="5"/>
      <c r="B1105" s="4"/>
      <c r="C1105" s="4"/>
      <c r="D1105" s="82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17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</row>
    <row r="1106" spans="1:38" x14ac:dyDescent="0.3">
      <c r="A1106" s="5"/>
      <c r="B1106" s="4"/>
      <c r="C1106" s="4"/>
      <c r="D1106" s="82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17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</row>
    <row r="1107" spans="1:38" x14ac:dyDescent="0.3">
      <c r="A1107" s="5"/>
      <c r="B1107" s="4"/>
      <c r="C1107" s="4"/>
      <c r="D1107" s="82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17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</row>
    <row r="1108" spans="1:38" x14ac:dyDescent="0.3">
      <c r="A1108" s="5"/>
      <c r="B1108" s="4"/>
      <c r="C1108" s="4"/>
      <c r="D1108" s="82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17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</row>
    <row r="1109" spans="1:38" x14ac:dyDescent="0.3">
      <c r="A1109" s="5"/>
      <c r="B1109" s="4"/>
      <c r="C1109" s="4"/>
      <c r="D1109" s="82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17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</row>
    <row r="1110" spans="1:38" x14ac:dyDescent="0.3">
      <c r="A1110" s="5"/>
      <c r="B1110" s="4"/>
      <c r="C1110" s="4"/>
      <c r="D1110" s="82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17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</row>
    <row r="1111" spans="1:38" x14ac:dyDescent="0.3">
      <c r="A1111" s="5"/>
      <c r="B1111" s="4"/>
      <c r="C1111" s="4"/>
      <c r="D1111" s="82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17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</row>
    <row r="1112" spans="1:38" x14ac:dyDescent="0.3">
      <c r="A1112" s="5"/>
      <c r="B1112" s="4"/>
      <c r="C1112" s="4"/>
      <c r="D1112" s="82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17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</row>
    <row r="1113" spans="1:38" x14ac:dyDescent="0.3">
      <c r="A1113" s="5"/>
      <c r="B1113" s="4"/>
      <c r="C1113" s="4"/>
      <c r="D1113" s="82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17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</row>
    <row r="1114" spans="1:38" x14ac:dyDescent="0.3">
      <c r="A1114" s="5"/>
      <c r="B1114" s="4"/>
      <c r="C1114" s="4"/>
      <c r="D1114" s="82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17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</row>
    <row r="1115" spans="1:38" x14ac:dyDescent="0.3">
      <c r="A1115" s="5"/>
      <c r="B1115" s="4"/>
      <c r="C1115" s="4"/>
      <c r="D1115" s="82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17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</row>
    <row r="1116" spans="1:38" x14ac:dyDescent="0.3">
      <c r="A1116" s="5"/>
      <c r="B1116" s="4"/>
      <c r="C1116" s="4"/>
      <c r="D1116" s="82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17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</row>
    <row r="1117" spans="1:38" x14ac:dyDescent="0.3">
      <c r="A1117" s="5"/>
      <c r="B1117" s="4"/>
      <c r="C1117" s="4"/>
      <c r="D1117" s="82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17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</row>
    <row r="1118" spans="1:38" x14ac:dyDescent="0.3">
      <c r="A1118" s="5"/>
      <c r="B1118" s="4"/>
      <c r="C1118" s="4"/>
      <c r="D1118" s="82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17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</row>
    <row r="1119" spans="1:38" x14ac:dyDescent="0.3">
      <c r="A1119" s="5"/>
      <c r="B1119" s="4"/>
      <c r="C1119" s="4"/>
      <c r="D1119" s="82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17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</row>
    <row r="1120" spans="1:38" x14ac:dyDescent="0.3">
      <c r="A1120" s="5"/>
      <c r="B1120" s="4"/>
      <c r="C1120" s="4"/>
      <c r="D1120" s="82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17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</row>
    <row r="1121" spans="1:38" x14ac:dyDescent="0.3">
      <c r="A1121" s="5"/>
      <c r="B1121" s="4"/>
      <c r="C1121" s="4"/>
      <c r="D1121" s="82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17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</row>
    <row r="1122" spans="1:38" x14ac:dyDescent="0.3">
      <c r="A1122" s="5"/>
      <c r="B1122" s="4"/>
      <c r="C1122" s="4"/>
      <c r="D1122" s="82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17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</row>
    <row r="1123" spans="1:38" x14ac:dyDescent="0.3">
      <c r="A1123" s="5"/>
      <c r="B1123" s="4"/>
      <c r="C1123" s="4"/>
      <c r="D1123" s="82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17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</row>
    <row r="1124" spans="1:38" x14ac:dyDescent="0.3">
      <c r="A1124" s="5"/>
      <c r="B1124" s="4"/>
      <c r="C1124" s="4"/>
      <c r="D1124" s="82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17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</row>
    <row r="1125" spans="1:38" x14ac:dyDescent="0.3">
      <c r="A1125" s="5"/>
      <c r="B1125" s="4"/>
      <c r="C1125" s="4"/>
      <c r="D1125" s="82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17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</row>
    <row r="1126" spans="1:38" x14ac:dyDescent="0.3">
      <c r="A1126" s="5"/>
      <c r="B1126" s="4"/>
      <c r="C1126" s="4"/>
      <c r="D1126" s="82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17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</row>
    <row r="1127" spans="1:38" x14ac:dyDescent="0.3">
      <c r="A1127" s="5"/>
      <c r="B1127" s="4"/>
      <c r="C1127" s="4"/>
      <c r="D1127" s="82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17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</row>
    <row r="1128" spans="1:38" x14ac:dyDescent="0.3">
      <c r="A1128" s="5"/>
      <c r="B1128" s="4"/>
      <c r="C1128" s="4"/>
      <c r="D1128" s="82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17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</row>
    <row r="1129" spans="1:38" x14ac:dyDescent="0.3">
      <c r="A1129" s="5"/>
      <c r="B1129" s="4"/>
      <c r="C1129" s="4"/>
      <c r="D1129" s="82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17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</row>
    <row r="1130" spans="1:38" x14ac:dyDescent="0.3">
      <c r="A1130" s="5"/>
      <c r="B1130" s="4"/>
      <c r="C1130" s="4"/>
      <c r="D1130" s="82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17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</row>
    <row r="1131" spans="1:38" x14ac:dyDescent="0.3">
      <c r="A1131" s="5"/>
      <c r="B1131" s="4"/>
      <c r="C1131" s="4"/>
      <c r="D1131" s="82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17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</row>
    <row r="1132" spans="1:38" x14ac:dyDescent="0.3">
      <c r="A1132" s="5"/>
      <c r="B1132" s="4"/>
      <c r="C1132" s="4"/>
      <c r="D1132" s="82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17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</row>
    <row r="1133" spans="1:38" x14ac:dyDescent="0.3">
      <c r="A1133" s="5"/>
      <c r="B1133" s="4"/>
      <c r="C1133" s="4"/>
      <c r="D1133" s="82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17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</row>
    <row r="1134" spans="1:38" x14ac:dyDescent="0.3">
      <c r="A1134" s="5"/>
      <c r="B1134" s="4"/>
      <c r="C1134" s="4"/>
      <c r="D1134" s="82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17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</row>
    <row r="1135" spans="1:38" x14ac:dyDescent="0.3">
      <c r="A1135" s="5"/>
      <c r="B1135" s="4"/>
      <c r="C1135" s="4"/>
      <c r="D1135" s="82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17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</row>
    <row r="1136" spans="1:38" x14ac:dyDescent="0.3">
      <c r="A1136" s="5"/>
      <c r="B1136" s="4"/>
      <c r="C1136" s="4"/>
      <c r="D1136" s="82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17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</row>
    <row r="1137" spans="1:38" x14ac:dyDescent="0.3">
      <c r="A1137" s="5"/>
      <c r="B1137" s="4"/>
      <c r="C1137" s="4"/>
      <c r="D1137" s="82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17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</row>
    <row r="1138" spans="1:38" x14ac:dyDescent="0.3">
      <c r="A1138" s="5"/>
      <c r="B1138" s="4"/>
      <c r="C1138" s="4"/>
      <c r="D1138" s="82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17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</row>
    <row r="1139" spans="1:38" x14ac:dyDescent="0.3">
      <c r="A1139" s="5"/>
      <c r="B1139" s="4"/>
      <c r="C1139" s="4"/>
      <c r="D1139" s="82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17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</row>
    <row r="1140" spans="1:38" x14ac:dyDescent="0.3">
      <c r="A1140" s="5"/>
      <c r="B1140" s="4"/>
      <c r="C1140" s="4"/>
      <c r="D1140" s="82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17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</row>
    <row r="1141" spans="1:38" x14ac:dyDescent="0.3">
      <c r="A1141" s="5"/>
      <c r="B1141" s="4"/>
      <c r="C1141" s="4"/>
      <c r="D1141" s="82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17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</row>
    <row r="1142" spans="1:38" x14ac:dyDescent="0.3">
      <c r="A1142" s="5"/>
      <c r="B1142" s="4"/>
      <c r="C1142" s="4"/>
      <c r="D1142" s="82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17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</row>
    <row r="1143" spans="1:38" x14ac:dyDescent="0.3">
      <c r="A1143" s="5"/>
      <c r="B1143" s="4"/>
      <c r="C1143" s="4"/>
      <c r="D1143" s="82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17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</row>
    <row r="1144" spans="1:38" x14ac:dyDescent="0.3">
      <c r="A1144" s="5"/>
      <c r="B1144" s="4"/>
      <c r="C1144" s="4"/>
      <c r="D1144" s="82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17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</row>
    <row r="1145" spans="1:38" x14ac:dyDescent="0.3">
      <c r="A1145" s="5"/>
      <c r="B1145" s="4"/>
      <c r="C1145" s="4"/>
      <c r="D1145" s="82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17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</row>
    <row r="1146" spans="1:38" x14ac:dyDescent="0.3">
      <c r="A1146" s="5"/>
      <c r="B1146" s="4"/>
      <c r="C1146" s="4"/>
      <c r="D1146" s="82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17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</row>
    <row r="1147" spans="1:38" x14ac:dyDescent="0.3">
      <c r="A1147" s="5"/>
      <c r="B1147" s="4"/>
      <c r="C1147" s="4"/>
      <c r="D1147" s="82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17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</row>
    <row r="1148" spans="1:38" x14ac:dyDescent="0.3">
      <c r="A1148" s="5"/>
      <c r="B1148" s="4"/>
      <c r="C1148" s="4"/>
      <c r="D1148" s="82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17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</row>
    <row r="1149" spans="1:38" x14ac:dyDescent="0.3">
      <c r="A1149" s="5"/>
      <c r="B1149" s="4"/>
      <c r="C1149" s="4"/>
      <c r="D1149" s="82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17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</row>
    <row r="1150" spans="1:38" x14ac:dyDescent="0.3">
      <c r="A1150" s="5"/>
      <c r="B1150" s="4"/>
      <c r="C1150" s="4"/>
      <c r="D1150" s="82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17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</row>
    <row r="1151" spans="1:38" x14ac:dyDescent="0.3">
      <c r="A1151" s="5"/>
      <c r="B1151" s="4"/>
      <c r="C1151" s="4"/>
      <c r="D1151" s="82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17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</row>
    <row r="1152" spans="1:38" x14ac:dyDescent="0.3">
      <c r="A1152" s="5"/>
      <c r="B1152" s="4"/>
      <c r="C1152" s="4"/>
      <c r="D1152" s="82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17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</row>
    <row r="1153" spans="1:38" x14ac:dyDescent="0.3">
      <c r="A1153" s="5"/>
      <c r="B1153" s="4"/>
      <c r="C1153" s="4"/>
      <c r="D1153" s="82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17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</row>
    <row r="1154" spans="1:38" x14ac:dyDescent="0.3">
      <c r="A1154" s="5"/>
      <c r="B1154" s="4"/>
      <c r="C1154" s="4"/>
      <c r="D1154" s="82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17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</row>
    <row r="1155" spans="1:38" x14ac:dyDescent="0.3">
      <c r="A1155" s="5"/>
      <c r="B1155" s="4"/>
      <c r="C1155" s="4"/>
      <c r="D1155" s="82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17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</row>
    <row r="1156" spans="1:38" x14ac:dyDescent="0.3">
      <c r="A1156" s="5"/>
      <c r="B1156" s="4"/>
      <c r="C1156" s="4"/>
      <c r="D1156" s="82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17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</row>
    <row r="1157" spans="1:38" x14ac:dyDescent="0.3">
      <c r="A1157" s="5"/>
      <c r="B1157" s="4"/>
      <c r="C1157" s="4"/>
      <c r="D1157" s="82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17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</row>
    <row r="1158" spans="1:38" x14ac:dyDescent="0.3">
      <c r="A1158" s="5"/>
      <c r="B1158" s="4"/>
      <c r="C1158" s="4"/>
      <c r="D1158" s="82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17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</row>
    <row r="1159" spans="1:38" x14ac:dyDescent="0.3">
      <c r="A1159" s="5"/>
      <c r="B1159" s="4"/>
      <c r="C1159" s="4"/>
      <c r="D1159" s="82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17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</row>
    <row r="1160" spans="1:38" x14ac:dyDescent="0.3">
      <c r="A1160" s="5"/>
      <c r="B1160" s="4"/>
      <c r="C1160" s="4"/>
      <c r="D1160" s="82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17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</row>
    <row r="1161" spans="1:38" x14ac:dyDescent="0.3">
      <c r="A1161" s="5"/>
      <c r="B1161" s="4"/>
      <c r="C1161" s="4"/>
      <c r="D1161" s="82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17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</row>
    <row r="1162" spans="1:38" x14ac:dyDescent="0.3">
      <c r="A1162" s="5"/>
      <c r="B1162" s="4"/>
      <c r="C1162" s="4"/>
      <c r="D1162" s="82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17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</row>
    <row r="1163" spans="1:38" x14ac:dyDescent="0.3">
      <c r="A1163" s="5"/>
      <c r="B1163" s="4"/>
      <c r="C1163" s="4"/>
      <c r="D1163" s="82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17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</row>
    <row r="1164" spans="1:38" x14ac:dyDescent="0.3">
      <c r="A1164" s="5"/>
      <c r="B1164" s="4"/>
      <c r="C1164" s="4"/>
      <c r="D1164" s="82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17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</row>
    <row r="1165" spans="1:38" x14ac:dyDescent="0.3">
      <c r="A1165" s="5"/>
      <c r="B1165" s="4"/>
      <c r="C1165" s="4"/>
      <c r="D1165" s="82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17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</row>
    <row r="1166" spans="1:38" x14ac:dyDescent="0.3">
      <c r="A1166" s="5"/>
      <c r="B1166" s="4"/>
      <c r="C1166" s="4"/>
      <c r="D1166" s="82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17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</row>
    <row r="1167" spans="1:38" x14ac:dyDescent="0.3">
      <c r="A1167" s="5"/>
      <c r="B1167" s="4"/>
      <c r="C1167" s="4"/>
      <c r="D1167" s="82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17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</row>
    <row r="1168" spans="1:38" x14ac:dyDescent="0.3">
      <c r="A1168" s="5"/>
      <c r="B1168" s="4"/>
      <c r="C1168" s="4"/>
      <c r="D1168" s="82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17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</row>
    <row r="1169" spans="1:38" x14ac:dyDescent="0.3">
      <c r="A1169" s="5"/>
      <c r="B1169" s="4"/>
      <c r="C1169" s="4"/>
      <c r="D1169" s="82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17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</row>
    <row r="1170" spans="1:38" x14ac:dyDescent="0.3">
      <c r="A1170" s="5"/>
      <c r="B1170" s="4"/>
      <c r="C1170" s="4"/>
      <c r="D1170" s="82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17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</row>
    <row r="1171" spans="1:38" x14ac:dyDescent="0.3">
      <c r="A1171" s="5"/>
      <c r="B1171" s="4"/>
      <c r="C1171" s="4"/>
      <c r="D1171" s="82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17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</row>
    <row r="1172" spans="1:38" x14ac:dyDescent="0.3">
      <c r="A1172" s="5"/>
      <c r="B1172" s="4"/>
      <c r="C1172" s="4"/>
      <c r="D1172" s="82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17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</row>
    <row r="1173" spans="1:38" x14ac:dyDescent="0.3">
      <c r="A1173" s="5"/>
      <c r="B1173" s="4"/>
      <c r="C1173" s="4"/>
      <c r="D1173" s="82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17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</row>
    <row r="1174" spans="1:38" x14ac:dyDescent="0.3">
      <c r="A1174" s="5"/>
      <c r="B1174" s="4"/>
      <c r="C1174" s="4"/>
      <c r="D1174" s="82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17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</row>
    <row r="1175" spans="1:38" x14ac:dyDescent="0.3">
      <c r="A1175" s="5"/>
      <c r="B1175" s="4"/>
      <c r="C1175" s="4"/>
      <c r="D1175" s="82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17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</row>
    <row r="1176" spans="1:38" x14ac:dyDescent="0.3">
      <c r="A1176" s="5"/>
      <c r="B1176" s="4"/>
      <c r="C1176" s="4"/>
      <c r="D1176" s="82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17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</row>
    <row r="1177" spans="1:38" x14ac:dyDescent="0.3">
      <c r="A1177" s="5"/>
      <c r="B1177" s="4"/>
      <c r="C1177" s="4"/>
      <c r="D1177" s="82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17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</row>
    <row r="1178" spans="1:38" x14ac:dyDescent="0.3">
      <c r="A1178" s="5"/>
      <c r="B1178" s="4"/>
      <c r="C1178" s="4"/>
      <c r="D1178" s="82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17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</row>
    <row r="1179" spans="1:38" x14ac:dyDescent="0.3">
      <c r="A1179" s="5"/>
      <c r="B1179" s="4"/>
      <c r="C1179" s="4"/>
      <c r="D1179" s="82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17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</row>
    <row r="1180" spans="1:38" x14ac:dyDescent="0.3">
      <c r="A1180" s="5"/>
      <c r="B1180" s="4"/>
      <c r="C1180" s="4"/>
      <c r="D1180" s="82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17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</row>
    <row r="1181" spans="1:38" x14ac:dyDescent="0.3">
      <c r="A1181" s="5"/>
      <c r="B1181" s="4"/>
      <c r="C1181" s="4"/>
      <c r="D1181" s="82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17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</row>
    <row r="1182" spans="1:38" x14ac:dyDescent="0.3">
      <c r="A1182" s="5"/>
      <c r="B1182" s="4"/>
      <c r="C1182" s="4"/>
      <c r="D1182" s="82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17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</row>
    <row r="1183" spans="1:38" x14ac:dyDescent="0.3">
      <c r="A1183" s="5"/>
      <c r="B1183" s="4"/>
      <c r="C1183" s="4"/>
      <c r="D1183" s="82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17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</row>
    <row r="1184" spans="1:38" x14ac:dyDescent="0.3">
      <c r="A1184" s="5"/>
      <c r="B1184" s="4"/>
      <c r="C1184" s="4"/>
      <c r="D1184" s="82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17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</row>
    <row r="1185" spans="1:38" x14ac:dyDescent="0.3">
      <c r="A1185" s="5"/>
      <c r="B1185" s="4"/>
      <c r="C1185" s="4"/>
      <c r="D1185" s="82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17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</row>
    <row r="1186" spans="1:38" x14ac:dyDescent="0.3">
      <c r="A1186" s="5"/>
      <c r="B1186" s="4"/>
      <c r="C1186" s="4"/>
      <c r="D1186" s="82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17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</row>
    <row r="1187" spans="1:38" x14ac:dyDescent="0.3">
      <c r="A1187" s="5"/>
      <c r="B1187" s="4"/>
      <c r="C1187" s="4"/>
      <c r="D1187" s="82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17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</row>
    <row r="1188" spans="1:38" x14ac:dyDescent="0.3">
      <c r="A1188" s="5"/>
      <c r="B1188" s="4"/>
      <c r="C1188" s="4"/>
      <c r="D1188" s="82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17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</row>
    <row r="1189" spans="1:38" x14ac:dyDescent="0.3">
      <c r="A1189" s="5"/>
      <c r="B1189" s="4"/>
      <c r="C1189" s="4"/>
      <c r="D1189" s="82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17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</row>
    <row r="1190" spans="1:38" x14ac:dyDescent="0.3">
      <c r="A1190" s="5"/>
      <c r="B1190" s="4"/>
      <c r="C1190" s="4"/>
      <c r="D1190" s="82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17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</row>
    <row r="1191" spans="1:38" x14ac:dyDescent="0.3">
      <c r="A1191" s="5"/>
      <c r="B1191" s="4"/>
      <c r="C1191" s="4"/>
      <c r="D1191" s="82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17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</row>
    <row r="1192" spans="1:38" x14ac:dyDescent="0.3">
      <c r="A1192" s="5"/>
      <c r="B1192" s="4"/>
      <c r="C1192" s="4"/>
      <c r="D1192" s="82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17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</row>
    <row r="1193" spans="1:38" x14ac:dyDescent="0.3">
      <c r="A1193" s="5"/>
      <c r="B1193" s="4"/>
      <c r="C1193" s="4"/>
      <c r="D1193" s="82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17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</row>
    <row r="1194" spans="1:38" x14ac:dyDescent="0.3">
      <c r="A1194" s="5"/>
      <c r="B1194" s="4"/>
      <c r="C1194" s="4"/>
      <c r="D1194" s="82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17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</row>
    <row r="1195" spans="1:38" x14ac:dyDescent="0.3">
      <c r="A1195" s="5"/>
      <c r="B1195" s="4"/>
      <c r="C1195" s="4"/>
      <c r="D1195" s="82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17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</row>
    <row r="1196" spans="1:38" x14ac:dyDescent="0.3">
      <c r="A1196" s="5"/>
      <c r="B1196" s="4"/>
      <c r="C1196" s="4"/>
      <c r="D1196" s="82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17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</row>
    <row r="1197" spans="1:38" x14ac:dyDescent="0.3">
      <c r="A1197" s="5"/>
      <c r="B1197" s="4"/>
      <c r="C1197" s="4"/>
      <c r="D1197" s="82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17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</row>
    <row r="1198" spans="1:38" x14ac:dyDescent="0.3">
      <c r="A1198" s="5"/>
      <c r="B1198" s="4"/>
      <c r="C1198" s="4"/>
      <c r="D1198" s="82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17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</row>
    <row r="1199" spans="1:38" x14ac:dyDescent="0.3">
      <c r="A1199" s="5"/>
      <c r="B1199" s="4"/>
      <c r="C1199" s="4"/>
      <c r="D1199" s="82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17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</row>
    <row r="1200" spans="1:38" x14ac:dyDescent="0.3">
      <c r="A1200" s="5"/>
      <c r="B1200" s="4"/>
      <c r="C1200" s="4"/>
      <c r="D1200" s="82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17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</row>
    <row r="1201" spans="1:38" x14ac:dyDescent="0.3">
      <c r="A1201" s="5"/>
      <c r="B1201" s="4"/>
      <c r="C1201" s="4"/>
      <c r="D1201" s="82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17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</row>
    <row r="1202" spans="1:38" x14ac:dyDescent="0.3">
      <c r="A1202" s="5"/>
      <c r="B1202" s="4"/>
      <c r="C1202" s="4"/>
      <c r="D1202" s="82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17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</row>
    <row r="1203" spans="1:38" x14ac:dyDescent="0.3">
      <c r="A1203" s="5"/>
      <c r="B1203" s="4"/>
      <c r="C1203" s="4"/>
      <c r="D1203" s="82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17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</row>
    <row r="1204" spans="1:38" x14ac:dyDescent="0.3">
      <c r="A1204" s="5"/>
      <c r="B1204" s="4"/>
      <c r="C1204" s="4"/>
      <c r="D1204" s="82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17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</row>
    <row r="1205" spans="1:38" x14ac:dyDescent="0.3">
      <c r="A1205" s="5"/>
      <c r="B1205" s="4"/>
      <c r="C1205" s="4"/>
      <c r="D1205" s="82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17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</row>
    <row r="1206" spans="1:38" x14ac:dyDescent="0.3">
      <c r="A1206" s="5"/>
      <c r="B1206" s="4"/>
      <c r="C1206" s="4"/>
      <c r="D1206" s="82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17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</row>
    <row r="1207" spans="1:38" x14ac:dyDescent="0.3">
      <c r="A1207" s="5"/>
      <c r="B1207" s="4"/>
      <c r="C1207" s="4"/>
      <c r="D1207" s="82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17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</row>
    <row r="1208" spans="1:38" x14ac:dyDescent="0.3">
      <c r="A1208" s="5"/>
      <c r="B1208" s="4"/>
      <c r="C1208" s="4"/>
      <c r="D1208" s="82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17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</row>
    <row r="1209" spans="1:38" x14ac:dyDescent="0.3">
      <c r="A1209" s="5"/>
      <c r="B1209" s="4"/>
      <c r="C1209" s="4"/>
      <c r="D1209" s="82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17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</row>
    <row r="1210" spans="1:38" x14ac:dyDescent="0.3">
      <c r="A1210" s="5"/>
      <c r="B1210" s="4"/>
      <c r="C1210" s="4"/>
      <c r="D1210" s="82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17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</row>
    <row r="1211" spans="1:38" x14ac:dyDescent="0.3">
      <c r="A1211" s="5"/>
      <c r="B1211" s="4"/>
      <c r="C1211" s="4"/>
      <c r="D1211" s="82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17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</row>
    <row r="1212" spans="1:38" x14ac:dyDescent="0.3">
      <c r="A1212" s="5"/>
      <c r="B1212" s="4"/>
      <c r="C1212" s="4"/>
      <c r="D1212" s="82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17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</row>
    <row r="1213" spans="1:38" x14ac:dyDescent="0.3">
      <c r="A1213" s="5"/>
      <c r="B1213" s="4"/>
      <c r="C1213" s="4"/>
      <c r="D1213" s="82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17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</row>
    <row r="1214" spans="1:38" x14ac:dyDescent="0.3">
      <c r="A1214" s="5"/>
      <c r="B1214" s="4"/>
      <c r="C1214" s="4"/>
      <c r="D1214" s="82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17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</row>
    <row r="1215" spans="1:38" x14ac:dyDescent="0.3">
      <c r="A1215" s="5"/>
      <c r="B1215" s="4"/>
      <c r="C1215" s="4"/>
      <c r="D1215" s="82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17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</row>
    <row r="1216" spans="1:38" x14ac:dyDescent="0.3">
      <c r="A1216" s="5"/>
      <c r="B1216" s="4"/>
      <c r="C1216" s="4"/>
      <c r="D1216" s="82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17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</row>
    <row r="1217" spans="1:38" x14ac:dyDescent="0.3">
      <c r="A1217" s="5"/>
      <c r="B1217" s="4"/>
      <c r="C1217" s="4"/>
      <c r="D1217" s="82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17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</row>
    <row r="1218" spans="1:38" x14ac:dyDescent="0.3">
      <c r="A1218" s="5"/>
      <c r="B1218" s="4"/>
      <c r="C1218" s="4"/>
      <c r="D1218" s="82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17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</row>
    <row r="1219" spans="1:38" x14ac:dyDescent="0.3">
      <c r="A1219" s="5"/>
      <c r="B1219" s="4"/>
      <c r="C1219" s="4"/>
      <c r="D1219" s="82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17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</row>
    <row r="1220" spans="1:38" x14ac:dyDescent="0.3">
      <c r="A1220" s="5"/>
      <c r="B1220" s="4"/>
      <c r="C1220" s="4"/>
      <c r="D1220" s="82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17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</row>
    <row r="1221" spans="1:38" x14ac:dyDescent="0.3">
      <c r="A1221" s="5"/>
      <c r="B1221" s="4"/>
      <c r="C1221" s="4"/>
      <c r="D1221" s="82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17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</row>
    <row r="1222" spans="1:38" x14ac:dyDescent="0.3">
      <c r="A1222" s="5"/>
      <c r="B1222" s="4"/>
      <c r="C1222" s="4"/>
      <c r="D1222" s="82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17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</row>
    <row r="1223" spans="1:38" x14ac:dyDescent="0.3">
      <c r="A1223" s="5"/>
      <c r="B1223" s="4"/>
      <c r="C1223" s="4"/>
      <c r="D1223" s="82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17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</row>
    <row r="1224" spans="1:38" x14ac:dyDescent="0.3">
      <c r="A1224" s="5"/>
      <c r="B1224" s="4"/>
      <c r="C1224" s="4"/>
      <c r="D1224" s="82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17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</row>
    <row r="1225" spans="1:38" x14ac:dyDescent="0.3">
      <c r="A1225" s="5"/>
      <c r="B1225" s="4"/>
      <c r="C1225" s="4"/>
      <c r="D1225" s="82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17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</row>
    <row r="1226" spans="1:38" x14ac:dyDescent="0.3">
      <c r="A1226" s="5"/>
      <c r="B1226" s="4"/>
      <c r="C1226" s="4"/>
      <c r="D1226" s="82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17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</row>
    <row r="1227" spans="1:38" x14ac:dyDescent="0.3">
      <c r="A1227" s="5"/>
      <c r="B1227" s="4"/>
      <c r="C1227" s="4"/>
      <c r="D1227" s="82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17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</row>
    <row r="1228" spans="1:38" x14ac:dyDescent="0.3">
      <c r="A1228" s="5"/>
      <c r="B1228" s="4"/>
      <c r="C1228" s="4"/>
      <c r="D1228" s="82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17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</row>
    <row r="1229" spans="1:38" x14ac:dyDescent="0.3">
      <c r="A1229" s="5"/>
      <c r="B1229" s="4"/>
      <c r="C1229" s="4"/>
      <c r="D1229" s="82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17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</row>
    <row r="1230" spans="1:38" x14ac:dyDescent="0.3">
      <c r="A1230" s="5"/>
      <c r="B1230" s="4"/>
      <c r="C1230" s="4"/>
      <c r="D1230" s="82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17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</row>
    <row r="1231" spans="1:38" x14ac:dyDescent="0.3">
      <c r="A1231" s="5"/>
      <c r="B1231" s="4"/>
      <c r="C1231" s="4"/>
      <c r="D1231" s="82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17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</row>
    <row r="1232" spans="1:38" x14ac:dyDescent="0.3">
      <c r="A1232" s="5"/>
      <c r="B1232" s="4"/>
      <c r="C1232" s="4"/>
      <c r="D1232" s="82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17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</row>
    <row r="1233" spans="1:38" x14ac:dyDescent="0.3">
      <c r="A1233" s="5"/>
      <c r="B1233" s="4"/>
      <c r="C1233" s="4"/>
      <c r="D1233" s="82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17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</row>
    <row r="1234" spans="1:38" x14ac:dyDescent="0.3">
      <c r="A1234" s="5"/>
      <c r="B1234" s="4"/>
      <c r="C1234" s="4"/>
      <c r="D1234" s="82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17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</row>
    <row r="1235" spans="1:38" x14ac:dyDescent="0.3">
      <c r="A1235" s="5"/>
      <c r="B1235" s="4"/>
      <c r="C1235" s="4"/>
      <c r="D1235" s="82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17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</row>
    <row r="1236" spans="1:38" x14ac:dyDescent="0.3">
      <c r="A1236" s="5"/>
      <c r="B1236" s="4"/>
      <c r="C1236" s="4"/>
      <c r="D1236" s="82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17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</row>
    <row r="1237" spans="1:38" x14ac:dyDescent="0.3">
      <c r="A1237" s="5"/>
      <c r="B1237" s="4"/>
      <c r="C1237" s="4"/>
      <c r="D1237" s="82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17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</row>
    <row r="1238" spans="1:38" x14ac:dyDescent="0.3">
      <c r="A1238" s="5"/>
      <c r="B1238" s="4"/>
      <c r="C1238" s="4"/>
      <c r="D1238" s="82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17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</row>
    <row r="1239" spans="1:38" x14ac:dyDescent="0.3">
      <c r="A1239" s="5"/>
      <c r="B1239" s="4"/>
      <c r="C1239" s="4"/>
      <c r="D1239" s="82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17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</row>
    <row r="1240" spans="1:38" x14ac:dyDescent="0.3">
      <c r="A1240" s="5"/>
      <c r="B1240" s="4"/>
      <c r="C1240" s="4"/>
      <c r="D1240" s="82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17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</row>
    <row r="1241" spans="1:38" x14ac:dyDescent="0.3">
      <c r="A1241" s="5"/>
      <c r="B1241" s="4"/>
      <c r="C1241" s="4"/>
      <c r="D1241" s="82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17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</row>
    <row r="1242" spans="1:38" x14ac:dyDescent="0.3">
      <c r="A1242" s="5"/>
      <c r="B1242" s="4"/>
      <c r="C1242" s="4"/>
      <c r="D1242" s="82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17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</row>
    <row r="1243" spans="1:38" x14ac:dyDescent="0.3">
      <c r="A1243" s="5"/>
      <c r="B1243" s="4"/>
      <c r="C1243" s="4"/>
      <c r="D1243" s="82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17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</row>
    <row r="1244" spans="1:38" x14ac:dyDescent="0.3">
      <c r="A1244" s="5"/>
      <c r="B1244" s="4"/>
      <c r="C1244" s="4"/>
      <c r="D1244" s="82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17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</row>
    <row r="1245" spans="1:38" x14ac:dyDescent="0.3">
      <c r="A1245" s="5"/>
      <c r="B1245" s="4"/>
      <c r="C1245" s="4"/>
      <c r="D1245" s="82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17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</row>
    <row r="1246" spans="1:38" x14ac:dyDescent="0.3">
      <c r="A1246" s="5"/>
      <c r="B1246" s="4"/>
      <c r="C1246" s="4"/>
      <c r="D1246" s="82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17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</row>
    <row r="1247" spans="1:38" x14ac:dyDescent="0.3">
      <c r="A1247" s="5"/>
      <c r="B1247" s="4"/>
      <c r="C1247" s="4"/>
      <c r="D1247" s="82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17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</row>
    <row r="1248" spans="1:38" x14ac:dyDescent="0.3">
      <c r="A1248" s="5"/>
      <c r="B1248" s="4"/>
      <c r="C1248" s="4"/>
      <c r="D1248" s="82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17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</row>
    <row r="1249" spans="1:38" x14ac:dyDescent="0.3">
      <c r="A1249" s="5"/>
      <c r="B1249" s="4"/>
      <c r="C1249" s="4"/>
      <c r="D1249" s="82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17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</row>
    <row r="1250" spans="1:38" x14ac:dyDescent="0.3">
      <c r="A1250" s="5"/>
      <c r="B1250" s="4"/>
      <c r="C1250" s="4"/>
      <c r="D1250" s="82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17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</row>
    <row r="1251" spans="1:38" x14ac:dyDescent="0.3">
      <c r="A1251" s="5"/>
      <c r="B1251" s="4"/>
      <c r="C1251" s="4"/>
      <c r="D1251" s="82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17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</row>
    <row r="1252" spans="1:38" x14ac:dyDescent="0.3">
      <c r="A1252" s="5"/>
      <c r="B1252" s="4"/>
      <c r="C1252" s="4"/>
      <c r="D1252" s="82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17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</row>
    <row r="1253" spans="1:38" x14ac:dyDescent="0.3">
      <c r="A1253" s="5"/>
      <c r="B1253" s="4"/>
      <c r="C1253" s="4"/>
      <c r="D1253" s="82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17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</row>
    <row r="1254" spans="1:38" x14ac:dyDescent="0.3">
      <c r="A1254" s="5"/>
      <c r="B1254" s="4"/>
      <c r="C1254" s="4"/>
      <c r="D1254" s="82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17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</row>
    <row r="1255" spans="1:38" x14ac:dyDescent="0.3">
      <c r="A1255" s="5"/>
      <c r="B1255" s="4"/>
      <c r="C1255" s="4"/>
      <c r="D1255" s="82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17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</row>
    <row r="1256" spans="1:38" x14ac:dyDescent="0.3">
      <c r="A1256" s="5"/>
      <c r="B1256" s="4"/>
      <c r="C1256" s="4"/>
      <c r="D1256" s="82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17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</row>
    <row r="1257" spans="1:38" x14ac:dyDescent="0.3">
      <c r="A1257" s="5"/>
      <c r="B1257" s="4"/>
      <c r="C1257" s="4"/>
      <c r="D1257" s="82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17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</row>
    <row r="1258" spans="1:38" x14ac:dyDescent="0.3">
      <c r="A1258" s="5"/>
      <c r="B1258" s="4"/>
      <c r="C1258" s="4"/>
      <c r="D1258" s="82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17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</row>
    <row r="1259" spans="1:38" x14ac:dyDescent="0.3">
      <c r="A1259" s="5"/>
      <c r="B1259" s="4"/>
      <c r="C1259" s="4"/>
      <c r="D1259" s="82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17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</row>
    <row r="1260" spans="1:38" x14ac:dyDescent="0.3">
      <c r="A1260" s="5"/>
      <c r="B1260" s="4"/>
      <c r="C1260" s="4"/>
      <c r="D1260" s="82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17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</row>
    <row r="1261" spans="1:38" x14ac:dyDescent="0.3">
      <c r="A1261" s="5"/>
      <c r="B1261" s="4"/>
      <c r="C1261" s="4"/>
      <c r="D1261" s="82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17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</row>
    <row r="1262" spans="1:38" x14ac:dyDescent="0.3">
      <c r="A1262" s="5"/>
      <c r="B1262" s="4"/>
      <c r="C1262" s="4"/>
      <c r="D1262" s="82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17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</row>
    <row r="1263" spans="1:38" x14ac:dyDescent="0.3">
      <c r="A1263" s="5"/>
      <c r="B1263" s="4"/>
      <c r="C1263" s="4"/>
      <c r="D1263" s="82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17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</row>
    <row r="1264" spans="1:38" x14ac:dyDescent="0.3">
      <c r="A1264" s="5"/>
      <c r="B1264" s="4"/>
      <c r="C1264" s="4"/>
      <c r="D1264" s="82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17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</row>
    <row r="1265" spans="1:38" x14ac:dyDescent="0.3">
      <c r="A1265" s="5"/>
      <c r="B1265" s="4"/>
      <c r="C1265" s="4"/>
      <c r="D1265" s="82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17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</row>
    <row r="1266" spans="1:38" x14ac:dyDescent="0.3">
      <c r="A1266" s="5"/>
      <c r="B1266" s="4"/>
      <c r="C1266" s="4"/>
      <c r="D1266" s="82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17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</row>
    <row r="1267" spans="1:38" x14ac:dyDescent="0.3">
      <c r="A1267" s="5"/>
      <c r="B1267" s="4"/>
      <c r="C1267" s="4"/>
      <c r="D1267" s="82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17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</row>
    <row r="1268" spans="1:38" x14ac:dyDescent="0.3">
      <c r="A1268" s="5"/>
      <c r="B1268" s="4"/>
      <c r="C1268" s="4"/>
      <c r="D1268" s="82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17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</row>
    <row r="1269" spans="1:38" x14ac:dyDescent="0.3">
      <c r="A1269" s="5"/>
      <c r="B1269" s="4"/>
      <c r="C1269" s="4"/>
      <c r="D1269" s="82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17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</row>
    <row r="1270" spans="1:38" x14ac:dyDescent="0.3">
      <c r="A1270" s="5"/>
      <c r="B1270" s="4"/>
      <c r="C1270" s="4"/>
      <c r="D1270" s="82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17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</row>
    <row r="1271" spans="1:38" x14ac:dyDescent="0.3">
      <c r="A1271" s="5"/>
      <c r="B1271" s="4"/>
      <c r="C1271" s="4"/>
      <c r="D1271" s="82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17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</row>
    <row r="1272" spans="1:38" x14ac:dyDescent="0.3">
      <c r="A1272" s="5"/>
      <c r="B1272" s="4"/>
      <c r="C1272" s="4"/>
      <c r="D1272" s="82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17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</row>
    <row r="1273" spans="1:38" x14ac:dyDescent="0.3">
      <c r="A1273" s="5"/>
      <c r="B1273" s="4"/>
      <c r="C1273" s="4"/>
      <c r="D1273" s="82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17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</row>
    <row r="1274" spans="1:38" x14ac:dyDescent="0.3">
      <c r="A1274" s="5"/>
      <c r="B1274" s="4"/>
      <c r="C1274" s="4"/>
      <c r="D1274" s="82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17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</row>
    <row r="1275" spans="1:38" x14ac:dyDescent="0.3">
      <c r="A1275" s="5"/>
      <c r="B1275" s="4"/>
      <c r="C1275" s="4"/>
      <c r="D1275" s="82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17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</row>
    <row r="1276" spans="1:38" x14ac:dyDescent="0.3">
      <c r="A1276" s="5"/>
      <c r="B1276" s="4"/>
      <c r="C1276" s="4"/>
      <c r="D1276" s="82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17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</row>
    <row r="1277" spans="1:38" x14ac:dyDescent="0.3">
      <c r="A1277" s="5"/>
      <c r="B1277" s="4"/>
      <c r="C1277" s="4"/>
      <c r="D1277" s="82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17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</row>
    <row r="1278" spans="1:38" x14ac:dyDescent="0.3">
      <c r="A1278" s="5"/>
      <c r="B1278" s="4"/>
      <c r="C1278" s="4"/>
      <c r="D1278" s="82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17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</row>
    <row r="1279" spans="1:38" x14ac:dyDescent="0.3">
      <c r="A1279" s="5"/>
      <c r="B1279" s="4"/>
      <c r="C1279" s="4"/>
      <c r="D1279" s="82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17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</row>
    <row r="1280" spans="1:38" x14ac:dyDescent="0.3">
      <c r="A1280" s="5"/>
      <c r="B1280" s="4"/>
      <c r="C1280" s="4"/>
      <c r="D1280" s="82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17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</row>
    <row r="1281" spans="1:38" x14ac:dyDescent="0.3">
      <c r="A1281" s="5"/>
      <c r="B1281" s="4"/>
      <c r="C1281" s="4"/>
      <c r="D1281" s="82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17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</row>
    <row r="1282" spans="1:38" x14ac:dyDescent="0.3">
      <c r="A1282" s="5"/>
      <c r="B1282" s="4"/>
      <c r="C1282" s="4"/>
      <c r="D1282" s="82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17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</row>
    <row r="1283" spans="1:38" x14ac:dyDescent="0.3">
      <c r="A1283" s="5"/>
      <c r="B1283" s="4"/>
      <c r="C1283" s="4"/>
      <c r="D1283" s="82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17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</row>
    <row r="1284" spans="1:38" x14ac:dyDescent="0.3">
      <c r="A1284" s="5"/>
      <c r="B1284" s="4"/>
      <c r="C1284" s="4"/>
      <c r="D1284" s="82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17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</row>
    <row r="1285" spans="1:38" x14ac:dyDescent="0.3">
      <c r="A1285" s="5"/>
      <c r="B1285" s="4"/>
      <c r="C1285" s="4"/>
      <c r="D1285" s="82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17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</row>
    <row r="1286" spans="1:38" x14ac:dyDescent="0.3">
      <c r="A1286" s="5"/>
      <c r="B1286" s="4"/>
      <c r="C1286" s="4"/>
      <c r="D1286" s="82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17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</row>
    <row r="1287" spans="1:38" x14ac:dyDescent="0.3">
      <c r="A1287" s="5"/>
      <c r="B1287" s="4"/>
      <c r="C1287" s="4"/>
      <c r="D1287" s="82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17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</row>
    <row r="1288" spans="1:38" x14ac:dyDescent="0.3">
      <c r="A1288" s="5"/>
      <c r="B1288" s="4"/>
      <c r="C1288" s="4"/>
      <c r="D1288" s="82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17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</row>
    <row r="1289" spans="1:38" x14ac:dyDescent="0.3">
      <c r="A1289" s="5"/>
      <c r="B1289" s="4"/>
      <c r="C1289" s="4"/>
      <c r="D1289" s="82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17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</row>
    <row r="1290" spans="1:38" x14ac:dyDescent="0.3">
      <c r="A1290" s="5"/>
      <c r="B1290" s="4"/>
      <c r="C1290" s="4"/>
      <c r="D1290" s="82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17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</row>
    <row r="1291" spans="1:38" x14ac:dyDescent="0.3">
      <c r="A1291" s="5"/>
      <c r="B1291" s="4"/>
      <c r="C1291" s="4"/>
      <c r="D1291" s="82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17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</row>
    <row r="1292" spans="1:38" x14ac:dyDescent="0.3">
      <c r="A1292" s="5"/>
      <c r="B1292" s="4"/>
      <c r="C1292" s="4"/>
      <c r="D1292" s="82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17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</row>
    <row r="1293" spans="1:38" x14ac:dyDescent="0.3">
      <c r="A1293" s="5"/>
      <c r="B1293" s="4"/>
      <c r="C1293" s="4"/>
      <c r="D1293" s="82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17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</row>
    <row r="1294" spans="1:38" x14ac:dyDescent="0.3">
      <c r="A1294" s="5"/>
      <c r="B1294" s="4"/>
      <c r="C1294" s="4"/>
      <c r="D1294" s="82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17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</row>
    <row r="1295" spans="1:38" x14ac:dyDescent="0.3">
      <c r="A1295" s="5"/>
      <c r="B1295" s="4"/>
      <c r="C1295" s="4"/>
      <c r="D1295" s="82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17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</row>
    <row r="1296" spans="1:38" x14ac:dyDescent="0.3">
      <c r="A1296" s="5"/>
      <c r="B1296" s="4"/>
      <c r="C1296" s="4"/>
      <c r="D1296" s="82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17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</row>
    <row r="1297" spans="1:38" x14ac:dyDescent="0.3">
      <c r="A1297" s="5"/>
      <c r="B1297" s="4"/>
      <c r="C1297" s="4"/>
      <c r="D1297" s="82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17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</row>
    <row r="1298" spans="1:38" x14ac:dyDescent="0.3">
      <c r="A1298" s="5"/>
      <c r="B1298" s="4"/>
      <c r="C1298" s="4"/>
      <c r="D1298" s="82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17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</row>
    <row r="1299" spans="1:38" x14ac:dyDescent="0.3">
      <c r="A1299" s="5"/>
      <c r="B1299" s="4"/>
      <c r="C1299" s="4"/>
      <c r="D1299" s="82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17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</row>
    <row r="1300" spans="1:38" x14ac:dyDescent="0.3">
      <c r="A1300" s="5"/>
      <c r="B1300" s="4"/>
      <c r="C1300" s="4"/>
      <c r="D1300" s="82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17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</row>
    <row r="1301" spans="1:38" x14ac:dyDescent="0.3">
      <c r="A1301" s="5"/>
      <c r="B1301" s="4"/>
      <c r="C1301" s="4"/>
      <c r="D1301" s="82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17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</row>
    <row r="1302" spans="1:38" x14ac:dyDescent="0.3">
      <c r="A1302" s="5"/>
      <c r="B1302" s="4"/>
      <c r="C1302" s="4"/>
      <c r="D1302" s="82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17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</row>
    <row r="1303" spans="1:38" x14ac:dyDescent="0.3">
      <c r="A1303" s="5"/>
      <c r="B1303" s="4"/>
      <c r="C1303" s="4"/>
      <c r="D1303" s="82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17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</row>
    <row r="1304" spans="1:38" x14ac:dyDescent="0.3">
      <c r="A1304" s="5"/>
      <c r="B1304" s="4"/>
      <c r="C1304" s="4"/>
      <c r="D1304" s="82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17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</row>
    <row r="1305" spans="1:38" x14ac:dyDescent="0.3">
      <c r="A1305" s="5"/>
      <c r="B1305" s="4"/>
      <c r="C1305" s="4"/>
      <c r="D1305" s="82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17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</row>
    <row r="1306" spans="1:38" x14ac:dyDescent="0.3">
      <c r="A1306" s="5"/>
      <c r="B1306" s="4"/>
      <c r="C1306" s="4"/>
      <c r="D1306" s="82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17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</row>
    <row r="1307" spans="1:38" x14ac:dyDescent="0.3">
      <c r="A1307" s="5"/>
      <c r="B1307" s="4"/>
      <c r="C1307" s="4"/>
      <c r="D1307" s="82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17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</row>
    <row r="1308" spans="1:38" x14ac:dyDescent="0.3">
      <c r="A1308" s="5"/>
      <c r="B1308" s="4"/>
      <c r="C1308" s="4"/>
      <c r="D1308" s="82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17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</row>
    <row r="1309" spans="1:38" x14ac:dyDescent="0.3">
      <c r="A1309" s="5"/>
      <c r="B1309" s="4"/>
      <c r="C1309" s="4"/>
      <c r="D1309" s="82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17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</row>
    <row r="1310" spans="1:38" x14ac:dyDescent="0.3">
      <c r="A1310" s="5"/>
      <c r="B1310" s="4"/>
      <c r="C1310" s="4"/>
      <c r="D1310" s="82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17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</row>
    <row r="1311" spans="1:38" x14ac:dyDescent="0.3">
      <c r="A1311" s="5"/>
      <c r="B1311" s="4"/>
      <c r="C1311" s="4"/>
      <c r="D1311" s="82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17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</row>
    <row r="1312" spans="1:38" x14ac:dyDescent="0.3">
      <c r="A1312" s="5"/>
      <c r="B1312" s="4"/>
      <c r="C1312" s="4"/>
      <c r="D1312" s="82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17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</row>
    <row r="1313" spans="1:38" x14ac:dyDescent="0.3">
      <c r="A1313" s="5"/>
      <c r="B1313" s="4"/>
      <c r="C1313" s="4"/>
      <c r="D1313" s="82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17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</row>
    <row r="1314" spans="1:38" x14ac:dyDescent="0.3">
      <c r="A1314" s="5"/>
      <c r="B1314" s="4"/>
      <c r="C1314" s="4"/>
      <c r="D1314" s="82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17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</row>
    <row r="1315" spans="1:38" x14ac:dyDescent="0.3">
      <c r="A1315" s="5"/>
      <c r="B1315" s="4"/>
      <c r="C1315" s="4"/>
      <c r="D1315" s="82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17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</row>
    <row r="1316" spans="1:38" x14ac:dyDescent="0.3">
      <c r="A1316" s="5"/>
      <c r="B1316" s="4"/>
      <c r="C1316" s="4"/>
      <c r="D1316" s="82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17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</row>
    <row r="1317" spans="1:38" x14ac:dyDescent="0.3">
      <c r="A1317" s="5"/>
      <c r="B1317" s="4"/>
      <c r="C1317" s="4"/>
      <c r="D1317" s="82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17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</row>
    <row r="1318" spans="1:38" x14ac:dyDescent="0.3">
      <c r="A1318" s="5"/>
      <c r="B1318" s="4"/>
      <c r="C1318" s="4"/>
      <c r="D1318" s="82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17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</row>
    <row r="1319" spans="1:38" x14ac:dyDescent="0.3">
      <c r="A1319" s="5"/>
      <c r="B1319" s="4"/>
      <c r="C1319" s="4"/>
      <c r="D1319" s="82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17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</row>
    <row r="1320" spans="1:38" x14ac:dyDescent="0.3">
      <c r="A1320" s="5"/>
      <c r="B1320" s="4"/>
      <c r="C1320" s="4"/>
      <c r="D1320" s="82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17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</row>
    <row r="1321" spans="1:38" x14ac:dyDescent="0.3">
      <c r="A1321" s="5"/>
      <c r="B1321" s="4"/>
      <c r="C1321" s="4"/>
      <c r="D1321" s="82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17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</row>
    <row r="1322" spans="1:38" x14ac:dyDescent="0.3">
      <c r="A1322" s="5"/>
      <c r="B1322" s="4"/>
      <c r="C1322" s="4"/>
      <c r="D1322" s="82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17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</row>
    <row r="1323" spans="1:38" x14ac:dyDescent="0.3">
      <c r="A1323" s="5"/>
      <c r="B1323" s="4"/>
      <c r="C1323" s="4"/>
      <c r="D1323" s="82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17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</row>
    <row r="1324" spans="1:38" x14ac:dyDescent="0.3">
      <c r="A1324" s="5"/>
      <c r="B1324" s="4"/>
      <c r="C1324" s="4"/>
      <c r="D1324" s="82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17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</row>
    <row r="1325" spans="1:38" x14ac:dyDescent="0.3">
      <c r="A1325" s="5"/>
      <c r="B1325" s="4"/>
      <c r="C1325" s="4"/>
      <c r="D1325" s="82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17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</row>
    <row r="1326" spans="1:38" x14ac:dyDescent="0.3">
      <c r="A1326" s="5"/>
      <c r="B1326" s="4"/>
      <c r="C1326" s="4"/>
      <c r="D1326" s="82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17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</row>
    <row r="1327" spans="1:38" x14ac:dyDescent="0.3">
      <c r="A1327" s="5"/>
      <c r="B1327" s="4"/>
      <c r="C1327" s="4"/>
      <c r="D1327" s="82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17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</row>
    <row r="1328" spans="1:38" x14ac:dyDescent="0.3">
      <c r="A1328" s="5"/>
      <c r="B1328" s="4"/>
      <c r="C1328" s="4"/>
      <c r="D1328" s="82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17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</row>
    <row r="1329" spans="1:38" x14ac:dyDescent="0.3">
      <c r="A1329" s="5"/>
      <c r="B1329" s="4"/>
      <c r="C1329" s="4"/>
      <c r="D1329" s="82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17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</row>
    <row r="1330" spans="1:38" x14ac:dyDescent="0.3">
      <c r="A1330" s="5"/>
      <c r="B1330" s="4"/>
      <c r="C1330" s="4"/>
      <c r="D1330" s="82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17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</row>
    <row r="1331" spans="1:38" x14ac:dyDescent="0.3">
      <c r="A1331" s="5"/>
      <c r="B1331" s="4"/>
      <c r="C1331" s="4"/>
      <c r="D1331" s="82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17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</row>
    <row r="1332" spans="1:38" x14ac:dyDescent="0.3">
      <c r="A1332" s="5"/>
      <c r="B1332" s="4"/>
      <c r="C1332" s="4"/>
      <c r="D1332" s="82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17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</row>
    <row r="1333" spans="1:38" x14ac:dyDescent="0.3">
      <c r="A1333" s="5"/>
      <c r="B1333" s="4"/>
      <c r="C1333" s="4"/>
      <c r="D1333" s="82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17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</row>
    <row r="1334" spans="1:38" x14ac:dyDescent="0.3">
      <c r="A1334" s="5"/>
      <c r="B1334" s="4"/>
      <c r="C1334" s="4"/>
      <c r="D1334" s="82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17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</row>
    <row r="1335" spans="1:38" x14ac:dyDescent="0.3">
      <c r="A1335" s="5"/>
      <c r="B1335" s="4"/>
      <c r="C1335" s="4"/>
      <c r="D1335" s="82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17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</row>
    <row r="1336" spans="1:38" x14ac:dyDescent="0.3">
      <c r="A1336" s="5"/>
      <c r="B1336" s="4"/>
      <c r="C1336" s="4"/>
      <c r="D1336" s="82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17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</row>
    <row r="1337" spans="1:38" x14ac:dyDescent="0.3">
      <c r="A1337" s="5"/>
      <c r="B1337" s="4"/>
      <c r="C1337" s="4"/>
      <c r="D1337" s="82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17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</row>
    <row r="1338" spans="1:38" x14ac:dyDescent="0.3">
      <c r="A1338" s="5"/>
      <c r="B1338" s="4"/>
      <c r="C1338" s="4"/>
      <c r="D1338" s="82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17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</row>
    <row r="1339" spans="1:38" x14ac:dyDescent="0.3">
      <c r="A1339" s="5"/>
      <c r="B1339" s="4"/>
      <c r="C1339" s="4"/>
      <c r="D1339" s="82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17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</row>
    <row r="1340" spans="1:38" x14ac:dyDescent="0.3">
      <c r="A1340" s="5"/>
      <c r="B1340" s="4"/>
      <c r="C1340" s="4"/>
      <c r="D1340" s="82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17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</row>
    <row r="1341" spans="1:38" x14ac:dyDescent="0.3">
      <c r="A1341" s="5"/>
      <c r="B1341" s="4"/>
      <c r="C1341" s="4"/>
      <c r="D1341" s="82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17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</row>
    <row r="1342" spans="1:38" x14ac:dyDescent="0.3">
      <c r="A1342" s="5"/>
      <c r="B1342" s="4"/>
      <c r="C1342" s="4"/>
      <c r="D1342" s="82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17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</row>
    <row r="1343" spans="1:38" x14ac:dyDescent="0.3">
      <c r="A1343" s="5"/>
      <c r="B1343" s="4"/>
      <c r="C1343" s="4"/>
      <c r="D1343" s="82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17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</row>
    <row r="1344" spans="1:38" x14ac:dyDescent="0.3">
      <c r="A1344" s="5"/>
      <c r="B1344" s="4"/>
      <c r="C1344" s="4"/>
      <c r="D1344" s="82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17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</row>
    <row r="1345" spans="1:38" x14ac:dyDescent="0.3">
      <c r="A1345" s="5"/>
      <c r="B1345" s="4"/>
      <c r="C1345" s="4"/>
      <c r="D1345" s="82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17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</row>
    <row r="1346" spans="1:38" x14ac:dyDescent="0.3">
      <c r="A1346" s="5"/>
      <c r="B1346" s="4"/>
      <c r="C1346" s="4"/>
      <c r="D1346" s="82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17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</row>
    <row r="1347" spans="1:38" x14ac:dyDescent="0.3">
      <c r="A1347" s="5"/>
      <c r="B1347" s="4"/>
      <c r="C1347" s="4"/>
      <c r="D1347" s="82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17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</row>
    <row r="1348" spans="1:38" x14ac:dyDescent="0.3">
      <c r="A1348" s="5"/>
      <c r="B1348" s="4"/>
      <c r="C1348" s="4"/>
      <c r="D1348" s="82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17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</row>
    <row r="1349" spans="1:38" x14ac:dyDescent="0.3">
      <c r="A1349" s="5"/>
      <c r="B1349" s="4"/>
      <c r="C1349" s="4"/>
      <c r="D1349" s="82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17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</row>
    <row r="1350" spans="1:38" x14ac:dyDescent="0.3">
      <c r="A1350" s="5"/>
      <c r="B1350" s="4"/>
      <c r="C1350" s="4"/>
      <c r="D1350" s="82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17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</row>
    <row r="1351" spans="1:38" x14ac:dyDescent="0.3">
      <c r="A1351" s="5"/>
      <c r="B1351" s="4"/>
      <c r="C1351" s="4"/>
      <c r="D1351" s="82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17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</row>
    <row r="1352" spans="1:38" x14ac:dyDescent="0.3">
      <c r="A1352" s="5"/>
      <c r="B1352" s="4"/>
      <c r="C1352" s="4"/>
      <c r="D1352" s="82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17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</row>
    <row r="1353" spans="1:38" x14ac:dyDescent="0.3">
      <c r="A1353" s="5"/>
      <c r="B1353" s="4"/>
      <c r="C1353" s="4"/>
      <c r="D1353" s="82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17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</row>
    <row r="1354" spans="1:38" x14ac:dyDescent="0.3">
      <c r="A1354" s="5"/>
      <c r="B1354" s="4"/>
      <c r="C1354" s="4"/>
      <c r="D1354" s="82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17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</row>
    <row r="1355" spans="1:38" x14ac:dyDescent="0.3">
      <c r="A1355" s="5"/>
      <c r="B1355" s="4"/>
      <c r="C1355" s="4"/>
      <c r="D1355" s="82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17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</row>
    <row r="1356" spans="1:38" x14ac:dyDescent="0.3">
      <c r="A1356" s="5"/>
      <c r="B1356" s="4"/>
      <c r="C1356" s="4"/>
      <c r="D1356" s="82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17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</row>
    <row r="1357" spans="1:38" x14ac:dyDescent="0.3">
      <c r="A1357" s="5"/>
      <c r="B1357" s="4"/>
      <c r="C1357" s="4"/>
      <c r="D1357" s="82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17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</row>
    <row r="1358" spans="1:38" x14ac:dyDescent="0.3">
      <c r="A1358" s="5"/>
      <c r="B1358" s="4"/>
      <c r="C1358" s="4"/>
      <c r="D1358" s="82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17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</row>
    <row r="1359" spans="1:38" x14ac:dyDescent="0.3">
      <c r="A1359" s="5"/>
      <c r="B1359" s="4"/>
      <c r="C1359" s="4"/>
      <c r="D1359" s="82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17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</row>
    <row r="1360" spans="1:38" x14ac:dyDescent="0.3">
      <c r="A1360" s="5"/>
      <c r="B1360" s="4"/>
      <c r="C1360" s="4"/>
      <c r="D1360" s="82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17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</row>
    <row r="1361" spans="1:38" x14ac:dyDescent="0.3">
      <c r="A1361" s="5"/>
      <c r="B1361" s="4"/>
      <c r="C1361" s="4"/>
      <c r="D1361" s="82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17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</row>
    <row r="1362" spans="1:38" x14ac:dyDescent="0.3">
      <c r="A1362" s="5"/>
      <c r="B1362" s="4"/>
      <c r="C1362" s="4"/>
      <c r="D1362" s="82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17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</row>
    <row r="1363" spans="1:38" x14ac:dyDescent="0.3">
      <c r="A1363" s="5"/>
      <c r="B1363" s="4"/>
      <c r="C1363" s="4"/>
      <c r="D1363" s="82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17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</row>
    <row r="1364" spans="1:38" x14ac:dyDescent="0.3">
      <c r="A1364" s="5"/>
      <c r="B1364" s="4"/>
      <c r="C1364" s="4"/>
      <c r="D1364" s="82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17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</row>
    <row r="1365" spans="1:38" x14ac:dyDescent="0.3">
      <c r="A1365" s="5"/>
      <c r="B1365" s="4"/>
      <c r="C1365" s="4"/>
      <c r="D1365" s="82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17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</row>
    <row r="1366" spans="1:38" x14ac:dyDescent="0.3">
      <c r="A1366" s="5"/>
      <c r="B1366" s="4"/>
      <c r="C1366" s="4"/>
      <c r="D1366" s="82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17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</row>
    <row r="1367" spans="1:38" x14ac:dyDescent="0.3">
      <c r="A1367" s="5"/>
      <c r="B1367" s="4"/>
      <c r="C1367" s="4"/>
      <c r="D1367" s="82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17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</row>
    <row r="1368" spans="1:38" x14ac:dyDescent="0.3">
      <c r="A1368" s="5"/>
      <c r="B1368" s="4"/>
      <c r="C1368" s="4"/>
      <c r="D1368" s="82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17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</row>
    <row r="1369" spans="1:38" x14ac:dyDescent="0.3">
      <c r="A1369" s="5"/>
      <c r="B1369" s="4"/>
      <c r="C1369" s="4"/>
      <c r="D1369" s="82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17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</row>
    <row r="1370" spans="1:38" x14ac:dyDescent="0.3">
      <c r="A1370" s="5"/>
      <c r="B1370" s="4"/>
      <c r="C1370" s="4"/>
      <c r="D1370" s="82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17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</row>
    <row r="1371" spans="1:38" x14ac:dyDescent="0.3">
      <c r="A1371" s="5"/>
      <c r="B1371" s="4"/>
      <c r="C1371" s="4"/>
      <c r="D1371" s="82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17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</row>
    <row r="1372" spans="1:38" x14ac:dyDescent="0.3">
      <c r="A1372" s="5"/>
      <c r="B1372" s="4"/>
      <c r="C1372" s="4"/>
      <c r="D1372" s="82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17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</row>
    <row r="1373" spans="1:38" x14ac:dyDescent="0.3">
      <c r="A1373" s="5"/>
      <c r="B1373" s="4"/>
      <c r="C1373" s="4"/>
      <c r="D1373" s="82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17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</row>
    <row r="1374" spans="1:38" x14ac:dyDescent="0.3">
      <c r="A1374" s="5"/>
      <c r="B1374" s="4"/>
      <c r="C1374" s="4"/>
      <c r="D1374" s="82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17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</row>
    <row r="1375" spans="1:38" x14ac:dyDescent="0.3">
      <c r="A1375" s="5"/>
      <c r="B1375" s="4"/>
      <c r="C1375" s="4"/>
      <c r="D1375" s="82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17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</row>
    <row r="1376" spans="1:38" x14ac:dyDescent="0.3">
      <c r="A1376" s="5"/>
      <c r="B1376" s="4"/>
      <c r="C1376" s="4"/>
      <c r="D1376" s="82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17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</row>
    <row r="1377" spans="1:38" x14ac:dyDescent="0.3">
      <c r="A1377" s="5"/>
      <c r="B1377" s="4"/>
      <c r="C1377" s="4"/>
      <c r="D1377" s="82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17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</row>
    <row r="1378" spans="1:38" x14ac:dyDescent="0.3">
      <c r="A1378" s="5"/>
      <c r="B1378" s="4"/>
      <c r="C1378" s="4"/>
      <c r="D1378" s="82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17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</row>
    <row r="1379" spans="1:38" x14ac:dyDescent="0.3">
      <c r="A1379" s="5"/>
      <c r="B1379" s="4"/>
      <c r="C1379" s="4"/>
      <c r="D1379" s="82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17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</row>
    <row r="1380" spans="1:38" x14ac:dyDescent="0.3">
      <c r="A1380" s="5"/>
      <c r="B1380" s="4"/>
      <c r="C1380" s="4"/>
      <c r="D1380" s="82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17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</row>
    <row r="1381" spans="1:38" x14ac:dyDescent="0.3">
      <c r="A1381" s="5"/>
      <c r="B1381" s="4"/>
      <c r="C1381" s="4"/>
      <c r="D1381" s="82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17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</row>
    <row r="1382" spans="1:38" x14ac:dyDescent="0.3">
      <c r="A1382" s="5"/>
      <c r="B1382" s="4"/>
      <c r="C1382" s="4"/>
      <c r="D1382" s="82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17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</row>
    <row r="1383" spans="1:38" x14ac:dyDescent="0.3">
      <c r="A1383" s="5"/>
      <c r="B1383" s="4"/>
      <c r="C1383" s="4"/>
      <c r="D1383" s="82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17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</row>
    <row r="1384" spans="1:38" x14ac:dyDescent="0.3">
      <c r="A1384" s="5"/>
      <c r="B1384" s="4"/>
      <c r="C1384" s="4"/>
      <c r="D1384" s="82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17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</row>
    <row r="1385" spans="1:38" x14ac:dyDescent="0.3">
      <c r="A1385" s="5"/>
      <c r="B1385" s="4"/>
      <c r="C1385" s="4"/>
      <c r="D1385" s="82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17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</row>
    <row r="1386" spans="1:38" x14ac:dyDescent="0.3">
      <c r="A1386" s="5"/>
      <c r="B1386" s="4"/>
      <c r="C1386" s="4"/>
      <c r="D1386" s="82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17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</row>
    <row r="1387" spans="1:38" x14ac:dyDescent="0.3">
      <c r="A1387" s="5"/>
      <c r="B1387" s="4"/>
      <c r="C1387" s="4"/>
      <c r="D1387" s="82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17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</row>
    <row r="1388" spans="1:38" x14ac:dyDescent="0.3">
      <c r="A1388" s="5"/>
      <c r="B1388" s="4"/>
      <c r="C1388" s="4"/>
      <c r="D1388" s="82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17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</row>
    <row r="1389" spans="1:38" x14ac:dyDescent="0.3">
      <c r="A1389" s="5"/>
      <c r="B1389" s="4"/>
      <c r="C1389" s="4"/>
      <c r="D1389" s="82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17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</row>
    <row r="1390" spans="1:38" x14ac:dyDescent="0.3">
      <c r="A1390" s="5"/>
      <c r="B1390" s="4"/>
      <c r="C1390" s="4"/>
      <c r="D1390" s="82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17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</row>
    <row r="1391" spans="1:38" x14ac:dyDescent="0.3">
      <c r="A1391" s="5"/>
      <c r="B1391" s="4"/>
      <c r="C1391" s="4"/>
      <c r="D1391" s="82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17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</row>
    <row r="1392" spans="1:38" x14ac:dyDescent="0.3">
      <c r="A1392" s="5"/>
      <c r="B1392" s="4"/>
      <c r="C1392" s="4"/>
      <c r="D1392" s="82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17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</row>
    <row r="1393" spans="1:38" x14ac:dyDescent="0.3">
      <c r="A1393" s="5"/>
      <c r="B1393" s="4"/>
      <c r="C1393" s="4"/>
      <c r="D1393" s="82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17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</row>
    <row r="1394" spans="1:38" x14ac:dyDescent="0.3">
      <c r="A1394" s="5"/>
      <c r="B1394" s="4"/>
      <c r="C1394" s="4"/>
      <c r="D1394" s="82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17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</row>
    <row r="1395" spans="1:38" x14ac:dyDescent="0.3">
      <c r="A1395" s="5"/>
      <c r="B1395" s="4"/>
      <c r="C1395" s="4"/>
      <c r="D1395" s="82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17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</row>
    <row r="1396" spans="1:38" x14ac:dyDescent="0.3">
      <c r="A1396" s="5"/>
      <c r="B1396" s="4"/>
      <c r="C1396" s="4"/>
      <c r="D1396" s="82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17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</row>
    <row r="1397" spans="1:38" x14ac:dyDescent="0.3">
      <c r="A1397" s="5"/>
      <c r="B1397" s="4"/>
      <c r="C1397" s="4"/>
      <c r="D1397" s="82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17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</row>
    <row r="1398" spans="1:38" x14ac:dyDescent="0.3">
      <c r="A1398" s="5"/>
      <c r="B1398" s="4"/>
      <c r="C1398" s="4"/>
      <c r="D1398" s="82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17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</row>
    <row r="1399" spans="1:38" x14ac:dyDescent="0.3">
      <c r="A1399" s="5"/>
      <c r="B1399" s="4"/>
      <c r="C1399" s="4"/>
      <c r="D1399" s="82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17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</row>
    <row r="1400" spans="1:38" x14ac:dyDescent="0.3">
      <c r="A1400" s="5"/>
      <c r="B1400" s="4"/>
      <c r="C1400" s="4"/>
      <c r="D1400" s="82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17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</row>
    <row r="1401" spans="1:38" x14ac:dyDescent="0.3">
      <c r="A1401" s="5"/>
      <c r="B1401" s="4"/>
      <c r="C1401" s="4"/>
      <c r="D1401" s="82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17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</row>
    <row r="1402" spans="1:38" x14ac:dyDescent="0.3">
      <c r="A1402" s="5"/>
      <c r="B1402" s="4"/>
      <c r="C1402" s="4"/>
      <c r="D1402" s="82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17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</row>
    <row r="1403" spans="1:38" x14ac:dyDescent="0.3">
      <c r="A1403" s="5"/>
      <c r="B1403" s="4"/>
      <c r="C1403" s="4"/>
      <c r="D1403" s="82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17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</row>
    <row r="1404" spans="1:38" x14ac:dyDescent="0.3">
      <c r="A1404" s="5"/>
      <c r="B1404" s="4"/>
      <c r="C1404" s="4"/>
      <c r="D1404" s="82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17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</row>
    <row r="1405" spans="1:38" x14ac:dyDescent="0.3">
      <c r="A1405" s="5"/>
      <c r="B1405" s="4"/>
      <c r="C1405" s="4"/>
      <c r="D1405" s="82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17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</row>
    <row r="1406" spans="1:38" x14ac:dyDescent="0.3">
      <c r="A1406" s="5"/>
      <c r="B1406" s="4"/>
      <c r="C1406" s="4"/>
      <c r="D1406" s="82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17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</row>
    <row r="1407" spans="1:38" x14ac:dyDescent="0.3">
      <c r="A1407" s="5"/>
      <c r="B1407" s="4"/>
      <c r="C1407" s="4"/>
      <c r="D1407" s="82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17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</row>
    <row r="1408" spans="1:38" x14ac:dyDescent="0.3">
      <c r="A1408" s="5"/>
      <c r="B1408" s="4"/>
      <c r="C1408" s="4"/>
      <c r="D1408" s="82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17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</row>
    <row r="1409" spans="1:38" x14ac:dyDescent="0.3">
      <c r="A1409" s="5"/>
      <c r="B1409" s="4"/>
      <c r="C1409" s="4"/>
      <c r="D1409" s="82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17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</row>
    <row r="1410" spans="1:38" x14ac:dyDescent="0.3">
      <c r="A1410" s="5"/>
      <c r="B1410" s="4"/>
      <c r="C1410" s="4"/>
      <c r="D1410" s="82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17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</row>
    <row r="1411" spans="1:38" x14ac:dyDescent="0.3">
      <c r="A1411" s="5"/>
      <c r="B1411" s="4"/>
      <c r="C1411" s="4"/>
      <c r="D1411" s="82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17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</row>
    <row r="1412" spans="1:38" x14ac:dyDescent="0.3">
      <c r="A1412" s="5"/>
      <c r="B1412" s="4"/>
      <c r="C1412" s="4"/>
      <c r="D1412" s="82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17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</row>
    <row r="1413" spans="1:38" x14ac:dyDescent="0.3">
      <c r="A1413" s="5"/>
      <c r="B1413" s="4"/>
      <c r="C1413" s="4"/>
      <c r="D1413" s="82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17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</row>
    <row r="1414" spans="1:38" x14ac:dyDescent="0.3">
      <c r="A1414" s="5"/>
      <c r="B1414" s="4"/>
      <c r="C1414" s="4"/>
      <c r="D1414" s="82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17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</row>
    <row r="1415" spans="1:38" x14ac:dyDescent="0.3">
      <c r="A1415" s="5"/>
      <c r="B1415" s="4"/>
      <c r="C1415" s="4"/>
      <c r="D1415" s="82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17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</row>
    <row r="1416" spans="1:38" x14ac:dyDescent="0.3">
      <c r="A1416" s="5"/>
      <c r="B1416" s="4"/>
      <c r="C1416" s="4"/>
      <c r="D1416" s="82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17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</row>
    <row r="1417" spans="1:38" x14ac:dyDescent="0.3">
      <c r="A1417" s="5"/>
      <c r="B1417" s="4"/>
      <c r="C1417" s="4"/>
      <c r="D1417" s="82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17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</row>
    <row r="1418" spans="1:38" x14ac:dyDescent="0.3">
      <c r="A1418" s="5"/>
      <c r="B1418" s="4"/>
      <c r="C1418" s="4"/>
      <c r="D1418" s="82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17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</row>
    <row r="1419" spans="1:38" x14ac:dyDescent="0.3">
      <c r="A1419" s="5"/>
      <c r="B1419" s="4"/>
      <c r="C1419" s="4"/>
      <c r="D1419" s="82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17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</row>
    <row r="1420" spans="1:38" x14ac:dyDescent="0.3">
      <c r="A1420" s="5"/>
      <c r="B1420" s="4"/>
      <c r="C1420" s="4"/>
      <c r="D1420" s="82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17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</row>
    <row r="1421" spans="1:38" x14ac:dyDescent="0.3">
      <c r="A1421" s="5"/>
      <c r="B1421" s="4"/>
      <c r="C1421" s="4"/>
      <c r="D1421" s="82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17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</row>
    <row r="1422" spans="1:38" x14ac:dyDescent="0.3">
      <c r="A1422" s="5"/>
      <c r="B1422" s="4"/>
      <c r="C1422" s="4"/>
      <c r="D1422" s="82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17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</row>
    <row r="1423" spans="1:38" x14ac:dyDescent="0.3">
      <c r="A1423" s="5"/>
      <c r="B1423" s="4"/>
      <c r="C1423" s="4"/>
      <c r="D1423" s="82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17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</row>
    <row r="1424" spans="1:38" x14ac:dyDescent="0.3">
      <c r="A1424" s="5"/>
      <c r="B1424" s="4"/>
      <c r="C1424" s="4"/>
      <c r="D1424" s="82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17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</row>
    <row r="1425" spans="1:38" x14ac:dyDescent="0.3">
      <c r="A1425" s="5"/>
      <c r="B1425" s="4"/>
      <c r="C1425" s="4"/>
      <c r="D1425" s="82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17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</row>
    <row r="1426" spans="1:38" x14ac:dyDescent="0.3">
      <c r="A1426" s="5"/>
      <c r="B1426" s="4"/>
      <c r="C1426" s="4"/>
      <c r="D1426" s="82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17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</row>
    <row r="1427" spans="1:38" x14ac:dyDescent="0.3">
      <c r="A1427" s="5"/>
      <c r="B1427" s="4"/>
      <c r="C1427" s="4"/>
      <c r="D1427" s="82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17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</row>
    <row r="1428" spans="1:38" x14ac:dyDescent="0.3">
      <c r="A1428" s="5"/>
      <c r="B1428" s="4"/>
      <c r="C1428" s="4"/>
      <c r="D1428" s="82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17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</row>
    <row r="1429" spans="1:38" x14ac:dyDescent="0.3">
      <c r="A1429" s="5"/>
      <c r="B1429" s="4"/>
      <c r="C1429" s="4"/>
      <c r="D1429" s="82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17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</row>
    <row r="1430" spans="1:38" x14ac:dyDescent="0.3">
      <c r="A1430" s="5"/>
      <c r="B1430" s="4"/>
      <c r="C1430" s="4"/>
      <c r="D1430" s="82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17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</row>
    <row r="1431" spans="1:38" x14ac:dyDescent="0.3">
      <c r="A1431" s="5"/>
      <c r="B1431" s="4"/>
      <c r="C1431" s="4"/>
      <c r="D1431" s="82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17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</row>
    <row r="1432" spans="1:38" x14ac:dyDescent="0.3">
      <c r="A1432" s="5"/>
      <c r="B1432" s="4"/>
      <c r="C1432" s="4"/>
      <c r="D1432" s="82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17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</row>
    <row r="1433" spans="1:38" x14ac:dyDescent="0.3">
      <c r="A1433" s="5"/>
      <c r="B1433" s="4"/>
      <c r="C1433" s="4"/>
      <c r="D1433" s="82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17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</row>
    <row r="1434" spans="1:38" x14ac:dyDescent="0.3">
      <c r="A1434" s="5"/>
      <c r="B1434" s="4"/>
      <c r="C1434" s="4"/>
      <c r="D1434" s="82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17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</row>
    <row r="1435" spans="1:38" x14ac:dyDescent="0.3">
      <c r="A1435" s="5"/>
      <c r="B1435" s="4"/>
      <c r="C1435" s="4"/>
      <c r="D1435" s="82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17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</row>
    <row r="1436" spans="1:38" x14ac:dyDescent="0.3">
      <c r="A1436" s="5"/>
      <c r="B1436" s="4"/>
      <c r="C1436" s="4"/>
      <c r="D1436" s="82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17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</row>
    <row r="1437" spans="1:38" x14ac:dyDescent="0.3">
      <c r="A1437" s="5"/>
      <c r="B1437" s="4"/>
      <c r="C1437" s="4"/>
      <c r="D1437" s="82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17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</row>
    <row r="1438" spans="1:38" x14ac:dyDescent="0.3">
      <c r="A1438" s="5"/>
      <c r="B1438" s="4"/>
      <c r="C1438" s="4"/>
      <c r="D1438" s="82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17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</row>
    <row r="1439" spans="1:38" x14ac:dyDescent="0.3">
      <c r="A1439" s="5"/>
      <c r="B1439" s="4"/>
      <c r="C1439" s="4"/>
      <c r="D1439" s="82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17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</row>
    <row r="1440" spans="1:38" x14ac:dyDescent="0.3">
      <c r="A1440" s="5"/>
      <c r="B1440" s="4"/>
      <c r="C1440" s="4"/>
      <c r="D1440" s="82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17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</row>
    <row r="1441" spans="1:38" x14ac:dyDescent="0.3">
      <c r="A1441" s="5"/>
      <c r="B1441" s="4"/>
      <c r="C1441" s="4"/>
      <c r="D1441" s="82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17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</row>
    <row r="1442" spans="1:38" x14ac:dyDescent="0.3">
      <c r="A1442" s="5"/>
      <c r="B1442" s="4"/>
      <c r="C1442" s="4"/>
      <c r="D1442" s="82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17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</row>
    <row r="1443" spans="1:38" x14ac:dyDescent="0.3">
      <c r="A1443" s="5"/>
      <c r="B1443" s="4"/>
      <c r="C1443" s="4"/>
      <c r="D1443" s="82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17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</row>
    <row r="1444" spans="1:38" x14ac:dyDescent="0.3">
      <c r="A1444" s="5"/>
      <c r="B1444" s="4"/>
      <c r="C1444" s="4"/>
      <c r="D1444" s="82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17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</row>
    <row r="1445" spans="1:38" x14ac:dyDescent="0.3">
      <c r="A1445" s="5"/>
      <c r="B1445" s="4"/>
      <c r="C1445" s="4"/>
      <c r="D1445" s="82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17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</row>
    <row r="1446" spans="1:38" x14ac:dyDescent="0.3">
      <c r="A1446" s="5"/>
      <c r="B1446" s="4"/>
      <c r="C1446" s="4"/>
      <c r="D1446" s="82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17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</row>
    <row r="1447" spans="1:38" x14ac:dyDescent="0.3">
      <c r="A1447" s="5"/>
      <c r="B1447" s="4"/>
      <c r="C1447" s="4"/>
      <c r="D1447" s="82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17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</row>
    <row r="1448" spans="1:38" x14ac:dyDescent="0.3">
      <c r="A1448" s="5"/>
      <c r="B1448" s="4"/>
      <c r="C1448" s="4"/>
      <c r="D1448" s="82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17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</row>
    <row r="1449" spans="1:38" x14ac:dyDescent="0.3">
      <c r="A1449" s="5"/>
      <c r="B1449" s="4"/>
      <c r="C1449" s="4"/>
      <c r="D1449" s="82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17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</row>
    <row r="1450" spans="1:38" x14ac:dyDescent="0.3">
      <c r="A1450" s="5"/>
      <c r="B1450" s="4"/>
      <c r="C1450" s="4"/>
      <c r="D1450" s="82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17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</row>
    <row r="1451" spans="1:38" x14ac:dyDescent="0.3">
      <c r="A1451" s="5"/>
      <c r="B1451" s="4"/>
      <c r="C1451" s="4"/>
      <c r="D1451" s="82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17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</row>
    <row r="1452" spans="1:38" x14ac:dyDescent="0.3">
      <c r="A1452" s="5"/>
      <c r="B1452" s="4"/>
      <c r="C1452" s="4"/>
      <c r="D1452" s="82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17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</row>
    <row r="1453" spans="1:38" x14ac:dyDescent="0.3">
      <c r="A1453" s="5"/>
      <c r="B1453" s="4"/>
      <c r="C1453" s="4"/>
      <c r="D1453" s="82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17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</row>
    <row r="1454" spans="1:38" x14ac:dyDescent="0.3">
      <c r="A1454" s="5"/>
      <c r="B1454" s="4"/>
      <c r="C1454" s="4"/>
      <c r="D1454" s="82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17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</row>
    <row r="1455" spans="1:38" x14ac:dyDescent="0.3">
      <c r="A1455" s="5"/>
      <c r="B1455" s="4"/>
      <c r="C1455" s="4"/>
      <c r="D1455" s="82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17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</row>
    <row r="1456" spans="1:38" x14ac:dyDescent="0.3">
      <c r="A1456" s="5"/>
      <c r="B1456" s="4"/>
      <c r="C1456" s="4"/>
      <c r="D1456" s="82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17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</row>
    <row r="1457" spans="1:38" x14ac:dyDescent="0.3">
      <c r="A1457" s="5"/>
      <c r="B1457" s="4"/>
      <c r="C1457" s="4"/>
      <c r="D1457" s="82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17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</row>
    <row r="1458" spans="1:38" x14ac:dyDescent="0.3">
      <c r="A1458" s="5"/>
      <c r="B1458" s="4"/>
      <c r="C1458" s="4"/>
      <c r="D1458" s="82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17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</row>
    <row r="1459" spans="1:38" x14ac:dyDescent="0.3">
      <c r="A1459" s="5"/>
      <c r="B1459" s="4"/>
      <c r="C1459" s="4"/>
      <c r="D1459" s="82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17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</row>
    <row r="1460" spans="1:38" x14ac:dyDescent="0.3">
      <c r="A1460" s="5"/>
      <c r="B1460" s="4"/>
      <c r="C1460" s="4"/>
      <c r="D1460" s="82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17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</row>
    <row r="1461" spans="1:38" x14ac:dyDescent="0.3">
      <c r="A1461" s="5"/>
      <c r="B1461" s="4"/>
      <c r="C1461" s="4"/>
      <c r="D1461" s="82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17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</row>
    <row r="1462" spans="1:38" x14ac:dyDescent="0.3">
      <c r="A1462" s="5"/>
      <c r="B1462" s="4"/>
      <c r="C1462" s="4"/>
      <c r="D1462" s="82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17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</row>
    <row r="1463" spans="1:38" x14ac:dyDescent="0.3">
      <c r="A1463" s="5"/>
      <c r="B1463" s="4"/>
      <c r="C1463" s="4"/>
      <c r="D1463" s="82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17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</row>
    <row r="1464" spans="1:38" x14ac:dyDescent="0.3">
      <c r="A1464" s="5"/>
      <c r="B1464" s="4"/>
      <c r="C1464" s="4"/>
      <c r="D1464" s="82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17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</row>
    <row r="1465" spans="1:38" x14ac:dyDescent="0.3">
      <c r="A1465" s="5"/>
      <c r="B1465" s="4"/>
      <c r="C1465" s="4"/>
      <c r="D1465" s="82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17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</row>
    <row r="1466" spans="1:38" x14ac:dyDescent="0.3">
      <c r="A1466" s="5"/>
      <c r="B1466" s="4"/>
      <c r="C1466" s="4"/>
      <c r="D1466" s="82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17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</row>
    <row r="1467" spans="1:38" x14ac:dyDescent="0.3">
      <c r="A1467" s="5"/>
      <c r="B1467" s="4"/>
      <c r="C1467" s="4"/>
      <c r="D1467" s="82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17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</row>
    <row r="1468" spans="1:38" x14ac:dyDescent="0.3">
      <c r="A1468" s="5"/>
      <c r="B1468" s="4"/>
      <c r="C1468" s="4"/>
      <c r="D1468" s="82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17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</row>
    <row r="1469" spans="1:38" x14ac:dyDescent="0.3">
      <c r="A1469" s="5"/>
      <c r="B1469" s="4"/>
      <c r="C1469" s="4"/>
      <c r="D1469" s="82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17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</row>
    <row r="1470" spans="1:38" x14ac:dyDescent="0.3">
      <c r="A1470" s="5"/>
      <c r="B1470" s="4"/>
      <c r="C1470" s="4"/>
      <c r="D1470" s="82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17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</row>
    <row r="1471" spans="1:38" x14ac:dyDescent="0.3">
      <c r="A1471" s="5"/>
      <c r="B1471" s="4"/>
      <c r="C1471" s="4"/>
      <c r="D1471" s="82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17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</row>
    <row r="1472" spans="1:38" x14ac:dyDescent="0.3">
      <c r="A1472" s="5"/>
      <c r="B1472" s="4"/>
      <c r="C1472" s="4"/>
      <c r="D1472" s="82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17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</row>
    <row r="1473" spans="1:38" x14ac:dyDescent="0.3">
      <c r="A1473" s="5"/>
      <c r="B1473" s="4"/>
      <c r="C1473" s="4"/>
      <c r="D1473" s="82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17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</row>
    <row r="1474" spans="1:38" x14ac:dyDescent="0.3">
      <c r="A1474" s="5"/>
      <c r="B1474" s="4"/>
      <c r="C1474" s="4"/>
      <c r="D1474" s="82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17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</row>
    <row r="1475" spans="1:38" x14ac:dyDescent="0.3">
      <c r="A1475" s="5"/>
      <c r="B1475" s="4"/>
      <c r="C1475" s="4"/>
      <c r="D1475" s="82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17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</row>
    <row r="1476" spans="1:38" x14ac:dyDescent="0.3">
      <c r="A1476" s="5"/>
      <c r="B1476" s="4"/>
      <c r="C1476" s="4"/>
      <c r="D1476" s="82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17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</row>
    <row r="1477" spans="1:38" x14ac:dyDescent="0.3">
      <c r="A1477" s="5"/>
      <c r="B1477" s="4"/>
      <c r="C1477" s="4"/>
      <c r="D1477" s="82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17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</row>
    <row r="1478" spans="1:38" x14ac:dyDescent="0.3">
      <c r="A1478" s="5"/>
      <c r="B1478" s="4"/>
      <c r="C1478" s="4"/>
      <c r="D1478" s="82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17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</row>
    <row r="1479" spans="1:38" x14ac:dyDescent="0.3">
      <c r="A1479" s="5"/>
      <c r="B1479" s="4"/>
      <c r="C1479" s="4"/>
      <c r="D1479" s="82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17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</row>
    <row r="1480" spans="1:38" x14ac:dyDescent="0.3">
      <c r="A1480" s="5"/>
      <c r="B1480" s="4"/>
      <c r="C1480" s="4"/>
      <c r="D1480" s="82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17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</row>
    <row r="1481" spans="1:38" x14ac:dyDescent="0.3">
      <c r="A1481" s="5"/>
      <c r="B1481" s="4"/>
      <c r="C1481" s="4"/>
      <c r="D1481" s="82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17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</row>
    <row r="1482" spans="1:38" x14ac:dyDescent="0.3">
      <c r="A1482" s="5"/>
      <c r="B1482" s="4"/>
      <c r="C1482" s="4"/>
      <c r="D1482" s="82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17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</row>
    <row r="1483" spans="1:38" x14ac:dyDescent="0.3">
      <c r="A1483" s="5"/>
      <c r="B1483" s="4"/>
      <c r="C1483" s="4"/>
      <c r="D1483" s="82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17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</row>
    <row r="1484" spans="1:38" x14ac:dyDescent="0.3">
      <c r="A1484" s="5"/>
      <c r="B1484" s="4"/>
      <c r="C1484" s="4"/>
      <c r="D1484" s="82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17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</row>
    <row r="1485" spans="1:38" x14ac:dyDescent="0.3">
      <c r="A1485" s="5"/>
      <c r="B1485" s="4"/>
      <c r="C1485" s="4"/>
      <c r="D1485" s="82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17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</row>
    <row r="1486" spans="1:38" x14ac:dyDescent="0.3">
      <c r="A1486" s="5"/>
      <c r="B1486" s="4"/>
      <c r="C1486" s="4"/>
      <c r="D1486" s="82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17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</row>
    <row r="1487" spans="1:38" x14ac:dyDescent="0.3">
      <c r="A1487" s="5"/>
      <c r="B1487" s="4"/>
      <c r="C1487" s="4"/>
      <c r="D1487" s="82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17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</row>
    <row r="1488" spans="1:38" x14ac:dyDescent="0.3">
      <c r="A1488" s="5"/>
      <c r="B1488" s="4"/>
      <c r="C1488" s="4"/>
      <c r="D1488" s="82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17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</row>
    <row r="1489" spans="1:38" x14ac:dyDescent="0.3">
      <c r="A1489" s="5"/>
      <c r="B1489" s="4"/>
      <c r="C1489" s="4"/>
      <c r="D1489" s="82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17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</row>
    <row r="1490" spans="1:38" x14ac:dyDescent="0.3">
      <c r="A1490" s="5"/>
      <c r="B1490" s="4"/>
      <c r="C1490" s="4"/>
      <c r="D1490" s="82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17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</row>
    <row r="1491" spans="1:38" x14ac:dyDescent="0.3">
      <c r="A1491" s="5"/>
      <c r="B1491" s="4"/>
      <c r="C1491" s="4"/>
      <c r="D1491" s="82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17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</row>
    <row r="1492" spans="1:38" x14ac:dyDescent="0.3">
      <c r="A1492" s="5"/>
      <c r="B1492" s="4"/>
      <c r="C1492" s="4"/>
      <c r="D1492" s="82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17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</row>
    <row r="1493" spans="1:38" x14ac:dyDescent="0.3">
      <c r="A1493" s="5"/>
      <c r="B1493" s="4"/>
      <c r="C1493" s="4"/>
      <c r="D1493" s="82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17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</row>
    <row r="1494" spans="1:38" x14ac:dyDescent="0.3">
      <c r="A1494" s="5"/>
      <c r="B1494" s="4"/>
      <c r="C1494" s="4"/>
      <c r="D1494" s="82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17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</row>
    <row r="1495" spans="1:38" x14ac:dyDescent="0.3">
      <c r="A1495" s="5"/>
      <c r="B1495" s="4"/>
      <c r="C1495" s="4"/>
      <c r="D1495" s="82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17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</row>
    <row r="1496" spans="1:38" x14ac:dyDescent="0.3">
      <c r="A1496" s="5"/>
      <c r="B1496" s="4"/>
      <c r="C1496" s="4"/>
      <c r="D1496" s="82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17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</row>
    <row r="1497" spans="1:38" x14ac:dyDescent="0.3">
      <c r="A1497" s="5"/>
      <c r="B1497" s="4"/>
      <c r="C1497" s="4"/>
      <c r="D1497" s="82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17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</row>
    <row r="1498" spans="1:38" x14ac:dyDescent="0.3">
      <c r="A1498" s="5"/>
      <c r="B1498" s="4"/>
      <c r="C1498" s="4"/>
      <c r="D1498" s="82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17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</row>
    <row r="1499" spans="1:38" x14ac:dyDescent="0.3">
      <c r="A1499" s="5"/>
      <c r="B1499" s="4"/>
      <c r="C1499" s="4"/>
      <c r="D1499" s="82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17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</row>
    <row r="1500" spans="1:38" x14ac:dyDescent="0.3">
      <c r="A1500" s="5"/>
      <c r="B1500" s="4"/>
      <c r="C1500" s="4"/>
      <c r="D1500" s="82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17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</row>
    <row r="1501" spans="1:38" x14ac:dyDescent="0.3">
      <c r="A1501" s="5"/>
      <c r="B1501" s="4"/>
      <c r="C1501" s="4"/>
      <c r="D1501" s="82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17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</row>
    <row r="1502" spans="1:38" x14ac:dyDescent="0.3">
      <c r="A1502" s="5"/>
      <c r="B1502" s="4"/>
      <c r="C1502" s="4"/>
      <c r="D1502" s="82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17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</row>
    <row r="1503" spans="1:38" x14ac:dyDescent="0.3">
      <c r="A1503" s="5"/>
      <c r="B1503" s="4"/>
      <c r="C1503" s="4"/>
      <c r="D1503" s="82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17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</row>
    <row r="1504" spans="1:38" x14ac:dyDescent="0.3">
      <c r="A1504" s="5"/>
      <c r="B1504" s="4"/>
      <c r="C1504" s="4"/>
      <c r="D1504" s="82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17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</row>
    <row r="1505" spans="1:38" x14ac:dyDescent="0.3">
      <c r="A1505" s="5"/>
      <c r="B1505" s="4"/>
      <c r="C1505" s="4"/>
      <c r="D1505" s="82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17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</row>
    <row r="1506" spans="1:38" x14ac:dyDescent="0.3">
      <c r="A1506" s="5"/>
      <c r="B1506" s="4"/>
      <c r="C1506" s="4"/>
      <c r="D1506" s="82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17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</row>
    <row r="1507" spans="1:38" x14ac:dyDescent="0.3">
      <c r="A1507" s="5"/>
      <c r="B1507" s="4"/>
      <c r="C1507" s="4"/>
      <c r="D1507" s="82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17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</row>
    <row r="1508" spans="1:38" x14ac:dyDescent="0.3">
      <c r="A1508" s="5"/>
      <c r="B1508" s="4"/>
      <c r="C1508" s="4"/>
      <c r="D1508" s="82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17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</row>
    <row r="1509" spans="1:38" x14ac:dyDescent="0.3">
      <c r="A1509" s="5"/>
      <c r="B1509" s="4"/>
      <c r="C1509" s="4"/>
      <c r="D1509" s="82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17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</row>
    <row r="1510" spans="1:38" x14ac:dyDescent="0.3">
      <c r="A1510" s="5"/>
      <c r="B1510" s="4"/>
      <c r="C1510" s="4"/>
      <c r="D1510" s="82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17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</row>
    <row r="1511" spans="1:38" x14ac:dyDescent="0.3">
      <c r="A1511" s="5"/>
      <c r="B1511" s="4"/>
      <c r="C1511" s="4"/>
      <c r="D1511" s="82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17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</row>
    <row r="1512" spans="1:38" x14ac:dyDescent="0.3">
      <c r="A1512" s="5"/>
      <c r="B1512" s="4"/>
      <c r="C1512" s="4"/>
      <c r="D1512" s="82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17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</row>
    <row r="1513" spans="1:38" x14ac:dyDescent="0.3">
      <c r="A1513" s="5"/>
      <c r="B1513" s="4"/>
      <c r="C1513" s="4"/>
      <c r="D1513" s="82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17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</row>
    <row r="1514" spans="1:38" x14ac:dyDescent="0.3">
      <c r="A1514" s="5"/>
      <c r="B1514" s="4"/>
      <c r="C1514" s="4"/>
      <c r="D1514" s="82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17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</row>
    <row r="1515" spans="1:38" x14ac:dyDescent="0.3">
      <c r="A1515" s="5"/>
      <c r="B1515" s="4"/>
      <c r="C1515" s="4"/>
      <c r="D1515" s="82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17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</row>
    <row r="1516" spans="1:38" x14ac:dyDescent="0.3">
      <c r="A1516" s="5"/>
      <c r="B1516" s="4"/>
      <c r="C1516" s="4"/>
      <c r="D1516" s="82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17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</row>
    <row r="1517" spans="1:38" x14ac:dyDescent="0.3">
      <c r="A1517" s="5"/>
      <c r="B1517" s="4"/>
      <c r="C1517" s="4"/>
      <c r="D1517" s="82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17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</row>
    <row r="1518" spans="1:38" x14ac:dyDescent="0.3">
      <c r="A1518" s="5"/>
      <c r="B1518" s="4"/>
      <c r="C1518" s="4"/>
      <c r="D1518" s="82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17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</row>
    <row r="1519" spans="1:38" x14ac:dyDescent="0.3">
      <c r="A1519" s="5"/>
      <c r="B1519" s="4"/>
      <c r="C1519" s="4"/>
      <c r="D1519" s="82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17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</row>
    <row r="1520" spans="1:38" x14ac:dyDescent="0.3">
      <c r="A1520" s="5"/>
      <c r="B1520" s="4"/>
      <c r="C1520" s="4"/>
      <c r="D1520" s="82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17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</row>
    <row r="1521" spans="1:38" x14ac:dyDescent="0.3">
      <c r="A1521" s="5"/>
      <c r="B1521" s="4"/>
      <c r="C1521" s="4"/>
      <c r="D1521" s="82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17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</row>
    <row r="1522" spans="1:38" x14ac:dyDescent="0.3">
      <c r="A1522" s="5"/>
      <c r="B1522" s="4"/>
      <c r="C1522" s="4"/>
      <c r="D1522" s="82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17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</row>
    <row r="1523" spans="1:38" x14ac:dyDescent="0.3">
      <c r="A1523" s="5"/>
      <c r="B1523" s="4"/>
      <c r="C1523" s="4"/>
      <c r="D1523" s="82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17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</row>
    <row r="1524" spans="1:38" x14ac:dyDescent="0.3">
      <c r="A1524" s="5"/>
      <c r="B1524" s="4"/>
      <c r="C1524" s="4"/>
      <c r="D1524" s="82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17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</row>
    <row r="1525" spans="1:38" x14ac:dyDescent="0.3">
      <c r="A1525" s="5"/>
      <c r="B1525" s="4"/>
      <c r="C1525" s="4"/>
      <c r="D1525" s="82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17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</row>
    <row r="1526" spans="1:38" x14ac:dyDescent="0.3">
      <c r="A1526" s="5"/>
      <c r="B1526" s="4"/>
      <c r="C1526" s="4"/>
      <c r="D1526" s="82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17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</row>
    <row r="1527" spans="1:38" x14ac:dyDescent="0.3">
      <c r="A1527" s="5"/>
      <c r="B1527" s="4"/>
      <c r="C1527" s="4"/>
      <c r="D1527" s="82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17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</row>
    <row r="1528" spans="1:38" x14ac:dyDescent="0.3">
      <c r="A1528" s="5"/>
      <c r="B1528" s="4"/>
      <c r="C1528" s="4"/>
      <c r="D1528" s="82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17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</row>
    <row r="1529" spans="1:38" x14ac:dyDescent="0.3">
      <c r="A1529" s="5"/>
      <c r="B1529" s="4"/>
      <c r="C1529" s="4"/>
      <c r="D1529" s="82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17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</row>
    <row r="1530" spans="1:38" x14ac:dyDescent="0.3">
      <c r="A1530" s="5"/>
      <c r="B1530" s="4"/>
      <c r="C1530" s="4"/>
      <c r="D1530" s="82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17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</row>
    <row r="1531" spans="1:38" x14ac:dyDescent="0.3">
      <c r="A1531" s="5"/>
      <c r="B1531" s="4"/>
      <c r="C1531" s="4"/>
      <c r="D1531" s="82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17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</row>
    <row r="1532" spans="1:38" x14ac:dyDescent="0.3">
      <c r="A1532" s="5"/>
      <c r="B1532" s="4"/>
      <c r="C1532" s="4"/>
      <c r="D1532" s="82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17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</row>
    <row r="1533" spans="1:38" x14ac:dyDescent="0.3">
      <c r="A1533" s="5"/>
      <c r="B1533" s="4"/>
      <c r="C1533" s="4"/>
      <c r="D1533" s="82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17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</row>
    <row r="1534" spans="1:38" x14ac:dyDescent="0.3">
      <c r="A1534" s="5"/>
      <c r="B1534" s="4"/>
      <c r="C1534" s="4"/>
      <c r="D1534" s="82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17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</row>
    <row r="1535" spans="1:38" x14ac:dyDescent="0.3">
      <c r="A1535" s="5"/>
      <c r="B1535" s="4"/>
      <c r="C1535" s="4"/>
      <c r="D1535" s="82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17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</row>
    <row r="1536" spans="1:38" x14ac:dyDescent="0.3">
      <c r="A1536" s="5"/>
      <c r="B1536" s="4"/>
      <c r="C1536" s="4"/>
      <c r="D1536" s="82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17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</row>
    <row r="1537" spans="1:38" x14ac:dyDescent="0.3">
      <c r="A1537" s="5"/>
      <c r="B1537" s="4"/>
      <c r="C1537" s="4"/>
      <c r="D1537" s="82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17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</row>
    <row r="1538" spans="1:38" x14ac:dyDescent="0.3">
      <c r="A1538" s="5"/>
      <c r="B1538" s="4"/>
      <c r="C1538" s="4"/>
      <c r="D1538" s="82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17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</row>
    <row r="1539" spans="1:38" x14ac:dyDescent="0.3">
      <c r="A1539" s="5"/>
      <c r="B1539" s="4"/>
      <c r="C1539" s="4"/>
      <c r="D1539" s="82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17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</row>
    <row r="1540" spans="1:38" x14ac:dyDescent="0.3">
      <c r="A1540" s="5"/>
      <c r="B1540" s="4"/>
      <c r="C1540" s="4"/>
      <c r="D1540" s="82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17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</row>
    <row r="1541" spans="1:38" x14ac:dyDescent="0.3">
      <c r="A1541" s="5"/>
      <c r="B1541" s="4"/>
      <c r="C1541" s="4"/>
      <c r="D1541" s="82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17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</row>
    <row r="1542" spans="1:38" x14ac:dyDescent="0.3">
      <c r="A1542" s="5"/>
      <c r="B1542" s="4"/>
      <c r="C1542" s="4"/>
      <c r="D1542" s="82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17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</row>
    <row r="1543" spans="1:38" x14ac:dyDescent="0.3">
      <c r="A1543" s="5"/>
      <c r="B1543" s="4"/>
      <c r="C1543" s="4"/>
      <c r="D1543" s="82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17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</row>
    <row r="1544" spans="1:38" x14ac:dyDescent="0.3">
      <c r="A1544" s="5"/>
      <c r="B1544" s="4"/>
      <c r="C1544" s="4"/>
      <c r="D1544" s="82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17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</row>
    <row r="1545" spans="1:38" x14ac:dyDescent="0.3">
      <c r="A1545" s="5"/>
      <c r="B1545" s="4"/>
      <c r="C1545" s="4"/>
      <c r="D1545" s="82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17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</row>
    <row r="1546" spans="1:38" x14ac:dyDescent="0.3">
      <c r="A1546" s="5"/>
      <c r="B1546" s="4"/>
      <c r="C1546" s="4"/>
      <c r="D1546" s="82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17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</row>
    <row r="1547" spans="1:38" x14ac:dyDescent="0.3">
      <c r="A1547" s="5"/>
      <c r="B1547" s="4"/>
      <c r="C1547" s="4"/>
      <c r="D1547" s="82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17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</row>
    <row r="1548" spans="1:38" x14ac:dyDescent="0.3">
      <c r="A1548" s="5"/>
      <c r="B1548" s="4"/>
      <c r="C1548" s="4"/>
      <c r="D1548" s="82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17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</row>
    <row r="1549" spans="1:38" x14ac:dyDescent="0.3">
      <c r="A1549" s="5"/>
      <c r="B1549" s="4"/>
      <c r="C1549" s="4"/>
      <c r="D1549" s="82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17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</row>
    <row r="1550" spans="1:38" x14ac:dyDescent="0.3">
      <c r="A1550" s="5"/>
      <c r="B1550" s="4"/>
      <c r="C1550" s="4"/>
      <c r="D1550" s="82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17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</row>
    <row r="1551" spans="1:38" x14ac:dyDescent="0.3">
      <c r="A1551" s="5"/>
      <c r="B1551" s="4"/>
      <c r="C1551" s="4"/>
      <c r="D1551" s="82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17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</row>
    <row r="1552" spans="1:38" x14ac:dyDescent="0.3">
      <c r="A1552" s="5"/>
      <c r="B1552" s="4"/>
      <c r="C1552" s="4"/>
      <c r="D1552" s="82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17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</row>
    <row r="1553" spans="1:38" x14ac:dyDescent="0.3">
      <c r="A1553" s="5"/>
      <c r="B1553" s="4"/>
      <c r="C1553" s="4"/>
      <c r="D1553" s="82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17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</row>
    <row r="1554" spans="1:38" x14ac:dyDescent="0.3">
      <c r="A1554" s="5"/>
      <c r="B1554" s="4"/>
      <c r="C1554" s="4"/>
      <c r="D1554" s="82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17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</row>
    <row r="1555" spans="1:38" x14ac:dyDescent="0.3">
      <c r="A1555" s="5"/>
      <c r="B1555" s="4"/>
      <c r="C1555" s="4"/>
      <c r="D1555" s="82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17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</row>
    <row r="1556" spans="1:38" x14ac:dyDescent="0.3">
      <c r="A1556" s="5"/>
      <c r="B1556" s="4"/>
      <c r="C1556" s="4"/>
      <c r="D1556" s="82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17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</row>
    <row r="1557" spans="1:38" x14ac:dyDescent="0.3">
      <c r="A1557" s="5"/>
      <c r="B1557" s="4"/>
      <c r="C1557" s="4"/>
      <c r="D1557" s="82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17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</row>
    <row r="1558" spans="1:38" x14ac:dyDescent="0.3">
      <c r="A1558" s="5"/>
      <c r="B1558" s="4"/>
      <c r="C1558" s="4"/>
      <c r="D1558" s="82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17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</row>
    <row r="1559" spans="1:38" x14ac:dyDescent="0.3">
      <c r="A1559" s="5"/>
      <c r="B1559" s="4"/>
      <c r="C1559" s="4"/>
      <c r="D1559" s="82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17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</row>
    <row r="1560" spans="1:38" x14ac:dyDescent="0.3">
      <c r="A1560" s="5"/>
      <c r="B1560" s="4"/>
      <c r="C1560" s="4"/>
      <c r="D1560" s="82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17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</row>
    <row r="1561" spans="1:38" x14ac:dyDescent="0.3">
      <c r="A1561" s="5"/>
      <c r="B1561" s="4"/>
      <c r="C1561" s="4"/>
      <c r="D1561" s="82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17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</row>
    <row r="1562" spans="1:38" x14ac:dyDescent="0.3">
      <c r="A1562" s="5"/>
      <c r="B1562" s="4"/>
      <c r="C1562" s="4"/>
      <c r="D1562" s="82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17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</row>
    <row r="1563" spans="1:38" x14ac:dyDescent="0.3">
      <c r="A1563" s="5"/>
      <c r="B1563" s="4"/>
      <c r="C1563" s="4"/>
      <c r="D1563" s="82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17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</row>
    <row r="1564" spans="1:38" x14ac:dyDescent="0.3">
      <c r="A1564" s="5"/>
      <c r="B1564" s="4"/>
      <c r="C1564" s="4"/>
      <c r="D1564" s="82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17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</row>
    <row r="1565" spans="1:38" x14ac:dyDescent="0.3">
      <c r="A1565" s="5"/>
      <c r="B1565" s="4"/>
      <c r="C1565" s="4"/>
      <c r="D1565" s="82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17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</row>
    <row r="1566" spans="1:38" x14ac:dyDescent="0.3">
      <c r="A1566" s="5"/>
      <c r="B1566" s="4"/>
      <c r="C1566" s="4"/>
      <c r="D1566" s="82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17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</row>
    <row r="1567" spans="1:38" x14ac:dyDescent="0.3">
      <c r="A1567" s="5"/>
      <c r="B1567" s="4"/>
      <c r="C1567" s="4"/>
      <c r="D1567" s="82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17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</row>
    <row r="1568" spans="1:38" x14ac:dyDescent="0.3">
      <c r="A1568" s="5"/>
      <c r="B1568" s="4"/>
      <c r="C1568" s="4"/>
      <c r="D1568" s="82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17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</row>
    <row r="1569" spans="1:38" x14ac:dyDescent="0.3">
      <c r="A1569" s="5"/>
      <c r="B1569" s="4"/>
      <c r="C1569" s="4"/>
      <c r="D1569" s="82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17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</row>
    <row r="1570" spans="1:38" x14ac:dyDescent="0.3">
      <c r="A1570" s="5"/>
      <c r="B1570" s="4"/>
      <c r="C1570" s="4"/>
      <c r="D1570" s="82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17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</row>
    <row r="1571" spans="1:38" x14ac:dyDescent="0.3">
      <c r="A1571" s="5"/>
      <c r="B1571" s="4"/>
      <c r="C1571" s="4"/>
      <c r="D1571" s="82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17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</row>
    <row r="1572" spans="1:38" x14ac:dyDescent="0.3">
      <c r="A1572" s="5"/>
      <c r="B1572" s="4"/>
      <c r="C1572" s="4"/>
      <c r="D1572" s="82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17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</row>
    <row r="1573" spans="1:38" x14ac:dyDescent="0.3">
      <c r="A1573" s="5"/>
      <c r="B1573" s="4"/>
      <c r="C1573" s="4"/>
      <c r="D1573" s="82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17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</row>
    <row r="1574" spans="1:38" x14ac:dyDescent="0.3">
      <c r="A1574" s="5"/>
      <c r="B1574" s="4"/>
      <c r="C1574" s="4"/>
      <c r="D1574" s="82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17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</row>
    <row r="1575" spans="1:38" x14ac:dyDescent="0.3">
      <c r="A1575" s="5"/>
      <c r="B1575" s="4"/>
      <c r="C1575" s="4"/>
      <c r="D1575" s="82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17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</row>
    <row r="1576" spans="1:38" x14ac:dyDescent="0.3">
      <c r="A1576" s="5"/>
      <c r="B1576" s="4"/>
      <c r="C1576" s="4"/>
      <c r="D1576" s="82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17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</row>
    <row r="1577" spans="1:38" x14ac:dyDescent="0.3">
      <c r="A1577" s="5"/>
      <c r="B1577" s="4"/>
      <c r="C1577" s="4"/>
      <c r="D1577" s="82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17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</row>
    <row r="1578" spans="1:38" x14ac:dyDescent="0.3">
      <c r="A1578" s="5"/>
      <c r="B1578" s="4"/>
      <c r="C1578" s="4"/>
      <c r="D1578" s="82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17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</row>
    <row r="1579" spans="1:38" x14ac:dyDescent="0.3">
      <c r="A1579" s="5"/>
      <c r="B1579" s="4"/>
      <c r="C1579" s="4"/>
      <c r="D1579" s="82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17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</row>
    <row r="1580" spans="1:38" x14ac:dyDescent="0.3">
      <c r="A1580" s="5"/>
      <c r="B1580" s="4"/>
      <c r="C1580" s="4"/>
      <c r="D1580" s="82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17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</row>
    <row r="1581" spans="1:38" x14ac:dyDescent="0.3">
      <c r="A1581" s="5"/>
      <c r="B1581" s="4"/>
      <c r="C1581" s="4"/>
      <c r="D1581" s="82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17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</row>
    <row r="1582" spans="1:38" x14ac:dyDescent="0.3">
      <c r="A1582" s="5"/>
      <c r="B1582" s="4"/>
      <c r="C1582" s="4"/>
      <c r="D1582" s="82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17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</row>
    <row r="1583" spans="1:38" x14ac:dyDescent="0.3">
      <c r="A1583" s="5"/>
      <c r="B1583" s="4"/>
      <c r="C1583" s="4"/>
      <c r="D1583" s="82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17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</row>
    <row r="1584" spans="1:38" x14ac:dyDescent="0.3">
      <c r="A1584" s="5"/>
      <c r="B1584" s="4"/>
      <c r="C1584" s="4"/>
      <c r="D1584" s="82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17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</row>
    <row r="1585" spans="1:38" x14ac:dyDescent="0.3">
      <c r="A1585" s="5"/>
      <c r="B1585" s="4"/>
      <c r="C1585" s="4"/>
      <c r="D1585" s="82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17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</row>
    <row r="1586" spans="1:38" x14ac:dyDescent="0.3">
      <c r="A1586" s="5"/>
      <c r="B1586" s="4"/>
      <c r="C1586" s="4"/>
      <c r="D1586" s="82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17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</row>
    <row r="1587" spans="1:38" x14ac:dyDescent="0.3">
      <c r="A1587" s="5"/>
      <c r="B1587" s="4"/>
      <c r="C1587" s="4"/>
      <c r="D1587" s="82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17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</row>
    <row r="1588" spans="1:38" x14ac:dyDescent="0.3">
      <c r="A1588" s="5"/>
      <c r="B1588" s="4"/>
      <c r="C1588" s="4"/>
      <c r="D1588" s="82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17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</row>
    <row r="1589" spans="1:38" x14ac:dyDescent="0.3">
      <c r="A1589" s="5"/>
      <c r="B1589" s="4"/>
      <c r="C1589" s="4"/>
      <c r="D1589" s="82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17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</row>
    <row r="1590" spans="1:38" x14ac:dyDescent="0.3">
      <c r="A1590" s="5"/>
      <c r="B1590" s="4"/>
      <c r="C1590" s="4"/>
      <c r="D1590" s="82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17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</row>
    <row r="1591" spans="1:38" x14ac:dyDescent="0.3">
      <c r="A1591" s="5"/>
      <c r="B1591" s="4"/>
      <c r="C1591" s="4"/>
      <c r="D1591" s="82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17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</row>
    <row r="1592" spans="1:38" x14ac:dyDescent="0.3">
      <c r="A1592" s="5"/>
      <c r="B1592" s="4"/>
      <c r="C1592" s="4"/>
      <c r="D1592" s="82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17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</row>
    <row r="1593" spans="1:38" x14ac:dyDescent="0.3">
      <c r="A1593" s="5"/>
      <c r="B1593" s="4"/>
      <c r="C1593" s="4"/>
      <c r="D1593" s="82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17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</row>
    <row r="1594" spans="1:38" x14ac:dyDescent="0.3">
      <c r="A1594" s="5"/>
      <c r="B1594" s="4"/>
      <c r="C1594" s="4"/>
      <c r="D1594" s="82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17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</row>
    <row r="1595" spans="1:38" x14ac:dyDescent="0.3">
      <c r="A1595" s="5"/>
      <c r="B1595" s="4"/>
      <c r="C1595" s="4"/>
      <c r="D1595" s="82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17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</row>
    <row r="1596" spans="1:38" x14ac:dyDescent="0.3">
      <c r="A1596" s="5"/>
      <c r="B1596" s="4"/>
      <c r="C1596" s="4"/>
      <c r="D1596" s="82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17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</row>
    <row r="1597" spans="1:38" x14ac:dyDescent="0.3">
      <c r="A1597" s="5"/>
      <c r="B1597" s="4"/>
      <c r="C1597" s="4"/>
      <c r="D1597" s="82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17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</row>
    <row r="1598" spans="1:38" x14ac:dyDescent="0.3">
      <c r="A1598" s="5"/>
      <c r="B1598" s="4"/>
      <c r="C1598" s="4"/>
      <c r="D1598" s="82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17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</row>
    <row r="1599" spans="1:38" x14ac:dyDescent="0.3">
      <c r="A1599" s="5"/>
      <c r="B1599" s="4"/>
      <c r="C1599" s="4"/>
      <c r="D1599" s="82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17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</row>
    <row r="1600" spans="1:38" x14ac:dyDescent="0.3">
      <c r="A1600" s="5"/>
      <c r="B1600" s="4"/>
      <c r="C1600" s="4"/>
      <c r="D1600" s="82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17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</row>
    <row r="1601" spans="1:38" x14ac:dyDescent="0.3">
      <c r="A1601" s="5"/>
      <c r="B1601" s="4"/>
      <c r="C1601" s="4"/>
      <c r="D1601" s="82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17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</row>
    <row r="1602" spans="1:38" x14ac:dyDescent="0.3">
      <c r="A1602" s="5"/>
      <c r="B1602" s="4"/>
      <c r="C1602" s="4"/>
      <c r="D1602" s="82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17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</row>
    <row r="1603" spans="1:38" x14ac:dyDescent="0.3">
      <c r="A1603" s="5"/>
      <c r="B1603" s="4"/>
      <c r="C1603" s="4"/>
      <c r="D1603" s="82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17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</row>
    <row r="1604" spans="1:38" x14ac:dyDescent="0.3">
      <c r="A1604" s="5"/>
      <c r="B1604" s="4"/>
      <c r="C1604" s="4"/>
      <c r="D1604" s="82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17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</row>
    <row r="1605" spans="1:38" x14ac:dyDescent="0.3">
      <c r="A1605" s="5"/>
      <c r="B1605" s="4"/>
      <c r="C1605" s="4"/>
      <c r="D1605" s="82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17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</row>
    <row r="1606" spans="1:38" x14ac:dyDescent="0.3">
      <c r="A1606" s="5"/>
      <c r="B1606" s="4"/>
      <c r="C1606" s="4"/>
      <c r="D1606" s="82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17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</row>
    <row r="1607" spans="1:38" x14ac:dyDescent="0.3">
      <c r="A1607" s="5"/>
      <c r="B1607" s="4"/>
      <c r="C1607" s="4"/>
      <c r="D1607" s="82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17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</row>
    <row r="1608" spans="1:38" x14ac:dyDescent="0.3">
      <c r="A1608" s="5"/>
      <c r="B1608" s="4"/>
      <c r="C1608" s="4"/>
      <c r="D1608" s="82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17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</row>
    <row r="1609" spans="1:38" x14ac:dyDescent="0.3">
      <c r="A1609" s="5"/>
      <c r="B1609" s="4"/>
      <c r="C1609" s="4"/>
      <c r="D1609" s="82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17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</row>
    <row r="1610" spans="1:38" x14ac:dyDescent="0.3">
      <c r="A1610" s="5"/>
      <c r="B1610" s="4"/>
      <c r="C1610" s="4"/>
      <c r="D1610" s="82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17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</row>
    <row r="1611" spans="1:38" x14ac:dyDescent="0.3">
      <c r="A1611" s="5"/>
      <c r="B1611" s="4"/>
      <c r="C1611" s="4"/>
      <c r="D1611" s="82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17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</row>
    <row r="1612" spans="1:38" x14ac:dyDescent="0.3">
      <c r="A1612" s="5"/>
      <c r="B1612" s="4"/>
      <c r="C1612" s="4"/>
      <c r="D1612" s="82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17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</row>
    <row r="1613" spans="1:38" x14ac:dyDescent="0.3">
      <c r="A1613" s="5"/>
      <c r="B1613" s="4"/>
      <c r="C1613" s="4"/>
      <c r="D1613" s="82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17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</row>
    <row r="1614" spans="1:38" x14ac:dyDescent="0.3">
      <c r="A1614" s="5"/>
      <c r="B1614" s="4"/>
      <c r="C1614" s="4"/>
      <c r="D1614" s="82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17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</row>
    <row r="1615" spans="1:38" x14ac:dyDescent="0.3">
      <c r="A1615" s="5"/>
      <c r="B1615" s="4"/>
      <c r="C1615" s="4"/>
      <c r="D1615" s="82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17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</row>
    <row r="1616" spans="1:38" x14ac:dyDescent="0.3">
      <c r="A1616" s="5"/>
      <c r="B1616" s="4"/>
      <c r="C1616" s="4"/>
      <c r="D1616" s="82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17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</row>
    <row r="1617" spans="1:38" x14ac:dyDescent="0.3">
      <c r="A1617" s="5"/>
      <c r="B1617" s="4"/>
      <c r="C1617" s="4"/>
      <c r="D1617" s="82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17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</row>
    <row r="1618" spans="1:38" x14ac:dyDescent="0.3">
      <c r="A1618" s="5"/>
      <c r="B1618" s="4"/>
      <c r="C1618" s="4"/>
      <c r="D1618" s="82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17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</row>
    <row r="1619" spans="1:38" x14ac:dyDescent="0.3">
      <c r="A1619" s="5"/>
      <c r="B1619" s="4"/>
      <c r="C1619" s="4"/>
      <c r="D1619" s="82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17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</row>
    <row r="1620" spans="1:38" x14ac:dyDescent="0.3">
      <c r="A1620" s="5"/>
      <c r="B1620" s="4"/>
      <c r="C1620" s="4"/>
      <c r="D1620" s="82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17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</row>
    <row r="1621" spans="1:38" x14ac:dyDescent="0.3">
      <c r="A1621" s="5"/>
      <c r="B1621" s="4"/>
      <c r="C1621" s="4"/>
      <c r="D1621" s="82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17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</row>
    <row r="1622" spans="1:38" x14ac:dyDescent="0.3">
      <c r="A1622" s="5"/>
      <c r="B1622" s="4"/>
      <c r="C1622" s="4"/>
      <c r="D1622" s="82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17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</row>
    <row r="1623" spans="1:38" x14ac:dyDescent="0.3">
      <c r="A1623" s="5"/>
      <c r="B1623" s="4"/>
      <c r="C1623" s="4"/>
      <c r="D1623" s="82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17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</row>
    <row r="1624" spans="1:38" x14ac:dyDescent="0.3">
      <c r="A1624" s="5"/>
      <c r="B1624" s="4"/>
      <c r="C1624" s="4"/>
      <c r="D1624" s="82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17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</row>
    <row r="1625" spans="1:38" x14ac:dyDescent="0.3">
      <c r="A1625" s="5"/>
      <c r="B1625" s="4"/>
      <c r="C1625" s="4"/>
      <c r="D1625" s="82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17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</row>
    <row r="1626" spans="1:38" x14ac:dyDescent="0.3">
      <c r="A1626" s="5"/>
      <c r="B1626" s="4"/>
      <c r="C1626" s="4"/>
      <c r="D1626" s="82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17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</row>
    <row r="1627" spans="1:38" x14ac:dyDescent="0.3">
      <c r="A1627" s="5"/>
      <c r="B1627" s="4"/>
      <c r="C1627" s="4"/>
      <c r="D1627" s="82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17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</row>
    <row r="1628" spans="1:38" x14ac:dyDescent="0.3">
      <c r="A1628" s="5"/>
      <c r="B1628" s="4"/>
      <c r="C1628" s="4"/>
      <c r="D1628" s="82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17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</row>
    <row r="1629" spans="1:38" x14ac:dyDescent="0.3">
      <c r="A1629" s="5"/>
      <c r="B1629" s="4"/>
      <c r="C1629" s="4"/>
      <c r="D1629" s="82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17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</row>
    <row r="1630" spans="1:38" x14ac:dyDescent="0.3">
      <c r="A1630" s="5"/>
      <c r="B1630" s="4"/>
      <c r="C1630" s="4"/>
      <c r="D1630" s="82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17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</row>
    <row r="1631" spans="1:38" x14ac:dyDescent="0.3">
      <c r="A1631" s="5"/>
      <c r="B1631" s="4"/>
      <c r="C1631" s="4"/>
      <c r="D1631" s="82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17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</row>
    <row r="1632" spans="1:38" x14ac:dyDescent="0.3">
      <c r="A1632" s="5"/>
      <c r="B1632" s="4"/>
      <c r="C1632" s="4"/>
      <c r="D1632" s="82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17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</row>
    <row r="1633" spans="1:38" x14ac:dyDescent="0.3">
      <c r="A1633" s="5"/>
      <c r="B1633" s="4"/>
      <c r="C1633" s="4"/>
      <c r="D1633" s="82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17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</row>
    <row r="1634" spans="1:38" x14ac:dyDescent="0.3">
      <c r="A1634" s="5"/>
      <c r="B1634" s="4"/>
      <c r="C1634" s="4"/>
      <c r="D1634" s="82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17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</row>
    <row r="1635" spans="1:38" x14ac:dyDescent="0.3">
      <c r="A1635" s="5"/>
      <c r="B1635" s="4"/>
      <c r="C1635" s="4"/>
      <c r="D1635" s="82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17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</row>
    <row r="1636" spans="1:38" x14ac:dyDescent="0.3">
      <c r="A1636" s="5"/>
      <c r="B1636" s="4"/>
      <c r="C1636" s="4"/>
      <c r="D1636" s="82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17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</row>
    <row r="1637" spans="1:38" x14ac:dyDescent="0.3">
      <c r="A1637" s="5"/>
      <c r="B1637" s="4"/>
      <c r="C1637" s="4"/>
      <c r="D1637" s="82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17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</row>
    <row r="1638" spans="1:38" x14ac:dyDescent="0.3">
      <c r="A1638" s="5"/>
      <c r="B1638" s="4"/>
      <c r="C1638" s="4"/>
      <c r="D1638" s="82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17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</row>
    <row r="1639" spans="1:38" x14ac:dyDescent="0.3">
      <c r="A1639" s="5"/>
      <c r="B1639" s="4"/>
      <c r="C1639" s="4"/>
      <c r="D1639" s="82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17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</row>
    <row r="1640" spans="1:38" x14ac:dyDescent="0.3">
      <c r="A1640" s="5"/>
      <c r="B1640" s="4"/>
      <c r="C1640" s="4"/>
      <c r="D1640" s="82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17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</row>
    <row r="1641" spans="1:38" x14ac:dyDescent="0.3">
      <c r="A1641" s="5"/>
      <c r="B1641" s="4"/>
      <c r="C1641" s="4"/>
      <c r="D1641" s="82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17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</row>
    <row r="1642" spans="1:38" x14ac:dyDescent="0.3">
      <c r="A1642" s="5"/>
      <c r="B1642" s="4"/>
      <c r="C1642" s="4"/>
      <c r="D1642" s="82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17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</row>
    <row r="1643" spans="1:38" x14ac:dyDescent="0.3">
      <c r="A1643" s="5"/>
      <c r="B1643" s="4"/>
      <c r="C1643" s="4"/>
      <c r="D1643" s="82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17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</row>
    <row r="1644" spans="1:38" x14ac:dyDescent="0.3">
      <c r="A1644" s="5"/>
      <c r="B1644" s="4"/>
      <c r="C1644" s="4"/>
      <c r="D1644" s="82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17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</row>
    <row r="1645" spans="1:38" x14ac:dyDescent="0.3">
      <c r="A1645" s="5"/>
      <c r="B1645" s="4"/>
      <c r="C1645" s="4"/>
      <c r="D1645" s="82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17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</row>
    <row r="1646" spans="1:38" x14ac:dyDescent="0.3">
      <c r="A1646" s="5"/>
      <c r="B1646" s="4"/>
      <c r="C1646" s="4"/>
      <c r="D1646" s="82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17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</row>
    <row r="1647" spans="1:38" x14ac:dyDescent="0.3">
      <c r="A1647" s="5"/>
      <c r="B1647" s="4"/>
      <c r="C1647" s="4"/>
      <c r="D1647" s="82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17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</row>
    <row r="1648" spans="1:38" x14ac:dyDescent="0.3">
      <c r="A1648" s="5"/>
      <c r="B1648" s="4"/>
      <c r="C1648" s="4"/>
      <c r="D1648" s="82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17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</row>
    <row r="1649" spans="1:38" x14ac:dyDescent="0.3">
      <c r="A1649" s="5"/>
      <c r="B1649" s="4"/>
      <c r="C1649" s="4"/>
      <c r="D1649" s="82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17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</row>
    <row r="1650" spans="1:38" x14ac:dyDescent="0.3">
      <c r="A1650" s="5"/>
      <c r="B1650" s="4"/>
      <c r="C1650" s="4"/>
      <c r="D1650" s="82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17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</row>
    <row r="1651" spans="1:38" x14ac:dyDescent="0.3">
      <c r="A1651" s="5"/>
      <c r="B1651" s="4"/>
      <c r="C1651" s="4"/>
      <c r="D1651" s="82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17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</row>
    <row r="1652" spans="1:38" x14ac:dyDescent="0.3">
      <c r="A1652" s="5"/>
      <c r="B1652" s="4"/>
      <c r="C1652" s="4"/>
      <c r="D1652" s="82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17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</row>
    <row r="1653" spans="1:38" x14ac:dyDescent="0.3">
      <c r="A1653" s="5"/>
      <c r="B1653" s="4"/>
      <c r="C1653" s="4"/>
      <c r="D1653" s="82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17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</row>
    <row r="1654" spans="1:38" x14ac:dyDescent="0.3">
      <c r="A1654" s="5"/>
      <c r="B1654" s="4"/>
      <c r="C1654" s="4"/>
      <c r="D1654" s="82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17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</row>
    <row r="1655" spans="1:38" x14ac:dyDescent="0.3">
      <c r="A1655" s="5"/>
      <c r="B1655" s="4"/>
      <c r="C1655" s="4"/>
      <c r="D1655" s="82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17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</row>
    <row r="1656" spans="1:38" x14ac:dyDescent="0.3">
      <c r="A1656" s="5"/>
      <c r="B1656" s="4"/>
      <c r="C1656" s="4"/>
      <c r="D1656" s="82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17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</row>
    <row r="1657" spans="1:38" x14ac:dyDescent="0.3">
      <c r="A1657" s="5"/>
      <c r="B1657" s="4"/>
      <c r="C1657" s="4"/>
      <c r="D1657" s="82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17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</row>
    <row r="1658" spans="1:38" x14ac:dyDescent="0.3">
      <c r="A1658" s="5"/>
      <c r="B1658" s="4"/>
      <c r="C1658" s="4"/>
      <c r="D1658" s="82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17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</row>
    <row r="1659" spans="1:38" x14ac:dyDescent="0.3">
      <c r="A1659" s="5"/>
      <c r="B1659" s="4"/>
      <c r="C1659" s="4"/>
      <c r="D1659" s="82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17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</row>
    <row r="1660" spans="1:38" x14ac:dyDescent="0.3">
      <c r="A1660" s="5"/>
      <c r="B1660" s="4"/>
      <c r="C1660" s="4"/>
      <c r="D1660" s="82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17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</row>
    <row r="1661" spans="1:38" x14ac:dyDescent="0.3">
      <c r="A1661" s="5"/>
      <c r="B1661" s="4"/>
      <c r="C1661" s="4"/>
      <c r="D1661" s="82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17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</row>
    <row r="1662" spans="1:38" x14ac:dyDescent="0.3">
      <c r="A1662" s="5"/>
      <c r="B1662" s="4"/>
      <c r="C1662" s="4"/>
      <c r="D1662" s="82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17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</row>
    <row r="1663" spans="1:38" x14ac:dyDescent="0.3">
      <c r="A1663" s="5"/>
      <c r="B1663" s="4"/>
      <c r="C1663" s="4"/>
      <c r="D1663" s="82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17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</row>
    <row r="1664" spans="1:38" x14ac:dyDescent="0.3">
      <c r="A1664" s="5"/>
      <c r="B1664" s="4"/>
      <c r="C1664" s="4"/>
      <c r="D1664" s="82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17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</row>
    <row r="1665" spans="1:38" x14ac:dyDescent="0.3">
      <c r="A1665" s="5"/>
      <c r="B1665" s="4"/>
      <c r="C1665" s="4"/>
      <c r="D1665" s="82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17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</row>
    <row r="1666" spans="1:38" x14ac:dyDescent="0.3">
      <c r="A1666" s="5"/>
      <c r="B1666" s="4"/>
      <c r="C1666" s="4"/>
      <c r="D1666" s="82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17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</row>
    <row r="1667" spans="1:38" x14ac:dyDescent="0.3">
      <c r="A1667" s="5"/>
      <c r="B1667" s="4"/>
      <c r="C1667" s="4"/>
      <c r="D1667" s="82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17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</row>
    <row r="1668" spans="1:38" x14ac:dyDescent="0.3">
      <c r="A1668" s="5"/>
      <c r="B1668" s="4"/>
      <c r="C1668" s="4"/>
      <c r="D1668" s="82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17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</row>
    <row r="1669" spans="1:38" x14ac:dyDescent="0.3">
      <c r="A1669" s="5"/>
      <c r="B1669" s="4"/>
      <c r="C1669" s="4"/>
      <c r="D1669" s="82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17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</row>
    <row r="1670" spans="1:38" x14ac:dyDescent="0.3">
      <c r="A1670" s="5"/>
      <c r="B1670" s="4"/>
      <c r="C1670" s="4"/>
      <c r="D1670" s="82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17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</row>
    <row r="1671" spans="1:38" x14ac:dyDescent="0.3">
      <c r="A1671" s="5"/>
      <c r="B1671" s="4"/>
      <c r="C1671" s="4"/>
      <c r="D1671" s="82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17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</row>
    <row r="1672" spans="1:38" x14ac:dyDescent="0.3">
      <c r="A1672" s="5"/>
      <c r="B1672" s="4"/>
      <c r="C1672" s="4"/>
      <c r="D1672" s="82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17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</row>
    <row r="1673" spans="1:38" x14ac:dyDescent="0.3">
      <c r="A1673" s="5"/>
      <c r="B1673" s="4"/>
      <c r="C1673" s="4"/>
      <c r="D1673" s="82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17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</row>
    <row r="1674" spans="1:38" x14ac:dyDescent="0.3">
      <c r="A1674" s="5"/>
      <c r="B1674" s="4"/>
      <c r="C1674" s="4"/>
      <c r="D1674" s="82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17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</row>
    <row r="1675" spans="1:38" x14ac:dyDescent="0.3">
      <c r="A1675" s="5"/>
      <c r="B1675" s="4"/>
      <c r="C1675" s="4"/>
      <c r="D1675" s="82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17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</row>
    <row r="1676" spans="1:38" x14ac:dyDescent="0.3">
      <c r="A1676" s="5"/>
      <c r="B1676" s="4"/>
      <c r="C1676" s="4"/>
      <c r="D1676" s="82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17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</row>
    <row r="1677" spans="1:38" x14ac:dyDescent="0.3">
      <c r="A1677" s="5"/>
      <c r="B1677" s="4"/>
      <c r="C1677" s="4"/>
      <c r="D1677" s="82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17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</row>
    <row r="1678" spans="1:38" x14ac:dyDescent="0.3">
      <c r="A1678" s="5"/>
      <c r="B1678" s="4"/>
      <c r="C1678" s="4"/>
      <c r="D1678" s="82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17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</row>
    <row r="1679" spans="1:38" x14ac:dyDescent="0.3">
      <c r="A1679" s="5"/>
      <c r="B1679" s="4"/>
      <c r="C1679" s="4"/>
      <c r="D1679" s="82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17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</row>
    <row r="1680" spans="1:38" x14ac:dyDescent="0.3">
      <c r="A1680" s="5"/>
      <c r="B1680" s="4"/>
      <c r="C1680" s="4"/>
      <c r="D1680" s="82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17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</row>
    <row r="1681" spans="1:38" x14ac:dyDescent="0.3">
      <c r="A1681" s="5"/>
      <c r="B1681" s="4"/>
      <c r="C1681" s="4"/>
      <c r="D1681" s="82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17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</row>
    <row r="1682" spans="1:38" x14ac:dyDescent="0.3">
      <c r="A1682" s="5"/>
      <c r="B1682" s="4"/>
      <c r="C1682" s="4"/>
      <c r="D1682" s="82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17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</row>
    <row r="1683" spans="1:38" x14ac:dyDescent="0.3">
      <c r="A1683" s="5"/>
      <c r="B1683" s="4"/>
      <c r="C1683" s="4"/>
      <c r="D1683" s="82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17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</row>
    <row r="1684" spans="1:38" x14ac:dyDescent="0.3">
      <c r="A1684" s="5"/>
      <c r="B1684" s="4"/>
      <c r="C1684" s="4"/>
      <c r="D1684" s="82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17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</row>
    <row r="1685" spans="1:38" x14ac:dyDescent="0.3">
      <c r="A1685" s="5"/>
      <c r="B1685" s="4"/>
      <c r="C1685" s="4"/>
      <c r="D1685" s="82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17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</row>
    <row r="1686" spans="1:38" x14ac:dyDescent="0.3">
      <c r="A1686" s="5"/>
      <c r="B1686" s="4"/>
      <c r="C1686" s="4"/>
      <c r="D1686" s="82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17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</row>
    <row r="1687" spans="1:38" x14ac:dyDescent="0.3">
      <c r="A1687" s="5"/>
      <c r="B1687" s="4"/>
      <c r="C1687" s="4"/>
      <c r="D1687" s="82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17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</row>
    <row r="1688" spans="1:38" x14ac:dyDescent="0.3">
      <c r="A1688" s="5"/>
      <c r="B1688" s="4"/>
      <c r="C1688" s="4"/>
      <c r="D1688" s="82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17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</row>
    <row r="1689" spans="1:38" x14ac:dyDescent="0.3">
      <c r="A1689" s="5"/>
      <c r="B1689" s="4"/>
      <c r="C1689" s="4"/>
      <c r="D1689" s="82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17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</row>
    <row r="1690" spans="1:38" x14ac:dyDescent="0.3">
      <c r="A1690" s="5"/>
      <c r="B1690" s="4"/>
      <c r="C1690" s="4"/>
      <c r="D1690" s="82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17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</row>
    <row r="1691" spans="1:38" x14ac:dyDescent="0.3">
      <c r="A1691" s="5"/>
      <c r="B1691" s="4"/>
      <c r="C1691" s="4"/>
      <c r="D1691" s="82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17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</row>
    <row r="1692" spans="1:38" x14ac:dyDescent="0.3">
      <c r="A1692" s="5"/>
      <c r="B1692" s="4"/>
      <c r="C1692" s="4"/>
      <c r="D1692" s="82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17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</row>
    <row r="1693" spans="1:38" x14ac:dyDescent="0.3">
      <c r="A1693" s="5"/>
      <c r="B1693" s="4"/>
      <c r="C1693" s="4"/>
      <c r="D1693" s="82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17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</row>
    <row r="1694" spans="1:38" x14ac:dyDescent="0.3">
      <c r="A1694" s="5"/>
      <c r="B1694" s="4"/>
      <c r="C1694" s="4"/>
      <c r="D1694" s="82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17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</row>
    <row r="1695" spans="1:38" x14ac:dyDescent="0.3">
      <c r="A1695" s="5"/>
      <c r="B1695" s="4"/>
      <c r="C1695" s="4"/>
      <c r="D1695" s="82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17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</row>
    <row r="1696" spans="1:38" x14ac:dyDescent="0.3">
      <c r="A1696" s="5"/>
      <c r="B1696" s="4"/>
      <c r="C1696" s="4"/>
      <c r="D1696" s="82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17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</row>
    <row r="1697" spans="1:38" x14ac:dyDescent="0.3">
      <c r="A1697" s="5"/>
      <c r="B1697" s="4"/>
      <c r="C1697" s="4"/>
      <c r="D1697" s="82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17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</row>
    <row r="1698" spans="1:38" x14ac:dyDescent="0.3">
      <c r="A1698" s="5"/>
      <c r="B1698" s="4"/>
      <c r="C1698" s="4"/>
      <c r="D1698" s="82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17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</row>
    <row r="1699" spans="1:38" x14ac:dyDescent="0.3">
      <c r="A1699" s="5"/>
      <c r="B1699" s="4"/>
      <c r="C1699" s="4"/>
      <c r="D1699" s="82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17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</row>
    <row r="1700" spans="1:38" x14ac:dyDescent="0.3">
      <c r="A1700" s="5"/>
      <c r="B1700" s="4"/>
      <c r="C1700" s="4"/>
      <c r="D1700" s="82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17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</row>
    <row r="1701" spans="1:38" x14ac:dyDescent="0.3">
      <c r="A1701" s="5"/>
      <c r="B1701" s="4"/>
      <c r="C1701" s="4"/>
      <c r="D1701" s="82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17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</row>
    <row r="1702" spans="1:38" x14ac:dyDescent="0.3">
      <c r="A1702" s="5"/>
      <c r="B1702" s="4"/>
      <c r="C1702" s="4"/>
      <c r="D1702" s="82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17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</row>
    <row r="1703" spans="1:38" x14ac:dyDescent="0.3">
      <c r="A1703" s="5"/>
      <c r="B1703" s="4"/>
      <c r="C1703" s="4"/>
      <c r="D1703" s="82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17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</row>
    <row r="1704" spans="1:38" x14ac:dyDescent="0.3">
      <c r="A1704" s="5"/>
      <c r="B1704" s="4"/>
      <c r="C1704" s="4"/>
      <c r="D1704" s="82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17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</row>
    <row r="1705" spans="1:38" x14ac:dyDescent="0.3">
      <c r="A1705" s="5"/>
      <c r="B1705" s="4"/>
      <c r="C1705" s="4"/>
      <c r="D1705" s="82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17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</row>
    <row r="1706" spans="1:38" x14ac:dyDescent="0.3">
      <c r="A1706" s="5"/>
      <c r="B1706" s="4"/>
      <c r="C1706" s="4"/>
      <c r="D1706" s="82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17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</row>
    <row r="1707" spans="1:38" x14ac:dyDescent="0.3">
      <c r="A1707" s="5"/>
      <c r="B1707" s="4"/>
      <c r="C1707" s="4"/>
      <c r="D1707" s="82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17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</row>
    <row r="1708" spans="1:38" x14ac:dyDescent="0.3">
      <c r="A1708" s="5"/>
      <c r="B1708" s="4"/>
      <c r="C1708" s="4"/>
      <c r="D1708" s="82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17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</row>
    <row r="1709" spans="1:38" x14ac:dyDescent="0.3">
      <c r="A1709" s="5"/>
      <c r="B1709" s="4"/>
      <c r="C1709" s="4"/>
      <c r="D1709" s="82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17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</row>
    <row r="1710" spans="1:38" x14ac:dyDescent="0.3">
      <c r="A1710" s="5"/>
      <c r="B1710" s="4"/>
      <c r="C1710" s="4"/>
      <c r="D1710" s="82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17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</row>
    <row r="1711" spans="1:38" x14ac:dyDescent="0.3">
      <c r="A1711" s="5"/>
      <c r="B1711" s="4"/>
      <c r="C1711" s="4"/>
      <c r="D1711" s="82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17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</row>
    <row r="1712" spans="1:38" x14ac:dyDescent="0.3">
      <c r="A1712" s="5"/>
      <c r="B1712" s="4"/>
      <c r="C1712" s="4"/>
      <c r="D1712" s="82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17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</row>
    <row r="1713" spans="1:38" x14ac:dyDescent="0.3">
      <c r="A1713" s="5"/>
      <c r="B1713" s="4"/>
      <c r="C1713" s="4"/>
      <c r="D1713" s="82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17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</row>
    <row r="1714" spans="1:38" x14ac:dyDescent="0.3">
      <c r="A1714" s="5"/>
      <c r="B1714" s="4"/>
      <c r="C1714" s="4"/>
      <c r="D1714" s="82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17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</row>
    <row r="1715" spans="1:38" x14ac:dyDescent="0.3">
      <c r="A1715" s="5"/>
      <c r="B1715" s="4"/>
      <c r="C1715" s="4"/>
      <c r="D1715" s="82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17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</row>
    <row r="1716" spans="1:38" x14ac:dyDescent="0.3">
      <c r="A1716" s="5"/>
      <c r="B1716" s="4"/>
      <c r="C1716" s="4"/>
      <c r="D1716" s="82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17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</row>
    <row r="1717" spans="1:38" x14ac:dyDescent="0.3">
      <c r="A1717" s="5"/>
      <c r="B1717" s="4"/>
      <c r="C1717" s="4"/>
      <c r="D1717" s="82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17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</row>
    <row r="1718" spans="1:38" x14ac:dyDescent="0.3">
      <c r="A1718" s="5"/>
      <c r="B1718" s="4"/>
      <c r="C1718" s="4"/>
      <c r="D1718" s="82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17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</row>
    <row r="1719" spans="1:38" x14ac:dyDescent="0.3">
      <c r="A1719" s="5"/>
      <c r="B1719" s="4"/>
      <c r="C1719" s="4"/>
      <c r="D1719" s="82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17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</row>
    <row r="1720" spans="1:38" x14ac:dyDescent="0.3">
      <c r="A1720" s="5"/>
      <c r="B1720" s="4"/>
      <c r="C1720" s="4"/>
      <c r="D1720" s="82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17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</row>
    <row r="1721" spans="1:38" x14ac:dyDescent="0.3">
      <c r="A1721" s="5"/>
      <c r="B1721" s="4"/>
      <c r="C1721" s="4"/>
      <c r="D1721" s="82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17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</row>
    <row r="1722" spans="1:38" x14ac:dyDescent="0.3">
      <c r="A1722" s="5"/>
      <c r="B1722" s="4"/>
      <c r="C1722" s="4"/>
      <c r="D1722" s="82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17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</row>
    <row r="1723" spans="1:38" x14ac:dyDescent="0.3">
      <c r="A1723" s="5"/>
      <c r="B1723" s="4"/>
      <c r="C1723" s="4"/>
      <c r="D1723" s="82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17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</row>
    <row r="1724" spans="1:38" x14ac:dyDescent="0.3">
      <c r="A1724" s="5"/>
      <c r="B1724" s="4"/>
      <c r="C1724" s="4"/>
      <c r="D1724" s="82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17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</row>
    <row r="1725" spans="1:38" x14ac:dyDescent="0.3">
      <c r="A1725" s="5"/>
      <c r="B1725" s="4"/>
      <c r="C1725" s="4"/>
      <c r="D1725" s="82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17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</row>
    <row r="1726" spans="1:38" x14ac:dyDescent="0.3">
      <c r="A1726" s="5"/>
      <c r="B1726" s="4"/>
      <c r="C1726" s="4"/>
      <c r="D1726" s="82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17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</row>
    <row r="1727" spans="1:38" x14ac:dyDescent="0.3">
      <c r="A1727" s="5"/>
      <c r="B1727" s="4"/>
      <c r="C1727" s="4"/>
      <c r="D1727" s="82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17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</row>
    <row r="1728" spans="1:38" x14ac:dyDescent="0.3">
      <c r="A1728" s="5"/>
      <c r="B1728" s="4"/>
      <c r="C1728" s="4"/>
      <c r="D1728" s="82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17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</row>
    <row r="1729" spans="1:38" x14ac:dyDescent="0.3">
      <c r="A1729" s="5"/>
      <c r="B1729" s="4"/>
      <c r="C1729" s="4"/>
      <c r="D1729" s="82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17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</row>
    <row r="1730" spans="1:38" x14ac:dyDescent="0.3">
      <c r="A1730" s="5"/>
      <c r="B1730" s="4"/>
      <c r="C1730" s="4"/>
      <c r="D1730" s="82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17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</row>
    <row r="1731" spans="1:38" x14ac:dyDescent="0.3">
      <c r="A1731" s="5"/>
      <c r="B1731" s="4"/>
      <c r="C1731" s="4"/>
      <c r="D1731" s="82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17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</row>
    <row r="1732" spans="1:38" x14ac:dyDescent="0.3">
      <c r="A1732" s="5"/>
      <c r="B1732" s="4"/>
      <c r="C1732" s="4"/>
      <c r="D1732" s="82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17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</row>
    <row r="1733" spans="1:38" x14ac:dyDescent="0.3">
      <c r="A1733" s="5"/>
      <c r="B1733" s="4"/>
      <c r="C1733" s="4"/>
      <c r="D1733" s="82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17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</row>
    <row r="1734" spans="1:38" x14ac:dyDescent="0.3">
      <c r="A1734" s="5"/>
      <c r="B1734" s="4"/>
      <c r="C1734" s="4"/>
      <c r="D1734" s="82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17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</row>
    <row r="1735" spans="1:38" x14ac:dyDescent="0.3">
      <c r="A1735" s="5"/>
      <c r="B1735" s="4"/>
      <c r="C1735" s="4"/>
      <c r="D1735" s="82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17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</row>
    <row r="1736" spans="1:38" x14ac:dyDescent="0.3">
      <c r="A1736" s="5"/>
      <c r="B1736" s="4"/>
      <c r="C1736" s="4"/>
      <c r="D1736" s="82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17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</row>
    <row r="1737" spans="1:38" x14ac:dyDescent="0.3">
      <c r="A1737" s="5"/>
      <c r="B1737" s="4"/>
      <c r="C1737" s="4"/>
      <c r="D1737" s="82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17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</row>
    <row r="1738" spans="1:38" x14ac:dyDescent="0.3">
      <c r="A1738" s="5"/>
      <c r="B1738" s="4"/>
      <c r="C1738" s="4"/>
      <c r="D1738" s="82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17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</row>
    <row r="1739" spans="1:38" x14ac:dyDescent="0.3">
      <c r="A1739" s="5"/>
      <c r="B1739" s="4"/>
      <c r="C1739" s="4"/>
      <c r="D1739" s="82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17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</row>
    <row r="1740" spans="1:38" x14ac:dyDescent="0.3">
      <c r="A1740" s="5"/>
      <c r="B1740" s="4"/>
      <c r="C1740" s="4"/>
      <c r="D1740" s="82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17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</row>
    <row r="1741" spans="1:38" x14ac:dyDescent="0.3">
      <c r="A1741" s="5"/>
      <c r="B1741" s="4"/>
      <c r="C1741" s="4"/>
      <c r="D1741" s="82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17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</row>
    <row r="1742" spans="1:38" x14ac:dyDescent="0.3">
      <c r="A1742" s="5"/>
      <c r="B1742" s="4"/>
      <c r="C1742" s="4"/>
      <c r="D1742" s="82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17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</row>
    <row r="1743" spans="1:38" x14ac:dyDescent="0.3">
      <c r="A1743" s="5"/>
      <c r="B1743" s="4"/>
      <c r="C1743" s="4"/>
      <c r="D1743" s="82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17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</row>
    <row r="1744" spans="1:38" x14ac:dyDescent="0.3">
      <c r="A1744" s="5"/>
      <c r="B1744" s="4"/>
      <c r="C1744" s="4"/>
      <c r="D1744" s="82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17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</row>
    <row r="1745" spans="1:38" x14ac:dyDescent="0.3">
      <c r="A1745" s="5"/>
      <c r="B1745" s="4"/>
      <c r="C1745" s="4"/>
      <c r="D1745" s="82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17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</row>
    <row r="1746" spans="1:38" x14ac:dyDescent="0.3">
      <c r="A1746" s="5"/>
      <c r="B1746" s="4"/>
      <c r="C1746" s="4"/>
      <c r="D1746" s="82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17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</row>
    <row r="1747" spans="1:38" x14ac:dyDescent="0.3">
      <c r="A1747" s="5"/>
      <c r="B1747" s="4"/>
      <c r="C1747" s="4"/>
      <c r="D1747" s="82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17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</row>
    <row r="1748" spans="1:38" x14ac:dyDescent="0.3">
      <c r="A1748" s="5"/>
      <c r="B1748" s="4"/>
      <c r="C1748" s="4"/>
      <c r="D1748" s="82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17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</row>
    <row r="1749" spans="1:38" x14ac:dyDescent="0.3">
      <c r="A1749" s="5"/>
      <c r="B1749" s="4"/>
      <c r="C1749" s="4"/>
      <c r="D1749" s="82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17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</row>
    <row r="1750" spans="1:38" x14ac:dyDescent="0.3">
      <c r="A1750" s="5"/>
      <c r="B1750" s="4"/>
      <c r="C1750" s="4"/>
      <c r="D1750" s="82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17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</row>
    <row r="1751" spans="1:38" x14ac:dyDescent="0.3">
      <c r="A1751" s="5"/>
      <c r="B1751" s="4"/>
      <c r="C1751" s="4"/>
      <c r="D1751" s="82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17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</row>
    <row r="1752" spans="1:38" x14ac:dyDescent="0.3">
      <c r="A1752" s="5"/>
      <c r="B1752" s="4"/>
      <c r="C1752" s="4"/>
      <c r="D1752" s="82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17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</row>
    <row r="1753" spans="1:38" x14ac:dyDescent="0.3">
      <c r="A1753" s="5"/>
      <c r="B1753" s="4"/>
      <c r="C1753" s="4"/>
      <c r="D1753" s="82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17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</row>
    <row r="1754" spans="1:38" x14ac:dyDescent="0.3">
      <c r="A1754" s="5"/>
      <c r="B1754" s="4"/>
      <c r="C1754" s="4"/>
      <c r="D1754" s="82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17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</row>
    <row r="1755" spans="1:38" x14ac:dyDescent="0.3">
      <c r="A1755" s="5"/>
      <c r="B1755" s="4"/>
      <c r="C1755" s="4"/>
      <c r="D1755" s="82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17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</row>
    <row r="1756" spans="1:38" x14ac:dyDescent="0.3">
      <c r="A1756" s="5"/>
      <c r="B1756" s="4"/>
      <c r="C1756" s="4"/>
      <c r="D1756" s="82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17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</row>
    <row r="1757" spans="1:38" x14ac:dyDescent="0.3">
      <c r="A1757" s="5"/>
      <c r="B1757" s="4"/>
      <c r="C1757" s="4"/>
      <c r="D1757" s="82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17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</row>
    <row r="1758" spans="1:38" x14ac:dyDescent="0.3">
      <c r="A1758" s="5"/>
      <c r="B1758" s="4"/>
      <c r="C1758" s="4"/>
      <c r="D1758" s="82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17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</row>
    <row r="1759" spans="1:38" x14ac:dyDescent="0.3">
      <c r="A1759" s="5"/>
      <c r="B1759" s="4"/>
      <c r="C1759" s="4"/>
      <c r="D1759" s="82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17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</row>
    <row r="1760" spans="1:38" x14ac:dyDescent="0.3">
      <c r="A1760" s="5"/>
      <c r="B1760" s="4"/>
      <c r="C1760" s="4"/>
      <c r="D1760" s="82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17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</row>
    <row r="1761" spans="1:38" x14ac:dyDescent="0.3">
      <c r="A1761" s="5"/>
      <c r="B1761" s="4"/>
      <c r="C1761" s="4"/>
      <c r="D1761" s="82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17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</row>
    <row r="1762" spans="1:38" x14ac:dyDescent="0.3">
      <c r="A1762" s="5"/>
      <c r="B1762" s="4"/>
      <c r="C1762" s="4"/>
      <c r="D1762" s="82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17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</row>
    <row r="1763" spans="1:38" x14ac:dyDescent="0.3">
      <c r="A1763" s="5"/>
      <c r="B1763" s="4"/>
      <c r="C1763" s="4"/>
      <c r="D1763" s="82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17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</row>
    <row r="1764" spans="1:38" x14ac:dyDescent="0.3">
      <c r="A1764" s="5"/>
      <c r="B1764" s="4"/>
      <c r="C1764" s="4"/>
      <c r="D1764" s="82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17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</row>
    <row r="1765" spans="1:38" x14ac:dyDescent="0.3">
      <c r="A1765" s="5"/>
      <c r="B1765" s="4"/>
      <c r="C1765" s="4"/>
      <c r="D1765" s="82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17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</row>
    <row r="1766" spans="1:38" x14ac:dyDescent="0.3">
      <c r="A1766" s="5"/>
      <c r="B1766" s="4"/>
      <c r="C1766" s="4"/>
      <c r="D1766" s="82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17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</row>
    <row r="1767" spans="1:38" x14ac:dyDescent="0.3">
      <c r="A1767" s="5"/>
      <c r="B1767" s="4"/>
      <c r="C1767" s="4"/>
      <c r="D1767" s="82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17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</row>
    <row r="1768" spans="1:38" x14ac:dyDescent="0.3">
      <c r="A1768" s="5"/>
      <c r="B1768" s="4"/>
      <c r="C1768" s="4"/>
      <c r="D1768" s="82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17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</row>
    <row r="1769" spans="1:38" x14ac:dyDescent="0.3">
      <c r="A1769" s="5"/>
      <c r="B1769" s="4"/>
      <c r="C1769" s="4"/>
      <c r="D1769" s="82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17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</row>
    <row r="1770" spans="1:38" x14ac:dyDescent="0.3">
      <c r="A1770" s="5"/>
      <c r="B1770" s="4"/>
      <c r="C1770" s="4"/>
      <c r="D1770" s="82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17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</row>
    <row r="1771" spans="1:38" x14ac:dyDescent="0.3">
      <c r="A1771" s="5"/>
      <c r="B1771" s="4"/>
      <c r="C1771" s="4"/>
      <c r="D1771" s="82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17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</row>
    <row r="1772" spans="1:38" x14ac:dyDescent="0.3">
      <c r="A1772" s="5"/>
      <c r="B1772" s="4"/>
      <c r="C1772" s="4"/>
      <c r="D1772" s="82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17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</row>
    <row r="1773" spans="1:38" x14ac:dyDescent="0.3">
      <c r="A1773" s="5"/>
      <c r="B1773" s="4"/>
      <c r="C1773" s="4"/>
      <c r="D1773" s="82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17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</row>
    <row r="1774" spans="1:38" x14ac:dyDescent="0.3">
      <c r="A1774" s="5"/>
      <c r="B1774" s="4"/>
      <c r="C1774" s="4"/>
      <c r="D1774" s="82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17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</row>
    <row r="1775" spans="1:38" x14ac:dyDescent="0.3">
      <c r="A1775" s="5"/>
      <c r="B1775" s="4"/>
      <c r="C1775" s="4"/>
      <c r="D1775" s="82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17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</row>
    <row r="1776" spans="1:38" x14ac:dyDescent="0.3">
      <c r="A1776" s="5"/>
      <c r="B1776" s="4"/>
      <c r="C1776" s="4"/>
      <c r="D1776" s="82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17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</row>
    <row r="1777" spans="1:38" x14ac:dyDescent="0.3">
      <c r="A1777" s="5"/>
      <c r="B1777" s="4"/>
      <c r="C1777" s="4"/>
      <c r="D1777" s="82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17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</row>
    <row r="1778" spans="1:38" x14ac:dyDescent="0.3">
      <c r="A1778" s="5"/>
      <c r="B1778" s="4"/>
      <c r="C1778" s="4"/>
      <c r="D1778" s="82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17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</row>
    <row r="1779" spans="1:38" x14ac:dyDescent="0.3">
      <c r="A1779" s="5"/>
      <c r="B1779" s="4"/>
      <c r="C1779" s="4"/>
      <c r="D1779" s="82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17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</row>
    <row r="1780" spans="1:38" x14ac:dyDescent="0.3">
      <c r="A1780" s="5"/>
      <c r="B1780" s="4"/>
      <c r="C1780" s="4"/>
      <c r="D1780" s="82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17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</row>
    <row r="1781" spans="1:38" x14ac:dyDescent="0.3">
      <c r="A1781" s="5"/>
      <c r="B1781" s="4"/>
      <c r="C1781" s="4"/>
      <c r="D1781" s="82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17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</row>
    <row r="1782" spans="1:38" x14ac:dyDescent="0.3">
      <c r="A1782" s="5"/>
      <c r="B1782" s="4"/>
      <c r="C1782" s="4"/>
      <c r="D1782" s="82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17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</row>
    <row r="1783" spans="1:38" x14ac:dyDescent="0.3">
      <c r="A1783" s="5"/>
      <c r="B1783" s="4"/>
      <c r="C1783" s="4"/>
      <c r="D1783" s="82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17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</row>
    <row r="1784" spans="1:38" x14ac:dyDescent="0.3">
      <c r="A1784" s="5"/>
      <c r="B1784" s="4"/>
      <c r="C1784" s="4"/>
      <c r="D1784" s="82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17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</row>
    <row r="1785" spans="1:38" x14ac:dyDescent="0.3">
      <c r="A1785" s="5"/>
      <c r="B1785" s="4"/>
      <c r="C1785" s="4"/>
      <c r="D1785" s="82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17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</row>
    <row r="1786" spans="1:38" x14ac:dyDescent="0.3">
      <c r="A1786" s="5"/>
      <c r="B1786" s="4"/>
      <c r="C1786" s="4"/>
      <c r="D1786" s="82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17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</row>
    <row r="1787" spans="1:38" x14ac:dyDescent="0.3">
      <c r="A1787" s="5"/>
      <c r="B1787" s="4"/>
      <c r="C1787" s="4"/>
      <c r="D1787" s="82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17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</row>
    <row r="1788" spans="1:38" x14ac:dyDescent="0.3">
      <c r="A1788" s="5"/>
      <c r="B1788" s="4"/>
      <c r="C1788" s="4"/>
      <c r="D1788" s="82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17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</row>
    <row r="1789" spans="1:38" x14ac:dyDescent="0.3">
      <c r="A1789" s="5"/>
      <c r="B1789" s="4"/>
      <c r="C1789" s="4"/>
      <c r="D1789" s="82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17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</row>
    <row r="1790" spans="1:38" x14ac:dyDescent="0.3">
      <c r="A1790" s="5"/>
      <c r="B1790" s="4"/>
      <c r="C1790" s="4"/>
      <c r="D1790" s="82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17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</row>
    <row r="1791" spans="1:38" x14ac:dyDescent="0.3">
      <c r="A1791" s="5"/>
      <c r="B1791" s="4"/>
      <c r="C1791" s="4"/>
      <c r="D1791" s="82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17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</row>
    <row r="1792" spans="1:38" x14ac:dyDescent="0.3">
      <c r="A1792" s="5"/>
      <c r="B1792" s="4"/>
      <c r="C1792" s="4"/>
      <c r="D1792" s="82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17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</row>
    <row r="1793" spans="1:38" x14ac:dyDescent="0.3">
      <c r="A1793" s="5"/>
      <c r="B1793" s="4"/>
      <c r="C1793" s="4"/>
      <c r="D1793" s="82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17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</row>
    <row r="1794" spans="1:38" x14ac:dyDescent="0.3">
      <c r="A1794" s="5"/>
      <c r="B1794" s="4"/>
      <c r="C1794" s="4"/>
      <c r="D1794" s="82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17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</row>
    <row r="1795" spans="1:38" x14ac:dyDescent="0.3">
      <c r="A1795" s="5"/>
      <c r="B1795" s="4"/>
      <c r="C1795" s="4"/>
      <c r="D1795" s="82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17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</row>
    <row r="1796" spans="1:38" x14ac:dyDescent="0.3">
      <c r="A1796" s="5"/>
      <c r="B1796" s="4"/>
      <c r="C1796" s="4"/>
      <c r="D1796" s="82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17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</row>
    <row r="1797" spans="1:38" x14ac:dyDescent="0.3">
      <c r="A1797" s="5"/>
      <c r="B1797" s="4"/>
      <c r="C1797" s="4"/>
      <c r="D1797" s="82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17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</row>
    <row r="1798" spans="1:38" x14ac:dyDescent="0.3">
      <c r="A1798" s="5"/>
      <c r="B1798" s="4"/>
      <c r="C1798" s="4"/>
      <c r="D1798" s="82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17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</row>
    <row r="1799" spans="1:38" x14ac:dyDescent="0.3">
      <c r="A1799" s="5"/>
      <c r="B1799" s="4"/>
      <c r="C1799" s="4"/>
      <c r="D1799" s="82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17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</row>
    <row r="1800" spans="1:38" x14ac:dyDescent="0.3">
      <c r="A1800" s="5"/>
      <c r="B1800" s="4"/>
      <c r="C1800" s="4"/>
      <c r="D1800" s="82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17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</row>
    <row r="1801" spans="1:38" x14ac:dyDescent="0.3">
      <c r="A1801" s="5"/>
      <c r="B1801" s="4"/>
      <c r="C1801" s="4"/>
      <c r="D1801" s="82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17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</row>
    <row r="1802" spans="1:38" x14ac:dyDescent="0.3">
      <c r="A1802" s="5"/>
      <c r="B1802" s="4"/>
      <c r="C1802" s="4"/>
      <c r="D1802" s="82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17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</row>
    <row r="1803" spans="1:38" x14ac:dyDescent="0.3">
      <c r="A1803" s="5"/>
      <c r="B1803" s="4"/>
      <c r="C1803" s="4"/>
      <c r="D1803" s="82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17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</row>
    <row r="1804" spans="1:38" x14ac:dyDescent="0.3">
      <c r="A1804" s="5"/>
      <c r="B1804" s="4"/>
      <c r="C1804" s="4"/>
      <c r="D1804" s="82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17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</row>
    <row r="1805" spans="1:38" x14ac:dyDescent="0.3">
      <c r="A1805" s="5"/>
      <c r="B1805" s="4"/>
      <c r="C1805" s="4"/>
      <c r="D1805" s="82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17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</row>
    <row r="1806" spans="1:38" x14ac:dyDescent="0.3">
      <c r="A1806" s="5"/>
      <c r="B1806" s="4"/>
      <c r="C1806" s="4"/>
      <c r="D1806" s="82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17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</row>
    <row r="1807" spans="1:38" x14ac:dyDescent="0.3">
      <c r="A1807" s="5"/>
      <c r="B1807" s="4"/>
      <c r="C1807" s="4"/>
      <c r="D1807" s="82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17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</row>
    <row r="1808" spans="1:38" x14ac:dyDescent="0.3">
      <c r="A1808" s="5"/>
      <c r="B1808" s="4"/>
      <c r="C1808" s="4"/>
      <c r="D1808" s="82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17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</row>
    <row r="1809" spans="1:38" x14ac:dyDescent="0.3">
      <c r="A1809" s="5"/>
      <c r="B1809" s="4"/>
      <c r="C1809" s="4"/>
      <c r="D1809" s="82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17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</row>
    <row r="1810" spans="1:38" x14ac:dyDescent="0.3">
      <c r="A1810" s="5"/>
      <c r="B1810" s="4"/>
      <c r="C1810" s="4"/>
      <c r="D1810" s="82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17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</row>
    <row r="1811" spans="1:38" x14ac:dyDescent="0.3">
      <c r="A1811" s="5"/>
      <c r="B1811" s="4"/>
      <c r="C1811" s="4"/>
      <c r="D1811" s="82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17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</row>
    <row r="1812" spans="1:38" x14ac:dyDescent="0.3">
      <c r="A1812" s="5"/>
      <c r="B1812" s="4"/>
      <c r="C1812" s="4"/>
      <c r="D1812" s="82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17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</row>
    <row r="1813" spans="1:38" x14ac:dyDescent="0.3">
      <c r="A1813" s="5"/>
      <c r="B1813" s="4"/>
      <c r="C1813" s="4"/>
      <c r="D1813" s="82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17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</row>
    <row r="1814" spans="1:38" x14ac:dyDescent="0.3">
      <c r="A1814" s="5"/>
      <c r="B1814" s="4"/>
      <c r="C1814" s="4"/>
      <c r="D1814" s="82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17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</row>
    <row r="1815" spans="1:38" x14ac:dyDescent="0.3">
      <c r="A1815" s="5"/>
      <c r="B1815" s="4"/>
      <c r="C1815" s="4"/>
      <c r="D1815" s="82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17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</row>
    <row r="1816" spans="1:38" x14ac:dyDescent="0.3">
      <c r="A1816" s="5"/>
      <c r="B1816" s="4"/>
      <c r="C1816" s="4"/>
      <c r="D1816" s="82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17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</row>
    <row r="1817" spans="1:38" x14ac:dyDescent="0.3">
      <c r="A1817" s="5"/>
      <c r="B1817" s="4"/>
      <c r="C1817" s="4"/>
      <c r="D1817" s="82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17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</row>
    <row r="1818" spans="1:38" x14ac:dyDescent="0.3">
      <c r="A1818" s="5"/>
      <c r="B1818" s="4"/>
      <c r="C1818" s="4"/>
      <c r="D1818" s="82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17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</row>
    <row r="1819" spans="1:38" x14ac:dyDescent="0.3">
      <c r="A1819" s="5"/>
      <c r="B1819" s="4"/>
      <c r="C1819" s="4"/>
      <c r="D1819" s="82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17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</row>
    <row r="1820" spans="1:38" x14ac:dyDescent="0.3">
      <c r="A1820" s="5"/>
      <c r="B1820" s="4"/>
      <c r="C1820" s="4"/>
      <c r="D1820" s="82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17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</row>
    <row r="1821" spans="1:38" x14ac:dyDescent="0.3">
      <c r="A1821" s="5"/>
      <c r="B1821" s="4"/>
      <c r="C1821" s="4"/>
      <c r="D1821" s="82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17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</row>
    <row r="1822" spans="1:38" x14ac:dyDescent="0.3">
      <c r="A1822" s="5"/>
      <c r="B1822" s="4"/>
      <c r="C1822" s="4"/>
      <c r="D1822" s="82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17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</row>
    <row r="1823" spans="1:38" x14ac:dyDescent="0.3">
      <c r="A1823" s="5"/>
      <c r="B1823" s="4"/>
      <c r="C1823" s="4"/>
      <c r="D1823" s="82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17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</row>
    <row r="1824" spans="1:38" x14ac:dyDescent="0.3">
      <c r="A1824" s="5"/>
      <c r="B1824" s="4"/>
      <c r="C1824" s="4"/>
      <c r="D1824" s="82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17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</row>
    <row r="1825" spans="1:38" x14ac:dyDescent="0.3">
      <c r="A1825" s="5"/>
      <c r="B1825" s="4"/>
      <c r="C1825" s="4"/>
      <c r="D1825" s="82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17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</row>
    <row r="1826" spans="1:38" x14ac:dyDescent="0.3">
      <c r="A1826" s="5"/>
      <c r="B1826" s="4"/>
      <c r="C1826" s="4"/>
      <c r="D1826" s="82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17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</row>
    <row r="1827" spans="1:38" x14ac:dyDescent="0.3">
      <c r="A1827" s="5"/>
      <c r="B1827" s="4"/>
      <c r="C1827" s="4"/>
      <c r="D1827" s="82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17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</row>
    <row r="1828" spans="1:38" x14ac:dyDescent="0.3">
      <c r="A1828" s="5"/>
      <c r="B1828" s="4"/>
      <c r="C1828" s="4"/>
      <c r="D1828" s="82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17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</row>
    <row r="1829" spans="1:38" x14ac:dyDescent="0.3">
      <c r="A1829" s="5"/>
      <c r="B1829" s="4"/>
      <c r="C1829" s="4"/>
      <c r="D1829" s="82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17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</row>
    <row r="1830" spans="1:38" x14ac:dyDescent="0.3">
      <c r="A1830" s="5"/>
      <c r="B1830" s="4"/>
      <c r="C1830" s="4"/>
      <c r="D1830" s="82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17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</row>
    <row r="1831" spans="1:38" x14ac:dyDescent="0.3">
      <c r="A1831" s="5"/>
      <c r="B1831" s="4"/>
      <c r="C1831" s="4"/>
      <c r="D1831" s="82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17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</row>
    <row r="1832" spans="1:38" x14ac:dyDescent="0.3">
      <c r="A1832" s="5"/>
      <c r="B1832" s="4"/>
      <c r="C1832" s="4"/>
      <c r="D1832" s="82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17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</row>
    <row r="1833" spans="1:38" x14ac:dyDescent="0.3">
      <c r="A1833" s="5"/>
      <c r="B1833" s="4"/>
      <c r="C1833" s="4"/>
      <c r="D1833" s="82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17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</row>
    <row r="1834" spans="1:38" x14ac:dyDescent="0.3">
      <c r="A1834" s="5"/>
      <c r="B1834" s="4"/>
      <c r="C1834" s="4"/>
      <c r="D1834" s="82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17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</row>
    <row r="1835" spans="1:38" x14ac:dyDescent="0.3">
      <c r="A1835" s="5"/>
      <c r="B1835" s="4"/>
      <c r="C1835" s="4"/>
      <c r="D1835" s="82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17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</row>
    <row r="1836" spans="1:38" x14ac:dyDescent="0.3">
      <c r="A1836" s="5"/>
      <c r="B1836" s="4"/>
      <c r="C1836" s="4"/>
      <c r="D1836" s="82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17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</row>
    <row r="1837" spans="1:38" x14ac:dyDescent="0.3">
      <c r="A1837" s="5"/>
      <c r="B1837" s="4"/>
      <c r="C1837" s="4"/>
      <c r="D1837" s="82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17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</row>
    <row r="1838" spans="1:38" x14ac:dyDescent="0.3">
      <c r="A1838" s="5"/>
      <c r="B1838" s="4"/>
      <c r="C1838" s="4"/>
      <c r="D1838" s="82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17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</row>
    <row r="1839" spans="1:38" x14ac:dyDescent="0.3">
      <c r="A1839" s="5"/>
      <c r="B1839" s="4"/>
      <c r="C1839" s="4"/>
      <c r="D1839" s="82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17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</row>
    <row r="1840" spans="1:38" x14ac:dyDescent="0.3">
      <c r="A1840" s="5"/>
      <c r="B1840" s="4"/>
      <c r="C1840" s="4"/>
      <c r="D1840" s="82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17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</row>
    <row r="1841" spans="1:38" x14ac:dyDescent="0.3">
      <c r="A1841" s="5"/>
      <c r="B1841" s="4"/>
      <c r="C1841" s="4"/>
      <c r="D1841" s="82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17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</row>
    <row r="1842" spans="1:38" x14ac:dyDescent="0.3">
      <c r="A1842" s="5"/>
      <c r="B1842" s="4"/>
      <c r="C1842" s="4"/>
      <c r="D1842" s="82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17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</row>
    <row r="1843" spans="1:38" x14ac:dyDescent="0.3">
      <c r="A1843" s="5"/>
      <c r="B1843" s="4"/>
      <c r="C1843" s="4"/>
      <c r="D1843" s="82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17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</row>
    <row r="1844" spans="1:38" x14ac:dyDescent="0.3">
      <c r="A1844" s="5"/>
      <c r="B1844" s="4"/>
      <c r="C1844" s="4"/>
      <c r="D1844" s="82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17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</row>
    <row r="1845" spans="1:38" x14ac:dyDescent="0.3">
      <c r="A1845" s="5"/>
      <c r="B1845" s="4"/>
      <c r="C1845" s="4"/>
      <c r="D1845" s="82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17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</row>
    <row r="1846" spans="1:38" x14ac:dyDescent="0.3">
      <c r="A1846" s="5"/>
      <c r="B1846" s="4"/>
      <c r="C1846" s="4"/>
      <c r="D1846" s="82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17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</row>
    <row r="1847" spans="1:38" x14ac:dyDescent="0.3">
      <c r="A1847" s="5"/>
      <c r="B1847" s="4"/>
      <c r="C1847" s="4"/>
      <c r="D1847" s="82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17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</row>
    <row r="1848" spans="1:38" x14ac:dyDescent="0.3">
      <c r="A1848" s="5"/>
      <c r="B1848" s="4"/>
      <c r="C1848" s="4"/>
      <c r="D1848" s="82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17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</row>
    <row r="1849" spans="1:38" x14ac:dyDescent="0.3">
      <c r="A1849" s="5"/>
      <c r="B1849" s="4"/>
      <c r="C1849" s="4"/>
      <c r="D1849" s="82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17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</row>
    <row r="1850" spans="1:38" x14ac:dyDescent="0.3">
      <c r="A1850" s="5"/>
      <c r="B1850" s="4"/>
      <c r="C1850" s="4"/>
      <c r="D1850" s="82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17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</row>
    <row r="1851" spans="1:38" x14ac:dyDescent="0.3">
      <c r="A1851" s="5"/>
      <c r="B1851" s="4"/>
      <c r="C1851" s="4"/>
      <c r="D1851" s="82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17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</row>
    <row r="1852" spans="1:38" x14ac:dyDescent="0.3">
      <c r="A1852" s="5"/>
      <c r="B1852" s="4"/>
      <c r="C1852" s="4"/>
      <c r="D1852" s="82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17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</row>
    <row r="1853" spans="1:38" x14ac:dyDescent="0.3">
      <c r="A1853" s="5"/>
      <c r="B1853" s="4"/>
      <c r="C1853" s="4"/>
      <c r="D1853" s="82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17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</row>
    <row r="1854" spans="1:38" x14ac:dyDescent="0.3">
      <c r="A1854" s="5"/>
      <c r="B1854" s="4"/>
      <c r="C1854" s="4"/>
      <c r="D1854" s="82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17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</row>
    <row r="1855" spans="1:38" x14ac:dyDescent="0.3">
      <c r="A1855" s="5"/>
      <c r="B1855" s="4"/>
      <c r="C1855" s="4"/>
      <c r="D1855" s="82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17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</row>
    <row r="1856" spans="1:38" x14ac:dyDescent="0.3">
      <c r="A1856" s="5"/>
      <c r="B1856" s="4"/>
      <c r="C1856" s="4"/>
      <c r="D1856" s="82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17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</row>
    <row r="1857" spans="1:38" x14ac:dyDescent="0.3">
      <c r="A1857" s="5"/>
      <c r="B1857" s="4"/>
      <c r="C1857" s="4"/>
      <c r="D1857" s="82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17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</row>
    <row r="1858" spans="1:38" x14ac:dyDescent="0.3">
      <c r="A1858" s="5"/>
      <c r="B1858" s="4"/>
      <c r="C1858" s="4"/>
      <c r="D1858" s="82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17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</row>
    <row r="1859" spans="1:38" x14ac:dyDescent="0.3">
      <c r="A1859" s="5"/>
      <c r="B1859" s="4"/>
      <c r="C1859" s="4"/>
      <c r="D1859" s="82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17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</row>
    <row r="1860" spans="1:38" x14ac:dyDescent="0.3">
      <c r="A1860" s="5"/>
      <c r="B1860" s="4"/>
      <c r="C1860" s="4"/>
      <c r="D1860" s="82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17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</row>
    <row r="1861" spans="1:38" x14ac:dyDescent="0.3">
      <c r="A1861" s="5"/>
      <c r="B1861" s="4"/>
      <c r="C1861" s="4"/>
      <c r="D1861" s="82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17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</row>
    <row r="1862" spans="1:38" x14ac:dyDescent="0.3">
      <c r="A1862" s="5"/>
      <c r="B1862" s="4"/>
      <c r="C1862" s="4"/>
      <c r="D1862" s="82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17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</row>
    <row r="1863" spans="1:38" x14ac:dyDescent="0.3">
      <c r="A1863" s="5"/>
      <c r="B1863" s="4"/>
      <c r="C1863" s="4"/>
      <c r="D1863" s="82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17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</row>
    <row r="1864" spans="1:38" x14ac:dyDescent="0.3">
      <c r="A1864" s="5"/>
      <c r="B1864" s="4"/>
      <c r="C1864" s="4"/>
      <c r="D1864" s="82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17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</row>
    <row r="1865" spans="1:38" x14ac:dyDescent="0.3">
      <c r="A1865" s="5"/>
      <c r="B1865" s="4"/>
      <c r="C1865" s="4"/>
      <c r="D1865" s="82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17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</row>
    <row r="1866" spans="1:38" x14ac:dyDescent="0.3">
      <c r="A1866" s="5"/>
      <c r="B1866" s="4"/>
      <c r="C1866" s="4"/>
      <c r="D1866" s="82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17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</row>
    <row r="1867" spans="1:38" x14ac:dyDescent="0.3">
      <c r="A1867" s="5"/>
      <c r="B1867" s="4"/>
      <c r="C1867" s="4"/>
      <c r="D1867" s="82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17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</row>
    <row r="1868" spans="1:38" x14ac:dyDescent="0.3">
      <c r="A1868" s="5"/>
      <c r="B1868" s="4"/>
      <c r="C1868" s="4"/>
      <c r="D1868" s="82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17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</row>
    <row r="1869" spans="1:38" x14ac:dyDescent="0.3">
      <c r="A1869" s="5"/>
      <c r="B1869" s="4"/>
      <c r="C1869" s="4"/>
      <c r="D1869" s="82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17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</row>
    <row r="1870" spans="1:38" x14ac:dyDescent="0.3">
      <c r="A1870" s="5"/>
      <c r="B1870" s="4"/>
      <c r="C1870" s="4"/>
      <c r="D1870" s="82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17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</row>
    <row r="1871" spans="1:38" x14ac:dyDescent="0.3">
      <c r="A1871" s="5"/>
      <c r="B1871" s="4"/>
      <c r="C1871" s="4"/>
      <c r="D1871" s="82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17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</row>
    <row r="1872" spans="1:38" x14ac:dyDescent="0.3">
      <c r="A1872" s="5"/>
      <c r="B1872" s="4"/>
      <c r="C1872" s="4"/>
      <c r="D1872" s="82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17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</row>
    <row r="1873" spans="1:38" x14ac:dyDescent="0.3">
      <c r="A1873" s="5"/>
      <c r="B1873" s="4"/>
      <c r="C1873" s="4"/>
      <c r="D1873" s="82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17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</row>
    <row r="1874" spans="1:38" x14ac:dyDescent="0.3">
      <c r="A1874" s="5"/>
      <c r="B1874" s="4"/>
      <c r="C1874" s="4"/>
      <c r="D1874" s="82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17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</row>
    <row r="1875" spans="1:38" x14ac:dyDescent="0.3">
      <c r="A1875" s="5"/>
      <c r="B1875" s="4"/>
      <c r="C1875" s="4"/>
      <c r="D1875" s="82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17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</row>
    <row r="1876" spans="1:38" x14ac:dyDescent="0.3">
      <c r="A1876" s="5"/>
      <c r="B1876" s="4"/>
      <c r="C1876" s="4"/>
      <c r="D1876" s="82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17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</row>
    <row r="1877" spans="1:38" x14ac:dyDescent="0.3">
      <c r="A1877" s="5"/>
      <c r="B1877" s="4"/>
      <c r="C1877" s="4"/>
      <c r="D1877" s="82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17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</row>
    <row r="1878" spans="1:38" x14ac:dyDescent="0.3">
      <c r="A1878" s="5"/>
      <c r="B1878" s="4"/>
      <c r="C1878" s="4"/>
      <c r="D1878" s="82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17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</row>
    <row r="1879" spans="1:38" x14ac:dyDescent="0.3">
      <c r="A1879" s="5"/>
      <c r="B1879" s="4"/>
      <c r="C1879" s="4"/>
      <c r="D1879" s="82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17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</row>
    <row r="1880" spans="1:38" x14ac:dyDescent="0.3">
      <c r="A1880" s="5"/>
      <c r="B1880" s="4"/>
      <c r="C1880" s="4"/>
      <c r="D1880" s="82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17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</row>
    <row r="1881" spans="1:38" x14ac:dyDescent="0.3">
      <c r="A1881" s="5"/>
      <c r="B1881" s="4"/>
      <c r="C1881" s="4"/>
      <c r="D1881" s="82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17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</row>
    <row r="1882" spans="1:38" x14ac:dyDescent="0.3">
      <c r="A1882" s="5"/>
      <c r="B1882" s="4"/>
      <c r="C1882" s="4"/>
      <c r="D1882" s="82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17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</row>
    <row r="1883" spans="1:38" x14ac:dyDescent="0.3">
      <c r="A1883" s="5"/>
      <c r="B1883" s="4"/>
      <c r="C1883" s="4"/>
      <c r="D1883" s="82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17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</row>
    <row r="1884" spans="1:38" x14ac:dyDescent="0.3">
      <c r="A1884" s="5"/>
      <c r="B1884" s="4"/>
      <c r="C1884" s="4"/>
      <c r="D1884" s="82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17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</row>
    <row r="1885" spans="1:38" x14ac:dyDescent="0.3">
      <c r="A1885" s="5"/>
      <c r="B1885" s="4"/>
      <c r="C1885" s="4"/>
      <c r="D1885" s="82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17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</row>
    <row r="1886" spans="1:38" x14ac:dyDescent="0.3">
      <c r="A1886" s="5"/>
      <c r="B1886" s="4"/>
      <c r="C1886" s="4"/>
      <c r="D1886" s="82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17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</row>
    <row r="1887" spans="1:38" x14ac:dyDescent="0.3">
      <c r="A1887" s="5"/>
      <c r="B1887" s="4"/>
      <c r="C1887" s="4"/>
      <c r="D1887" s="82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17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</row>
    <row r="1888" spans="1:38" x14ac:dyDescent="0.3">
      <c r="A1888" s="5"/>
      <c r="B1888" s="4"/>
      <c r="C1888" s="4"/>
      <c r="D1888" s="82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17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</row>
    <row r="1889" spans="1:38" x14ac:dyDescent="0.3">
      <c r="A1889" s="5"/>
      <c r="B1889" s="4"/>
      <c r="C1889" s="4"/>
      <c r="D1889" s="82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17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</row>
    <row r="1890" spans="1:38" x14ac:dyDescent="0.3">
      <c r="A1890" s="5"/>
      <c r="B1890" s="4"/>
      <c r="C1890" s="4"/>
      <c r="D1890" s="82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17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</row>
    <row r="1891" spans="1:38" x14ac:dyDescent="0.3">
      <c r="A1891" s="5"/>
      <c r="B1891" s="4"/>
      <c r="C1891" s="4"/>
      <c r="D1891" s="82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17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</row>
    <row r="1892" spans="1:38" x14ac:dyDescent="0.3">
      <c r="A1892" s="5"/>
      <c r="B1892" s="4"/>
      <c r="C1892" s="4"/>
      <c r="D1892" s="82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17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</row>
    <row r="1893" spans="1:38" x14ac:dyDescent="0.3">
      <c r="A1893" s="5"/>
      <c r="B1893" s="4"/>
      <c r="C1893" s="4"/>
      <c r="D1893" s="82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17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</row>
    <row r="1894" spans="1:38" x14ac:dyDescent="0.3">
      <c r="A1894" s="5"/>
      <c r="B1894" s="4"/>
      <c r="C1894" s="4"/>
      <c r="D1894" s="82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17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</row>
    <row r="1895" spans="1:38" x14ac:dyDescent="0.3">
      <c r="A1895" s="5"/>
      <c r="B1895" s="4"/>
      <c r="C1895" s="4"/>
      <c r="D1895" s="82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17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</row>
    <row r="1896" spans="1:38" x14ac:dyDescent="0.3">
      <c r="A1896" s="5"/>
      <c r="B1896" s="4"/>
      <c r="C1896" s="4"/>
      <c r="D1896" s="82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17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</row>
    <row r="1897" spans="1:38" x14ac:dyDescent="0.3">
      <c r="A1897" s="5"/>
      <c r="B1897" s="4"/>
      <c r="C1897" s="4"/>
      <c r="D1897" s="82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17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</row>
    <row r="1898" spans="1:38" x14ac:dyDescent="0.3">
      <c r="A1898" s="5"/>
      <c r="B1898" s="4"/>
      <c r="C1898" s="4"/>
      <c r="D1898" s="82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17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</row>
    <row r="1899" spans="1:38" x14ac:dyDescent="0.3">
      <c r="A1899" s="5"/>
      <c r="B1899" s="4"/>
      <c r="C1899" s="4"/>
      <c r="D1899" s="82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17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</row>
    <row r="1900" spans="1:38" x14ac:dyDescent="0.3">
      <c r="A1900" s="5"/>
      <c r="B1900" s="4"/>
      <c r="C1900" s="4"/>
      <c r="D1900" s="82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17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</row>
    <row r="1901" spans="1:38" x14ac:dyDescent="0.3">
      <c r="A1901" s="5"/>
      <c r="B1901" s="4"/>
      <c r="C1901" s="4"/>
      <c r="D1901" s="82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17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</row>
    <row r="1902" spans="1:38" x14ac:dyDescent="0.3">
      <c r="A1902" s="5"/>
      <c r="B1902" s="4"/>
      <c r="C1902" s="4"/>
      <c r="D1902" s="82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17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</row>
    <row r="1903" spans="1:38" x14ac:dyDescent="0.3">
      <c r="A1903" s="5"/>
      <c r="B1903" s="4"/>
      <c r="C1903" s="4"/>
      <c r="D1903" s="82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17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</row>
    <row r="1904" spans="1:38" x14ac:dyDescent="0.3">
      <c r="A1904" s="5"/>
      <c r="B1904" s="4"/>
      <c r="C1904" s="4"/>
      <c r="D1904" s="82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17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</row>
    <row r="1905" spans="1:38" x14ac:dyDescent="0.3">
      <c r="A1905" s="5"/>
      <c r="B1905" s="4"/>
      <c r="C1905" s="4"/>
      <c r="D1905" s="82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17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</row>
    <row r="1906" spans="1:38" x14ac:dyDescent="0.3">
      <c r="A1906" s="5"/>
      <c r="B1906" s="4"/>
      <c r="C1906" s="4"/>
      <c r="D1906" s="82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17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</row>
    <row r="1907" spans="1:38" x14ac:dyDescent="0.3">
      <c r="A1907" s="5"/>
      <c r="B1907" s="4"/>
      <c r="C1907" s="4"/>
      <c r="D1907" s="82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17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</row>
    <row r="1908" spans="1:38" x14ac:dyDescent="0.3">
      <c r="A1908" s="5"/>
      <c r="B1908" s="4"/>
      <c r="C1908" s="4"/>
      <c r="D1908" s="82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17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</row>
    <row r="1909" spans="1:38" x14ac:dyDescent="0.3">
      <c r="A1909" s="5"/>
      <c r="B1909" s="4"/>
      <c r="C1909" s="4"/>
      <c r="D1909" s="82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17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</row>
    <row r="1910" spans="1:38" x14ac:dyDescent="0.3">
      <c r="A1910" s="5"/>
      <c r="B1910" s="4"/>
      <c r="C1910" s="4"/>
      <c r="D1910" s="82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17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</row>
    <row r="1911" spans="1:38" x14ac:dyDescent="0.3">
      <c r="A1911" s="5"/>
      <c r="B1911" s="4"/>
      <c r="C1911" s="4"/>
      <c r="D1911" s="82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17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</row>
    <row r="1912" spans="1:38" x14ac:dyDescent="0.3">
      <c r="A1912" s="5"/>
      <c r="B1912" s="4"/>
      <c r="C1912" s="4"/>
      <c r="D1912" s="82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17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</row>
    <row r="1913" spans="1:38" x14ac:dyDescent="0.3">
      <c r="A1913" s="5"/>
      <c r="B1913" s="4"/>
      <c r="C1913" s="4"/>
      <c r="D1913" s="82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17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</row>
    <row r="1914" spans="1:38" x14ac:dyDescent="0.3">
      <c r="A1914" s="5"/>
      <c r="B1914" s="4"/>
      <c r="C1914" s="4"/>
      <c r="D1914" s="82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17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</row>
    <row r="1915" spans="1:38" x14ac:dyDescent="0.3">
      <c r="A1915" s="5"/>
      <c r="B1915" s="4"/>
      <c r="C1915" s="4"/>
      <c r="D1915" s="82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17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</row>
    <row r="1916" spans="1:38" x14ac:dyDescent="0.3">
      <c r="A1916" s="5"/>
      <c r="B1916" s="4"/>
      <c r="C1916" s="4"/>
      <c r="D1916" s="82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17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</row>
    <row r="1917" spans="1:38" x14ac:dyDescent="0.3">
      <c r="A1917" s="5"/>
      <c r="B1917" s="4"/>
      <c r="C1917" s="4"/>
      <c r="D1917" s="82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17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</row>
    <row r="1918" spans="1:38" x14ac:dyDescent="0.3">
      <c r="A1918" s="5"/>
      <c r="B1918" s="4"/>
      <c r="C1918" s="4"/>
      <c r="D1918" s="82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17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</row>
    <row r="1919" spans="1:38" x14ac:dyDescent="0.3">
      <c r="A1919" s="5"/>
      <c r="B1919" s="4"/>
      <c r="C1919" s="4"/>
      <c r="D1919" s="82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17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</row>
    <row r="1920" spans="1:38" x14ac:dyDescent="0.3">
      <c r="A1920" s="5"/>
      <c r="B1920" s="4"/>
      <c r="C1920" s="4"/>
      <c r="D1920" s="82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17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</row>
    <row r="1921" spans="1:38" x14ac:dyDescent="0.3">
      <c r="A1921" s="5"/>
      <c r="B1921" s="4"/>
      <c r="C1921" s="4"/>
      <c r="D1921" s="82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17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</row>
    <row r="1922" spans="1:38" x14ac:dyDescent="0.3">
      <c r="A1922" s="5"/>
      <c r="B1922" s="4"/>
      <c r="C1922" s="4"/>
      <c r="D1922" s="82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17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</row>
    <row r="1923" spans="1:38" x14ac:dyDescent="0.3">
      <c r="A1923" s="5"/>
      <c r="B1923" s="4"/>
      <c r="C1923" s="4"/>
      <c r="D1923" s="82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17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</row>
    <row r="1924" spans="1:38" x14ac:dyDescent="0.3">
      <c r="A1924" s="5"/>
      <c r="B1924" s="4"/>
      <c r="C1924" s="4"/>
      <c r="D1924" s="82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17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</row>
    <row r="1925" spans="1:38" x14ac:dyDescent="0.3">
      <c r="A1925" s="5"/>
      <c r="B1925" s="4"/>
      <c r="C1925" s="4"/>
      <c r="D1925" s="82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17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</row>
    <row r="1926" spans="1:38" x14ac:dyDescent="0.3">
      <c r="A1926" s="5"/>
      <c r="B1926" s="4"/>
      <c r="C1926" s="4"/>
      <c r="D1926" s="82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17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</row>
    <row r="1927" spans="1:38" x14ac:dyDescent="0.3">
      <c r="A1927" s="5"/>
      <c r="B1927" s="4"/>
      <c r="C1927" s="4"/>
      <c r="D1927" s="82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17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</row>
    <row r="1928" spans="1:38" x14ac:dyDescent="0.3">
      <c r="A1928" s="5"/>
      <c r="B1928" s="4"/>
      <c r="C1928" s="4"/>
      <c r="D1928" s="82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17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</row>
    <row r="1929" spans="1:38" x14ac:dyDescent="0.3">
      <c r="A1929" s="5"/>
      <c r="B1929" s="4"/>
      <c r="C1929" s="4"/>
      <c r="D1929" s="82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17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</row>
    <row r="1930" spans="1:38" x14ac:dyDescent="0.3">
      <c r="A1930" s="5"/>
      <c r="B1930" s="4"/>
      <c r="C1930" s="4"/>
      <c r="D1930" s="82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17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</row>
    <row r="1931" spans="1:38" x14ac:dyDescent="0.3">
      <c r="A1931" s="5"/>
      <c r="B1931" s="4"/>
      <c r="C1931" s="4"/>
      <c r="D1931" s="82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17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</row>
    <row r="1932" spans="1:38" x14ac:dyDescent="0.3">
      <c r="A1932" s="5"/>
      <c r="B1932" s="4"/>
      <c r="C1932" s="4"/>
      <c r="D1932" s="82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17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</row>
    <row r="1933" spans="1:38" x14ac:dyDescent="0.3">
      <c r="A1933" s="5"/>
      <c r="B1933" s="4"/>
      <c r="C1933" s="4"/>
      <c r="D1933" s="82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17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</row>
    <row r="1934" spans="1:38" x14ac:dyDescent="0.3">
      <c r="A1934" s="5"/>
      <c r="B1934" s="4"/>
      <c r="C1934" s="4"/>
      <c r="D1934" s="82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17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</row>
    <row r="1935" spans="1:38" x14ac:dyDescent="0.3">
      <c r="A1935" s="5"/>
      <c r="B1935" s="4"/>
      <c r="C1935" s="4"/>
      <c r="D1935" s="82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17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</row>
    <row r="1936" spans="1:38" x14ac:dyDescent="0.3">
      <c r="A1936" s="5"/>
      <c r="B1936" s="4"/>
      <c r="C1936" s="4"/>
      <c r="D1936" s="82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17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</row>
    <row r="1937" spans="1:38" x14ac:dyDescent="0.3">
      <c r="A1937" s="5"/>
      <c r="B1937" s="4"/>
      <c r="C1937" s="4"/>
      <c r="D1937" s="82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17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</row>
    <row r="1938" spans="1:38" x14ac:dyDescent="0.3">
      <c r="A1938" s="5"/>
      <c r="B1938" s="4"/>
      <c r="C1938" s="4"/>
      <c r="D1938" s="82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17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</row>
    <row r="1939" spans="1:38" x14ac:dyDescent="0.3">
      <c r="A1939" s="5"/>
      <c r="B1939" s="4"/>
      <c r="C1939" s="4"/>
      <c r="D1939" s="82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17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</row>
    <row r="1940" spans="1:38" x14ac:dyDescent="0.3">
      <c r="A1940" s="5"/>
      <c r="B1940" s="4"/>
      <c r="C1940" s="4"/>
      <c r="D1940" s="82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17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</row>
    <row r="1941" spans="1:38" x14ac:dyDescent="0.3">
      <c r="A1941" s="5"/>
      <c r="B1941" s="4"/>
      <c r="C1941" s="4"/>
      <c r="D1941" s="82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17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</row>
    <row r="1942" spans="1:38" x14ac:dyDescent="0.3">
      <c r="A1942" s="5"/>
      <c r="B1942" s="4"/>
      <c r="C1942" s="4"/>
      <c r="D1942" s="82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17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</row>
    <row r="1943" spans="1:38" x14ac:dyDescent="0.3">
      <c r="A1943" s="5"/>
      <c r="B1943" s="4"/>
      <c r="C1943" s="4"/>
      <c r="D1943" s="82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17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</row>
    <row r="1944" spans="1:38" x14ac:dyDescent="0.3">
      <c r="A1944" s="5"/>
      <c r="B1944" s="4"/>
      <c r="C1944" s="4"/>
      <c r="D1944" s="82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17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</row>
    <row r="1945" spans="1:38" x14ac:dyDescent="0.3">
      <c r="A1945" s="5"/>
      <c r="B1945" s="4"/>
      <c r="C1945" s="4"/>
      <c r="D1945" s="82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17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</row>
    <row r="1946" spans="1:38" x14ac:dyDescent="0.3">
      <c r="A1946" s="5"/>
      <c r="B1946" s="4"/>
      <c r="C1946" s="4"/>
      <c r="D1946" s="82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17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</row>
    <row r="1947" spans="1:38" x14ac:dyDescent="0.3">
      <c r="A1947" s="5"/>
      <c r="B1947" s="4"/>
      <c r="C1947" s="4"/>
      <c r="D1947" s="82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17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</row>
    <row r="1948" spans="1:38" x14ac:dyDescent="0.3">
      <c r="A1948" s="5"/>
      <c r="B1948" s="4"/>
      <c r="C1948" s="4"/>
      <c r="D1948" s="82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17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</row>
    <row r="1949" spans="1:38" x14ac:dyDescent="0.3">
      <c r="A1949" s="5"/>
      <c r="B1949" s="4"/>
      <c r="C1949" s="4"/>
      <c r="D1949" s="82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17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</row>
    <row r="1950" spans="1:38" x14ac:dyDescent="0.3">
      <c r="A1950" s="5"/>
      <c r="B1950" s="4"/>
      <c r="C1950" s="4"/>
      <c r="D1950" s="82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17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</row>
    <row r="1951" spans="1:38" x14ac:dyDescent="0.3">
      <c r="A1951" s="5"/>
      <c r="B1951" s="4"/>
      <c r="C1951" s="4"/>
      <c r="D1951" s="82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17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</row>
    <row r="1952" spans="1:38" x14ac:dyDescent="0.3">
      <c r="A1952" s="5"/>
      <c r="B1952" s="4"/>
      <c r="C1952" s="4"/>
      <c r="D1952" s="82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17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</row>
    <row r="1953" spans="1:38" x14ac:dyDescent="0.3">
      <c r="A1953" s="5"/>
      <c r="B1953" s="4"/>
      <c r="C1953" s="4"/>
      <c r="D1953" s="82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17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</row>
    <row r="1954" spans="1:38" x14ac:dyDescent="0.3">
      <c r="A1954" s="5"/>
      <c r="B1954" s="4"/>
      <c r="C1954" s="4"/>
      <c r="D1954" s="82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17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</row>
    <row r="1955" spans="1:38" x14ac:dyDescent="0.3">
      <c r="A1955" s="5"/>
      <c r="B1955" s="4"/>
      <c r="C1955" s="4"/>
      <c r="D1955" s="82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17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</row>
    <row r="1956" spans="1:38" x14ac:dyDescent="0.3">
      <c r="A1956" s="5"/>
      <c r="B1956" s="4"/>
      <c r="C1956" s="4"/>
      <c r="D1956" s="82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17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</row>
    <row r="1957" spans="1:38" x14ac:dyDescent="0.3">
      <c r="A1957" s="5"/>
      <c r="B1957" s="4"/>
      <c r="C1957" s="4"/>
      <c r="D1957" s="82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17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</row>
    <row r="1958" spans="1:38" x14ac:dyDescent="0.3">
      <c r="A1958" s="5"/>
      <c r="B1958" s="4"/>
      <c r="C1958" s="4"/>
      <c r="D1958" s="82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17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</row>
    <row r="1959" spans="1:38" x14ac:dyDescent="0.3">
      <c r="A1959" s="5"/>
      <c r="B1959" s="4"/>
      <c r="C1959" s="4"/>
      <c r="D1959" s="82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17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</row>
    <row r="1960" spans="1:38" x14ac:dyDescent="0.3">
      <c r="A1960" s="5"/>
      <c r="B1960" s="4"/>
      <c r="C1960" s="4"/>
      <c r="D1960" s="82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17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</row>
    <row r="1961" spans="1:38" x14ac:dyDescent="0.3">
      <c r="A1961" s="5"/>
      <c r="B1961" s="4"/>
      <c r="C1961" s="4"/>
      <c r="D1961" s="82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17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</row>
    <row r="1962" spans="1:38" x14ac:dyDescent="0.3">
      <c r="A1962" s="5"/>
      <c r="B1962" s="4"/>
      <c r="C1962" s="4"/>
      <c r="D1962" s="82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17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</row>
    <row r="1963" spans="1:38" x14ac:dyDescent="0.3">
      <c r="A1963" s="5"/>
      <c r="B1963" s="4"/>
      <c r="C1963" s="4"/>
      <c r="D1963" s="82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17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</row>
    <row r="1964" spans="1:38" x14ac:dyDescent="0.3">
      <c r="A1964" s="5"/>
      <c r="B1964" s="4"/>
      <c r="C1964" s="4"/>
      <c r="D1964" s="82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17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</row>
    <row r="1965" spans="1:38" x14ac:dyDescent="0.3">
      <c r="A1965" s="5"/>
      <c r="B1965" s="4"/>
      <c r="C1965" s="4"/>
      <c r="D1965" s="82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17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</row>
    <row r="1966" spans="1:38" x14ac:dyDescent="0.3">
      <c r="A1966" s="5"/>
      <c r="B1966" s="4"/>
      <c r="C1966" s="4"/>
      <c r="D1966" s="82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17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</row>
    <row r="1967" spans="1:38" x14ac:dyDescent="0.3">
      <c r="A1967" s="5"/>
      <c r="B1967" s="4"/>
      <c r="C1967" s="4"/>
      <c r="D1967" s="82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17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</row>
    <row r="1968" spans="1:38" x14ac:dyDescent="0.3">
      <c r="A1968" s="5"/>
      <c r="B1968" s="4"/>
      <c r="C1968" s="4"/>
      <c r="D1968" s="82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17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</row>
    <row r="1969" spans="1:38" x14ac:dyDescent="0.3">
      <c r="A1969" s="5"/>
      <c r="B1969" s="4"/>
      <c r="C1969" s="4"/>
      <c r="D1969" s="82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17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</row>
    <row r="1970" spans="1:38" x14ac:dyDescent="0.3">
      <c r="A1970" s="5"/>
      <c r="B1970" s="4"/>
      <c r="C1970" s="4"/>
      <c r="D1970" s="82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17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</row>
    <row r="1971" spans="1:38" x14ac:dyDescent="0.3">
      <c r="A1971" s="5"/>
      <c r="B1971" s="4"/>
      <c r="C1971" s="4"/>
      <c r="D1971" s="82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17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</row>
    <row r="1972" spans="1:38" x14ac:dyDescent="0.3">
      <c r="A1972" s="5"/>
      <c r="B1972" s="4"/>
      <c r="C1972" s="4"/>
      <c r="D1972" s="82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17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</row>
    <row r="1973" spans="1:38" x14ac:dyDescent="0.3">
      <c r="A1973" s="5"/>
      <c r="B1973" s="4"/>
      <c r="C1973" s="4"/>
      <c r="D1973" s="82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17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</row>
    <row r="1974" spans="1:38" x14ac:dyDescent="0.3">
      <c r="A1974" s="5"/>
      <c r="B1974" s="4"/>
      <c r="C1974" s="4"/>
      <c r="D1974" s="82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17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</row>
    <row r="1975" spans="1:38" x14ac:dyDescent="0.3">
      <c r="A1975" s="5"/>
      <c r="B1975" s="4"/>
      <c r="C1975" s="4"/>
      <c r="D1975" s="82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17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</row>
    <row r="1976" spans="1:38" x14ac:dyDescent="0.3">
      <c r="A1976" s="5"/>
      <c r="B1976" s="4"/>
      <c r="C1976" s="4"/>
      <c r="D1976" s="82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17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</row>
    <row r="1977" spans="1:38" x14ac:dyDescent="0.3">
      <c r="A1977" s="5"/>
      <c r="B1977" s="4"/>
      <c r="C1977" s="4"/>
      <c r="D1977" s="82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17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</row>
    <row r="1978" spans="1:38" x14ac:dyDescent="0.3">
      <c r="A1978" s="5"/>
      <c r="B1978" s="4"/>
      <c r="C1978" s="4"/>
      <c r="D1978" s="82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17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</row>
    <row r="1979" spans="1:38" x14ac:dyDescent="0.3">
      <c r="A1979" s="5"/>
      <c r="B1979" s="4"/>
      <c r="C1979" s="4"/>
      <c r="D1979" s="82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17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</row>
    <row r="1980" spans="1:38" x14ac:dyDescent="0.3">
      <c r="A1980" s="5"/>
      <c r="B1980" s="4"/>
      <c r="C1980" s="4"/>
      <c r="D1980" s="82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17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</row>
    <row r="1981" spans="1:38" x14ac:dyDescent="0.3">
      <c r="A1981" s="5"/>
      <c r="B1981" s="4"/>
      <c r="C1981" s="4"/>
      <c r="D1981" s="82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17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</row>
    <row r="1982" spans="1:38" x14ac:dyDescent="0.3">
      <c r="A1982" s="5"/>
      <c r="B1982" s="4"/>
      <c r="C1982" s="4"/>
      <c r="D1982" s="82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17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</row>
    <row r="1983" spans="1:38" x14ac:dyDescent="0.3">
      <c r="A1983" s="5"/>
      <c r="B1983" s="4"/>
      <c r="C1983" s="4"/>
      <c r="D1983" s="82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17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</row>
    <row r="1984" spans="1:38" x14ac:dyDescent="0.3">
      <c r="A1984" s="5"/>
      <c r="B1984" s="4"/>
      <c r="C1984" s="4"/>
      <c r="D1984" s="82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17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</row>
    <row r="1985" spans="1:38" x14ac:dyDescent="0.3">
      <c r="A1985" s="5"/>
      <c r="B1985" s="4"/>
      <c r="C1985" s="4"/>
      <c r="D1985" s="82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17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</row>
    <row r="1986" spans="1:38" x14ac:dyDescent="0.3">
      <c r="A1986" s="5"/>
      <c r="B1986" s="4"/>
      <c r="C1986" s="4"/>
      <c r="D1986" s="82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17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</row>
    <row r="1987" spans="1:38" x14ac:dyDescent="0.3">
      <c r="A1987" s="5"/>
      <c r="B1987" s="4"/>
      <c r="C1987" s="4"/>
      <c r="D1987" s="82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17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</row>
    <row r="1988" spans="1:38" x14ac:dyDescent="0.3">
      <c r="A1988" s="5"/>
      <c r="B1988" s="4"/>
      <c r="C1988" s="4"/>
      <c r="D1988" s="82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17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</row>
    <row r="1989" spans="1:38" x14ac:dyDescent="0.3">
      <c r="A1989" s="5"/>
      <c r="B1989" s="4"/>
      <c r="C1989" s="4"/>
      <c r="D1989" s="82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17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</row>
    <row r="1990" spans="1:38" x14ac:dyDescent="0.3">
      <c r="A1990" s="5"/>
      <c r="B1990" s="4"/>
      <c r="C1990" s="4"/>
      <c r="D1990" s="82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17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</row>
    <row r="1991" spans="1:38" x14ac:dyDescent="0.3">
      <c r="A1991" s="5"/>
      <c r="B1991" s="4"/>
      <c r="C1991" s="4"/>
      <c r="D1991" s="82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17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</row>
    <row r="1992" spans="1:38" x14ac:dyDescent="0.3">
      <c r="A1992" s="5"/>
      <c r="B1992" s="4"/>
      <c r="C1992" s="4"/>
      <c r="D1992" s="82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17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</row>
    <row r="1993" spans="1:38" x14ac:dyDescent="0.3">
      <c r="A1993" s="5"/>
      <c r="B1993" s="4"/>
      <c r="C1993" s="4"/>
      <c r="D1993" s="82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17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</row>
    <row r="1994" spans="1:38" x14ac:dyDescent="0.3">
      <c r="A1994" s="5"/>
      <c r="B1994" s="4"/>
      <c r="C1994" s="4"/>
      <c r="D1994" s="82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17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</row>
    <row r="1995" spans="1:38" x14ac:dyDescent="0.3">
      <c r="A1995" s="5"/>
      <c r="B1995" s="4"/>
      <c r="C1995" s="4"/>
      <c r="D1995" s="82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17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</row>
    <row r="1996" spans="1:38" x14ac:dyDescent="0.3">
      <c r="A1996" s="5"/>
      <c r="B1996" s="4"/>
      <c r="C1996" s="4"/>
      <c r="D1996" s="82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17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</row>
    <row r="1997" spans="1:38" x14ac:dyDescent="0.3">
      <c r="A1997" s="5"/>
      <c r="B1997" s="4"/>
      <c r="C1997" s="4"/>
      <c r="D1997" s="82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17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</row>
    <row r="1998" spans="1:38" x14ac:dyDescent="0.3">
      <c r="A1998" s="5"/>
      <c r="B1998" s="4"/>
      <c r="C1998" s="4"/>
      <c r="D1998" s="82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17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</row>
    <row r="1999" spans="1:38" x14ac:dyDescent="0.3">
      <c r="A1999" s="5"/>
      <c r="B1999" s="4"/>
      <c r="C1999" s="4"/>
      <c r="D1999" s="82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17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</row>
    <row r="2000" spans="1:38" x14ac:dyDescent="0.3">
      <c r="A2000" s="5"/>
      <c r="B2000" s="4"/>
      <c r="C2000" s="4"/>
      <c r="D2000" s="82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17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</row>
    <row r="2001" spans="1:38" x14ac:dyDescent="0.3">
      <c r="A2001" s="5"/>
      <c r="B2001" s="4"/>
      <c r="C2001" s="4"/>
      <c r="D2001" s="82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17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</row>
    <row r="2002" spans="1:38" x14ac:dyDescent="0.3">
      <c r="A2002" s="5"/>
      <c r="B2002" s="4"/>
      <c r="C2002" s="4"/>
      <c r="D2002" s="82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17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</row>
    <row r="2003" spans="1:38" x14ac:dyDescent="0.3">
      <c r="A2003" s="5"/>
      <c r="B2003" s="4"/>
      <c r="C2003" s="4"/>
      <c r="D2003" s="82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17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</row>
    <row r="2004" spans="1:38" x14ac:dyDescent="0.3">
      <c r="A2004" s="5"/>
      <c r="B2004" s="4"/>
      <c r="C2004" s="4"/>
      <c r="D2004" s="82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17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</row>
    <row r="2005" spans="1:38" x14ac:dyDescent="0.3">
      <c r="A2005" s="5"/>
      <c r="B2005" s="4"/>
      <c r="C2005" s="4"/>
      <c r="D2005" s="82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17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</row>
    <row r="2006" spans="1:38" x14ac:dyDescent="0.3">
      <c r="A2006" s="5"/>
      <c r="B2006" s="4"/>
      <c r="C2006" s="4"/>
      <c r="D2006" s="82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17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</row>
    <row r="2007" spans="1:38" x14ac:dyDescent="0.3">
      <c r="A2007" s="5"/>
      <c r="B2007" s="4"/>
      <c r="C2007" s="4"/>
      <c r="D2007" s="82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17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</row>
    <row r="2008" spans="1:38" x14ac:dyDescent="0.3">
      <c r="A2008" s="5"/>
      <c r="B2008" s="4"/>
      <c r="C2008" s="4"/>
      <c r="D2008" s="82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17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</row>
    <row r="2009" spans="1:38" x14ac:dyDescent="0.3">
      <c r="A2009" s="5"/>
      <c r="B2009" s="4"/>
      <c r="C2009" s="4"/>
      <c r="D2009" s="82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17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</row>
    <row r="2010" spans="1:38" x14ac:dyDescent="0.3">
      <c r="A2010" s="5"/>
      <c r="B2010" s="4"/>
      <c r="C2010" s="4"/>
      <c r="D2010" s="82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17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</row>
    <row r="2011" spans="1:38" x14ac:dyDescent="0.3">
      <c r="A2011" s="5"/>
      <c r="B2011" s="4"/>
      <c r="C2011" s="4"/>
      <c r="D2011" s="82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17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</row>
    <row r="2012" spans="1:38" x14ac:dyDescent="0.3">
      <c r="A2012" s="5"/>
      <c r="B2012" s="4"/>
      <c r="C2012" s="4"/>
      <c r="D2012" s="82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17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</row>
    <row r="2013" spans="1:38" x14ac:dyDescent="0.3">
      <c r="A2013" s="5"/>
      <c r="B2013" s="4"/>
      <c r="C2013" s="4"/>
      <c r="D2013" s="82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17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</row>
    <row r="2014" spans="1:38" x14ac:dyDescent="0.3">
      <c r="A2014" s="5"/>
      <c r="B2014" s="4"/>
      <c r="C2014" s="4"/>
      <c r="D2014" s="82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17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</row>
    <row r="2015" spans="1:38" x14ac:dyDescent="0.3">
      <c r="A2015" s="5"/>
      <c r="B2015" s="4"/>
      <c r="C2015" s="4"/>
      <c r="D2015" s="82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17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</row>
    <row r="2016" spans="1:38" x14ac:dyDescent="0.3">
      <c r="A2016" s="5"/>
      <c r="B2016" s="4"/>
      <c r="C2016" s="4"/>
      <c r="D2016" s="82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17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</row>
    <row r="2017" spans="1:38" x14ac:dyDescent="0.3">
      <c r="A2017" s="5"/>
      <c r="B2017" s="4"/>
      <c r="C2017" s="4"/>
      <c r="D2017" s="82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17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</row>
    <row r="2018" spans="1:38" x14ac:dyDescent="0.3">
      <c r="A2018" s="5"/>
      <c r="B2018" s="4"/>
      <c r="C2018" s="4"/>
      <c r="D2018" s="82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17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</row>
    <row r="2019" spans="1:38" x14ac:dyDescent="0.3">
      <c r="A2019" s="5"/>
      <c r="B2019" s="4"/>
      <c r="C2019" s="4"/>
      <c r="D2019" s="82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17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</row>
    <row r="2020" spans="1:38" x14ac:dyDescent="0.3">
      <c r="A2020" s="5"/>
      <c r="B2020" s="4"/>
      <c r="C2020" s="4"/>
      <c r="D2020" s="82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17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</row>
    <row r="2021" spans="1:38" x14ac:dyDescent="0.3">
      <c r="A2021" s="5"/>
      <c r="B2021" s="4"/>
      <c r="C2021" s="4"/>
      <c r="D2021" s="82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17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</row>
    <row r="2022" spans="1:38" x14ac:dyDescent="0.3">
      <c r="A2022" s="5"/>
      <c r="B2022" s="4"/>
      <c r="C2022" s="4"/>
      <c r="D2022" s="82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17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</row>
    <row r="2023" spans="1:38" x14ac:dyDescent="0.3">
      <c r="A2023" s="5"/>
      <c r="B2023" s="4"/>
      <c r="C2023" s="4"/>
      <c r="D2023" s="82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17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</row>
    <row r="2024" spans="1:38" x14ac:dyDescent="0.3">
      <c r="A2024" s="5"/>
      <c r="B2024" s="4"/>
      <c r="C2024" s="4"/>
      <c r="D2024" s="82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17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</row>
    <row r="2025" spans="1:38" x14ac:dyDescent="0.3">
      <c r="A2025" s="5"/>
      <c r="B2025" s="4"/>
      <c r="C2025" s="4"/>
      <c r="D2025" s="82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17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</row>
    <row r="2026" spans="1:38" x14ac:dyDescent="0.3">
      <c r="A2026" s="5"/>
      <c r="B2026" s="4"/>
      <c r="C2026" s="4"/>
      <c r="D2026" s="82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17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</row>
    <row r="2027" spans="1:38" x14ac:dyDescent="0.3">
      <c r="A2027" s="5"/>
      <c r="B2027" s="4"/>
      <c r="C2027" s="4"/>
      <c r="D2027" s="82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17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</row>
    <row r="2028" spans="1:38" x14ac:dyDescent="0.3">
      <c r="A2028" s="5"/>
      <c r="B2028" s="4"/>
      <c r="C2028" s="4"/>
      <c r="D2028" s="82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17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</row>
    <row r="2029" spans="1:38" x14ac:dyDescent="0.3">
      <c r="A2029" s="5"/>
      <c r="B2029" s="4"/>
      <c r="C2029" s="4"/>
      <c r="D2029" s="82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17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</row>
    <row r="2030" spans="1:38" x14ac:dyDescent="0.3">
      <c r="A2030" s="5"/>
      <c r="B2030" s="4"/>
      <c r="C2030" s="4"/>
      <c r="D2030" s="82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17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</row>
    <row r="2031" spans="1:38" x14ac:dyDescent="0.3">
      <c r="A2031" s="5"/>
      <c r="B2031" s="4"/>
      <c r="C2031" s="4"/>
      <c r="D2031" s="82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17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</row>
    <row r="2032" spans="1:38" x14ac:dyDescent="0.3">
      <c r="A2032" s="5"/>
      <c r="B2032" s="4"/>
      <c r="C2032" s="4"/>
      <c r="D2032" s="82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17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</row>
    <row r="2033" spans="1:38" x14ac:dyDescent="0.3">
      <c r="A2033" s="5"/>
      <c r="B2033" s="4"/>
      <c r="C2033" s="4"/>
      <c r="D2033" s="82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17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</row>
    <row r="2034" spans="1:38" x14ac:dyDescent="0.3">
      <c r="A2034" s="5"/>
      <c r="B2034" s="4"/>
      <c r="C2034" s="4"/>
      <c r="D2034" s="82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17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</row>
    <row r="2035" spans="1:38" x14ac:dyDescent="0.3">
      <c r="A2035" s="5"/>
      <c r="B2035" s="4"/>
      <c r="C2035" s="4"/>
      <c r="D2035" s="82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17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</row>
    <row r="2036" spans="1:38" x14ac:dyDescent="0.3">
      <c r="A2036" s="5"/>
      <c r="B2036" s="4"/>
      <c r="C2036" s="4"/>
      <c r="D2036" s="82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17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</row>
    <row r="2037" spans="1:38" x14ac:dyDescent="0.3">
      <c r="A2037" s="5"/>
      <c r="B2037" s="4"/>
      <c r="C2037" s="4"/>
      <c r="D2037" s="82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17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</row>
    <row r="2038" spans="1:38" x14ac:dyDescent="0.3">
      <c r="A2038" s="5"/>
      <c r="B2038" s="4"/>
      <c r="C2038" s="4"/>
      <c r="D2038" s="82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17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</row>
    <row r="2039" spans="1:38" x14ac:dyDescent="0.3">
      <c r="A2039" s="5"/>
      <c r="B2039" s="4"/>
      <c r="C2039" s="4"/>
      <c r="D2039" s="82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17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</row>
    <row r="2040" spans="1:38" x14ac:dyDescent="0.3">
      <c r="A2040" s="5"/>
      <c r="B2040" s="4"/>
      <c r="C2040" s="4"/>
      <c r="D2040" s="82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17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</row>
    <row r="2041" spans="1:38" x14ac:dyDescent="0.3">
      <c r="A2041" s="5"/>
      <c r="B2041" s="4"/>
      <c r="C2041" s="4"/>
      <c r="D2041" s="82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17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</row>
    <row r="2042" spans="1:38" x14ac:dyDescent="0.3">
      <c r="A2042" s="5"/>
      <c r="B2042" s="4"/>
      <c r="C2042" s="4"/>
      <c r="D2042" s="82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17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</row>
    <row r="2043" spans="1:38" x14ac:dyDescent="0.3">
      <c r="A2043" s="5"/>
      <c r="B2043" s="4"/>
      <c r="C2043" s="4"/>
      <c r="D2043" s="82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17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</row>
    <row r="2044" spans="1:38" x14ac:dyDescent="0.3">
      <c r="A2044" s="5"/>
      <c r="B2044" s="4"/>
      <c r="C2044" s="4"/>
      <c r="D2044" s="82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17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</row>
    <row r="2045" spans="1:38" x14ac:dyDescent="0.3">
      <c r="A2045" s="5"/>
      <c r="B2045" s="4"/>
      <c r="C2045" s="4"/>
      <c r="D2045" s="82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17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</row>
    <row r="2046" spans="1:38" x14ac:dyDescent="0.3">
      <c r="A2046" s="5"/>
      <c r="B2046" s="4"/>
      <c r="C2046" s="4"/>
      <c r="D2046" s="82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17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</row>
    <row r="2047" spans="1:38" x14ac:dyDescent="0.3">
      <c r="A2047" s="5"/>
      <c r="B2047" s="4"/>
      <c r="C2047" s="4"/>
      <c r="D2047" s="82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17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</row>
    <row r="2048" spans="1:38" x14ac:dyDescent="0.3">
      <c r="A2048" s="5"/>
      <c r="B2048" s="4"/>
      <c r="C2048" s="4"/>
      <c r="D2048" s="82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17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</row>
    <row r="2049" spans="1:38" x14ac:dyDescent="0.3">
      <c r="A2049" s="5"/>
      <c r="B2049" s="4"/>
      <c r="C2049" s="4"/>
      <c r="D2049" s="82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17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</row>
    <row r="2050" spans="1:38" x14ac:dyDescent="0.3">
      <c r="A2050" s="5"/>
      <c r="B2050" s="4"/>
      <c r="C2050" s="4"/>
      <c r="D2050" s="82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17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</row>
    <row r="2051" spans="1:38" x14ac:dyDescent="0.3">
      <c r="A2051" s="5"/>
      <c r="B2051" s="4"/>
      <c r="C2051" s="4"/>
      <c r="D2051" s="82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17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</row>
    <row r="2052" spans="1:38" x14ac:dyDescent="0.3">
      <c r="A2052" s="5"/>
      <c r="B2052" s="4"/>
      <c r="C2052" s="4"/>
      <c r="D2052" s="82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17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</row>
    <row r="2053" spans="1:38" x14ac:dyDescent="0.3">
      <c r="A2053" s="5"/>
      <c r="B2053" s="4"/>
      <c r="C2053" s="4"/>
      <c r="D2053" s="82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17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</row>
    <row r="2054" spans="1:38" x14ac:dyDescent="0.3">
      <c r="A2054" s="5"/>
      <c r="B2054" s="4"/>
      <c r="C2054" s="4"/>
      <c r="D2054" s="82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17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</row>
    <row r="2055" spans="1:38" x14ac:dyDescent="0.3">
      <c r="A2055" s="5"/>
      <c r="B2055" s="4"/>
      <c r="C2055" s="4"/>
      <c r="D2055" s="82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17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</row>
    <row r="2056" spans="1:38" x14ac:dyDescent="0.3">
      <c r="A2056" s="5"/>
      <c r="B2056" s="4"/>
      <c r="C2056" s="4"/>
      <c r="D2056" s="82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17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</row>
    <row r="2057" spans="1:38" x14ac:dyDescent="0.3">
      <c r="A2057" s="5"/>
      <c r="B2057" s="4"/>
      <c r="C2057" s="4"/>
      <c r="D2057" s="82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17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</row>
    <row r="2058" spans="1:38" x14ac:dyDescent="0.3">
      <c r="A2058" s="5"/>
      <c r="B2058" s="4"/>
      <c r="C2058" s="4"/>
      <c r="D2058" s="82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17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</row>
    <row r="2059" spans="1:38" x14ac:dyDescent="0.3">
      <c r="A2059" s="5"/>
      <c r="B2059" s="4"/>
      <c r="C2059" s="4"/>
      <c r="D2059" s="82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17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</row>
    <row r="2060" spans="1:38" x14ac:dyDescent="0.3">
      <c r="A2060" s="5"/>
      <c r="B2060" s="4"/>
      <c r="C2060" s="4"/>
      <c r="D2060" s="82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17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</row>
    <row r="2061" spans="1:38" x14ac:dyDescent="0.3">
      <c r="A2061" s="5"/>
      <c r="B2061" s="4"/>
      <c r="C2061" s="4"/>
      <c r="D2061" s="82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17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</row>
    <row r="2062" spans="1:38" x14ac:dyDescent="0.3">
      <c r="A2062" s="5"/>
      <c r="B2062" s="4"/>
      <c r="C2062" s="4"/>
      <c r="D2062" s="82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17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</row>
    <row r="2063" spans="1:38" x14ac:dyDescent="0.3">
      <c r="A2063" s="5"/>
      <c r="B2063" s="4"/>
      <c r="C2063" s="4"/>
      <c r="D2063" s="82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17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</row>
    <row r="2064" spans="1:38" x14ac:dyDescent="0.3">
      <c r="A2064" s="5"/>
      <c r="B2064" s="4"/>
      <c r="C2064" s="4"/>
      <c r="D2064" s="82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17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</row>
    <row r="2065" spans="1:38" x14ac:dyDescent="0.3">
      <c r="A2065" s="5"/>
      <c r="B2065" s="4"/>
      <c r="C2065" s="4"/>
      <c r="D2065" s="82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17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</row>
    <row r="2066" spans="1:38" x14ac:dyDescent="0.3">
      <c r="A2066" s="5"/>
      <c r="B2066" s="4"/>
      <c r="C2066" s="4"/>
      <c r="D2066" s="82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17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</row>
    <row r="2067" spans="1:38" x14ac:dyDescent="0.3">
      <c r="A2067" s="5"/>
      <c r="B2067" s="4"/>
      <c r="C2067" s="4"/>
      <c r="D2067" s="82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17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</row>
    <row r="2068" spans="1:38" x14ac:dyDescent="0.3">
      <c r="A2068" s="5"/>
      <c r="B2068" s="4"/>
      <c r="C2068" s="4"/>
      <c r="D2068" s="82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17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</row>
    <row r="2069" spans="1:38" x14ac:dyDescent="0.3">
      <c r="A2069" s="5"/>
      <c r="B2069" s="4"/>
      <c r="C2069" s="4"/>
      <c r="D2069" s="82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17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</row>
    <row r="2070" spans="1:38" x14ac:dyDescent="0.3">
      <c r="A2070" s="5"/>
      <c r="B2070" s="4"/>
      <c r="C2070" s="4"/>
      <c r="D2070" s="82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17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</row>
    <row r="2071" spans="1:38" x14ac:dyDescent="0.3">
      <c r="A2071" s="5"/>
      <c r="B2071" s="4"/>
      <c r="C2071" s="4"/>
      <c r="D2071" s="82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17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</row>
    <row r="2072" spans="1:38" x14ac:dyDescent="0.3">
      <c r="A2072" s="5"/>
      <c r="B2072" s="4"/>
      <c r="C2072" s="4"/>
      <c r="D2072" s="82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17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</row>
    <row r="2073" spans="1:38" x14ac:dyDescent="0.3">
      <c r="A2073" s="5"/>
      <c r="B2073" s="4"/>
      <c r="C2073" s="4"/>
      <c r="D2073" s="82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17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</row>
    <row r="2074" spans="1:38" x14ac:dyDescent="0.3">
      <c r="A2074" s="5"/>
      <c r="B2074" s="4"/>
      <c r="C2074" s="4"/>
      <c r="D2074" s="82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17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</row>
    <row r="2075" spans="1:38" x14ac:dyDescent="0.3">
      <c r="A2075" s="5"/>
      <c r="B2075" s="4"/>
      <c r="C2075" s="4"/>
      <c r="D2075" s="82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17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</row>
    <row r="2076" spans="1:38" x14ac:dyDescent="0.3">
      <c r="A2076" s="5"/>
      <c r="B2076" s="4"/>
      <c r="C2076" s="4"/>
      <c r="D2076" s="82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17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</row>
    <row r="2077" spans="1:38" x14ac:dyDescent="0.3">
      <c r="A2077" s="5"/>
      <c r="B2077" s="4"/>
      <c r="C2077" s="4"/>
      <c r="D2077" s="82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17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</row>
    <row r="2078" spans="1:38" x14ac:dyDescent="0.3">
      <c r="A2078" s="5"/>
      <c r="B2078" s="4"/>
      <c r="C2078" s="4"/>
      <c r="D2078" s="82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17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</row>
    <row r="2079" spans="1:38" x14ac:dyDescent="0.3">
      <c r="A2079" s="5"/>
      <c r="B2079" s="4"/>
      <c r="C2079" s="4"/>
      <c r="D2079" s="82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17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</row>
    <row r="2080" spans="1:38" x14ac:dyDescent="0.3">
      <c r="A2080" s="5"/>
      <c r="B2080" s="4"/>
      <c r="C2080" s="4"/>
      <c r="D2080" s="82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17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</row>
    <row r="2081" spans="1:38" x14ac:dyDescent="0.3">
      <c r="A2081" s="5"/>
      <c r="B2081" s="4"/>
      <c r="C2081" s="4"/>
      <c r="D2081" s="82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17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</row>
    <row r="2082" spans="1:38" x14ac:dyDescent="0.3">
      <c r="A2082" s="5"/>
      <c r="B2082" s="4"/>
      <c r="C2082" s="4"/>
      <c r="D2082" s="82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17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</row>
    <row r="2083" spans="1:38" x14ac:dyDescent="0.3">
      <c r="A2083" s="5"/>
      <c r="B2083" s="4"/>
      <c r="C2083" s="4"/>
      <c r="D2083" s="82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17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</row>
    <row r="2084" spans="1:38" x14ac:dyDescent="0.3">
      <c r="A2084" s="5"/>
      <c r="B2084" s="4"/>
      <c r="C2084" s="4"/>
      <c r="D2084" s="82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17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</row>
    <row r="2085" spans="1:38" x14ac:dyDescent="0.3">
      <c r="A2085" s="5"/>
      <c r="B2085" s="4"/>
      <c r="C2085" s="4"/>
      <c r="D2085" s="82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17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</row>
    <row r="2086" spans="1:38" x14ac:dyDescent="0.3">
      <c r="A2086" s="5"/>
      <c r="B2086" s="4"/>
      <c r="C2086" s="4"/>
      <c r="D2086" s="82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17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</row>
    <row r="2087" spans="1:38" x14ac:dyDescent="0.3">
      <c r="A2087" s="5"/>
      <c r="B2087" s="4"/>
      <c r="C2087" s="4"/>
      <c r="D2087" s="82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17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</row>
    <row r="2088" spans="1:38" x14ac:dyDescent="0.3">
      <c r="A2088" s="5"/>
      <c r="B2088" s="4"/>
      <c r="C2088" s="4"/>
      <c r="D2088" s="82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17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</row>
    <row r="2089" spans="1:38" x14ac:dyDescent="0.3">
      <c r="A2089" s="5"/>
      <c r="B2089" s="4"/>
      <c r="C2089" s="4"/>
      <c r="D2089" s="82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17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</row>
    <row r="2090" spans="1:38" x14ac:dyDescent="0.3">
      <c r="A2090" s="5"/>
      <c r="B2090" s="4"/>
      <c r="C2090" s="4"/>
      <c r="D2090" s="82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17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</row>
    <row r="2091" spans="1:38" x14ac:dyDescent="0.3">
      <c r="A2091" s="5"/>
      <c r="B2091" s="4"/>
      <c r="C2091" s="4"/>
      <c r="D2091" s="82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17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</row>
    <row r="2092" spans="1:38" x14ac:dyDescent="0.3">
      <c r="A2092" s="5"/>
      <c r="B2092" s="4"/>
      <c r="C2092" s="4"/>
      <c r="D2092" s="82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17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</row>
    <row r="2093" spans="1:38" x14ac:dyDescent="0.3">
      <c r="A2093" s="5"/>
      <c r="B2093" s="4"/>
      <c r="C2093" s="4"/>
      <c r="D2093" s="82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17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</row>
    <row r="2094" spans="1:38" x14ac:dyDescent="0.3">
      <c r="A2094" s="5"/>
      <c r="B2094" s="4"/>
      <c r="C2094" s="4"/>
      <c r="D2094" s="82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17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</row>
    <row r="2095" spans="1:38" x14ac:dyDescent="0.3">
      <c r="A2095" s="5"/>
      <c r="B2095" s="4"/>
      <c r="C2095" s="4"/>
      <c r="D2095" s="82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17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</row>
    <row r="2096" spans="1:38" x14ac:dyDescent="0.3">
      <c r="A2096" s="5"/>
      <c r="B2096" s="4"/>
      <c r="C2096" s="4"/>
      <c r="D2096" s="82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17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</row>
    <row r="2097" spans="1:38" x14ac:dyDescent="0.3">
      <c r="A2097" s="5"/>
      <c r="B2097" s="4"/>
      <c r="C2097" s="4"/>
      <c r="D2097" s="82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17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</row>
    <row r="2098" spans="1:38" x14ac:dyDescent="0.3">
      <c r="A2098" s="5"/>
      <c r="B2098" s="4"/>
      <c r="C2098" s="4"/>
      <c r="D2098" s="82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17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</row>
    <row r="2099" spans="1:38" x14ac:dyDescent="0.3">
      <c r="A2099" s="5"/>
      <c r="B2099" s="4"/>
      <c r="C2099" s="4"/>
      <c r="D2099" s="82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17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</row>
    <row r="2100" spans="1:38" x14ac:dyDescent="0.3">
      <c r="A2100" s="5"/>
      <c r="B2100" s="4"/>
      <c r="C2100" s="4"/>
      <c r="D2100" s="82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17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</row>
    <row r="2101" spans="1:38" x14ac:dyDescent="0.3">
      <c r="A2101" s="5"/>
      <c r="B2101" s="4"/>
      <c r="C2101" s="4"/>
      <c r="D2101" s="82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17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</row>
    <row r="2102" spans="1:38" x14ac:dyDescent="0.3">
      <c r="A2102" s="5"/>
      <c r="B2102" s="4"/>
      <c r="C2102" s="4"/>
      <c r="D2102" s="82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17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</row>
    <row r="2103" spans="1:38" x14ac:dyDescent="0.3">
      <c r="A2103" s="5"/>
      <c r="B2103" s="4"/>
      <c r="C2103" s="4"/>
      <c r="D2103" s="82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17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</row>
    <row r="2104" spans="1:38" x14ac:dyDescent="0.3">
      <c r="A2104" s="5"/>
      <c r="B2104" s="4"/>
      <c r="C2104" s="4"/>
      <c r="D2104" s="82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17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</row>
    <row r="2105" spans="1:38" x14ac:dyDescent="0.3">
      <c r="A2105" s="5"/>
      <c r="B2105" s="4"/>
      <c r="C2105" s="4"/>
      <c r="D2105" s="82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17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</row>
    <row r="2106" spans="1:38" x14ac:dyDescent="0.3">
      <c r="A2106" s="5"/>
      <c r="B2106" s="4"/>
      <c r="C2106" s="4"/>
      <c r="D2106" s="82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17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</row>
    <row r="2107" spans="1:38" x14ac:dyDescent="0.3">
      <c r="A2107" s="5"/>
      <c r="B2107" s="4"/>
      <c r="C2107" s="4"/>
      <c r="D2107" s="82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17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</row>
    <row r="2108" spans="1:38" x14ac:dyDescent="0.3">
      <c r="A2108" s="5"/>
      <c r="B2108" s="4"/>
      <c r="C2108" s="4"/>
      <c r="D2108" s="82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17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</row>
    <row r="2109" spans="1:38" x14ac:dyDescent="0.3">
      <c r="A2109" s="5"/>
      <c r="B2109" s="4"/>
      <c r="C2109" s="4"/>
      <c r="D2109" s="82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17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</row>
    <row r="2110" spans="1:38" x14ac:dyDescent="0.3">
      <c r="A2110" s="5"/>
      <c r="B2110" s="4"/>
      <c r="C2110" s="4"/>
      <c r="D2110" s="82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17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</row>
    <row r="2111" spans="1:38" x14ac:dyDescent="0.3">
      <c r="A2111" s="5"/>
      <c r="B2111" s="4"/>
      <c r="C2111" s="4"/>
      <c r="D2111" s="82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17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</row>
    <row r="2112" spans="1:38" x14ac:dyDescent="0.3">
      <c r="A2112" s="5"/>
      <c r="B2112" s="4"/>
      <c r="C2112" s="4"/>
      <c r="D2112" s="82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17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</row>
    <row r="2113" spans="1:38" x14ac:dyDescent="0.3">
      <c r="A2113" s="5"/>
      <c r="B2113" s="4"/>
      <c r="C2113" s="4"/>
      <c r="D2113" s="82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17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</row>
    <row r="2114" spans="1:38" x14ac:dyDescent="0.3">
      <c r="A2114" s="5"/>
      <c r="B2114" s="4"/>
      <c r="C2114" s="4"/>
      <c r="D2114" s="82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17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</row>
    <row r="2115" spans="1:38" x14ac:dyDescent="0.3">
      <c r="A2115" s="5"/>
      <c r="B2115" s="4"/>
      <c r="C2115" s="4"/>
      <c r="D2115" s="82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17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</row>
    <row r="2116" spans="1:38" x14ac:dyDescent="0.3">
      <c r="A2116" s="5"/>
      <c r="B2116" s="4"/>
      <c r="C2116" s="4"/>
      <c r="D2116" s="82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17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</row>
    <row r="2117" spans="1:38" x14ac:dyDescent="0.3">
      <c r="A2117" s="5"/>
      <c r="B2117" s="4"/>
      <c r="C2117" s="4"/>
      <c r="D2117" s="82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17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</row>
    <row r="2118" spans="1:38" x14ac:dyDescent="0.3">
      <c r="A2118" s="5"/>
      <c r="B2118" s="4"/>
      <c r="C2118" s="4"/>
      <c r="D2118" s="82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17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</row>
    <row r="2119" spans="1:38" x14ac:dyDescent="0.3">
      <c r="A2119" s="5"/>
      <c r="B2119" s="4"/>
      <c r="C2119" s="4"/>
      <c r="D2119" s="82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17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</row>
    <row r="2120" spans="1:38" x14ac:dyDescent="0.3">
      <c r="A2120" s="5"/>
      <c r="B2120" s="4"/>
      <c r="C2120" s="4"/>
      <c r="D2120" s="82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17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</row>
    <row r="2121" spans="1:38" x14ac:dyDescent="0.3">
      <c r="A2121" s="5"/>
      <c r="B2121" s="4"/>
      <c r="C2121" s="4"/>
      <c r="D2121" s="82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17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</row>
    <row r="2122" spans="1:38" x14ac:dyDescent="0.3">
      <c r="A2122" s="5"/>
      <c r="B2122" s="4"/>
      <c r="C2122" s="4"/>
      <c r="D2122" s="82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17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</row>
    <row r="2123" spans="1:38" x14ac:dyDescent="0.3">
      <c r="A2123" s="5"/>
      <c r="B2123" s="4"/>
      <c r="C2123" s="4"/>
      <c r="D2123" s="82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17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</row>
    <row r="2124" spans="1:38" x14ac:dyDescent="0.3">
      <c r="A2124" s="5"/>
      <c r="B2124" s="4"/>
      <c r="C2124" s="4"/>
      <c r="D2124" s="82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17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</row>
    <row r="2125" spans="1:38" x14ac:dyDescent="0.3">
      <c r="A2125" s="5"/>
      <c r="B2125" s="4"/>
      <c r="C2125" s="4"/>
      <c r="D2125" s="82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17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</row>
    <row r="2126" spans="1:38" x14ac:dyDescent="0.3">
      <c r="A2126" s="5"/>
      <c r="B2126" s="4"/>
      <c r="C2126" s="4"/>
      <c r="D2126" s="82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17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</row>
    <row r="2127" spans="1:38" x14ac:dyDescent="0.3">
      <c r="A2127" s="5"/>
      <c r="B2127" s="4"/>
      <c r="C2127" s="4"/>
      <c r="D2127" s="82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17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</row>
    <row r="2128" spans="1:38" x14ac:dyDescent="0.3">
      <c r="A2128" s="5"/>
      <c r="B2128" s="4"/>
      <c r="C2128" s="4"/>
      <c r="D2128" s="82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17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</row>
    <row r="2129" spans="1:38" x14ac:dyDescent="0.3">
      <c r="A2129" s="5"/>
      <c r="B2129" s="4"/>
      <c r="C2129" s="4"/>
      <c r="D2129" s="82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17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</row>
    <row r="2130" spans="1:38" x14ac:dyDescent="0.3">
      <c r="A2130" s="5"/>
      <c r="B2130" s="4"/>
      <c r="C2130" s="4"/>
      <c r="D2130" s="82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17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</row>
    <row r="2131" spans="1:38" x14ac:dyDescent="0.3">
      <c r="A2131" s="5"/>
      <c r="B2131" s="4"/>
      <c r="C2131" s="4"/>
      <c r="D2131" s="82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17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</row>
    <row r="2132" spans="1:38" x14ac:dyDescent="0.3">
      <c r="A2132" s="5"/>
      <c r="B2132" s="4"/>
      <c r="C2132" s="4"/>
      <c r="D2132" s="82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17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</row>
    <row r="2133" spans="1:38" x14ac:dyDescent="0.3">
      <c r="A2133" s="5"/>
      <c r="B2133" s="4"/>
      <c r="C2133" s="4"/>
      <c r="D2133" s="82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17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</row>
    <row r="2134" spans="1:38" x14ac:dyDescent="0.3">
      <c r="A2134" s="5"/>
      <c r="B2134" s="4"/>
      <c r="C2134" s="4"/>
      <c r="D2134" s="82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17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</row>
    <row r="2135" spans="1:38" x14ac:dyDescent="0.3">
      <c r="A2135" s="5"/>
      <c r="B2135" s="4"/>
      <c r="C2135" s="4"/>
      <c r="D2135" s="82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17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</row>
    <row r="2136" spans="1:38" x14ac:dyDescent="0.3">
      <c r="A2136" s="5"/>
      <c r="B2136" s="4"/>
      <c r="C2136" s="4"/>
      <c r="D2136" s="82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17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</row>
    <row r="2137" spans="1:38" x14ac:dyDescent="0.3">
      <c r="A2137" s="5"/>
      <c r="B2137" s="4"/>
      <c r="C2137" s="4"/>
      <c r="D2137" s="82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17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</row>
    <row r="2138" spans="1:38" x14ac:dyDescent="0.3">
      <c r="A2138" s="5"/>
      <c r="B2138" s="4"/>
      <c r="C2138" s="4"/>
      <c r="D2138" s="82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17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</row>
    <row r="2139" spans="1:38" x14ac:dyDescent="0.3">
      <c r="A2139" s="5"/>
      <c r="B2139" s="4"/>
      <c r="C2139" s="4"/>
      <c r="D2139" s="82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17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</row>
    <row r="2140" spans="1:38" x14ac:dyDescent="0.3">
      <c r="A2140" s="5"/>
      <c r="B2140" s="4"/>
      <c r="C2140" s="4"/>
      <c r="D2140" s="82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17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</row>
    <row r="2141" spans="1:38" x14ac:dyDescent="0.3">
      <c r="A2141" s="5"/>
      <c r="B2141" s="4"/>
      <c r="C2141" s="4"/>
      <c r="D2141" s="82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17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</row>
    <row r="2142" spans="1:38" x14ac:dyDescent="0.3">
      <c r="A2142" s="5"/>
      <c r="B2142" s="4"/>
      <c r="C2142" s="4"/>
      <c r="D2142" s="82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17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</row>
    <row r="2143" spans="1:38" x14ac:dyDescent="0.3">
      <c r="A2143" s="5"/>
      <c r="B2143" s="4"/>
      <c r="C2143" s="4"/>
      <c r="D2143" s="82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17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</row>
    <row r="2144" spans="1:38" x14ac:dyDescent="0.3">
      <c r="A2144" s="5"/>
      <c r="B2144" s="4"/>
      <c r="C2144" s="4"/>
      <c r="D2144" s="82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17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</row>
    <row r="2145" spans="1:38" x14ac:dyDescent="0.3">
      <c r="A2145" s="5"/>
      <c r="B2145" s="4"/>
      <c r="C2145" s="4"/>
      <c r="D2145" s="82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17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</row>
    <row r="2146" spans="1:38" x14ac:dyDescent="0.3">
      <c r="A2146" s="5"/>
      <c r="B2146" s="4"/>
      <c r="C2146" s="4"/>
      <c r="D2146" s="82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17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</row>
    <row r="2147" spans="1:38" x14ac:dyDescent="0.3">
      <c r="A2147" s="5"/>
      <c r="B2147" s="4"/>
      <c r="C2147" s="4"/>
      <c r="D2147" s="82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17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</row>
    <row r="2148" spans="1:38" x14ac:dyDescent="0.3">
      <c r="A2148" s="5"/>
      <c r="B2148" s="4"/>
      <c r="C2148" s="4"/>
      <c r="D2148" s="82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17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</row>
    <row r="2149" spans="1:38" x14ac:dyDescent="0.3">
      <c r="A2149" s="5"/>
      <c r="B2149" s="4"/>
      <c r="C2149" s="4"/>
      <c r="D2149" s="82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17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</row>
    <row r="2150" spans="1:38" x14ac:dyDescent="0.3">
      <c r="A2150" s="5"/>
      <c r="B2150" s="4"/>
      <c r="C2150" s="4"/>
      <c r="D2150" s="82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17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</row>
    <row r="2151" spans="1:38" x14ac:dyDescent="0.3">
      <c r="A2151" s="5"/>
      <c r="B2151" s="4"/>
      <c r="C2151" s="4"/>
      <c r="D2151" s="82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17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</row>
    <row r="2152" spans="1:38" x14ac:dyDescent="0.3">
      <c r="A2152" s="5"/>
      <c r="B2152" s="4"/>
      <c r="C2152" s="4"/>
      <c r="D2152" s="82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17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</row>
    <row r="2153" spans="1:38" x14ac:dyDescent="0.3">
      <c r="A2153" s="5"/>
      <c r="B2153" s="4"/>
      <c r="C2153" s="4"/>
      <c r="D2153" s="82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17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</row>
    <row r="2154" spans="1:38" x14ac:dyDescent="0.3">
      <c r="A2154" s="5"/>
      <c r="B2154" s="4"/>
      <c r="C2154" s="4"/>
      <c r="D2154" s="82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17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</row>
    <row r="2155" spans="1:38" x14ac:dyDescent="0.3">
      <c r="A2155" s="5"/>
      <c r="B2155" s="4"/>
      <c r="C2155" s="4"/>
      <c r="D2155" s="82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17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</row>
    <row r="2156" spans="1:38" x14ac:dyDescent="0.3">
      <c r="A2156" s="5"/>
      <c r="B2156" s="4"/>
      <c r="C2156" s="4"/>
      <c r="D2156" s="82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17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</row>
    <row r="2157" spans="1:38" x14ac:dyDescent="0.3">
      <c r="A2157" s="5"/>
      <c r="B2157" s="4"/>
      <c r="C2157" s="4"/>
      <c r="D2157" s="82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17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</row>
    <row r="2158" spans="1:38" x14ac:dyDescent="0.3">
      <c r="A2158" s="5"/>
      <c r="B2158" s="4"/>
      <c r="C2158" s="4"/>
      <c r="D2158" s="82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17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</row>
    <row r="2159" spans="1:38" x14ac:dyDescent="0.3">
      <c r="A2159" s="5"/>
      <c r="B2159" s="4"/>
      <c r="C2159" s="4"/>
      <c r="D2159" s="82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17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</row>
    <row r="2160" spans="1:38" x14ac:dyDescent="0.3">
      <c r="A2160" s="5"/>
      <c r="B2160" s="4"/>
      <c r="C2160" s="4"/>
      <c r="D2160" s="82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17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</row>
    <row r="2161" spans="1:38" x14ac:dyDescent="0.3">
      <c r="A2161" s="5"/>
      <c r="B2161" s="4"/>
      <c r="C2161" s="4"/>
      <c r="D2161" s="82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17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</row>
    <row r="2162" spans="1:38" x14ac:dyDescent="0.3">
      <c r="A2162" s="5"/>
      <c r="B2162" s="4"/>
      <c r="C2162" s="4"/>
      <c r="D2162" s="82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17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</row>
    <row r="2163" spans="1:38" x14ac:dyDescent="0.3">
      <c r="A2163" s="5"/>
      <c r="B2163" s="4"/>
      <c r="C2163" s="4"/>
      <c r="D2163" s="82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17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</row>
    <row r="2164" spans="1:38" x14ac:dyDescent="0.3">
      <c r="A2164" s="5"/>
      <c r="B2164" s="4"/>
      <c r="C2164" s="4"/>
      <c r="D2164" s="82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17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</row>
    <row r="2165" spans="1:38" x14ac:dyDescent="0.3">
      <c r="A2165" s="5"/>
      <c r="B2165" s="4"/>
      <c r="C2165" s="4"/>
      <c r="D2165" s="82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17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</row>
    <row r="2166" spans="1:38" x14ac:dyDescent="0.3">
      <c r="A2166" s="5"/>
      <c r="B2166" s="4"/>
      <c r="C2166" s="4"/>
      <c r="D2166" s="82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17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</row>
    <row r="2167" spans="1:38" x14ac:dyDescent="0.3">
      <c r="A2167" s="5"/>
      <c r="B2167" s="4"/>
      <c r="C2167" s="4"/>
      <c r="D2167" s="82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17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</row>
    <row r="2168" spans="1:38" x14ac:dyDescent="0.3">
      <c r="A2168" s="5"/>
      <c r="B2168" s="4"/>
      <c r="C2168" s="4"/>
      <c r="D2168" s="82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17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</row>
    <row r="2169" spans="1:38" x14ac:dyDescent="0.3">
      <c r="A2169" s="5"/>
      <c r="B2169" s="4"/>
      <c r="C2169" s="4"/>
      <c r="D2169" s="82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17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</row>
    <row r="2170" spans="1:38" x14ac:dyDescent="0.3">
      <c r="A2170" s="5"/>
      <c r="B2170" s="4"/>
      <c r="C2170" s="4"/>
      <c r="D2170" s="82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17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</row>
    <row r="2171" spans="1:38" x14ac:dyDescent="0.3">
      <c r="A2171" s="5"/>
      <c r="B2171" s="4"/>
      <c r="C2171" s="4"/>
      <c r="D2171" s="82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17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</row>
    <row r="2172" spans="1:38" x14ac:dyDescent="0.3">
      <c r="A2172" s="5"/>
      <c r="B2172" s="4"/>
      <c r="C2172" s="4"/>
      <c r="D2172" s="82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17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</row>
    <row r="2173" spans="1:38" x14ac:dyDescent="0.3">
      <c r="A2173" s="5"/>
      <c r="B2173" s="4"/>
      <c r="C2173" s="4"/>
      <c r="D2173" s="82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17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</row>
    <row r="2174" spans="1:38" x14ac:dyDescent="0.3">
      <c r="A2174" s="5"/>
      <c r="B2174" s="4"/>
      <c r="C2174" s="4"/>
      <c r="D2174" s="82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17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</row>
    <row r="2175" spans="1:38" x14ac:dyDescent="0.3">
      <c r="A2175" s="5"/>
      <c r="B2175" s="4"/>
      <c r="C2175" s="4"/>
      <c r="D2175" s="82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17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</row>
    <row r="2176" spans="1:38" x14ac:dyDescent="0.3">
      <c r="A2176" s="5"/>
      <c r="B2176" s="4"/>
      <c r="C2176" s="4"/>
      <c r="D2176" s="82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17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</row>
    <row r="2177" spans="1:38" x14ac:dyDescent="0.3">
      <c r="A2177" s="5"/>
      <c r="B2177" s="4"/>
      <c r="C2177" s="4"/>
      <c r="D2177" s="82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17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</row>
    <row r="2178" spans="1:38" x14ac:dyDescent="0.3">
      <c r="A2178" s="5"/>
      <c r="B2178" s="4"/>
      <c r="C2178" s="4"/>
      <c r="D2178" s="82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17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</row>
    <row r="2179" spans="1:38" x14ac:dyDescent="0.3">
      <c r="A2179" s="5"/>
      <c r="B2179" s="4"/>
      <c r="C2179" s="4"/>
      <c r="D2179" s="82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17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</row>
    <row r="2180" spans="1:38" x14ac:dyDescent="0.3">
      <c r="A2180" s="5"/>
      <c r="B2180" s="4"/>
      <c r="C2180" s="4"/>
      <c r="D2180" s="82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17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</row>
    <row r="2181" spans="1:38" x14ac:dyDescent="0.3">
      <c r="A2181" s="5"/>
      <c r="B2181" s="4"/>
      <c r="C2181" s="4"/>
      <c r="D2181" s="82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17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</row>
    <row r="2182" spans="1:38" x14ac:dyDescent="0.3">
      <c r="A2182" s="5"/>
      <c r="B2182" s="4"/>
      <c r="C2182" s="4"/>
      <c r="D2182" s="82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17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</row>
    <row r="2183" spans="1:38" x14ac:dyDescent="0.3">
      <c r="A2183" s="5"/>
      <c r="B2183" s="4"/>
      <c r="C2183" s="4"/>
      <c r="D2183" s="82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17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</row>
    <row r="2184" spans="1:38" x14ac:dyDescent="0.3">
      <c r="A2184" s="5"/>
      <c r="B2184" s="4"/>
      <c r="C2184" s="4"/>
      <c r="D2184" s="82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17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</row>
    <row r="2185" spans="1:38" x14ac:dyDescent="0.3">
      <c r="A2185" s="5"/>
      <c r="B2185" s="4"/>
      <c r="C2185" s="4"/>
      <c r="D2185" s="82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17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</row>
    <row r="2186" spans="1:38" x14ac:dyDescent="0.3">
      <c r="A2186" s="5"/>
      <c r="B2186" s="4"/>
      <c r="C2186" s="4"/>
      <c r="D2186" s="82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17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</row>
    <row r="2187" spans="1:38" x14ac:dyDescent="0.3">
      <c r="A2187" s="5"/>
      <c r="B2187" s="4"/>
      <c r="C2187" s="4"/>
      <c r="D2187" s="82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17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</row>
    <row r="2188" spans="1:38" x14ac:dyDescent="0.3">
      <c r="A2188" s="5"/>
      <c r="B2188" s="4"/>
      <c r="C2188" s="4"/>
      <c r="D2188" s="82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17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</row>
    <row r="2189" spans="1:38" x14ac:dyDescent="0.3">
      <c r="A2189" s="5"/>
      <c r="B2189" s="4"/>
      <c r="C2189" s="4"/>
      <c r="D2189" s="82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17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</row>
    <row r="2190" spans="1:38" x14ac:dyDescent="0.3">
      <c r="A2190" s="5"/>
      <c r="B2190" s="4"/>
      <c r="C2190" s="4"/>
      <c r="D2190" s="82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17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</row>
    <row r="2191" spans="1:38" x14ac:dyDescent="0.3">
      <c r="A2191" s="5"/>
      <c r="B2191" s="4"/>
      <c r="C2191" s="4"/>
      <c r="D2191" s="82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17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</row>
    <row r="2192" spans="1:38" x14ac:dyDescent="0.3">
      <c r="A2192" s="5"/>
      <c r="B2192" s="4"/>
      <c r="C2192" s="4"/>
      <c r="D2192" s="82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17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</row>
    <row r="2193" spans="1:38" x14ac:dyDescent="0.3">
      <c r="A2193" s="5"/>
      <c r="B2193" s="4"/>
      <c r="C2193" s="4"/>
      <c r="D2193" s="82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17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</row>
    <row r="2194" spans="1:38" x14ac:dyDescent="0.3">
      <c r="A2194" s="5"/>
      <c r="B2194" s="4"/>
      <c r="C2194" s="4"/>
      <c r="D2194" s="82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17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</row>
    <row r="2195" spans="1:38" x14ac:dyDescent="0.3">
      <c r="A2195" s="5"/>
      <c r="B2195" s="4"/>
      <c r="C2195" s="4"/>
      <c r="D2195" s="82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17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</row>
    <row r="2196" spans="1:38" x14ac:dyDescent="0.3">
      <c r="A2196" s="5"/>
      <c r="B2196" s="4"/>
      <c r="C2196" s="4"/>
      <c r="D2196" s="82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17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</row>
    <row r="2197" spans="1:38" x14ac:dyDescent="0.3">
      <c r="A2197" s="5"/>
      <c r="B2197" s="4"/>
      <c r="C2197" s="4"/>
      <c r="D2197" s="82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17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</row>
    <row r="2198" spans="1:38" x14ac:dyDescent="0.3">
      <c r="A2198" s="5"/>
      <c r="B2198" s="4"/>
      <c r="C2198" s="4"/>
      <c r="D2198" s="82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17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</row>
    <row r="2199" spans="1:38" x14ac:dyDescent="0.3">
      <c r="A2199" s="5"/>
      <c r="B2199" s="4"/>
      <c r="C2199" s="4"/>
      <c r="D2199" s="82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17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</row>
    <row r="2200" spans="1:38" x14ac:dyDescent="0.3">
      <c r="A2200" s="5"/>
      <c r="B2200" s="4"/>
      <c r="C2200" s="4"/>
      <c r="D2200" s="82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17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</row>
    <row r="2201" spans="1:38" x14ac:dyDescent="0.3">
      <c r="A2201" s="5"/>
      <c r="B2201" s="4"/>
      <c r="C2201" s="4"/>
      <c r="D2201" s="82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17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</row>
    <row r="2202" spans="1:38" x14ac:dyDescent="0.3">
      <c r="A2202" s="5"/>
      <c r="B2202" s="4"/>
      <c r="C2202" s="4"/>
      <c r="D2202" s="82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17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</row>
    <row r="2203" spans="1:38" x14ac:dyDescent="0.3">
      <c r="A2203" s="5"/>
      <c r="B2203" s="4"/>
      <c r="C2203" s="4"/>
      <c r="D2203" s="82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17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</row>
    <row r="2204" spans="1:38" x14ac:dyDescent="0.3">
      <c r="A2204" s="5"/>
      <c r="B2204" s="4"/>
      <c r="C2204" s="4"/>
      <c r="D2204" s="82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17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</row>
    <row r="2205" spans="1:38" x14ac:dyDescent="0.3">
      <c r="A2205" s="5"/>
      <c r="B2205" s="4"/>
      <c r="C2205" s="4"/>
      <c r="D2205" s="82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17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</row>
    <row r="2206" spans="1:38" x14ac:dyDescent="0.3">
      <c r="A2206" s="5"/>
      <c r="B2206" s="4"/>
      <c r="C2206" s="4"/>
      <c r="D2206" s="82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17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</row>
    <row r="2207" spans="1:38" x14ac:dyDescent="0.3">
      <c r="A2207" s="5"/>
      <c r="B2207" s="4"/>
      <c r="C2207" s="4"/>
      <c r="D2207" s="82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17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</row>
    <row r="2208" spans="1:38" x14ac:dyDescent="0.3">
      <c r="A2208" s="5"/>
      <c r="B2208" s="4"/>
      <c r="C2208" s="4"/>
      <c r="D2208" s="82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17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</row>
    <row r="2209" spans="1:38" x14ac:dyDescent="0.3">
      <c r="A2209" s="5"/>
      <c r="B2209" s="4"/>
      <c r="C2209" s="4"/>
      <c r="D2209" s="82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17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</row>
    <row r="2210" spans="1:38" x14ac:dyDescent="0.3">
      <c r="A2210" s="5"/>
      <c r="B2210" s="4"/>
      <c r="C2210" s="4"/>
      <c r="D2210" s="82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17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</row>
    <row r="2211" spans="1:38" x14ac:dyDescent="0.3">
      <c r="A2211" s="5"/>
      <c r="B2211" s="4"/>
      <c r="C2211" s="4"/>
      <c r="D2211" s="82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17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</row>
    <row r="2212" spans="1:38" x14ac:dyDescent="0.3">
      <c r="A2212" s="5"/>
      <c r="B2212" s="4"/>
      <c r="C2212" s="4"/>
      <c r="D2212" s="82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17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</row>
    <row r="2213" spans="1:38" x14ac:dyDescent="0.3">
      <c r="A2213" s="5"/>
      <c r="B2213" s="4"/>
      <c r="C2213" s="4"/>
      <c r="D2213" s="82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17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</row>
    <row r="2214" spans="1:38" x14ac:dyDescent="0.3">
      <c r="A2214" s="5"/>
      <c r="B2214" s="4"/>
      <c r="C2214" s="4"/>
      <c r="D2214" s="82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17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</row>
    <row r="2215" spans="1:38" x14ac:dyDescent="0.3">
      <c r="A2215" s="5"/>
      <c r="B2215" s="4"/>
      <c r="C2215" s="4"/>
      <c r="D2215" s="82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17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</row>
    <row r="2216" spans="1:38" x14ac:dyDescent="0.3">
      <c r="A2216" s="5"/>
      <c r="B2216" s="4"/>
      <c r="C2216" s="4"/>
      <c r="D2216" s="82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17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</row>
    <row r="2217" spans="1:38" x14ac:dyDescent="0.3">
      <c r="A2217" s="5"/>
      <c r="B2217" s="4"/>
      <c r="C2217" s="4"/>
      <c r="D2217" s="82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17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</row>
    <row r="2218" spans="1:38" x14ac:dyDescent="0.3">
      <c r="A2218" s="5"/>
      <c r="B2218" s="4"/>
      <c r="C2218" s="4"/>
      <c r="D2218" s="82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17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</row>
    <row r="2219" spans="1:38" x14ac:dyDescent="0.3">
      <c r="A2219" s="5"/>
      <c r="B2219" s="4"/>
      <c r="C2219" s="4"/>
      <c r="D2219" s="82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17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</row>
    <row r="2220" spans="1:38" x14ac:dyDescent="0.3">
      <c r="A2220" s="5"/>
      <c r="B2220" s="4"/>
      <c r="C2220" s="4"/>
      <c r="D2220" s="82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17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</row>
    <row r="2221" spans="1:38" x14ac:dyDescent="0.3">
      <c r="A2221" s="5"/>
      <c r="B2221" s="4"/>
      <c r="C2221" s="4"/>
      <c r="D2221" s="82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17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</row>
    <row r="2222" spans="1:38" x14ac:dyDescent="0.3">
      <c r="A2222" s="5"/>
      <c r="B2222" s="4"/>
      <c r="C2222" s="4"/>
      <c r="D2222" s="82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17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</row>
    <row r="2223" spans="1:38" x14ac:dyDescent="0.3">
      <c r="A2223" s="5"/>
      <c r="B2223" s="4"/>
      <c r="C2223" s="4"/>
      <c r="D2223" s="82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17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</row>
    <row r="2224" spans="1:38" x14ac:dyDescent="0.3">
      <c r="A2224" s="5"/>
      <c r="B2224" s="4"/>
      <c r="C2224" s="4"/>
      <c r="D2224" s="82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17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</row>
    <row r="2225" spans="1:38" x14ac:dyDescent="0.3">
      <c r="A2225" s="5"/>
      <c r="B2225" s="4"/>
      <c r="C2225" s="4"/>
      <c r="D2225" s="82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17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</row>
    <row r="2226" spans="1:38" x14ac:dyDescent="0.3">
      <c r="A2226" s="5"/>
      <c r="B2226" s="4"/>
      <c r="C2226" s="4"/>
      <c r="D2226" s="82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17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</row>
    <row r="2227" spans="1:38" x14ac:dyDescent="0.3">
      <c r="A2227" s="5"/>
      <c r="B2227" s="4"/>
      <c r="C2227" s="4"/>
      <c r="D2227" s="82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17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</row>
    <row r="2228" spans="1:38" x14ac:dyDescent="0.3">
      <c r="A2228" s="5"/>
      <c r="B2228" s="4"/>
      <c r="C2228" s="4"/>
      <c r="D2228" s="82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17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</row>
    <row r="2229" spans="1:38" x14ac:dyDescent="0.3">
      <c r="A2229" s="5"/>
      <c r="B2229" s="4"/>
      <c r="C2229" s="4"/>
      <c r="D2229" s="82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17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</row>
    <row r="2230" spans="1:38" x14ac:dyDescent="0.3">
      <c r="A2230" s="5"/>
      <c r="B2230" s="4"/>
      <c r="C2230" s="4"/>
      <c r="D2230" s="82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17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</row>
    <row r="2231" spans="1:38" x14ac:dyDescent="0.3">
      <c r="A2231" s="5"/>
      <c r="B2231" s="4"/>
      <c r="C2231" s="4"/>
      <c r="D2231" s="82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17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</row>
    <row r="2232" spans="1:38" x14ac:dyDescent="0.3">
      <c r="A2232" s="5"/>
      <c r="B2232" s="4"/>
      <c r="C2232" s="4"/>
      <c r="D2232" s="82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17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</row>
    <row r="2233" spans="1:38" x14ac:dyDescent="0.3">
      <c r="A2233" s="5"/>
      <c r="B2233" s="4"/>
      <c r="C2233" s="4"/>
      <c r="D2233" s="82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17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</row>
    <row r="2234" spans="1:38" x14ac:dyDescent="0.3">
      <c r="A2234" s="5"/>
      <c r="B2234" s="4"/>
      <c r="C2234" s="4"/>
      <c r="D2234" s="82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17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</row>
    <row r="2235" spans="1:38" x14ac:dyDescent="0.3">
      <c r="A2235" s="5"/>
      <c r="B2235" s="4"/>
      <c r="C2235" s="4"/>
      <c r="D2235" s="82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17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</row>
    <row r="2236" spans="1:38" x14ac:dyDescent="0.3">
      <c r="A2236" s="5"/>
      <c r="B2236" s="4"/>
      <c r="C2236" s="4"/>
      <c r="D2236" s="82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17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</row>
    <row r="2237" spans="1:38" x14ac:dyDescent="0.3">
      <c r="A2237" s="5"/>
      <c r="B2237" s="4"/>
      <c r="C2237" s="4"/>
      <c r="D2237" s="82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17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</row>
    <row r="2238" spans="1:38" x14ac:dyDescent="0.3">
      <c r="A2238" s="5"/>
      <c r="B2238" s="4"/>
      <c r="C2238" s="4"/>
      <c r="D2238" s="82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17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</row>
    <row r="2239" spans="1:38" x14ac:dyDescent="0.3">
      <c r="A2239" s="5"/>
      <c r="B2239" s="4"/>
      <c r="C2239" s="4"/>
      <c r="D2239" s="82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17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</row>
    <row r="2240" spans="1:38" x14ac:dyDescent="0.3">
      <c r="A2240" s="5"/>
      <c r="B2240" s="4"/>
      <c r="C2240" s="4"/>
      <c r="D2240" s="82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17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</row>
    <row r="2241" spans="1:38" x14ac:dyDescent="0.3">
      <c r="A2241" s="5"/>
      <c r="B2241" s="4"/>
      <c r="C2241" s="4"/>
      <c r="D2241" s="82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17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</row>
    <row r="2242" spans="1:38" x14ac:dyDescent="0.3">
      <c r="A2242" s="5"/>
      <c r="B2242" s="4"/>
      <c r="C2242" s="4"/>
      <c r="D2242" s="82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17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</row>
    <row r="2243" spans="1:38" x14ac:dyDescent="0.3">
      <c r="A2243" s="5"/>
      <c r="B2243" s="4"/>
      <c r="C2243" s="4"/>
      <c r="D2243" s="82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17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</row>
    <row r="2244" spans="1:38" x14ac:dyDescent="0.3">
      <c r="A2244" s="5"/>
      <c r="B2244" s="4"/>
      <c r="C2244" s="4"/>
      <c r="D2244" s="82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17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</row>
    <row r="2245" spans="1:38" x14ac:dyDescent="0.3">
      <c r="A2245" s="5"/>
      <c r="B2245" s="4"/>
      <c r="C2245" s="4"/>
      <c r="D2245" s="82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17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</row>
    <row r="2246" spans="1:38" x14ac:dyDescent="0.3">
      <c r="A2246" s="5"/>
      <c r="B2246" s="4"/>
      <c r="C2246" s="4"/>
      <c r="D2246" s="82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17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</row>
    <row r="2247" spans="1:38" x14ac:dyDescent="0.3">
      <c r="A2247" s="5"/>
      <c r="B2247" s="4"/>
      <c r="C2247" s="4"/>
      <c r="D2247" s="82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17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</row>
    <row r="2248" spans="1:38" x14ac:dyDescent="0.3">
      <c r="A2248" s="5"/>
      <c r="B2248" s="4"/>
      <c r="C2248" s="4"/>
      <c r="D2248" s="82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17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</row>
    <row r="2249" spans="1:38" x14ac:dyDescent="0.3">
      <c r="A2249" s="5"/>
      <c r="B2249" s="4"/>
      <c r="C2249" s="4"/>
      <c r="D2249" s="82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17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</row>
    <row r="2250" spans="1:38" x14ac:dyDescent="0.3">
      <c r="A2250" s="5"/>
      <c r="B2250" s="4"/>
      <c r="C2250" s="4"/>
      <c r="D2250" s="82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17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</row>
    <row r="2251" spans="1:38" x14ac:dyDescent="0.3">
      <c r="A2251" s="5"/>
      <c r="B2251" s="4"/>
      <c r="C2251" s="4"/>
      <c r="D2251" s="82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17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</row>
    <row r="2252" spans="1:38" x14ac:dyDescent="0.3">
      <c r="A2252" s="5"/>
      <c r="B2252" s="4"/>
      <c r="C2252" s="4"/>
      <c r="D2252" s="82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17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</row>
    <row r="2253" spans="1:38" x14ac:dyDescent="0.3">
      <c r="A2253" s="5"/>
      <c r="B2253" s="4"/>
      <c r="C2253" s="4"/>
      <c r="D2253" s="82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17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</row>
    <row r="2254" spans="1:38" x14ac:dyDescent="0.3">
      <c r="A2254" s="5"/>
      <c r="B2254" s="4"/>
      <c r="C2254" s="4"/>
      <c r="D2254" s="82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17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</row>
    <row r="2255" spans="1:38" x14ac:dyDescent="0.3">
      <c r="A2255" s="5"/>
      <c r="B2255" s="4"/>
      <c r="C2255" s="4"/>
      <c r="D2255" s="82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17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</row>
    <row r="2256" spans="1:38" x14ac:dyDescent="0.3">
      <c r="A2256" s="5"/>
      <c r="B2256" s="4"/>
      <c r="C2256" s="4"/>
      <c r="D2256" s="82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17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</row>
    <row r="2257" spans="1:38" x14ac:dyDescent="0.3">
      <c r="A2257" s="5"/>
      <c r="B2257" s="4"/>
      <c r="C2257" s="4"/>
      <c r="D2257" s="82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17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</row>
    <row r="2258" spans="1:38" x14ac:dyDescent="0.3">
      <c r="A2258" s="5"/>
      <c r="B2258" s="4"/>
      <c r="C2258" s="4"/>
      <c r="D2258" s="82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17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</row>
    <row r="2259" spans="1:38" x14ac:dyDescent="0.3">
      <c r="A2259" s="5"/>
      <c r="B2259" s="4"/>
      <c r="C2259" s="4"/>
      <c r="D2259" s="82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17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</row>
    <row r="2260" spans="1:38" x14ac:dyDescent="0.3">
      <c r="A2260" s="5"/>
      <c r="B2260" s="4"/>
      <c r="C2260" s="4"/>
      <c r="D2260" s="82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17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</row>
    <row r="2261" spans="1:38" x14ac:dyDescent="0.3">
      <c r="A2261" s="5"/>
      <c r="B2261" s="4"/>
      <c r="C2261" s="4"/>
      <c r="D2261" s="82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17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</row>
    <row r="2262" spans="1:38" x14ac:dyDescent="0.3">
      <c r="A2262" s="5"/>
      <c r="B2262" s="4"/>
      <c r="C2262" s="4"/>
      <c r="D2262" s="82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17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</row>
    <row r="2263" spans="1:38" x14ac:dyDescent="0.3">
      <c r="A2263" s="5"/>
      <c r="B2263" s="4"/>
      <c r="C2263" s="4"/>
      <c r="D2263" s="82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17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</row>
    <row r="2264" spans="1:38" x14ac:dyDescent="0.3">
      <c r="A2264" s="5"/>
      <c r="B2264" s="4"/>
      <c r="C2264" s="4"/>
      <c r="D2264" s="82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17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</row>
    <row r="2265" spans="1:38" x14ac:dyDescent="0.3">
      <c r="A2265" s="5"/>
      <c r="B2265" s="4"/>
      <c r="C2265" s="4"/>
      <c r="D2265" s="82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17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</row>
    <row r="2266" spans="1:38" x14ac:dyDescent="0.3">
      <c r="A2266" s="5"/>
      <c r="B2266" s="4"/>
      <c r="C2266" s="4"/>
      <c r="D2266" s="82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17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</row>
    <row r="2267" spans="1:38" x14ac:dyDescent="0.3">
      <c r="A2267" s="5"/>
      <c r="B2267" s="4"/>
      <c r="C2267" s="4"/>
      <c r="D2267" s="82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17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</row>
    <row r="2268" spans="1:38" x14ac:dyDescent="0.3">
      <c r="A2268" s="5"/>
      <c r="B2268" s="4"/>
      <c r="C2268" s="4"/>
      <c r="D2268" s="82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17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</row>
    <row r="2269" spans="1:38" x14ac:dyDescent="0.3">
      <c r="A2269" s="5"/>
      <c r="B2269" s="4"/>
      <c r="C2269" s="4"/>
      <c r="D2269" s="82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17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</row>
    <row r="2270" spans="1:38" x14ac:dyDescent="0.3">
      <c r="A2270" s="5"/>
      <c r="B2270" s="4"/>
      <c r="C2270" s="4"/>
      <c r="D2270" s="82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17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</row>
    <row r="2271" spans="1:38" x14ac:dyDescent="0.3">
      <c r="A2271" s="5"/>
      <c r="B2271" s="4"/>
      <c r="C2271" s="4"/>
      <c r="D2271" s="82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17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</row>
    <row r="2272" spans="1:38" x14ac:dyDescent="0.3">
      <c r="A2272" s="5"/>
      <c r="B2272" s="4"/>
      <c r="C2272" s="4"/>
      <c r="D2272" s="82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17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</row>
    <row r="2273" spans="1:38" x14ac:dyDescent="0.3">
      <c r="A2273" s="5"/>
      <c r="B2273" s="4"/>
      <c r="C2273" s="4"/>
      <c r="D2273" s="82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17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</row>
    <row r="2274" spans="1:38" x14ac:dyDescent="0.3">
      <c r="A2274" s="5"/>
      <c r="B2274" s="4"/>
      <c r="C2274" s="4"/>
      <c r="D2274" s="82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17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</row>
    <row r="2275" spans="1:38" x14ac:dyDescent="0.3">
      <c r="A2275" s="5"/>
      <c r="B2275" s="4"/>
      <c r="C2275" s="4"/>
      <c r="D2275" s="82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17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</row>
    <row r="2276" spans="1:38" x14ac:dyDescent="0.3">
      <c r="A2276" s="5"/>
      <c r="B2276" s="4"/>
      <c r="C2276" s="4"/>
      <c r="D2276" s="82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17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</row>
    <row r="2277" spans="1:38" x14ac:dyDescent="0.3">
      <c r="A2277" s="5"/>
      <c r="B2277" s="4"/>
      <c r="C2277" s="4"/>
      <c r="D2277" s="82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17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</row>
    <row r="2278" spans="1:38" x14ac:dyDescent="0.3">
      <c r="A2278" s="5"/>
      <c r="B2278" s="4"/>
      <c r="C2278" s="4"/>
      <c r="D2278" s="82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17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</row>
    <row r="2279" spans="1:38" x14ac:dyDescent="0.3">
      <c r="A2279" s="5"/>
      <c r="B2279" s="4"/>
      <c r="C2279" s="4"/>
      <c r="D2279" s="82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17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</row>
    <row r="2280" spans="1:38" x14ac:dyDescent="0.3">
      <c r="A2280" s="5"/>
      <c r="B2280" s="4"/>
      <c r="C2280" s="4"/>
      <c r="D2280" s="82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17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</row>
    <row r="2281" spans="1:38" x14ac:dyDescent="0.3">
      <c r="A2281" s="5"/>
      <c r="B2281" s="4"/>
      <c r="C2281" s="4"/>
      <c r="D2281" s="82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17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</row>
    <row r="2282" spans="1:38" x14ac:dyDescent="0.3">
      <c r="A2282" s="5"/>
      <c r="B2282" s="4"/>
      <c r="C2282" s="4"/>
      <c r="D2282" s="82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17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</row>
    <row r="2283" spans="1:38" x14ac:dyDescent="0.3">
      <c r="A2283" s="5"/>
      <c r="B2283" s="4"/>
      <c r="C2283" s="4"/>
      <c r="D2283" s="82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17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</row>
    <row r="2284" spans="1:38" x14ac:dyDescent="0.3">
      <c r="A2284" s="5"/>
      <c r="B2284" s="4"/>
      <c r="C2284" s="4"/>
      <c r="D2284" s="82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17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</row>
    <row r="2285" spans="1:38" x14ac:dyDescent="0.3">
      <c r="A2285" s="5"/>
      <c r="B2285" s="4"/>
      <c r="C2285" s="4"/>
      <c r="D2285" s="82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17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</row>
    <row r="2286" spans="1:38" x14ac:dyDescent="0.3">
      <c r="A2286" s="5"/>
      <c r="B2286" s="4"/>
      <c r="C2286" s="4"/>
      <c r="D2286" s="82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17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</row>
    <row r="2287" spans="1:38" x14ac:dyDescent="0.3">
      <c r="A2287" s="5"/>
      <c r="B2287" s="4"/>
      <c r="C2287" s="4"/>
      <c r="D2287" s="82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17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</row>
    <row r="2288" spans="1:38" x14ac:dyDescent="0.3">
      <c r="A2288" s="5"/>
      <c r="B2288" s="4"/>
      <c r="C2288" s="4"/>
      <c r="D2288" s="82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17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</row>
    <row r="2289" spans="1:38" x14ac:dyDescent="0.3">
      <c r="A2289" s="5"/>
      <c r="B2289" s="4"/>
      <c r="C2289" s="4"/>
      <c r="D2289" s="82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17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</row>
    <row r="2290" spans="1:38" x14ac:dyDescent="0.3">
      <c r="A2290" s="5"/>
      <c r="B2290" s="4"/>
      <c r="C2290" s="4"/>
      <c r="D2290" s="82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17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</row>
    <row r="2291" spans="1:38" x14ac:dyDescent="0.3">
      <c r="A2291" s="5"/>
      <c r="B2291" s="4"/>
      <c r="C2291" s="4"/>
      <c r="D2291" s="82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17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</row>
    <row r="2292" spans="1:38" x14ac:dyDescent="0.3">
      <c r="A2292" s="5"/>
      <c r="B2292" s="4"/>
      <c r="C2292" s="4"/>
      <c r="D2292" s="82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17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</row>
    <row r="2293" spans="1:38" x14ac:dyDescent="0.3">
      <c r="A2293" s="5"/>
      <c r="B2293" s="4"/>
      <c r="C2293" s="4"/>
      <c r="D2293" s="82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17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</row>
    <row r="2294" spans="1:38" x14ac:dyDescent="0.3">
      <c r="A2294" s="5"/>
      <c r="B2294" s="4"/>
      <c r="C2294" s="4"/>
      <c r="D2294" s="82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17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</row>
    <row r="2295" spans="1:38" x14ac:dyDescent="0.3">
      <c r="A2295" s="5"/>
      <c r="B2295" s="4"/>
      <c r="C2295" s="4"/>
      <c r="D2295" s="82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17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</row>
    <row r="2296" spans="1:38" x14ac:dyDescent="0.3">
      <c r="A2296" s="5"/>
      <c r="B2296" s="4"/>
      <c r="C2296" s="4"/>
      <c r="D2296" s="82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17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</row>
    <row r="2297" spans="1:38" x14ac:dyDescent="0.3">
      <c r="A2297" s="5"/>
      <c r="B2297" s="4"/>
      <c r="C2297" s="4"/>
      <c r="D2297" s="82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17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</row>
    <row r="2298" spans="1:38" x14ac:dyDescent="0.3">
      <c r="A2298" s="5"/>
      <c r="B2298" s="4"/>
      <c r="C2298" s="4"/>
      <c r="D2298" s="82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17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</row>
    <row r="2299" spans="1:38" x14ac:dyDescent="0.3">
      <c r="A2299" s="5"/>
      <c r="B2299" s="4"/>
      <c r="C2299" s="4"/>
      <c r="D2299" s="82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17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</row>
    <row r="2300" spans="1:38" x14ac:dyDescent="0.3">
      <c r="A2300" s="5"/>
      <c r="B2300" s="4"/>
      <c r="C2300" s="4"/>
      <c r="D2300" s="82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17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</row>
    <row r="2301" spans="1:38" x14ac:dyDescent="0.3">
      <c r="A2301" s="5"/>
      <c r="B2301" s="4"/>
      <c r="C2301" s="4"/>
      <c r="D2301" s="82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17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</row>
    <row r="2302" spans="1:38" x14ac:dyDescent="0.3">
      <c r="A2302" s="5"/>
      <c r="B2302" s="4"/>
      <c r="C2302" s="4"/>
      <c r="D2302" s="82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17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</row>
    <row r="2303" spans="1:38" x14ac:dyDescent="0.3">
      <c r="A2303" s="5"/>
      <c r="B2303" s="4"/>
      <c r="C2303" s="4"/>
      <c r="D2303" s="82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17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</row>
    <row r="2304" spans="1:38" x14ac:dyDescent="0.3">
      <c r="A2304" s="5"/>
      <c r="B2304" s="4"/>
      <c r="C2304" s="4"/>
      <c r="D2304" s="82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17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</row>
    <row r="2305" spans="1:38" x14ac:dyDescent="0.3">
      <c r="A2305" s="5"/>
      <c r="B2305" s="4"/>
      <c r="C2305" s="4"/>
      <c r="D2305" s="82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17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</row>
    <row r="2306" spans="1:38" x14ac:dyDescent="0.3">
      <c r="A2306" s="5"/>
      <c r="B2306" s="4"/>
      <c r="C2306" s="4"/>
      <c r="D2306" s="82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17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</row>
    <row r="2307" spans="1:38" x14ac:dyDescent="0.3">
      <c r="A2307" s="5"/>
      <c r="B2307" s="4"/>
      <c r="C2307" s="4"/>
      <c r="D2307" s="82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17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</row>
    <row r="2308" spans="1:38" x14ac:dyDescent="0.3">
      <c r="A2308" s="5"/>
      <c r="B2308" s="4"/>
      <c r="C2308" s="4"/>
      <c r="D2308" s="82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17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</row>
    <row r="2309" spans="1:38" x14ac:dyDescent="0.3">
      <c r="A2309" s="5"/>
      <c r="B2309" s="4"/>
      <c r="C2309" s="4"/>
      <c r="D2309" s="82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17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</row>
    <row r="2310" spans="1:38" x14ac:dyDescent="0.3">
      <c r="A2310" s="5"/>
      <c r="B2310" s="4"/>
      <c r="C2310" s="4"/>
      <c r="D2310" s="82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17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</row>
    <row r="2311" spans="1:38" x14ac:dyDescent="0.3">
      <c r="A2311" s="5"/>
      <c r="B2311" s="4"/>
      <c r="C2311" s="4"/>
      <c r="D2311" s="82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17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</row>
    <row r="2312" spans="1:38" x14ac:dyDescent="0.3">
      <c r="A2312" s="5"/>
      <c r="B2312" s="4"/>
      <c r="C2312" s="4"/>
      <c r="D2312" s="82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17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</row>
    <row r="2313" spans="1:38" x14ac:dyDescent="0.3">
      <c r="A2313" s="5"/>
      <c r="B2313" s="4"/>
      <c r="C2313" s="4"/>
      <c r="D2313" s="82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17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</row>
    <row r="2314" spans="1:38" x14ac:dyDescent="0.3">
      <c r="A2314" s="5"/>
      <c r="B2314" s="4"/>
      <c r="C2314" s="4"/>
      <c r="D2314" s="82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17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</row>
    <row r="2315" spans="1:38" x14ac:dyDescent="0.3">
      <c r="A2315" s="5"/>
      <c r="B2315" s="4"/>
      <c r="C2315" s="4"/>
      <c r="D2315" s="82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17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</row>
    <row r="2316" spans="1:38" x14ac:dyDescent="0.3">
      <c r="A2316" s="5"/>
      <c r="B2316" s="4"/>
      <c r="C2316" s="4"/>
      <c r="D2316" s="82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17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</row>
    <row r="2317" spans="1:38" x14ac:dyDescent="0.3">
      <c r="A2317" s="5"/>
      <c r="B2317" s="4"/>
      <c r="C2317" s="4"/>
      <c r="D2317" s="82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17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</row>
    <row r="2318" spans="1:38" x14ac:dyDescent="0.3">
      <c r="A2318" s="5"/>
      <c r="B2318" s="4"/>
      <c r="C2318" s="4"/>
      <c r="D2318" s="82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17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</row>
    <row r="2319" spans="1:38" x14ac:dyDescent="0.3">
      <c r="A2319" s="5"/>
      <c r="B2319" s="4"/>
      <c r="C2319" s="4"/>
      <c r="D2319" s="82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17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</row>
    <row r="2320" spans="1:38" x14ac:dyDescent="0.3">
      <c r="A2320" s="5"/>
      <c r="B2320" s="4"/>
      <c r="C2320" s="4"/>
      <c r="D2320" s="82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17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</row>
    <row r="2321" spans="1:38" x14ac:dyDescent="0.3">
      <c r="A2321" s="5"/>
      <c r="B2321" s="4"/>
      <c r="C2321" s="4"/>
      <c r="D2321" s="82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17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</row>
    <row r="2322" spans="1:38" x14ac:dyDescent="0.3">
      <c r="A2322" s="5"/>
      <c r="B2322" s="4"/>
      <c r="C2322" s="4"/>
      <c r="D2322" s="82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17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</row>
    <row r="2323" spans="1:38" x14ac:dyDescent="0.3">
      <c r="A2323" s="5"/>
      <c r="B2323" s="4"/>
      <c r="C2323" s="4"/>
      <c r="D2323" s="82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17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</row>
    <row r="2324" spans="1:38" x14ac:dyDescent="0.3">
      <c r="A2324" s="5"/>
      <c r="B2324" s="4"/>
      <c r="C2324" s="4"/>
      <c r="D2324" s="82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17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</row>
    <row r="2325" spans="1:38" x14ac:dyDescent="0.3">
      <c r="A2325" s="5"/>
      <c r="B2325" s="4"/>
      <c r="C2325" s="4"/>
      <c r="D2325" s="82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17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</row>
    <row r="2326" spans="1:38" x14ac:dyDescent="0.3">
      <c r="A2326" s="5"/>
      <c r="B2326" s="4"/>
      <c r="C2326" s="4"/>
      <c r="D2326" s="82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17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</row>
    <row r="2327" spans="1:38" x14ac:dyDescent="0.3">
      <c r="A2327" s="5"/>
      <c r="B2327" s="4"/>
      <c r="C2327" s="4"/>
      <c r="D2327" s="82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17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</row>
    <row r="2328" spans="1:38" x14ac:dyDescent="0.3">
      <c r="A2328" s="5"/>
      <c r="B2328" s="4"/>
      <c r="C2328" s="4"/>
      <c r="D2328" s="82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17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</row>
    <row r="2329" spans="1:38" x14ac:dyDescent="0.3">
      <c r="A2329" s="5"/>
      <c r="B2329" s="4"/>
      <c r="C2329" s="4"/>
      <c r="D2329" s="82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17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</row>
    <row r="2330" spans="1:38" x14ac:dyDescent="0.3">
      <c r="A2330" s="5"/>
      <c r="B2330" s="4"/>
      <c r="C2330" s="4"/>
      <c r="D2330" s="82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17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</row>
    <row r="2331" spans="1:38" x14ac:dyDescent="0.3">
      <c r="A2331" s="5"/>
      <c r="B2331" s="4"/>
      <c r="C2331" s="4"/>
      <c r="D2331" s="82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17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</row>
    <row r="2332" spans="1:38" x14ac:dyDescent="0.3">
      <c r="A2332" s="5"/>
      <c r="B2332" s="4"/>
      <c r="C2332" s="4"/>
      <c r="D2332" s="82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17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</row>
    <row r="2333" spans="1:38" x14ac:dyDescent="0.3">
      <c r="A2333" s="5"/>
      <c r="B2333" s="4"/>
      <c r="C2333" s="4"/>
      <c r="D2333" s="82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17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</row>
    <row r="2334" spans="1:38" x14ac:dyDescent="0.3">
      <c r="A2334" s="5"/>
      <c r="B2334" s="4"/>
      <c r="C2334" s="4"/>
      <c r="D2334" s="82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17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</row>
    <row r="2335" spans="1:38" x14ac:dyDescent="0.3">
      <c r="A2335" s="5"/>
      <c r="B2335" s="4"/>
      <c r="C2335" s="4"/>
      <c r="D2335" s="82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17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</row>
    <row r="2336" spans="1:38" x14ac:dyDescent="0.3">
      <c r="A2336" s="5"/>
      <c r="B2336" s="4"/>
      <c r="C2336" s="4"/>
      <c r="D2336" s="82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17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</row>
    <row r="2337" spans="1:38" x14ac:dyDescent="0.3">
      <c r="A2337" s="5"/>
      <c r="B2337" s="4"/>
      <c r="C2337" s="4"/>
      <c r="D2337" s="82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17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</row>
    <row r="2338" spans="1:38" x14ac:dyDescent="0.3">
      <c r="A2338" s="5"/>
      <c r="B2338" s="4"/>
      <c r="C2338" s="4"/>
      <c r="D2338" s="82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17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</row>
    <row r="2339" spans="1:38" x14ac:dyDescent="0.3">
      <c r="A2339" s="5"/>
      <c r="B2339" s="4"/>
      <c r="C2339" s="4"/>
      <c r="D2339" s="82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17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</row>
    <row r="2340" spans="1:38" x14ac:dyDescent="0.3">
      <c r="A2340" s="5"/>
      <c r="B2340" s="4"/>
      <c r="C2340" s="4"/>
      <c r="D2340" s="82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17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</row>
    <row r="2341" spans="1:38" x14ac:dyDescent="0.3">
      <c r="A2341" s="5"/>
      <c r="B2341" s="4"/>
      <c r="C2341" s="4"/>
      <c r="D2341" s="82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17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</row>
    <row r="2342" spans="1:38" x14ac:dyDescent="0.3">
      <c r="A2342" s="5"/>
      <c r="B2342" s="4"/>
      <c r="C2342" s="4"/>
      <c r="D2342" s="82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17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</row>
    <row r="2343" spans="1:38" x14ac:dyDescent="0.3">
      <c r="A2343" s="5"/>
      <c r="B2343" s="4"/>
      <c r="C2343" s="4"/>
      <c r="D2343" s="82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17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</row>
    <row r="2344" spans="1:38" x14ac:dyDescent="0.3">
      <c r="A2344" s="5"/>
      <c r="B2344" s="4"/>
      <c r="C2344" s="4"/>
      <c r="D2344" s="82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17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</row>
    <row r="2345" spans="1:38" x14ac:dyDescent="0.3">
      <c r="A2345" s="5"/>
      <c r="B2345" s="4"/>
      <c r="C2345" s="4"/>
      <c r="D2345" s="82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17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</row>
    <row r="2346" spans="1:38" x14ac:dyDescent="0.3">
      <c r="A2346" s="5"/>
      <c r="B2346" s="4"/>
      <c r="C2346" s="4"/>
      <c r="D2346" s="82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17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</row>
    <row r="2347" spans="1:38" x14ac:dyDescent="0.3">
      <c r="A2347" s="5"/>
      <c r="B2347" s="4"/>
      <c r="C2347" s="4"/>
      <c r="D2347" s="82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17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</row>
    <row r="2348" spans="1:38" x14ac:dyDescent="0.3">
      <c r="A2348" s="5"/>
      <c r="B2348" s="4"/>
      <c r="C2348" s="4"/>
      <c r="D2348" s="82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17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</row>
    <row r="2349" spans="1:38" x14ac:dyDescent="0.3">
      <c r="A2349" s="5"/>
      <c r="B2349" s="4"/>
      <c r="C2349" s="4"/>
      <c r="D2349" s="82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17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</row>
    <row r="2350" spans="1:38" x14ac:dyDescent="0.3">
      <c r="A2350" s="5"/>
      <c r="B2350" s="4"/>
      <c r="C2350" s="4"/>
      <c r="D2350" s="82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17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</row>
    <row r="2351" spans="1:38" x14ac:dyDescent="0.3">
      <c r="A2351" s="5"/>
      <c r="B2351" s="4"/>
      <c r="C2351" s="4"/>
      <c r="D2351" s="82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17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</row>
    <row r="2352" spans="1:38" x14ac:dyDescent="0.3">
      <c r="A2352" s="5"/>
      <c r="B2352" s="4"/>
      <c r="C2352" s="4"/>
      <c r="D2352" s="82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17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</row>
    <row r="2353" spans="1:38" x14ac:dyDescent="0.3">
      <c r="A2353" s="5"/>
      <c r="B2353" s="4"/>
      <c r="C2353" s="4"/>
      <c r="D2353" s="82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17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</row>
    <row r="2354" spans="1:38" x14ac:dyDescent="0.3">
      <c r="A2354" s="5"/>
      <c r="B2354" s="4"/>
      <c r="C2354" s="4"/>
      <c r="D2354" s="82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17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</row>
    <row r="2355" spans="1:38" x14ac:dyDescent="0.3">
      <c r="A2355" s="5"/>
      <c r="B2355" s="4"/>
      <c r="C2355" s="4"/>
      <c r="D2355" s="82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17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</row>
    <row r="2356" spans="1:38" x14ac:dyDescent="0.3">
      <c r="A2356" s="5"/>
      <c r="B2356" s="4"/>
      <c r="C2356" s="4"/>
      <c r="D2356" s="82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17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</row>
    <row r="2357" spans="1:38" x14ac:dyDescent="0.3">
      <c r="A2357" s="5"/>
      <c r="B2357" s="4"/>
      <c r="C2357" s="4"/>
      <c r="D2357" s="82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17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</row>
    <row r="2358" spans="1:38" x14ac:dyDescent="0.3">
      <c r="A2358" s="5"/>
      <c r="B2358" s="4"/>
      <c r="C2358" s="4"/>
      <c r="D2358" s="82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17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</row>
    <row r="2359" spans="1:38" x14ac:dyDescent="0.3">
      <c r="A2359" s="5"/>
      <c r="B2359" s="4"/>
      <c r="C2359" s="4"/>
      <c r="D2359" s="82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17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</row>
    <row r="2360" spans="1:38" x14ac:dyDescent="0.3">
      <c r="A2360" s="5"/>
      <c r="B2360" s="4"/>
      <c r="C2360" s="4"/>
      <c r="D2360" s="82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17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</row>
    <row r="2361" spans="1:38" x14ac:dyDescent="0.3">
      <c r="A2361" s="5"/>
      <c r="B2361" s="4"/>
      <c r="C2361" s="4"/>
      <c r="D2361" s="82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17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</row>
    <row r="2362" spans="1:38" x14ac:dyDescent="0.3">
      <c r="A2362" s="5"/>
      <c r="B2362" s="4"/>
      <c r="C2362" s="4"/>
      <c r="D2362" s="82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17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</row>
    <row r="2363" spans="1:38" x14ac:dyDescent="0.3">
      <c r="A2363" s="5"/>
      <c r="B2363" s="4"/>
      <c r="C2363" s="4"/>
      <c r="D2363" s="82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17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</row>
    <row r="2364" spans="1:38" x14ac:dyDescent="0.3">
      <c r="A2364" s="5"/>
      <c r="B2364" s="4"/>
      <c r="C2364" s="4"/>
      <c r="D2364" s="82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17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</row>
    <row r="2365" spans="1:38" x14ac:dyDescent="0.3">
      <c r="A2365" s="5"/>
      <c r="B2365" s="4"/>
      <c r="C2365" s="4"/>
      <c r="D2365" s="82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17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</row>
    <row r="2366" spans="1:38" x14ac:dyDescent="0.3">
      <c r="A2366" s="5"/>
      <c r="B2366" s="4"/>
      <c r="C2366" s="4"/>
      <c r="D2366" s="82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17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</row>
    <row r="2367" spans="1:38" x14ac:dyDescent="0.3">
      <c r="A2367" s="5"/>
      <c r="B2367" s="4"/>
      <c r="C2367" s="4"/>
      <c r="D2367" s="82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17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</row>
    <row r="2368" spans="1:38" x14ac:dyDescent="0.3">
      <c r="A2368" s="5"/>
      <c r="B2368" s="4"/>
      <c r="C2368" s="4"/>
      <c r="D2368" s="82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17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</row>
    <row r="2369" spans="1:38" x14ac:dyDescent="0.3">
      <c r="A2369" s="5"/>
      <c r="B2369" s="4"/>
      <c r="C2369" s="4"/>
      <c r="D2369" s="82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17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</row>
    <row r="2370" spans="1:38" x14ac:dyDescent="0.3">
      <c r="A2370" s="5"/>
      <c r="B2370" s="4"/>
      <c r="C2370" s="4"/>
      <c r="D2370" s="82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17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</row>
    <row r="2371" spans="1:38" x14ac:dyDescent="0.3">
      <c r="A2371" s="5"/>
      <c r="B2371" s="4"/>
      <c r="C2371" s="4"/>
      <c r="D2371" s="82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17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</row>
    <row r="2372" spans="1:38" x14ac:dyDescent="0.3">
      <c r="A2372" s="5"/>
      <c r="B2372" s="4"/>
      <c r="C2372" s="4"/>
      <c r="D2372" s="82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17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</row>
    <row r="2373" spans="1:38" x14ac:dyDescent="0.3">
      <c r="A2373" s="5"/>
      <c r="B2373" s="4"/>
      <c r="C2373" s="4"/>
      <c r="D2373" s="82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17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</row>
    <row r="2374" spans="1:38" x14ac:dyDescent="0.3">
      <c r="A2374" s="5"/>
      <c r="B2374" s="4"/>
      <c r="C2374" s="4"/>
      <c r="D2374" s="82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17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</row>
    <row r="2375" spans="1:38" x14ac:dyDescent="0.3">
      <c r="A2375" s="5"/>
      <c r="B2375" s="4"/>
      <c r="C2375" s="4"/>
      <c r="D2375" s="82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17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</row>
    <row r="2376" spans="1:38" x14ac:dyDescent="0.3">
      <c r="A2376" s="5"/>
      <c r="B2376" s="4"/>
      <c r="C2376" s="4"/>
      <c r="D2376" s="82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17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</row>
    <row r="2377" spans="1:38" x14ac:dyDescent="0.3">
      <c r="A2377" s="5"/>
      <c r="B2377" s="4"/>
      <c r="C2377" s="4"/>
      <c r="D2377" s="82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17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</row>
    <row r="2378" spans="1:38" x14ac:dyDescent="0.3">
      <c r="A2378" s="5"/>
      <c r="B2378" s="4"/>
      <c r="C2378" s="4"/>
      <c r="D2378" s="82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17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</row>
    <row r="2379" spans="1:38" x14ac:dyDescent="0.3">
      <c r="A2379" s="5"/>
      <c r="B2379" s="4"/>
      <c r="C2379" s="4"/>
      <c r="D2379" s="82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17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</row>
    <row r="2380" spans="1:38" x14ac:dyDescent="0.3">
      <c r="A2380" s="5"/>
      <c r="B2380" s="4"/>
      <c r="C2380" s="4"/>
      <c r="D2380" s="82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17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</row>
    <row r="2381" spans="1:38" x14ac:dyDescent="0.3">
      <c r="A2381" s="5"/>
      <c r="B2381" s="4"/>
      <c r="C2381" s="4"/>
      <c r="D2381" s="82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17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</row>
    <row r="2382" spans="1:38" x14ac:dyDescent="0.3">
      <c r="A2382" s="5"/>
      <c r="B2382" s="4"/>
      <c r="C2382" s="4"/>
      <c r="D2382" s="82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17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</row>
    <row r="2383" spans="1:38" x14ac:dyDescent="0.3">
      <c r="A2383" s="5"/>
      <c r="B2383" s="4"/>
      <c r="C2383" s="4"/>
      <c r="D2383" s="82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17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</row>
    <row r="2384" spans="1:38" x14ac:dyDescent="0.3">
      <c r="A2384" s="5"/>
      <c r="B2384" s="4"/>
      <c r="C2384" s="4"/>
      <c r="D2384" s="82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17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</row>
    <row r="2385" spans="1:38" x14ac:dyDescent="0.3">
      <c r="A2385" s="5"/>
      <c r="B2385" s="4"/>
      <c r="C2385" s="4"/>
      <c r="D2385" s="82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17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</row>
    <row r="2386" spans="1:38" x14ac:dyDescent="0.3">
      <c r="A2386" s="5"/>
      <c r="B2386" s="4"/>
      <c r="C2386" s="4"/>
      <c r="D2386" s="82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17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</row>
    <row r="2387" spans="1:38" x14ac:dyDescent="0.3">
      <c r="A2387" s="5"/>
      <c r="B2387" s="4"/>
      <c r="C2387" s="4"/>
      <c r="D2387" s="82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17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</row>
    <row r="2388" spans="1:38" x14ac:dyDescent="0.3">
      <c r="A2388" s="5"/>
      <c r="B2388" s="4"/>
      <c r="C2388" s="4"/>
      <c r="D2388" s="82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17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</row>
    <row r="2389" spans="1:38" x14ac:dyDescent="0.3">
      <c r="A2389" s="5"/>
      <c r="B2389" s="4"/>
      <c r="C2389" s="4"/>
      <c r="D2389" s="82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17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</row>
    <row r="2390" spans="1:38" x14ac:dyDescent="0.3">
      <c r="A2390" s="5"/>
      <c r="B2390" s="4"/>
      <c r="C2390" s="4"/>
      <c r="D2390" s="82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17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</row>
    <row r="2391" spans="1:38" x14ac:dyDescent="0.3">
      <c r="A2391" s="5"/>
      <c r="B2391" s="4"/>
      <c r="C2391" s="4"/>
      <c r="D2391" s="82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17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</row>
    <row r="2392" spans="1:38" x14ac:dyDescent="0.3">
      <c r="A2392" s="5"/>
      <c r="B2392" s="4"/>
      <c r="C2392" s="4"/>
      <c r="D2392" s="82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17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</row>
    <row r="2393" spans="1:38" x14ac:dyDescent="0.3">
      <c r="A2393" s="5"/>
      <c r="B2393" s="4"/>
      <c r="C2393" s="4"/>
      <c r="D2393" s="82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17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</row>
    <row r="2394" spans="1:38" x14ac:dyDescent="0.3">
      <c r="A2394" s="5"/>
      <c r="B2394" s="4"/>
      <c r="C2394" s="4"/>
      <c r="D2394" s="82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17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</row>
    <row r="2395" spans="1:38" x14ac:dyDescent="0.3">
      <c r="A2395" s="5"/>
      <c r="B2395" s="4"/>
      <c r="C2395" s="4"/>
      <c r="D2395" s="82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17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</row>
    <row r="2396" spans="1:38" x14ac:dyDescent="0.3">
      <c r="A2396" s="5"/>
      <c r="B2396" s="4"/>
      <c r="C2396" s="4"/>
      <c r="D2396" s="82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17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</row>
    <row r="2397" spans="1:38" x14ac:dyDescent="0.3">
      <c r="A2397" s="5"/>
      <c r="B2397" s="4"/>
      <c r="C2397" s="4"/>
      <c r="D2397" s="82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17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</row>
    <row r="2398" spans="1:38" x14ac:dyDescent="0.3">
      <c r="A2398" s="5"/>
      <c r="B2398" s="4"/>
      <c r="C2398" s="4"/>
      <c r="D2398" s="82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17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</row>
    <row r="2399" spans="1:38" x14ac:dyDescent="0.3">
      <c r="A2399" s="5"/>
      <c r="B2399" s="4"/>
      <c r="C2399" s="4"/>
      <c r="D2399" s="82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17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</row>
    <row r="2400" spans="1:38" x14ac:dyDescent="0.3">
      <c r="A2400" s="5"/>
      <c r="B2400" s="4"/>
      <c r="C2400" s="4"/>
      <c r="D2400" s="82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17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</row>
    <row r="2401" spans="1:38" x14ac:dyDescent="0.3">
      <c r="A2401" s="5"/>
      <c r="B2401" s="4"/>
      <c r="C2401" s="4"/>
      <c r="D2401" s="82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17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</row>
    <row r="2402" spans="1:38" x14ac:dyDescent="0.3">
      <c r="A2402" s="5"/>
      <c r="B2402" s="4"/>
      <c r="C2402" s="4"/>
      <c r="D2402" s="82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17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</row>
    <row r="2403" spans="1:38" x14ac:dyDescent="0.3">
      <c r="A2403" s="5"/>
      <c r="B2403" s="4"/>
      <c r="C2403" s="4"/>
      <c r="D2403" s="82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17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</row>
    <row r="2404" spans="1:38" x14ac:dyDescent="0.3">
      <c r="A2404" s="5"/>
      <c r="B2404" s="4"/>
      <c r="C2404" s="4"/>
      <c r="D2404" s="82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17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</row>
    <row r="2405" spans="1:38" x14ac:dyDescent="0.3">
      <c r="A2405" s="5"/>
      <c r="B2405" s="4"/>
      <c r="C2405" s="4"/>
      <c r="D2405" s="82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17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</row>
    <row r="2406" spans="1:38" x14ac:dyDescent="0.3">
      <c r="A2406" s="5"/>
      <c r="B2406" s="4"/>
      <c r="C2406" s="4"/>
      <c r="D2406" s="82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17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</row>
    <row r="2407" spans="1:38" x14ac:dyDescent="0.3">
      <c r="A2407" s="5"/>
      <c r="B2407" s="4"/>
      <c r="C2407" s="4"/>
      <c r="D2407" s="82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17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</row>
    <row r="2408" spans="1:38" x14ac:dyDescent="0.3">
      <c r="A2408" s="5"/>
      <c r="B2408" s="4"/>
      <c r="C2408" s="4"/>
      <c r="D2408" s="82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17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</row>
    <row r="2409" spans="1:38" x14ac:dyDescent="0.3">
      <c r="A2409" s="5"/>
      <c r="B2409" s="4"/>
      <c r="C2409" s="4"/>
      <c r="D2409" s="82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17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</row>
    <row r="2410" spans="1:38" x14ac:dyDescent="0.3">
      <c r="A2410" s="5"/>
      <c r="B2410" s="4"/>
      <c r="C2410" s="4"/>
      <c r="D2410" s="82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17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</row>
    <row r="2411" spans="1:38" x14ac:dyDescent="0.3">
      <c r="A2411" s="5"/>
      <c r="B2411" s="4"/>
      <c r="C2411" s="4"/>
      <c r="D2411" s="82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17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</row>
    <row r="2412" spans="1:38" x14ac:dyDescent="0.3">
      <c r="A2412" s="5"/>
      <c r="B2412" s="4"/>
      <c r="C2412" s="4"/>
      <c r="D2412" s="82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17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</row>
    <row r="2413" spans="1:38" x14ac:dyDescent="0.3">
      <c r="A2413" s="5"/>
      <c r="B2413" s="4"/>
      <c r="C2413" s="4"/>
      <c r="D2413" s="82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17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</row>
    <row r="2414" spans="1:38" x14ac:dyDescent="0.3">
      <c r="A2414" s="5"/>
      <c r="B2414" s="4"/>
      <c r="C2414" s="4"/>
      <c r="D2414" s="82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17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</row>
    <row r="2415" spans="1:38" x14ac:dyDescent="0.3">
      <c r="A2415" s="5"/>
      <c r="B2415" s="4"/>
      <c r="C2415" s="4"/>
      <c r="D2415" s="82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17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</row>
    <row r="2416" spans="1:38" x14ac:dyDescent="0.3">
      <c r="A2416" s="5"/>
      <c r="B2416" s="4"/>
      <c r="C2416" s="4"/>
      <c r="D2416" s="82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17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</row>
    <row r="2417" spans="1:38" x14ac:dyDescent="0.3">
      <c r="A2417" s="5"/>
      <c r="B2417" s="4"/>
      <c r="C2417" s="4"/>
      <c r="D2417" s="82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17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</row>
    <row r="2418" spans="1:38" x14ac:dyDescent="0.3">
      <c r="A2418" s="5"/>
      <c r="B2418" s="4"/>
      <c r="C2418" s="4"/>
      <c r="D2418" s="82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17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</row>
    <row r="2419" spans="1:38" x14ac:dyDescent="0.3">
      <c r="A2419" s="5"/>
      <c r="B2419" s="4"/>
      <c r="C2419" s="4"/>
      <c r="D2419" s="82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17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</row>
    <row r="2420" spans="1:38" x14ac:dyDescent="0.3">
      <c r="A2420" s="5"/>
      <c r="B2420" s="4"/>
      <c r="C2420" s="4"/>
      <c r="D2420" s="82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17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</row>
    <row r="2421" spans="1:38" x14ac:dyDescent="0.3">
      <c r="A2421" s="5"/>
      <c r="B2421" s="4"/>
      <c r="C2421" s="4"/>
      <c r="D2421" s="82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17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</row>
    <row r="2422" spans="1:38" x14ac:dyDescent="0.3">
      <c r="A2422" s="5"/>
      <c r="B2422" s="4"/>
      <c r="C2422" s="4"/>
      <c r="D2422" s="82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17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</row>
    <row r="2423" spans="1:38" x14ac:dyDescent="0.3">
      <c r="A2423" s="5"/>
      <c r="B2423" s="4"/>
      <c r="C2423" s="4"/>
      <c r="D2423" s="82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17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</row>
    <row r="2424" spans="1:38" x14ac:dyDescent="0.3">
      <c r="A2424" s="5"/>
      <c r="B2424" s="4"/>
      <c r="C2424" s="4"/>
      <c r="D2424" s="82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17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</row>
    <row r="2425" spans="1:38" x14ac:dyDescent="0.3">
      <c r="A2425" s="5"/>
      <c r="B2425" s="4"/>
      <c r="C2425" s="4"/>
      <c r="D2425" s="82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17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</row>
    <row r="2426" spans="1:38" x14ac:dyDescent="0.3">
      <c r="A2426" s="5"/>
      <c r="B2426" s="4"/>
      <c r="C2426" s="4"/>
      <c r="D2426" s="82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17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</row>
    <row r="2427" spans="1:38" x14ac:dyDescent="0.3">
      <c r="A2427" s="5"/>
      <c r="B2427" s="4"/>
      <c r="C2427" s="4"/>
      <c r="D2427" s="82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17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</row>
    <row r="2428" spans="1:38" x14ac:dyDescent="0.3">
      <c r="A2428" s="5"/>
      <c r="B2428" s="4"/>
      <c r="C2428" s="4"/>
      <c r="D2428" s="82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17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</row>
    <row r="2429" spans="1:38" x14ac:dyDescent="0.3">
      <c r="A2429" s="5"/>
      <c r="B2429" s="4"/>
      <c r="C2429" s="4"/>
      <c r="D2429" s="82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17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</row>
    <row r="2430" spans="1:38" x14ac:dyDescent="0.3">
      <c r="A2430" s="5"/>
      <c r="B2430" s="4"/>
      <c r="C2430" s="4"/>
      <c r="D2430" s="82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17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</row>
    <row r="2431" spans="1:38" x14ac:dyDescent="0.3">
      <c r="A2431" s="5"/>
      <c r="B2431" s="4"/>
      <c r="C2431" s="4"/>
      <c r="D2431" s="82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17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</row>
    <row r="2432" spans="1:38" x14ac:dyDescent="0.3">
      <c r="A2432" s="5"/>
      <c r="B2432" s="4"/>
      <c r="C2432" s="4"/>
      <c r="D2432" s="82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17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</row>
    <row r="2433" spans="1:38" x14ac:dyDescent="0.3">
      <c r="A2433" s="5"/>
      <c r="B2433" s="4"/>
      <c r="C2433" s="4"/>
      <c r="D2433" s="82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17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</row>
    <row r="2434" spans="1:38" x14ac:dyDescent="0.3">
      <c r="A2434" s="5"/>
      <c r="B2434" s="4"/>
      <c r="C2434" s="4"/>
      <c r="D2434" s="82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17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</row>
    <row r="2435" spans="1:38" x14ac:dyDescent="0.3">
      <c r="A2435" s="5"/>
      <c r="B2435" s="4"/>
      <c r="C2435" s="4"/>
      <c r="D2435" s="82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17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</row>
    <row r="2436" spans="1:38" x14ac:dyDescent="0.3">
      <c r="A2436" s="5"/>
      <c r="B2436" s="4"/>
      <c r="C2436" s="4"/>
      <c r="D2436" s="82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17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</row>
    <row r="2437" spans="1:38" x14ac:dyDescent="0.3">
      <c r="A2437" s="5"/>
      <c r="B2437" s="4"/>
      <c r="C2437" s="4"/>
      <c r="D2437" s="82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17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</row>
    <row r="2438" spans="1:38" x14ac:dyDescent="0.3">
      <c r="A2438" s="5"/>
      <c r="B2438" s="4"/>
      <c r="C2438" s="4"/>
      <c r="D2438" s="82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17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</row>
    <row r="2439" spans="1:38" x14ac:dyDescent="0.3">
      <c r="A2439" s="5"/>
      <c r="B2439" s="4"/>
      <c r="C2439" s="4"/>
      <c r="D2439" s="82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17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</row>
    <row r="2440" spans="1:38" x14ac:dyDescent="0.3">
      <c r="A2440" s="5"/>
      <c r="B2440" s="4"/>
      <c r="C2440" s="4"/>
      <c r="D2440" s="82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17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</row>
    <row r="2441" spans="1:38" x14ac:dyDescent="0.3">
      <c r="A2441" s="5"/>
      <c r="B2441" s="4"/>
      <c r="C2441" s="4"/>
      <c r="D2441" s="82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17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</row>
    <row r="2442" spans="1:38" x14ac:dyDescent="0.3">
      <c r="A2442" s="5"/>
      <c r="B2442" s="4"/>
      <c r="C2442" s="4"/>
      <c r="D2442" s="82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17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</row>
    <row r="2443" spans="1:38" x14ac:dyDescent="0.3">
      <c r="A2443" s="5"/>
      <c r="B2443" s="4"/>
      <c r="C2443" s="4"/>
      <c r="D2443" s="82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17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</row>
    <row r="2444" spans="1:38" x14ac:dyDescent="0.3">
      <c r="A2444" s="5"/>
      <c r="B2444" s="4"/>
      <c r="C2444" s="4"/>
      <c r="D2444" s="82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17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</row>
    <row r="2445" spans="1:38" x14ac:dyDescent="0.3">
      <c r="A2445" s="5"/>
      <c r="B2445" s="4"/>
      <c r="C2445" s="4"/>
      <c r="D2445" s="82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17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</row>
    <row r="2446" spans="1:38" x14ac:dyDescent="0.3">
      <c r="A2446" s="5"/>
      <c r="B2446" s="4"/>
      <c r="C2446" s="4"/>
      <c r="D2446" s="82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17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</row>
    <row r="2447" spans="1:38" x14ac:dyDescent="0.3">
      <c r="A2447" s="5"/>
      <c r="B2447" s="4"/>
      <c r="C2447" s="4"/>
      <c r="D2447" s="82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17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</row>
    <row r="2448" spans="1:38" x14ac:dyDescent="0.3">
      <c r="A2448" s="5"/>
      <c r="B2448" s="4"/>
      <c r="C2448" s="4"/>
      <c r="D2448" s="82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17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</row>
    <row r="2449" spans="1:38" x14ac:dyDescent="0.3">
      <c r="A2449" s="5"/>
      <c r="B2449" s="4"/>
      <c r="C2449" s="4"/>
      <c r="D2449" s="82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17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</row>
    <row r="2450" spans="1:38" x14ac:dyDescent="0.3">
      <c r="A2450" s="5"/>
      <c r="B2450" s="4"/>
      <c r="C2450" s="4"/>
      <c r="D2450" s="82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17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</row>
    <row r="2451" spans="1:38" x14ac:dyDescent="0.3">
      <c r="A2451" s="5"/>
      <c r="B2451" s="4"/>
      <c r="C2451" s="4"/>
      <c r="D2451" s="82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17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</row>
    <row r="2452" spans="1:38" x14ac:dyDescent="0.3">
      <c r="A2452" s="5"/>
      <c r="B2452" s="4"/>
      <c r="C2452" s="4"/>
      <c r="D2452" s="82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17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</row>
    <row r="2453" spans="1:38" x14ac:dyDescent="0.3">
      <c r="A2453" s="5"/>
      <c r="B2453" s="4"/>
      <c r="C2453" s="4"/>
      <c r="D2453" s="82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17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</row>
    <row r="2454" spans="1:38" x14ac:dyDescent="0.3">
      <c r="A2454" s="5"/>
      <c r="B2454" s="4"/>
      <c r="C2454" s="4"/>
      <c r="D2454" s="82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17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</row>
    <row r="2455" spans="1:38" x14ac:dyDescent="0.3">
      <c r="A2455" s="5"/>
      <c r="B2455" s="4"/>
      <c r="C2455" s="4"/>
      <c r="D2455" s="82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17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</row>
    <row r="2456" spans="1:38" x14ac:dyDescent="0.3">
      <c r="A2456" s="5"/>
      <c r="B2456" s="4"/>
      <c r="C2456" s="4"/>
      <c r="D2456" s="82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17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</row>
    <row r="2457" spans="1:38" x14ac:dyDescent="0.3">
      <c r="A2457" s="5"/>
      <c r="B2457" s="4"/>
      <c r="C2457" s="4"/>
      <c r="D2457" s="82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17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</row>
    <row r="2458" spans="1:38" x14ac:dyDescent="0.3">
      <c r="A2458" s="5"/>
      <c r="B2458" s="4"/>
      <c r="C2458" s="4"/>
      <c r="D2458" s="82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17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</row>
    <row r="2459" spans="1:38" x14ac:dyDescent="0.3">
      <c r="A2459" s="5"/>
      <c r="B2459" s="4"/>
      <c r="C2459" s="4"/>
      <c r="D2459" s="82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17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</row>
    <row r="2460" spans="1:38" x14ac:dyDescent="0.3">
      <c r="A2460" s="5"/>
      <c r="B2460" s="4"/>
      <c r="C2460" s="4"/>
      <c r="D2460" s="82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17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</row>
    <row r="2461" spans="1:38" x14ac:dyDescent="0.3">
      <c r="A2461" s="5"/>
      <c r="B2461" s="4"/>
      <c r="C2461" s="4"/>
      <c r="D2461" s="82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17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</row>
    <row r="2462" spans="1:38" x14ac:dyDescent="0.3">
      <c r="A2462" s="5"/>
      <c r="B2462" s="4"/>
      <c r="C2462" s="4"/>
      <c r="D2462" s="82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17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</row>
    <row r="2463" spans="1:38" x14ac:dyDescent="0.3">
      <c r="A2463" s="5"/>
      <c r="B2463" s="4"/>
      <c r="C2463" s="4"/>
      <c r="D2463" s="82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17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</row>
    <row r="2464" spans="1:38" x14ac:dyDescent="0.3">
      <c r="A2464" s="5"/>
      <c r="B2464" s="4"/>
      <c r="C2464" s="4"/>
      <c r="D2464" s="82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17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</row>
    <row r="2465" spans="1:38" x14ac:dyDescent="0.3">
      <c r="A2465" s="5"/>
      <c r="B2465" s="4"/>
      <c r="C2465" s="4"/>
      <c r="D2465" s="82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17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</row>
    <row r="2466" spans="1:38" x14ac:dyDescent="0.3">
      <c r="A2466" s="5"/>
      <c r="B2466" s="4"/>
      <c r="C2466" s="4"/>
      <c r="D2466" s="82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17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</row>
    <row r="2467" spans="1:38" x14ac:dyDescent="0.3">
      <c r="A2467" s="5"/>
      <c r="B2467" s="4"/>
      <c r="C2467" s="4"/>
      <c r="D2467" s="82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17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</row>
    <row r="2468" spans="1:38" x14ac:dyDescent="0.3">
      <c r="A2468" s="5"/>
      <c r="B2468" s="4"/>
      <c r="C2468" s="4"/>
      <c r="D2468" s="82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17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</row>
    <row r="2469" spans="1:38" x14ac:dyDescent="0.3">
      <c r="A2469" s="5"/>
      <c r="B2469" s="4"/>
      <c r="C2469" s="4"/>
      <c r="D2469" s="82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17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</row>
    <row r="2470" spans="1:38" x14ac:dyDescent="0.3">
      <c r="A2470" s="5"/>
      <c r="B2470" s="4"/>
      <c r="C2470" s="4"/>
      <c r="D2470" s="82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17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</row>
    <row r="2471" spans="1:38" x14ac:dyDescent="0.3">
      <c r="A2471" s="5"/>
      <c r="B2471" s="4"/>
      <c r="C2471" s="4"/>
      <c r="D2471" s="82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17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</row>
    <row r="2472" spans="1:38" x14ac:dyDescent="0.3">
      <c r="A2472" s="5"/>
      <c r="B2472" s="4"/>
      <c r="C2472" s="4"/>
      <c r="D2472" s="82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17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</row>
    <row r="2473" spans="1:38" x14ac:dyDescent="0.3">
      <c r="A2473" s="5"/>
      <c r="B2473" s="4"/>
      <c r="C2473" s="4"/>
      <c r="D2473" s="82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17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</row>
    <row r="2474" spans="1:38" x14ac:dyDescent="0.3">
      <c r="A2474" s="5"/>
      <c r="B2474" s="4"/>
      <c r="C2474" s="4"/>
      <c r="D2474" s="82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17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</row>
    <row r="2475" spans="1:38" x14ac:dyDescent="0.3">
      <c r="A2475" s="5"/>
      <c r="B2475" s="4"/>
      <c r="C2475" s="4"/>
      <c r="D2475" s="82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17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</row>
    <row r="2476" spans="1:38" x14ac:dyDescent="0.3">
      <c r="A2476" s="5"/>
      <c r="B2476" s="4"/>
      <c r="C2476" s="4"/>
      <c r="D2476" s="82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17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</row>
    <row r="2477" spans="1:38" x14ac:dyDescent="0.3">
      <c r="A2477" s="5"/>
      <c r="B2477" s="4"/>
      <c r="C2477" s="4"/>
      <c r="D2477" s="82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17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</row>
    <row r="2478" spans="1:38" x14ac:dyDescent="0.3">
      <c r="A2478" s="5"/>
      <c r="B2478" s="4"/>
      <c r="C2478" s="4"/>
      <c r="D2478" s="82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17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</row>
    <row r="2479" spans="1:38" x14ac:dyDescent="0.3">
      <c r="A2479" s="5"/>
      <c r="B2479" s="4"/>
      <c r="C2479" s="4"/>
      <c r="D2479" s="82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17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</row>
    <row r="2480" spans="1:38" x14ac:dyDescent="0.3">
      <c r="A2480" s="5"/>
      <c r="B2480" s="4"/>
      <c r="C2480" s="4"/>
      <c r="D2480" s="82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17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</row>
    <row r="2481" spans="1:38" x14ac:dyDescent="0.3">
      <c r="A2481" s="5"/>
      <c r="B2481" s="4"/>
      <c r="C2481" s="4"/>
      <c r="D2481" s="82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17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</row>
    <row r="2482" spans="1:38" x14ac:dyDescent="0.3">
      <c r="A2482" s="5"/>
      <c r="B2482" s="4"/>
      <c r="C2482" s="4"/>
      <c r="D2482" s="82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17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</row>
    <row r="2483" spans="1:38" x14ac:dyDescent="0.3">
      <c r="A2483" s="5"/>
      <c r="B2483" s="4"/>
      <c r="C2483" s="4"/>
      <c r="D2483" s="82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17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</row>
    <row r="2484" spans="1:38" x14ac:dyDescent="0.3">
      <c r="A2484" s="5"/>
      <c r="B2484" s="4"/>
      <c r="C2484" s="4"/>
      <c r="D2484" s="82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17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</row>
    <row r="2485" spans="1:38" x14ac:dyDescent="0.3">
      <c r="A2485" s="5"/>
      <c r="B2485" s="4"/>
      <c r="C2485" s="4"/>
      <c r="D2485" s="82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17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</row>
    <row r="2486" spans="1:38" x14ac:dyDescent="0.3">
      <c r="A2486" s="5"/>
      <c r="B2486" s="4"/>
      <c r="C2486" s="4"/>
      <c r="D2486" s="82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17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</row>
    <row r="2487" spans="1:38" x14ac:dyDescent="0.3">
      <c r="A2487" s="5"/>
      <c r="B2487" s="4"/>
      <c r="C2487" s="4"/>
      <c r="D2487" s="82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17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</row>
    <row r="2488" spans="1:38" x14ac:dyDescent="0.3">
      <c r="A2488" s="5"/>
      <c r="B2488" s="4"/>
      <c r="C2488" s="4"/>
      <c r="D2488" s="82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17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</row>
    <row r="2489" spans="1:38" x14ac:dyDescent="0.3">
      <c r="A2489" s="5"/>
      <c r="B2489" s="4"/>
      <c r="C2489" s="4"/>
      <c r="D2489" s="82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17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</row>
    <row r="2490" spans="1:38" x14ac:dyDescent="0.3">
      <c r="A2490" s="5"/>
      <c r="B2490" s="4"/>
      <c r="C2490" s="4"/>
      <c r="D2490" s="82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17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</row>
    <row r="2491" spans="1:38" x14ac:dyDescent="0.3">
      <c r="A2491" s="5"/>
      <c r="B2491" s="4"/>
      <c r="C2491" s="4"/>
      <c r="D2491" s="82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17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</row>
    <row r="2492" spans="1:38" x14ac:dyDescent="0.3">
      <c r="A2492" s="5"/>
      <c r="B2492" s="4"/>
      <c r="C2492" s="4"/>
      <c r="D2492" s="82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17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</row>
    <row r="2493" spans="1:38" x14ac:dyDescent="0.3">
      <c r="A2493" s="5"/>
      <c r="B2493" s="4"/>
      <c r="C2493" s="4"/>
      <c r="D2493" s="82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17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</row>
    <row r="2494" spans="1:38" x14ac:dyDescent="0.3">
      <c r="A2494" s="5"/>
      <c r="B2494" s="4"/>
      <c r="C2494" s="4"/>
      <c r="D2494" s="82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17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</row>
    <row r="2495" spans="1:38" x14ac:dyDescent="0.3">
      <c r="A2495" s="5"/>
      <c r="B2495" s="4"/>
      <c r="C2495" s="4"/>
      <c r="D2495" s="82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17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</row>
    <row r="2496" spans="1:38" x14ac:dyDescent="0.3">
      <c r="A2496" s="5"/>
      <c r="B2496" s="4"/>
      <c r="C2496" s="4"/>
      <c r="D2496" s="82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17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</row>
    <row r="2497" spans="1:38" x14ac:dyDescent="0.3">
      <c r="A2497" s="5"/>
      <c r="B2497" s="4"/>
      <c r="C2497" s="4"/>
      <c r="D2497" s="82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17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</row>
    <row r="2498" spans="1:38" x14ac:dyDescent="0.3">
      <c r="A2498" s="5"/>
      <c r="B2498" s="4"/>
      <c r="C2498" s="4"/>
      <c r="D2498" s="82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17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</row>
    <row r="2499" spans="1:38" x14ac:dyDescent="0.3">
      <c r="A2499" s="5"/>
      <c r="B2499" s="4"/>
      <c r="C2499" s="4"/>
      <c r="D2499" s="82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17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</row>
    <row r="2500" spans="1:38" x14ac:dyDescent="0.3">
      <c r="A2500" s="5"/>
      <c r="B2500" s="4"/>
      <c r="C2500" s="4"/>
      <c r="D2500" s="82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17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</row>
    <row r="2501" spans="1:38" x14ac:dyDescent="0.3">
      <c r="A2501" s="5"/>
      <c r="B2501" s="4"/>
      <c r="C2501" s="4"/>
      <c r="D2501" s="82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17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</row>
    <row r="2502" spans="1:38" x14ac:dyDescent="0.3">
      <c r="A2502" s="5"/>
      <c r="B2502" s="4"/>
      <c r="C2502" s="4"/>
      <c r="D2502" s="82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17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</row>
    <row r="2503" spans="1:38" x14ac:dyDescent="0.3">
      <c r="A2503" s="5"/>
      <c r="B2503" s="4"/>
      <c r="C2503" s="4"/>
      <c r="D2503" s="82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17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</row>
    <row r="2504" spans="1:38" x14ac:dyDescent="0.3">
      <c r="A2504" s="5"/>
      <c r="B2504" s="4"/>
      <c r="C2504" s="4"/>
      <c r="D2504" s="82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17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</row>
    <row r="2505" spans="1:38" x14ac:dyDescent="0.3">
      <c r="A2505" s="5"/>
      <c r="B2505" s="4"/>
      <c r="C2505" s="4"/>
      <c r="D2505" s="82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17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</row>
    <row r="2506" spans="1:38" x14ac:dyDescent="0.3">
      <c r="A2506" s="5"/>
      <c r="B2506" s="4"/>
      <c r="C2506" s="4"/>
      <c r="D2506" s="82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17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</row>
    <row r="2507" spans="1:38" x14ac:dyDescent="0.3">
      <c r="A2507" s="5"/>
      <c r="B2507" s="4"/>
      <c r="C2507" s="4"/>
      <c r="D2507" s="82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17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</row>
    <row r="2508" spans="1:38" x14ac:dyDescent="0.3">
      <c r="A2508" s="5"/>
      <c r="B2508" s="4"/>
      <c r="C2508" s="4"/>
      <c r="D2508" s="82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17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</row>
    <row r="2509" spans="1:38" x14ac:dyDescent="0.3">
      <c r="A2509" s="5"/>
      <c r="B2509" s="4"/>
      <c r="C2509" s="4"/>
      <c r="D2509" s="82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17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</row>
    <row r="2510" spans="1:38" x14ac:dyDescent="0.3">
      <c r="A2510" s="5"/>
      <c r="B2510" s="4"/>
      <c r="C2510" s="4"/>
      <c r="D2510" s="82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17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</row>
    <row r="2511" spans="1:38" x14ac:dyDescent="0.3">
      <c r="A2511" s="5"/>
      <c r="B2511" s="4"/>
      <c r="C2511" s="4"/>
      <c r="D2511" s="82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17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</row>
    <row r="2512" spans="1:38" x14ac:dyDescent="0.3">
      <c r="A2512" s="5"/>
      <c r="B2512" s="4"/>
      <c r="C2512" s="4"/>
      <c r="D2512" s="82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17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</row>
    <row r="2513" spans="1:38" x14ac:dyDescent="0.3">
      <c r="A2513" s="5"/>
      <c r="B2513" s="4"/>
      <c r="C2513" s="4"/>
      <c r="D2513" s="82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17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</row>
    <row r="2514" spans="1:38" x14ac:dyDescent="0.3">
      <c r="A2514" s="5"/>
      <c r="B2514" s="4"/>
      <c r="C2514" s="4"/>
      <c r="D2514" s="82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17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</row>
    <row r="2515" spans="1:38" x14ac:dyDescent="0.3">
      <c r="A2515" s="5"/>
      <c r="B2515" s="4"/>
      <c r="C2515" s="4"/>
      <c r="D2515" s="82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17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</row>
    <row r="2516" spans="1:38" x14ac:dyDescent="0.3">
      <c r="A2516" s="5"/>
      <c r="B2516" s="4"/>
      <c r="C2516" s="4"/>
      <c r="D2516" s="82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17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</row>
    <row r="2517" spans="1:38" x14ac:dyDescent="0.3">
      <c r="A2517" s="5"/>
      <c r="B2517" s="4"/>
      <c r="C2517" s="4"/>
      <c r="D2517" s="82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17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</row>
    <row r="2518" spans="1:38" x14ac:dyDescent="0.3">
      <c r="A2518" s="5"/>
      <c r="B2518" s="4"/>
      <c r="C2518" s="4"/>
      <c r="D2518" s="82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17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</row>
    <row r="2519" spans="1:38" x14ac:dyDescent="0.3">
      <c r="A2519" s="5"/>
      <c r="B2519" s="4"/>
      <c r="C2519" s="4"/>
      <c r="D2519" s="82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17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</row>
    <row r="2520" spans="1:38" x14ac:dyDescent="0.3">
      <c r="A2520" s="5"/>
      <c r="B2520" s="4"/>
      <c r="C2520" s="4"/>
      <c r="D2520" s="82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17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</row>
    <row r="2521" spans="1:38" x14ac:dyDescent="0.3">
      <c r="A2521" s="5"/>
      <c r="B2521" s="4"/>
      <c r="C2521" s="4"/>
      <c r="D2521" s="82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17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</row>
    <row r="2522" spans="1:38" x14ac:dyDescent="0.3">
      <c r="A2522" s="5"/>
      <c r="B2522" s="4"/>
      <c r="C2522" s="4"/>
      <c r="D2522" s="82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17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</row>
    <row r="2523" spans="1:38" x14ac:dyDescent="0.3">
      <c r="A2523" s="5"/>
      <c r="B2523" s="4"/>
      <c r="C2523" s="4"/>
      <c r="D2523" s="82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17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</row>
    <row r="2524" spans="1:38" x14ac:dyDescent="0.3">
      <c r="A2524" s="5"/>
      <c r="B2524" s="4"/>
      <c r="C2524" s="4"/>
      <c r="D2524" s="82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17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</row>
    <row r="2525" spans="1:38" x14ac:dyDescent="0.3">
      <c r="A2525" s="5"/>
      <c r="B2525" s="4"/>
      <c r="C2525" s="4"/>
      <c r="D2525" s="82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17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</row>
    <row r="2526" spans="1:38" x14ac:dyDescent="0.3">
      <c r="A2526" s="5"/>
      <c r="B2526" s="4"/>
      <c r="C2526" s="4"/>
      <c r="D2526" s="82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17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</row>
    <row r="2527" spans="1:38" x14ac:dyDescent="0.3">
      <c r="A2527" s="5"/>
      <c r="B2527" s="4"/>
      <c r="C2527" s="4"/>
      <c r="D2527" s="82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17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</row>
    <row r="2528" spans="1:38" x14ac:dyDescent="0.3">
      <c r="A2528" s="5"/>
      <c r="B2528" s="4"/>
      <c r="C2528" s="4"/>
      <c r="D2528" s="82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17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</row>
    <row r="2529" spans="1:38" x14ac:dyDescent="0.3">
      <c r="A2529" s="5"/>
      <c r="B2529" s="4"/>
      <c r="C2529" s="4"/>
      <c r="D2529" s="82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17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</row>
    <row r="2530" spans="1:38" x14ac:dyDescent="0.3">
      <c r="A2530" s="5"/>
      <c r="B2530" s="4"/>
      <c r="C2530" s="4"/>
      <c r="D2530" s="82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17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</row>
    <row r="2531" spans="1:38" x14ac:dyDescent="0.3">
      <c r="A2531" s="5"/>
      <c r="B2531" s="4"/>
      <c r="C2531" s="4"/>
      <c r="D2531" s="82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17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</row>
    <row r="2532" spans="1:38" x14ac:dyDescent="0.3">
      <c r="A2532" s="5"/>
      <c r="B2532" s="4"/>
      <c r="C2532" s="4"/>
      <c r="D2532" s="82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17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</row>
    <row r="2533" spans="1:38" x14ac:dyDescent="0.3">
      <c r="A2533" s="5"/>
      <c r="B2533" s="4"/>
      <c r="C2533" s="4"/>
      <c r="D2533" s="82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17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</row>
    <row r="2534" spans="1:38" x14ac:dyDescent="0.3">
      <c r="A2534" s="5"/>
      <c r="B2534" s="4"/>
      <c r="C2534" s="4"/>
      <c r="D2534" s="82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17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</row>
    <row r="2535" spans="1:38" x14ac:dyDescent="0.3">
      <c r="A2535" s="5"/>
      <c r="B2535" s="4"/>
      <c r="C2535" s="4"/>
      <c r="D2535" s="82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17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</row>
    <row r="2536" spans="1:38" x14ac:dyDescent="0.3">
      <c r="A2536" s="5"/>
      <c r="B2536" s="4"/>
      <c r="C2536" s="4"/>
      <c r="D2536" s="82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17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</row>
    <row r="2537" spans="1:38" x14ac:dyDescent="0.3">
      <c r="A2537" s="5"/>
      <c r="B2537" s="4"/>
      <c r="C2537" s="4"/>
      <c r="D2537" s="82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17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</row>
    <row r="2538" spans="1:38" x14ac:dyDescent="0.3">
      <c r="A2538" s="5"/>
      <c r="B2538" s="4"/>
      <c r="C2538" s="4"/>
      <c r="D2538" s="82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17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</row>
    <row r="2539" spans="1:38" x14ac:dyDescent="0.3">
      <c r="A2539" s="5"/>
      <c r="B2539" s="4"/>
      <c r="C2539" s="4"/>
      <c r="D2539" s="82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17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</row>
    <row r="2540" spans="1:38" x14ac:dyDescent="0.3">
      <c r="A2540" s="5"/>
      <c r="B2540" s="4"/>
      <c r="C2540" s="4"/>
      <c r="D2540" s="82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17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</row>
    <row r="2541" spans="1:38" x14ac:dyDescent="0.3">
      <c r="A2541" s="5"/>
      <c r="B2541" s="4"/>
      <c r="C2541" s="4"/>
      <c r="D2541" s="82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17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</row>
    <row r="2542" spans="1:38" x14ac:dyDescent="0.3">
      <c r="A2542" s="5"/>
      <c r="B2542" s="4"/>
      <c r="C2542" s="4"/>
      <c r="D2542" s="82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17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</row>
    <row r="2543" spans="1:38" x14ac:dyDescent="0.3">
      <c r="A2543" s="5"/>
      <c r="B2543" s="4"/>
      <c r="C2543" s="4"/>
      <c r="D2543" s="82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17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</row>
    <row r="2544" spans="1:38" x14ac:dyDescent="0.3">
      <c r="A2544" s="5"/>
      <c r="B2544" s="4"/>
      <c r="C2544" s="4"/>
      <c r="D2544" s="82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17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</row>
    <row r="2545" spans="1:38" x14ac:dyDescent="0.3">
      <c r="A2545" s="5"/>
      <c r="B2545" s="4"/>
      <c r="C2545" s="4"/>
      <c r="D2545" s="82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17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</row>
    <row r="2546" spans="1:38" x14ac:dyDescent="0.3">
      <c r="A2546" s="5"/>
      <c r="B2546" s="4"/>
      <c r="C2546" s="4"/>
      <c r="D2546" s="82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17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</row>
    <row r="2547" spans="1:38" x14ac:dyDescent="0.3">
      <c r="A2547" s="5"/>
      <c r="B2547" s="4"/>
      <c r="C2547" s="4"/>
      <c r="D2547" s="82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17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</row>
    <row r="2548" spans="1:38" x14ac:dyDescent="0.3">
      <c r="A2548" s="5"/>
      <c r="B2548" s="4"/>
      <c r="C2548" s="4"/>
      <c r="D2548" s="82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17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</row>
    <row r="2549" spans="1:38" x14ac:dyDescent="0.3">
      <c r="A2549" s="5"/>
      <c r="B2549" s="4"/>
      <c r="C2549" s="4"/>
      <c r="D2549" s="82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17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</row>
    <row r="2550" spans="1:38" x14ac:dyDescent="0.3">
      <c r="A2550" s="5"/>
      <c r="B2550" s="4"/>
      <c r="C2550" s="4"/>
      <c r="D2550" s="82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17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</row>
    <row r="2551" spans="1:38" x14ac:dyDescent="0.3">
      <c r="A2551" s="5"/>
      <c r="B2551" s="4"/>
      <c r="C2551" s="4"/>
      <c r="D2551" s="82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17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</row>
    <row r="2552" spans="1:38" x14ac:dyDescent="0.3">
      <c r="A2552" s="5"/>
      <c r="B2552" s="4"/>
      <c r="C2552" s="4"/>
      <c r="D2552" s="82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17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</row>
    <row r="2553" spans="1:38" x14ac:dyDescent="0.3">
      <c r="A2553" s="5"/>
      <c r="B2553" s="4"/>
      <c r="C2553" s="4"/>
      <c r="D2553" s="82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17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</row>
    <row r="2554" spans="1:38" x14ac:dyDescent="0.3">
      <c r="A2554" s="5"/>
      <c r="B2554" s="4"/>
      <c r="C2554" s="4"/>
      <c r="D2554" s="82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17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</row>
    <row r="2555" spans="1:38" x14ac:dyDescent="0.3">
      <c r="A2555" s="5"/>
      <c r="B2555" s="4"/>
      <c r="C2555" s="4"/>
      <c r="D2555" s="82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17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</row>
    <row r="2556" spans="1:38" x14ac:dyDescent="0.3">
      <c r="A2556" s="5"/>
      <c r="B2556" s="4"/>
      <c r="C2556" s="4"/>
      <c r="D2556" s="82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17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</row>
    <row r="2557" spans="1:38" x14ac:dyDescent="0.3">
      <c r="A2557" s="5"/>
      <c r="B2557" s="4"/>
      <c r="C2557" s="4"/>
      <c r="D2557" s="82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17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</row>
    <row r="2558" spans="1:38" x14ac:dyDescent="0.3">
      <c r="A2558" s="5"/>
      <c r="B2558" s="4"/>
      <c r="C2558" s="4"/>
      <c r="D2558" s="82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17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</row>
    <row r="2559" spans="1:38" x14ac:dyDescent="0.3">
      <c r="A2559" s="5"/>
      <c r="B2559" s="4"/>
      <c r="C2559" s="4"/>
      <c r="D2559" s="82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17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</row>
    <row r="2560" spans="1:38" x14ac:dyDescent="0.3">
      <c r="A2560" s="5"/>
      <c r="B2560" s="4"/>
      <c r="C2560" s="4"/>
      <c r="D2560" s="82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17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</row>
    <row r="2561" spans="1:38" x14ac:dyDescent="0.3">
      <c r="A2561" s="5"/>
      <c r="B2561" s="4"/>
      <c r="C2561" s="4"/>
      <c r="D2561" s="82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17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</row>
    <row r="2562" spans="1:38" x14ac:dyDescent="0.3">
      <c r="A2562" s="5"/>
      <c r="B2562" s="4"/>
      <c r="C2562" s="4"/>
      <c r="D2562" s="82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17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</row>
    <row r="2563" spans="1:38" x14ac:dyDescent="0.3">
      <c r="A2563" s="5"/>
      <c r="B2563" s="4"/>
      <c r="C2563" s="4"/>
      <c r="D2563" s="82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17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</row>
    <row r="2564" spans="1:38" x14ac:dyDescent="0.3">
      <c r="A2564" s="5"/>
      <c r="B2564" s="4"/>
      <c r="C2564" s="4"/>
      <c r="D2564" s="82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17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</row>
    <row r="2565" spans="1:38" x14ac:dyDescent="0.3">
      <c r="A2565" s="5"/>
      <c r="B2565" s="4"/>
      <c r="C2565" s="4"/>
      <c r="D2565" s="82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17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</row>
    <row r="2566" spans="1:38" x14ac:dyDescent="0.3">
      <c r="A2566" s="5"/>
      <c r="B2566" s="4"/>
      <c r="C2566" s="4"/>
      <c r="D2566" s="82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17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</row>
    <row r="2567" spans="1:38" x14ac:dyDescent="0.3">
      <c r="A2567" s="5"/>
      <c r="B2567" s="4"/>
      <c r="C2567" s="4"/>
      <c r="D2567" s="82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17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</row>
    <row r="2568" spans="1:38" x14ac:dyDescent="0.3">
      <c r="A2568" s="5"/>
      <c r="B2568" s="4"/>
      <c r="C2568" s="4"/>
      <c r="D2568" s="82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17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</row>
    <row r="2569" spans="1:38" x14ac:dyDescent="0.3">
      <c r="A2569" s="5"/>
      <c r="B2569" s="4"/>
      <c r="C2569" s="4"/>
      <c r="D2569" s="82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17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</row>
    <row r="2570" spans="1:38" x14ac:dyDescent="0.3">
      <c r="A2570" s="5"/>
      <c r="B2570" s="4"/>
      <c r="C2570" s="4"/>
      <c r="D2570" s="82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17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</row>
    <row r="2571" spans="1:38" x14ac:dyDescent="0.3">
      <c r="A2571" s="5"/>
      <c r="B2571" s="4"/>
      <c r="C2571" s="4"/>
      <c r="D2571" s="82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17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</row>
    <row r="2572" spans="1:38" x14ac:dyDescent="0.3">
      <c r="A2572" s="5"/>
      <c r="B2572" s="4"/>
      <c r="C2572" s="4"/>
      <c r="D2572" s="82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17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</row>
    <row r="2573" spans="1:38" x14ac:dyDescent="0.3">
      <c r="A2573" s="5"/>
      <c r="B2573" s="4"/>
      <c r="C2573" s="4"/>
      <c r="D2573" s="82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17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</row>
    <row r="2574" spans="1:38" x14ac:dyDescent="0.3">
      <c r="A2574" s="5"/>
      <c r="B2574" s="4"/>
      <c r="C2574" s="4"/>
      <c r="D2574" s="82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17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</row>
    <row r="2575" spans="1:38" x14ac:dyDescent="0.3">
      <c r="A2575" s="5"/>
      <c r="B2575" s="4"/>
      <c r="C2575" s="4"/>
      <c r="D2575" s="82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17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</row>
    <row r="2576" spans="1:38" x14ac:dyDescent="0.3">
      <c r="A2576" s="5"/>
      <c r="B2576" s="4"/>
      <c r="C2576" s="4"/>
      <c r="D2576" s="82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17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</row>
    <row r="2577" spans="1:38" x14ac:dyDescent="0.3">
      <c r="A2577" s="5"/>
      <c r="B2577" s="4"/>
      <c r="C2577" s="4"/>
      <c r="D2577" s="82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17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</row>
    <row r="2578" spans="1:38" x14ac:dyDescent="0.3">
      <c r="A2578" s="5"/>
      <c r="B2578" s="4"/>
      <c r="C2578" s="4"/>
      <c r="D2578" s="82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17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</row>
    <row r="2579" spans="1:38" x14ac:dyDescent="0.3">
      <c r="A2579" s="5"/>
      <c r="B2579" s="4"/>
      <c r="C2579" s="4"/>
      <c r="D2579" s="82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17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</row>
    <row r="2580" spans="1:38" x14ac:dyDescent="0.3">
      <c r="A2580" s="5"/>
      <c r="B2580" s="4"/>
      <c r="C2580" s="4"/>
      <c r="D2580" s="82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17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</row>
    <row r="2581" spans="1:38" x14ac:dyDescent="0.3">
      <c r="A2581" s="5"/>
      <c r="B2581" s="4"/>
      <c r="C2581" s="4"/>
      <c r="D2581" s="82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17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</row>
    <row r="2582" spans="1:38" x14ac:dyDescent="0.3">
      <c r="A2582" s="5"/>
      <c r="B2582" s="4"/>
      <c r="C2582" s="4"/>
      <c r="D2582" s="82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17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</row>
    <row r="2583" spans="1:38" x14ac:dyDescent="0.3">
      <c r="A2583" s="5"/>
      <c r="B2583" s="4"/>
      <c r="C2583" s="4"/>
      <c r="D2583" s="82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17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</row>
    <row r="2584" spans="1:38" x14ac:dyDescent="0.3">
      <c r="A2584" s="5"/>
      <c r="B2584" s="4"/>
      <c r="C2584" s="4"/>
      <c r="D2584" s="82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17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</row>
    <row r="2585" spans="1:38" x14ac:dyDescent="0.3">
      <c r="A2585" s="5"/>
      <c r="B2585" s="4"/>
      <c r="C2585" s="4"/>
      <c r="D2585" s="82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17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</row>
    <row r="2586" spans="1:38" x14ac:dyDescent="0.3">
      <c r="A2586" s="5"/>
      <c r="B2586" s="4"/>
      <c r="C2586" s="4"/>
      <c r="D2586" s="82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17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</row>
    <row r="2587" spans="1:38" x14ac:dyDescent="0.3">
      <c r="A2587" s="5"/>
      <c r="B2587" s="4"/>
      <c r="C2587" s="4"/>
      <c r="D2587" s="82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17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</row>
    <row r="2588" spans="1:38" x14ac:dyDescent="0.3">
      <c r="A2588" s="5"/>
      <c r="B2588" s="4"/>
      <c r="C2588" s="4"/>
      <c r="D2588" s="82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17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</row>
    <row r="2589" spans="1:38" x14ac:dyDescent="0.3">
      <c r="A2589" s="5"/>
      <c r="B2589" s="4"/>
      <c r="C2589" s="4"/>
      <c r="D2589" s="82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17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</row>
    <row r="2590" spans="1:38" x14ac:dyDescent="0.3">
      <c r="A2590" s="5"/>
      <c r="B2590" s="4"/>
      <c r="C2590" s="4"/>
      <c r="D2590" s="82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17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</row>
    <row r="2591" spans="1:38" x14ac:dyDescent="0.3">
      <c r="A2591" s="5"/>
      <c r="B2591" s="4"/>
      <c r="C2591" s="4"/>
      <c r="D2591" s="82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17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</row>
    <row r="2592" spans="1:38" x14ac:dyDescent="0.3">
      <c r="A2592" s="5"/>
      <c r="B2592" s="4"/>
      <c r="C2592" s="4"/>
      <c r="D2592" s="82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17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</row>
    <row r="2593" spans="1:38" x14ac:dyDescent="0.3">
      <c r="A2593" s="5"/>
      <c r="B2593" s="4"/>
      <c r="C2593" s="4"/>
      <c r="D2593" s="82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17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</row>
    <row r="2594" spans="1:38" x14ac:dyDescent="0.3">
      <c r="A2594" s="5"/>
      <c r="B2594" s="4"/>
      <c r="C2594" s="4"/>
      <c r="D2594" s="82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17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</row>
    <row r="2595" spans="1:38" x14ac:dyDescent="0.3">
      <c r="A2595" s="5"/>
      <c r="B2595" s="4"/>
      <c r="C2595" s="4"/>
      <c r="D2595" s="82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17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</row>
    <row r="2596" spans="1:38" x14ac:dyDescent="0.3">
      <c r="A2596" s="5"/>
      <c r="B2596" s="4"/>
      <c r="C2596" s="4"/>
      <c r="D2596" s="82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17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</row>
    <row r="2597" spans="1:38" x14ac:dyDescent="0.3">
      <c r="A2597" s="5"/>
      <c r="B2597" s="4"/>
      <c r="C2597" s="4"/>
      <c r="D2597" s="82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17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</row>
    <row r="2598" spans="1:38" x14ac:dyDescent="0.3">
      <c r="A2598" s="5"/>
      <c r="B2598" s="4"/>
      <c r="C2598" s="4"/>
      <c r="D2598" s="82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17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</row>
    <row r="2599" spans="1:38" x14ac:dyDescent="0.3">
      <c r="A2599" s="5"/>
      <c r="B2599" s="4"/>
      <c r="C2599" s="4"/>
      <c r="D2599" s="82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17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</row>
    <row r="2600" spans="1:38" x14ac:dyDescent="0.3">
      <c r="A2600" s="5"/>
      <c r="B2600" s="4"/>
      <c r="C2600" s="4"/>
      <c r="D2600" s="82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17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</row>
    <row r="2601" spans="1:38" x14ac:dyDescent="0.3">
      <c r="A2601" s="5"/>
      <c r="B2601" s="4"/>
      <c r="C2601" s="4"/>
      <c r="D2601" s="82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17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</row>
    <row r="2602" spans="1:38" x14ac:dyDescent="0.3">
      <c r="A2602" s="5"/>
      <c r="B2602" s="4"/>
      <c r="C2602" s="4"/>
      <c r="D2602" s="82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17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</row>
    <row r="2603" spans="1:38" x14ac:dyDescent="0.3">
      <c r="A2603" s="5"/>
      <c r="B2603" s="4"/>
      <c r="C2603" s="4"/>
      <c r="D2603" s="82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17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</row>
    <row r="2604" spans="1:38" x14ac:dyDescent="0.3">
      <c r="A2604" s="5"/>
      <c r="B2604" s="4"/>
      <c r="C2604" s="4"/>
      <c r="D2604" s="82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17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</row>
    <row r="2605" spans="1:38" x14ac:dyDescent="0.3">
      <c r="A2605" s="5"/>
      <c r="B2605" s="4"/>
      <c r="C2605" s="4"/>
      <c r="D2605" s="82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17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</row>
    <row r="2606" spans="1:38" x14ac:dyDescent="0.3">
      <c r="A2606" s="5"/>
      <c r="B2606" s="4"/>
      <c r="C2606" s="4"/>
      <c r="D2606" s="82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17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</row>
    <row r="2607" spans="1:38" x14ac:dyDescent="0.3">
      <c r="A2607" s="5"/>
      <c r="B2607" s="4"/>
      <c r="C2607" s="4"/>
      <c r="D2607" s="82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17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</row>
    <row r="2608" spans="1:38" x14ac:dyDescent="0.3">
      <c r="A2608" s="5"/>
      <c r="B2608" s="4"/>
      <c r="C2608" s="4"/>
      <c r="D2608" s="82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17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</row>
    <row r="2609" spans="1:38" x14ac:dyDescent="0.3">
      <c r="A2609" s="5"/>
      <c r="B2609" s="4"/>
      <c r="C2609" s="4"/>
      <c r="D2609" s="82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17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</row>
    <row r="2610" spans="1:38" x14ac:dyDescent="0.3">
      <c r="A2610" s="5"/>
      <c r="B2610" s="4"/>
      <c r="C2610" s="4"/>
      <c r="D2610" s="82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17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</row>
    <row r="2611" spans="1:38" x14ac:dyDescent="0.3">
      <c r="A2611" s="5"/>
      <c r="B2611" s="4"/>
      <c r="C2611" s="4"/>
      <c r="D2611" s="82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17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</row>
    <row r="2612" spans="1:38" x14ac:dyDescent="0.3">
      <c r="A2612" s="5"/>
      <c r="B2612" s="4"/>
      <c r="C2612" s="4"/>
      <c r="D2612" s="82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17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</row>
    <row r="2613" spans="1:38" x14ac:dyDescent="0.3">
      <c r="A2613" s="5"/>
      <c r="B2613" s="4"/>
      <c r="C2613" s="4"/>
      <c r="D2613" s="82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17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</row>
    <row r="2614" spans="1:38" x14ac:dyDescent="0.3">
      <c r="A2614" s="5"/>
      <c r="B2614" s="4"/>
      <c r="C2614" s="4"/>
      <c r="D2614" s="82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17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</row>
    <row r="2615" spans="1:38" x14ac:dyDescent="0.3">
      <c r="A2615" s="5"/>
      <c r="B2615" s="4"/>
      <c r="C2615" s="4"/>
      <c r="D2615" s="82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17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</row>
    <row r="2616" spans="1:38" x14ac:dyDescent="0.3">
      <c r="A2616" s="5"/>
      <c r="B2616" s="4"/>
      <c r="C2616" s="4"/>
      <c r="D2616" s="82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17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</row>
    <row r="2617" spans="1:38" x14ac:dyDescent="0.3">
      <c r="A2617" s="5"/>
      <c r="B2617" s="4"/>
      <c r="C2617" s="4"/>
      <c r="D2617" s="82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17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</row>
    <row r="2618" spans="1:38" x14ac:dyDescent="0.3">
      <c r="A2618" s="5"/>
      <c r="B2618" s="4"/>
      <c r="C2618" s="4"/>
      <c r="D2618" s="82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17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</row>
    <row r="2619" spans="1:38" x14ac:dyDescent="0.3">
      <c r="A2619" s="5"/>
      <c r="B2619" s="4"/>
      <c r="C2619" s="4"/>
      <c r="D2619" s="82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17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</row>
    <row r="2620" spans="1:38" x14ac:dyDescent="0.3">
      <c r="A2620" s="5"/>
      <c r="B2620" s="4"/>
      <c r="C2620" s="4"/>
      <c r="D2620" s="82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17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</row>
    <row r="2621" spans="1:38" x14ac:dyDescent="0.3">
      <c r="A2621" s="5"/>
      <c r="B2621" s="4"/>
      <c r="C2621" s="4"/>
      <c r="D2621" s="82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17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</row>
    <row r="2622" spans="1:38" x14ac:dyDescent="0.3">
      <c r="A2622" s="5"/>
      <c r="B2622" s="4"/>
      <c r="C2622" s="4"/>
      <c r="D2622" s="82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17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</row>
    <row r="2623" spans="1:38" x14ac:dyDescent="0.3">
      <c r="A2623" s="5"/>
      <c r="B2623" s="4"/>
      <c r="C2623" s="4"/>
      <c r="D2623" s="82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17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</row>
    <row r="2624" spans="1:38" x14ac:dyDescent="0.3">
      <c r="A2624" s="5"/>
      <c r="B2624" s="4"/>
      <c r="C2624" s="4"/>
      <c r="D2624" s="82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17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</row>
    <row r="2625" spans="1:38" x14ac:dyDescent="0.3">
      <c r="A2625" s="5"/>
      <c r="B2625" s="4"/>
      <c r="C2625" s="4"/>
      <c r="D2625" s="82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17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</row>
    <row r="2626" spans="1:38" x14ac:dyDescent="0.3">
      <c r="A2626" s="5"/>
      <c r="B2626" s="4"/>
      <c r="C2626" s="4"/>
      <c r="D2626" s="82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17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</row>
    <row r="2627" spans="1:38" x14ac:dyDescent="0.3">
      <c r="A2627" s="5"/>
      <c r="B2627" s="4"/>
      <c r="C2627" s="4"/>
      <c r="D2627" s="82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17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</row>
    <row r="2628" spans="1:38" x14ac:dyDescent="0.3">
      <c r="A2628" s="5"/>
      <c r="B2628" s="4"/>
      <c r="C2628" s="4"/>
      <c r="D2628" s="82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17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</row>
    <row r="2629" spans="1:38" x14ac:dyDescent="0.3">
      <c r="A2629" s="5"/>
      <c r="B2629" s="4"/>
      <c r="C2629" s="4"/>
      <c r="D2629" s="82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17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</row>
    <row r="2630" spans="1:38" x14ac:dyDescent="0.3">
      <c r="A2630" s="5"/>
      <c r="B2630" s="4"/>
      <c r="C2630" s="4"/>
      <c r="D2630" s="82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17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</row>
    <row r="2631" spans="1:38" x14ac:dyDescent="0.3">
      <c r="A2631" s="5"/>
      <c r="B2631" s="4"/>
      <c r="C2631" s="4"/>
      <c r="D2631" s="82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17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</row>
    <row r="2632" spans="1:38" x14ac:dyDescent="0.3">
      <c r="A2632" s="5"/>
      <c r="B2632" s="4"/>
      <c r="C2632" s="4"/>
      <c r="D2632" s="82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17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</row>
    <row r="2633" spans="1:38" x14ac:dyDescent="0.3">
      <c r="A2633" s="5"/>
      <c r="B2633" s="4"/>
      <c r="C2633" s="4"/>
      <c r="D2633" s="82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17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</row>
    <row r="2634" spans="1:38" x14ac:dyDescent="0.3">
      <c r="A2634" s="5"/>
      <c r="B2634" s="4"/>
      <c r="C2634" s="4"/>
      <c r="D2634" s="82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17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</row>
    <row r="2635" spans="1:38" x14ac:dyDescent="0.3">
      <c r="A2635" s="5"/>
      <c r="B2635" s="4"/>
      <c r="C2635" s="4"/>
      <c r="D2635" s="82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17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</row>
    <row r="2636" spans="1:38" x14ac:dyDescent="0.3">
      <c r="A2636" s="5"/>
      <c r="B2636" s="4"/>
      <c r="C2636" s="4"/>
      <c r="D2636" s="82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17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</row>
    <row r="2637" spans="1:38" x14ac:dyDescent="0.3">
      <c r="A2637" s="5"/>
      <c r="B2637" s="4"/>
      <c r="C2637" s="4"/>
      <c r="D2637" s="82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17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</row>
    <row r="2638" spans="1:38" x14ac:dyDescent="0.3">
      <c r="A2638" s="5"/>
      <c r="B2638" s="4"/>
      <c r="C2638" s="4"/>
      <c r="D2638" s="82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17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</row>
    <row r="2639" spans="1:38" x14ac:dyDescent="0.3">
      <c r="A2639" s="5"/>
      <c r="B2639" s="4"/>
      <c r="C2639" s="4"/>
      <c r="D2639" s="82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17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</row>
    <row r="2640" spans="1:38" x14ac:dyDescent="0.3">
      <c r="A2640" s="5"/>
      <c r="B2640" s="4"/>
      <c r="C2640" s="4"/>
      <c r="D2640" s="82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17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</row>
    <row r="2641" spans="1:38" x14ac:dyDescent="0.3">
      <c r="A2641" s="5"/>
      <c r="B2641" s="4"/>
      <c r="C2641" s="4"/>
      <c r="D2641" s="82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17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</row>
    <row r="2642" spans="1:38" x14ac:dyDescent="0.3">
      <c r="A2642" s="5"/>
      <c r="B2642" s="4"/>
      <c r="C2642" s="4"/>
      <c r="D2642" s="82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17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</row>
    <row r="2643" spans="1:38" x14ac:dyDescent="0.3">
      <c r="A2643" s="5"/>
      <c r="B2643" s="4"/>
      <c r="C2643" s="4"/>
      <c r="D2643" s="82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17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</row>
    <row r="2644" spans="1:38" x14ac:dyDescent="0.3">
      <c r="A2644" s="5"/>
      <c r="B2644" s="4"/>
      <c r="C2644" s="4"/>
      <c r="D2644" s="82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17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</row>
    <row r="2645" spans="1:38" x14ac:dyDescent="0.3">
      <c r="A2645" s="5"/>
      <c r="B2645" s="4"/>
      <c r="C2645" s="4"/>
      <c r="D2645" s="82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17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</row>
    <row r="2646" spans="1:38" x14ac:dyDescent="0.3">
      <c r="A2646" s="5"/>
      <c r="B2646" s="4"/>
      <c r="C2646" s="4"/>
      <c r="D2646" s="82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17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</row>
    <row r="2647" spans="1:38" x14ac:dyDescent="0.3">
      <c r="A2647" s="5"/>
      <c r="B2647" s="4"/>
      <c r="C2647" s="4"/>
      <c r="D2647" s="82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17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</row>
    <row r="2648" spans="1:38" x14ac:dyDescent="0.3">
      <c r="A2648" s="5"/>
      <c r="B2648" s="4"/>
      <c r="C2648" s="4"/>
      <c r="D2648" s="82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17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</row>
    <row r="2649" spans="1:38" x14ac:dyDescent="0.3">
      <c r="A2649" s="5"/>
      <c r="B2649" s="4"/>
      <c r="C2649" s="4"/>
      <c r="D2649" s="82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17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</row>
    <row r="2650" spans="1:38" x14ac:dyDescent="0.3">
      <c r="A2650" s="5"/>
      <c r="B2650" s="4"/>
      <c r="C2650" s="4"/>
      <c r="D2650" s="82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17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</row>
    <row r="2651" spans="1:38" x14ac:dyDescent="0.3">
      <c r="A2651" s="5"/>
      <c r="B2651" s="4"/>
      <c r="C2651" s="4"/>
      <c r="D2651" s="82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17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</row>
    <row r="2652" spans="1:38" x14ac:dyDescent="0.3">
      <c r="A2652" s="5"/>
      <c r="B2652" s="4"/>
      <c r="C2652" s="4"/>
      <c r="D2652" s="82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17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</row>
    <row r="2653" spans="1:38" x14ac:dyDescent="0.3">
      <c r="A2653" s="5"/>
      <c r="B2653" s="4"/>
      <c r="C2653" s="4"/>
      <c r="D2653" s="82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17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</row>
    <row r="2654" spans="1:38" x14ac:dyDescent="0.3">
      <c r="A2654" s="5"/>
      <c r="B2654" s="4"/>
      <c r="C2654" s="4"/>
      <c r="D2654" s="82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17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</row>
    <row r="2655" spans="1:38" x14ac:dyDescent="0.3">
      <c r="A2655" s="5"/>
      <c r="B2655" s="4"/>
      <c r="C2655" s="4"/>
      <c r="D2655" s="82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17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</row>
    <row r="2656" spans="1:38" x14ac:dyDescent="0.3">
      <c r="A2656" s="5"/>
      <c r="B2656" s="4"/>
      <c r="C2656" s="4"/>
      <c r="D2656" s="82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17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</row>
    <row r="2657" spans="1:38" x14ac:dyDescent="0.3">
      <c r="A2657" s="5"/>
      <c r="B2657" s="4"/>
      <c r="C2657" s="4"/>
      <c r="D2657" s="82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17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</row>
    <row r="2658" spans="1:38" x14ac:dyDescent="0.3">
      <c r="A2658" s="5"/>
      <c r="B2658" s="4"/>
      <c r="C2658" s="4"/>
      <c r="D2658" s="82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17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</row>
    <row r="2659" spans="1:38" x14ac:dyDescent="0.3">
      <c r="A2659" s="5"/>
      <c r="B2659" s="4"/>
      <c r="C2659" s="4"/>
      <c r="D2659" s="82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17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</row>
    <row r="2660" spans="1:38" x14ac:dyDescent="0.3">
      <c r="A2660" s="5"/>
      <c r="B2660" s="4"/>
      <c r="C2660" s="4"/>
      <c r="D2660" s="82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17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</row>
    <row r="2661" spans="1:38" x14ac:dyDescent="0.3">
      <c r="A2661" s="5"/>
      <c r="B2661" s="4"/>
      <c r="C2661" s="4"/>
      <c r="D2661" s="82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17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</row>
    <row r="2662" spans="1:38" x14ac:dyDescent="0.3">
      <c r="A2662" s="5"/>
      <c r="B2662" s="4"/>
      <c r="C2662" s="4"/>
      <c r="D2662" s="82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17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</row>
    <row r="2663" spans="1:38" x14ac:dyDescent="0.3">
      <c r="A2663" s="5"/>
      <c r="B2663" s="4"/>
      <c r="C2663" s="4"/>
      <c r="D2663" s="82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17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</row>
    <row r="2664" spans="1:38" x14ac:dyDescent="0.3">
      <c r="A2664" s="5"/>
      <c r="B2664" s="4"/>
      <c r="C2664" s="4"/>
      <c r="D2664" s="82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17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</row>
    <row r="2665" spans="1:38" x14ac:dyDescent="0.3">
      <c r="A2665" s="5"/>
      <c r="B2665" s="4"/>
      <c r="C2665" s="4"/>
      <c r="D2665" s="82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17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</row>
    <row r="2666" spans="1:38" x14ac:dyDescent="0.3">
      <c r="A2666" s="5"/>
      <c r="B2666" s="4"/>
      <c r="C2666" s="4"/>
      <c r="D2666" s="82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17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</row>
    <row r="2667" spans="1:38" x14ac:dyDescent="0.3">
      <c r="A2667" s="5"/>
      <c r="B2667" s="4"/>
      <c r="C2667" s="4"/>
      <c r="D2667" s="82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17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</row>
    <row r="2668" spans="1:38" x14ac:dyDescent="0.3">
      <c r="A2668" s="5"/>
      <c r="B2668" s="4"/>
      <c r="C2668" s="4"/>
      <c r="D2668" s="82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17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</row>
    <row r="2669" spans="1:38" x14ac:dyDescent="0.3">
      <c r="A2669" s="5"/>
      <c r="B2669" s="4"/>
      <c r="C2669" s="4"/>
      <c r="D2669" s="82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17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</row>
    <row r="2670" spans="1:38" x14ac:dyDescent="0.3">
      <c r="A2670" s="5"/>
      <c r="B2670" s="4"/>
      <c r="C2670" s="4"/>
      <c r="D2670" s="82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17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</row>
    <row r="2671" spans="1:38" x14ac:dyDescent="0.3">
      <c r="A2671" s="5"/>
      <c r="B2671" s="4"/>
      <c r="C2671" s="4"/>
      <c r="D2671" s="82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17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</row>
    <row r="2672" spans="1:38" x14ac:dyDescent="0.3">
      <c r="A2672" s="5"/>
      <c r="B2672" s="4"/>
      <c r="C2672" s="4"/>
      <c r="D2672" s="82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17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</row>
    <row r="2673" spans="1:38" x14ac:dyDescent="0.3">
      <c r="A2673" s="5"/>
      <c r="B2673" s="4"/>
      <c r="C2673" s="4"/>
      <c r="D2673" s="82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17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</row>
    <row r="2674" spans="1:38" x14ac:dyDescent="0.3">
      <c r="A2674" s="5"/>
      <c r="B2674" s="4"/>
      <c r="C2674" s="4"/>
      <c r="D2674" s="82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17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</row>
    <row r="2675" spans="1:38" x14ac:dyDescent="0.3">
      <c r="A2675" s="5"/>
      <c r="B2675" s="4"/>
      <c r="C2675" s="4"/>
      <c r="D2675" s="82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17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</row>
    <row r="2676" spans="1:38" x14ac:dyDescent="0.3">
      <c r="A2676" s="5"/>
      <c r="B2676" s="4"/>
      <c r="C2676" s="4"/>
      <c r="D2676" s="82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17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</row>
    <row r="2677" spans="1:38" x14ac:dyDescent="0.3">
      <c r="A2677" s="5"/>
      <c r="B2677" s="4"/>
      <c r="C2677" s="4"/>
      <c r="D2677" s="82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17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</row>
    <row r="2678" spans="1:38" x14ac:dyDescent="0.3">
      <c r="A2678" s="5"/>
      <c r="B2678" s="4"/>
      <c r="C2678" s="4"/>
      <c r="D2678" s="82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17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</row>
    <row r="2679" spans="1:38" x14ac:dyDescent="0.3">
      <c r="A2679" s="5"/>
      <c r="B2679" s="4"/>
      <c r="C2679" s="4"/>
      <c r="D2679" s="82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17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</row>
    <row r="2680" spans="1:38" x14ac:dyDescent="0.3">
      <c r="A2680" s="5"/>
      <c r="B2680" s="4"/>
      <c r="C2680" s="4"/>
      <c r="D2680" s="82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17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</row>
    <row r="2681" spans="1:38" x14ac:dyDescent="0.3">
      <c r="A2681" s="5"/>
      <c r="B2681" s="4"/>
      <c r="C2681" s="4"/>
      <c r="D2681" s="82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17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</row>
    <row r="2682" spans="1:38" x14ac:dyDescent="0.3">
      <c r="A2682" s="5"/>
      <c r="B2682" s="4"/>
      <c r="C2682" s="4"/>
      <c r="D2682" s="82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17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</row>
    <row r="2683" spans="1:38" x14ac:dyDescent="0.3">
      <c r="A2683" s="5"/>
      <c r="B2683" s="4"/>
      <c r="C2683" s="4"/>
      <c r="D2683" s="82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17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</row>
    <row r="2684" spans="1:38" x14ac:dyDescent="0.3">
      <c r="A2684" s="5"/>
      <c r="B2684" s="4"/>
      <c r="C2684" s="4"/>
      <c r="D2684" s="82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17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</row>
    <row r="2685" spans="1:38" x14ac:dyDescent="0.3">
      <c r="A2685" s="5"/>
      <c r="B2685" s="4"/>
      <c r="C2685" s="4"/>
      <c r="D2685" s="82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17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</row>
    <row r="2686" spans="1:38" x14ac:dyDescent="0.3">
      <c r="A2686" s="5"/>
      <c r="B2686" s="4"/>
      <c r="C2686" s="4"/>
      <c r="D2686" s="82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17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</row>
    <row r="2687" spans="1:38" x14ac:dyDescent="0.3">
      <c r="A2687" s="5"/>
      <c r="B2687" s="4"/>
      <c r="C2687" s="4"/>
      <c r="D2687" s="82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17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</row>
    <row r="2688" spans="1:38" x14ac:dyDescent="0.3">
      <c r="A2688" s="5"/>
      <c r="B2688" s="4"/>
      <c r="C2688" s="4"/>
      <c r="D2688" s="82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17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</row>
    <row r="2689" spans="1:38" x14ac:dyDescent="0.3">
      <c r="A2689" s="5"/>
      <c r="B2689" s="4"/>
      <c r="C2689" s="4"/>
      <c r="D2689" s="82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17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</row>
    <row r="2690" spans="1:38" x14ac:dyDescent="0.3">
      <c r="A2690" s="5"/>
      <c r="B2690" s="4"/>
      <c r="C2690" s="4"/>
      <c r="D2690" s="82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17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</row>
    <row r="2691" spans="1:38" x14ac:dyDescent="0.3">
      <c r="A2691" s="5"/>
      <c r="B2691" s="4"/>
      <c r="C2691" s="4"/>
      <c r="D2691" s="82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17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</row>
    <row r="2692" spans="1:38" x14ac:dyDescent="0.3">
      <c r="A2692" s="5"/>
      <c r="B2692" s="4"/>
      <c r="C2692" s="4"/>
      <c r="D2692" s="82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17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</row>
    <row r="2693" spans="1:38" x14ac:dyDescent="0.3">
      <c r="A2693" s="5"/>
      <c r="B2693" s="4"/>
      <c r="C2693" s="4"/>
      <c r="D2693" s="82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17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</row>
    <row r="2694" spans="1:38" x14ac:dyDescent="0.3">
      <c r="A2694" s="5"/>
      <c r="B2694" s="4"/>
      <c r="C2694" s="4"/>
      <c r="D2694" s="82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17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</row>
    <row r="2695" spans="1:38" x14ac:dyDescent="0.3">
      <c r="A2695" s="5"/>
      <c r="B2695" s="4"/>
      <c r="C2695" s="4"/>
      <c r="D2695" s="82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17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</row>
    <row r="2696" spans="1:38" x14ac:dyDescent="0.3">
      <c r="A2696" s="5"/>
      <c r="B2696" s="4"/>
      <c r="C2696" s="4"/>
      <c r="D2696" s="82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17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</row>
    <row r="2697" spans="1:38" x14ac:dyDescent="0.3">
      <c r="A2697" s="5"/>
      <c r="B2697" s="4"/>
      <c r="C2697" s="4"/>
      <c r="D2697" s="82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17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</row>
    <row r="2698" spans="1:38" x14ac:dyDescent="0.3">
      <c r="A2698" s="5"/>
      <c r="B2698" s="4"/>
      <c r="C2698" s="4"/>
      <c r="D2698" s="82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17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</row>
    <row r="2699" spans="1:38" x14ac:dyDescent="0.3">
      <c r="A2699" s="5"/>
      <c r="B2699" s="4"/>
      <c r="C2699" s="4"/>
      <c r="D2699" s="82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17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</row>
    <row r="2700" spans="1:38" x14ac:dyDescent="0.3">
      <c r="A2700" s="5"/>
      <c r="B2700" s="4"/>
      <c r="C2700" s="4"/>
      <c r="D2700" s="82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17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</row>
    <row r="2701" spans="1:38" x14ac:dyDescent="0.3">
      <c r="A2701" s="5"/>
      <c r="B2701" s="4"/>
      <c r="C2701" s="4"/>
      <c r="D2701" s="82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17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</row>
    <row r="2702" spans="1:38" x14ac:dyDescent="0.3">
      <c r="A2702" s="5"/>
      <c r="B2702" s="4"/>
      <c r="C2702" s="4"/>
      <c r="D2702" s="82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17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</row>
    <row r="2703" spans="1:38" x14ac:dyDescent="0.3">
      <c r="A2703" s="5"/>
      <c r="B2703" s="4"/>
      <c r="C2703" s="4"/>
      <c r="D2703" s="82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17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</row>
    <row r="2704" spans="1:38" x14ac:dyDescent="0.3">
      <c r="A2704" s="5"/>
      <c r="B2704" s="4"/>
      <c r="C2704" s="4"/>
      <c r="D2704" s="82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17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</row>
    <row r="2705" spans="1:38" x14ac:dyDescent="0.3">
      <c r="A2705" s="5"/>
      <c r="B2705" s="4"/>
      <c r="C2705" s="4"/>
      <c r="D2705" s="82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17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</row>
    <row r="2706" spans="1:38" x14ac:dyDescent="0.3">
      <c r="A2706" s="5"/>
      <c r="B2706" s="4"/>
      <c r="C2706" s="4"/>
      <c r="D2706" s="82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17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</row>
    <row r="2707" spans="1:38" x14ac:dyDescent="0.3">
      <c r="A2707" s="5"/>
      <c r="B2707" s="4"/>
      <c r="C2707" s="4"/>
      <c r="D2707" s="82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17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</row>
    <row r="2708" spans="1:38" x14ac:dyDescent="0.3">
      <c r="A2708" s="5"/>
      <c r="B2708" s="4"/>
      <c r="C2708" s="4"/>
      <c r="D2708" s="82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17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</row>
    <row r="2709" spans="1:38" x14ac:dyDescent="0.3">
      <c r="A2709" s="5"/>
      <c r="B2709" s="4"/>
      <c r="C2709" s="4"/>
      <c r="D2709" s="82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17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</row>
    <row r="2710" spans="1:38" x14ac:dyDescent="0.3">
      <c r="A2710" s="5"/>
      <c r="B2710" s="4"/>
      <c r="C2710" s="4"/>
      <c r="D2710" s="82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17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</row>
    <row r="2711" spans="1:38" x14ac:dyDescent="0.3">
      <c r="A2711" s="5"/>
      <c r="B2711" s="4"/>
      <c r="C2711" s="4"/>
      <c r="D2711" s="82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17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</row>
    <row r="2712" spans="1:38" x14ac:dyDescent="0.3">
      <c r="A2712" s="5"/>
      <c r="B2712" s="4"/>
      <c r="C2712" s="4"/>
      <c r="D2712" s="82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17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</row>
    <row r="2713" spans="1:38" x14ac:dyDescent="0.3">
      <c r="A2713" s="5"/>
      <c r="B2713" s="4"/>
      <c r="C2713" s="4"/>
      <c r="D2713" s="82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17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</row>
    <row r="2714" spans="1:38" x14ac:dyDescent="0.3">
      <c r="A2714" s="5"/>
      <c r="B2714" s="4"/>
      <c r="C2714" s="4"/>
      <c r="D2714" s="82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17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</row>
    <row r="2715" spans="1:38" x14ac:dyDescent="0.3">
      <c r="A2715" s="5"/>
      <c r="B2715" s="4"/>
      <c r="C2715" s="4"/>
      <c r="D2715" s="82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17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</row>
    <row r="2716" spans="1:38" x14ac:dyDescent="0.3">
      <c r="A2716" s="5"/>
      <c r="B2716" s="4"/>
      <c r="C2716" s="4"/>
      <c r="D2716" s="82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17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</row>
    <row r="2717" spans="1:38" x14ac:dyDescent="0.3">
      <c r="A2717" s="5"/>
      <c r="B2717" s="4"/>
      <c r="C2717" s="4"/>
      <c r="D2717" s="82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17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</row>
    <row r="2718" spans="1:38" x14ac:dyDescent="0.3">
      <c r="A2718" s="5"/>
      <c r="B2718" s="4"/>
      <c r="C2718" s="4"/>
      <c r="D2718" s="82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17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</row>
    <row r="2719" spans="1:38" x14ac:dyDescent="0.3">
      <c r="A2719" s="5"/>
      <c r="B2719" s="4"/>
      <c r="C2719" s="4"/>
      <c r="D2719" s="82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17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</row>
    <row r="2720" spans="1:38" x14ac:dyDescent="0.3">
      <c r="A2720" s="5"/>
      <c r="B2720" s="4"/>
      <c r="C2720" s="4"/>
      <c r="D2720" s="82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17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</row>
    <row r="2721" spans="1:38" x14ac:dyDescent="0.3">
      <c r="A2721" s="5"/>
      <c r="B2721" s="4"/>
      <c r="C2721" s="4"/>
      <c r="D2721" s="82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17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</row>
    <row r="2722" spans="1:38" x14ac:dyDescent="0.3">
      <c r="A2722" s="5"/>
      <c r="B2722" s="4"/>
      <c r="C2722" s="4"/>
      <c r="D2722" s="82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17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</row>
    <row r="2723" spans="1:38" x14ac:dyDescent="0.3">
      <c r="A2723" s="5"/>
      <c r="B2723" s="4"/>
      <c r="C2723" s="4"/>
      <c r="D2723" s="82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17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</row>
    <row r="2724" spans="1:38" x14ac:dyDescent="0.3">
      <c r="A2724" s="5"/>
      <c r="B2724" s="4"/>
      <c r="C2724" s="4"/>
      <c r="D2724" s="82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17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</row>
    <row r="2725" spans="1:38" x14ac:dyDescent="0.3">
      <c r="A2725" s="5"/>
      <c r="B2725" s="4"/>
      <c r="C2725" s="4"/>
      <c r="D2725" s="82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17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</row>
    <row r="2726" spans="1:38" x14ac:dyDescent="0.3">
      <c r="A2726" s="5"/>
      <c r="B2726" s="4"/>
      <c r="C2726" s="4"/>
      <c r="D2726" s="82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17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</row>
    <row r="2727" spans="1:38" x14ac:dyDescent="0.3">
      <c r="A2727" s="5"/>
      <c r="B2727" s="4"/>
      <c r="C2727" s="4"/>
      <c r="D2727" s="82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17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</row>
    <row r="2728" spans="1:38" x14ac:dyDescent="0.3">
      <c r="A2728" s="5"/>
      <c r="B2728" s="4"/>
      <c r="C2728" s="4"/>
      <c r="D2728" s="82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17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</row>
    <row r="2729" spans="1:38" x14ac:dyDescent="0.3">
      <c r="A2729" s="5"/>
      <c r="B2729" s="4"/>
      <c r="C2729" s="4"/>
      <c r="D2729" s="82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17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</row>
    <row r="2730" spans="1:38" x14ac:dyDescent="0.3">
      <c r="A2730" s="5"/>
      <c r="B2730" s="4"/>
      <c r="C2730" s="4"/>
      <c r="D2730" s="82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17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</row>
    <row r="2731" spans="1:38" x14ac:dyDescent="0.3">
      <c r="A2731" s="5"/>
      <c r="B2731" s="4"/>
      <c r="C2731" s="4"/>
      <c r="D2731" s="82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17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</row>
    <row r="2732" spans="1:38" x14ac:dyDescent="0.3">
      <c r="A2732" s="5"/>
      <c r="B2732" s="4"/>
      <c r="C2732" s="4"/>
      <c r="D2732" s="82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17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</row>
    <row r="2733" spans="1:38" x14ac:dyDescent="0.3">
      <c r="A2733" s="5"/>
      <c r="B2733" s="4"/>
      <c r="C2733" s="4"/>
      <c r="D2733" s="82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17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</row>
    <row r="2734" spans="1:38" x14ac:dyDescent="0.3">
      <c r="A2734" s="5"/>
      <c r="B2734" s="4"/>
      <c r="C2734" s="4"/>
      <c r="D2734" s="82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17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</row>
    <row r="2735" spans="1:38" x14ac:dyDescent="0.3">
      <c r="A2735" s="5"/>
      <c r="B2735" s="4"/>
      <c r="C2735" s="4"/>
      <c r="D2735" s="82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17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</row>
    <row r="2736" spans="1:38" x14ac:dyDescent="0.3">
      <c r="A2736" s="5"/>
      <c r="B2736" s="4"/>
      <c r="C2736" s="4"/>
      <c r="D2736" s="82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17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</row>
    <row r="2737" spans="1:38" x14ac:dyDescent="0.3">
      <c r="A2737" s="5"/>
      <c r="B2737" s="4"/>
      <c r="C2737" s="4"/>
      <c r="D2737" s="82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17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</row>
    <row r="2738" spans="1:38" x14ac:dyDescent="0.3">
      <c r="A2738" s="5"/>
      <c r="B2738" s="4"/>
      <c r="C2738" s="4"/>
      <c r="D2738" s="82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17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</row>
    <row r="2739" spans="1:38" x14ac:dyDescent="0.3">
      <c r="A2739" s="5"/>
      <c r="B2739" s="4"/>
      <c r="C2739" s="4"/>
      <c r="D2739" s="82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17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</row>
    <row r="2740" spans="1:38" x14ac:dyDescent="0.3">
      <c r="A2740" s="5"/>
      <c r="B2740" s="4"/>
      <c r="C2740" s="4"/>
      <c r="D2740" s="82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17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</row>
    <row r="2741" spans="1:38" x14ac:dyDescent="0.3">
      <c r="A2741" s="5"/>
      <c r="B2741" s="4"/>
      <c r="C2741" s="4"/>
      <c r="D2741" s="82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17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</row>
    <row r="2742" spans="1:38" x14ac:dyDescent="0.3">
      <c r="A2742" s="5"/>
      <c r="B2742" s="4"/>
      <c r="C2742" s="4"/>
      <c r="D2742" s="82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17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</row>
    <row r="2743" spans="1:38" x14ac:dyDescent="0.3">
      <c r="A2743" s="5"/>
      <c r="B2743" s="4"/>
      <c r="C2743" s="4"/>
      <c r="D2743" s="82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17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</row>
    <row r="2744" spans="1:38" x14ac:dyDescent="0.3">
      <c r="A2744" s="5"/>
      <c r="B2744" s="4"/>
      <c r="C2744" s="4"/>
      <c r="D2744" s="82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17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</row>
    <row r="2745" spans="1:38" x14ac:dyDescent="0.3">
      <c r="A2745" s="5"/>
      <c r="B2745" s="4"/>
      <c r="C2745" s="4"/>
      <c r="D2745" s="82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17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</row>
    <row r="2746" spans="1:38" x14ac:dyDescent="0.3">
      <c r="A2746" s="5"/>
      <c r="B2746" s="4"/>
      <c r="C2746" s="4"/>
      <c r="D2746" s="82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17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</row>
    <row r="2747" spans="1:38" x14ac:dyDescent="0.3">
      <c r="A2747" s="5"/>
      <c r="B2747" s="4"/>
      <c r="C2747" s="4"/>
      <c r="D2747" s="82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17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</row>
    <row r="2748" spans="1:38" x14ac:dyDescent="0.3">
      <c r="A2748" s="5"/>
      <c r="B2748" s="4"/>
      <c r="C2748" s="4"/>
      <c r="D2748" s="82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17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</row>
    <row r="2749" spans="1:38" x14ac:dyDescent="0.3">
      <c r="A2749" s="5"/>
      <c r="B2749" s="4"/>
      <c r="C2749" s="4"/>
      <c r="D2749" s="82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17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</row>
    <row r="2750" spans="1:38" x14ac:dyDescent="0.3">
      <c r="A2750" s="5"/>
      <c r="B2750" s="4"/>
      <c r="C2750" s="4"/>
      <c r="D2750" s="82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17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</row>
    <row r="2751" spans="1:38" x14ac:dyDescent="0.3">
      <c r="A2751" s="5"/>
      <c r="B2751" s="4"/>
      <c r="C2751" s="4"/>
      <c r="D2751" s="82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17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</row>
    <row r="2752" spans="1:38" x14ac:dyDescent="0.3">
      <c r="A2752" s="5"/>
      <c r="B2752" s="4"/>
      <c r="C2752" s="4"/>
      <c r="D2752" s="82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17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</row>
    <row r="2753" spans="1:38" x14ac:dyDescent="0.3">
      <c r="A2753" s="5"/>
      <c r="B2753" s="4"/>
      <c r="C2753" s="4"/>
      <c r="D2753" s="82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17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</row>
    <row r="2754" spans="1:38" x14ac:dyDescent="0.3">
      <c r="A2754" s="5"/>
      <c r="B2754" s="4"/>
      <c r="C2754" s="4"/>
      <c r="D2754" s="82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17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</row>
    <row r="2755" spans="1:38" x14ac:dyDescent="0.3">
      <c r="A2755" s="5"/>
      <c r="B2755" s="4"/>
      <c r="C2755" s="4"/>
      <c r="D2755" s="82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17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</row>
    <row r="2756" spans="1:38" x14ac:dyDescent="0.3">
      <c r="A2756" s="5"/>
      <c r="B2756" s="4"/>
      <c r="C2756" s="4"/>
      <c r="D2756" s="82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17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</row>
    <row r="2757" spans="1:38" x14ac:dyDescent="0.3">
      <c r="A2757" s="5"/>
      <c r="B2757" s="4"/>
      <c r="C2757" s="4"/>
      <c r="D2757" s="82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17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</row>
    <row r="2758" spans="1:38" x14ac:dyDescent="0.3">
      <c r="A2758" s="5"/>
      <c r="B2758" s="4"/>
      <c r="C2758" s="4"/>
      <c r="D2758" s="82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17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</row>
    <row r="2759" spans="1:38" x14ac:dyDescent="0.3">
      <c r="A2759" s="5"/>
      <c r="B2759" s="4"/>
      <c r="C2759" s="4"/>
      <c r="D2759" s="82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17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</row>
    <row r="2760" spans="1:38" x14ac:dyDescent="0.3">
      <c r="A2760" s="5"/>
      <c r="B2760" s="4"/>
      <c r="C2760" s="4"/>
      <c r="D2760" s="82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17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</row>
    <row r="2761" spans="1:38" x14ac:dyDescent="0.3">
      <c r="A2761" s="5"/>
      <c r="B2761" s="4"/>
      <c r="C2761" s="4"/>
      <c r="D2761" s="82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17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</row>
    <row r="2762" spans="1:38" x14ac:dyDescent="0.3">
      <c r="A2762" s="5"/>
      <c r="B2762" s="4"/>
      <c r="C2762" s="4"/>
      <c r="D2762" s="82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17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</row>
    <row r="2763" spans="1:38" x14ac:dyDescent="0.3">
      <c r="A2763" s="5"/>
      <c r="B2763" s="4"/>
      <c r="C2763" s="4"/>
      <c r="D2763" s="82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17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</row>
    <row r="2764" spans="1:38" x14ac:dyDescent="0.3">
      <c r="A2764" s="5"/>
      <c r="B2764" s="4"/>
      <c r="C2764" s="4"/>
      <c r="D2764" s="82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17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</row>
    <row r="2765" spans="1:38" x14ac:dyDescent="0.3">
      <c r="A2765" s="5"/>
      <c r="B2765" s="4"/>
      <c r="C2765" s="4"/>
      <c r="D2765" s="82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17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</row>
    <row r="2766" spans="1:38" x14ac:dyDescent="0.3">
      <c r="A2766" s="5"/>
      <c r="B2766" s="4"/>
      <c r="C2766" s="4"/>
      <c r="D2766" s="82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17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</row>
    <row r="2767" spans="1:38" x14ac:dyDescent="0.3">
      <c r="A2767" s="5"/>
      <c r="B2767" s="4"/>
      <c r="C2767" s="4"/>
      <c r="D2767" s="82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17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</row>
    <row r="2768" spans="1:38" x14ac:dyDescent="0.3">
      <c r="A2768" s="5"/>
      <c r="B2768" s="4"/>
      <c r="C2768" s="4"/>
      <c r="D2768" s="82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17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</row>
    <row r="2769" spans="1:38" x14ac:dyDescent="0.3">
      <c r="A2769" s="5"/>
      <c r="B2769" s="4"/>
      <c r="C2769" s="4"/>
      <c r="D2769" s="82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17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</row>
    <row r="2770" spans="1:38" x14ac:dyDescent="0.3">
      <c r="A2770" s="5"/>
      <c r="B2770" s="4"/>
      <c r="C2770" s="4"/>
      <c r="D2770" s="82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17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</row>
    <row r="2771" spans="1:38" x14ac:dyDescent="0.3">
      <c r="A2771" s="5"/>
      <c r="B2771" s="4"/>
      <c r="C2771" s="4"/>
      <c r="D2771" s="82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17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</row>
    <row r="2772" spans="1:38" x14ac:dyDescent="0.3">
      <c r="A2772" s="5"/>
      <c r="B2772" s="4"/>
      <c r="C2772" s="4"/>
      <c r="D2772" s="82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17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</row>
    <row r="2773" spans="1:38" x14ac:dyDescent="0.3">
      <c r="A2773" s="5"/>
      <c r="B2773" s="4"/>
      <c r="C2773" s="4"/>
      <c r="D2773" s="82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17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</row>
    <row r="2774" spans="1:38" x14ac:dyDescent="0.3">
      <c r="A2774" s="5"/>
      <c r="B2774" s="4"/>
      <c r="C2774" s="4"/>
      <c r="D2774" s="82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17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</row>
    <row r="2775" spans="1:38" x14ac:dyDescent="0.3">
      <c r="A2775" s="5"/>
      <c r="B2775" s="4"/>
      <c r="C2775" s="4"/>
      <c r="D2775" s="82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17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</row>
    <row r="2776" spans="1:38" x14ac:dyDescent="0.3">
      <c r="A2776" s="5"/>
      <c r="B2776" s="4"/>
      <c r="C2776" s="4"/>
      <c r="D2776" s="82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17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</row>
    <row r="2777" spans="1:38" x14ac:dyDescent="0.3">
      <c r="A2777" s="5"/>
      <c r="B2777" s="4"/>
      <c r="C2777" s="4"/>
      <c r="D2777" s="82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17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</row>
    <row r="2778" spans="1:38" x14ac:dyDescent="0.3">
      <c r="A2778" s="5"/>
      <c r="B2778" s="4"/>
      <c r="C2778" s="4"/>
      <c r="D2778" s="82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17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</row>
    <row r="2779" spans="1:38" x14ac:dyDescent="0.3">
      <c r="A2779" s="5"/>
      <c r="B2779" s="4"/>
      <c r="C2779" s="4"/>
      <c r="D2779" s="82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17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</row>
    <row r="2780" spans="1:38" x14ac:dyDescent="0.3">
      <c r="A2780" s="5"/>
      <c r="B2780" s="4"/>
      <c r="C2780" s="4"/>
      <c r="D2780" s="82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17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</row>
    <row r="2781" spans="1:38" x14ac:dyDescent="0.3">
      <c r="A2781" s="5"/>
      <c r="B2781" s="4"/>
      <c r="C2781" s="4"/>
      <c r="D2781" s="82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17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</row>
    <row r="2782" spans="1:38" x14ac:dyDescent="0.3">
      <c r="A2782" s="5"/>
      <c r="B2782" s="4"/>
      <c r="C2782" s="4"/>
      <c r="D2782" s="82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17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</row>
    <row r="2783" spans="1:38" x14ac:dyDescent="0.3">
      <c r="A2783" s="5"/>
      <c r="B2783" s="4"/>
      <c r="C2783" s="4"/>
      <c r="D2783" s="82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17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</row>
    <row r="2784" spans="1:38" x14ac:dyDescent="0.3">
      <c r="A2784" s="5"/>
      <c r="B2784" s="4"/>
      <c r="C2784" s="4"/>
      <c r="D2784" s="82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17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</row>
    <row r="2785" spans="1:38" x14ac:dyDescent="0.3">
      <c r="A2785" s="5"/>
      <c r="B2785" s="4"/>
      <c r="C2785" s="4"/>
      <c r="D2785" s="82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17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</row>
    <row r="2786" spans="1:38" x14ac:dyDescent="0.3">
      <c r="A2786" s="5"/>
      <c r="B2786" s="4"/>
      <c r="C2786" s="4"/>
      <c r="D2786" s="82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17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</row>
    <row r="2787" spans="1:38" x14ac:dyDescent="0.3">
      <c r="A2787" s="5"/>
      <c r="B2787" s="4"/>
      <c r="C2787" s="4"/>
      <c r="D2787" s="82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17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</row>
    <row r="2788" spans="1:38" x14ac:dyDescent="0.3">
      <c r="A2788" s="5"/>
      <c r="B2788" s="4"/>
      <c r="C2788" s="4"/>
      <c r="D2788" s="82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17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</row>
    <row r="2789" spans="1:38" x14ac:dyDescent="0.3">
      <c r="A2789" s="5"/>
      <c r="B2789" s="4"/>
      <c r="C2789" s="4"/>
      <c r="D2789" s="82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17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</row>
    <row r="2790" spans="1:38" x14ac:dyDescent="0.3">
      <c r="A2790" s="5"/>
      <c r="B2790" s="4"/>
      <c r="C2790" s="4"/>
      <c r="D2790" s="82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17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</row>
    <row r="2791" spans="1:38" x14ac:dyDescent="0.3">
      <c r="A2791" s="5"/>
      <c r="B2791" s="4"/>
      <c r="C2791" s="4"/>
      <c r="D2791" s="82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17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</row>
    <row r="2792" spans="1:38" x14ac:dyDescent="0.3">
      <c r="A2792" s="5"/>
      <c r="B2792" s="4"/>
      <c r="C2792" s="4"/>
      <c r="D2792" s="82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17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</row>
    <row r="2793" spans="1:38" x14ac:dyDescent="0.3">
      <c r="A2793" s="5"/>
      <c r="B2793" s="4"/>
      <c r="C2793" s="4"/>
      <c r="D2793" s="82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17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</row>
    <row r="2794" spans="1:38" x14ac:dyDescent="0.3">
      <c r="A2794" s="5"/>
      <c r="B2794" s="4"/>
      <c r="C2794" s="4"/>
      <c r="D2794" s="82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17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</row>
    <row r="2795" spans="1:38" x14ac:dyDescent="0.3">
      <c r="A2795" s="5"/>
      <c r="B2795" s="4"/>
      <c r="C2795" s="4"/>
      <c r="D2795" s="82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17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</row>
    <row r="2796" spans="1:38" x14ac:dyDescent="0.3">
      <c r="A2796" s="5"/>
      <c r="B2796" s="4"/>
      <c r="C2796" s="4"/>
      <c r="D2796" s="82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17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</row>
    <row r="2797" spans="1:38" x14ac:dyDescent="0.3">
      <c r="A2797" s="5"/>
      <c r="B2797" s="4"/>
      <c r="C2797" s="4"/>
      <c r="D2797" s="82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17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</row>
    <row r="2798" spans="1:38" x14ac:dyDescent="0.3">
      <c r="A2798" s="5"/>
      <c r="B2798" s="4"/>
      <c r="C2798" s="4"/>
      <c r="D2798" s="82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17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</row>
    <row r="2799" spans="1:38" x14ac:dyDescent="0.3">
      <c r="A2799" s="5"/>
      <c r="B2799" s="4"/>
      <c r="C2799" s="4"/>
      <c r="D2799" s="82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17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</row>
    <row r="2800" spans="1:38" x14ac:dyDescent="0.3">
      <c r="A2800" s="5"/>
      <c r="B2800" s="4"/>
      <c r="C2800" s="4"/>
      <c r="D2800" s="82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17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</row>
    <row r="2801" spans="1:38" x14ac:dyDescent="0.3">
      <c r="A2801" s="5"/>
      <c r="B2801" s="4"/>
      <c r="C2801" s="4"/>
      <c r="D2801" s="82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17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</row>
    <row r="2802" spans="1:38" x14ac:dyDescent="0.3">
      <c r="A2802" s="5"/>
      <c r="B2802" s="4"/>
      <c r="C2802" s="4"/>
      <c r="D2802" s="82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17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</row>
    <row r="2803" spans="1:38" x14ac:dyDescent="0.3">
      <c r="A2803" s="5"/>
      <c r="B2803" s="4"/>
      <c r="C2803" s="4"/>
      <c r="D2803" s="82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17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</row>
    <row r="2804" spans="1:38" x14ac:dyDescent="0.3">
      <c r="A2804" s="5"/>
      <c r="B2804" s="4"/>
      <c r="C2804" s="4"/>
      <c r="D2804" s="82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17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</row>
    <row r="2805" spans="1:38" x14ac:dyDescent="0.3">
      <c r="A2805" s="5"/>
      <c r="B2805" s="4"/>
      <c r="C2805" s="4"/>
      <c r="D2805" s="82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17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</row>
    <row r="2806" spans="1:38" x14ac:dyDescent="0.3">
      <c r="A2806" s="5"/>
      <c r="B2806" s="4"/>
      <c r="C2806" s="4"/>
      <c r="D2806" s="82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17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</row>
    <row r="2807" spans="1:38" x14ac:dyDescent="0.3">
      <c r="A2807" s="5"/>
      <c r="B2807" s="4"/>
      <c r="C2807" s="4"/>
      <c r="D2807" s="82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17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</row>
    <row r="2808" spans="1:38" x14ac:dyDescent="0.3">
      <c r="A2808" s="5"/>
      <c r="B2808" s="4"/>
      <c r="C2808" s="4"/>
      <c r="D2808" s="82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17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</row>
    <row r="2809" spans="1:38" x14ac:dyDescent="0.3">
      <c r="A2809" s="5"/>
      <c r="B2809" s="4"/>
      <c r="C2809" s="4"/>
      <c r="D2809" s="82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17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</row>
    <row r="2810" spans="1:38" x14ac:dyDescent="0.3">
      <c r="A2810" s="5"/>
      <c r="B2810" s="4"/>
      <c r="C2810" s="4"/>
      <c r="D2810" s="82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17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</row>
    <row r="2811" spans="1:38" x14ac:dyDescent="0.3">
      <c r="A2811" s="5"/>
      <c r="B2811" s="4"/>
      <c r="C2811" s="4"/>
      <c r="D2811" s="82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17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</row>
    <row r="2812" spans="1:38" x14ac:dyDescent="0.3">
      <c r="A2812" s="5"/>
      <c r="B2812" s="4"/>
      <c r="C2812" s="4"/>
      <c r="D2812" s="82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17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</row>
    <row r="2813" spans="1:38" x14ac:dyDescent="0.3">
      <c r="A2813" s="5"/>
      <c r="B2813" s="4"/>
      <c r="C2813" s="4"/>
      <c r="D2813" s="82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17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</row>
    <row r="2814" spans="1:38" x14ac:dyDescent="0.3">
      <c r="A2814" s="5"/>
      <c r="B2814" s="4"/>
      <c r="C2814" s="4"/>
      <c r="D2814" s="82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17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</row>
    <row r="2815" spans="1:38" x14ac:dyDescent="0.3">
      <c r="A2815" s="5"/>
      <c r="B2815" s="4"/>
      <c r="C2815" s="4"/>
      <c r="D2815" s="82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17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</row>
    <row r="2816" spans="1:38" x14ac:dyDescent="0.3">
      <c r="A2816" s="5"/>
      <c r="B2816" s="4"/>
      <c r="C2816" s="4"/>
      <c r="D2816" s="82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17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</row>
    <row r="2817" spans="1:38" x14ac:dyDescent="0.3">
      <c r="A2817" s="5"/>
      <c r="B2817" s="4"/>
      <c r="C2817" s="4"/>
      <c r="D2817" s="82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17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</row>
    <row r="2818" spans="1:38" x14ac:dyDescent="0.3">
      <c r="A2818" s="5"/>
      <c r="B2818" s="4"/>
      <c r="C2818" s="4"/>
      <c r="D2818" s="82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17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</row>
    <row r="2819" spans="1:38" x14ac:dyDescent="0.3">
      <c r="A2819" s="5"/>
      <c r="B2819" s="4"/>
      <c r="C2819" s="4"/>
      <c r="D2819" s="82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17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</row>
    <row r="2820" spans="1:38" x14ac:dyDescent="0.3">
      <c r="A2820" s="5"/>
      <c r="B2820" s="4"/>
      <c r="C2820" s="4"/>
      <c r="D2820" s="82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17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</row>
    <row r="2821" spans="1:38" x14ac:dyDescent="0.3">
      <c r="A2821" s="5"/>
      <c r="B2821" s="4"/>
      <c r="C2821" s="4"/>
      <c r="D2821" s="82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17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</row>
    <row r="2822" spans="1:38" x14ac:dyDescent="0.3">
      <c r="A2822" s="5"/>
      <c r="B2822" s="4"/>
      <c r="C2822" s="4"/>
      <c r="D2822" s="82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17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</row>
    <row r="2823" spans="1:38" x14ac:dyDescent="0.3">
      <c r="A2823" s="5"/>
      <c r="B2823" s="4"/>
      <c r="C2823" s="4"/>
      <c r="D2823" s="82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17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</row>
    <row r="2824" spans="1:38" x14ac:dyDescent="0.3">
      <c r="A2824" s="5"/>
      <c r="B2824" s="4"/>
      <c r="C2824" s="4"/>
      <c r="D2824" s="82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17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</row>
    <row r="2825" spans="1:38" x14ac:dyDescent="0.3">
      <c r="A2825" s="5"/>
      <c r="B2825" s="4"/>
      <c r="C2825" s="4"/>
      <c r="D2825" s="82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17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</row>
    <row r="2826" spans="1:38" x14ac:dyDescent="0.3">
      <c r="A2826" s="5"/>
      <c r="B2826" s="4"/>
      <c r="C2826" s="4"/>
      <c r="D2826" s="82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17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</row>
    <row r="2827" spans="1:38" x14ac:dyDescent="0.3">
      <c r="A2827" s="5"/>
      <c r="B2827" s="4"/>
      <c r="C2827" s="4"/>
      <c r="D2827" s="82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17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</row>
    <row r="2828" spans="1:38" x14ac:dyDescent="0.3">
      <c r="A2828" s="5"/>
      <c r="B2828" s="4"/>
      <c r="C2828" s="4"/>
      <c r="D2828" s="82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17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</row>
    <row r="2829" spans="1:38" x14ac:dyDescent="0.3">
      <c r="A2829" s="5"/>
      <c r="B2829" s="4"/>
      <c r="C2829" s="4"/>
      <c r="D2829" s="82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17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</row>
    <row r="2830" spans="1:38" x14ac:dyDescent="0.3">
      <c r="A2830" s="5"/>
      <c r="B2830" s="4"/>
      <c r="C2830" s="4"/>
      <c r="D2830" s="82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17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</row>
    <row r="2831" spans="1:38" x14ac:dyDescent="0.3">
      <c r="A2831" s="5"/>
      <c r="B2831" s="4"/>
      <c r="C2831" s="4"/>
      <c r="D2831" s="82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17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</row>
    <row r="2832" spans="1:38" x14ac:dyDescent="0.3">
      <c r="A2832" s="5"/>
      <c r="B2832" s="4"/>
      <c r="C2832" s="4"/>
      <c r="D2832" s="82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17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</row>
    <row r="2833" spans="1:38" x14ac:dyDescent="0.3">
      <c r="A2833" s="5"/>
      <c r="B2833" s="4"/>
      <c r="C2833" s="4"/>
      <c r="D2833" s="82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17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</row>
    <row r="2834" spans="1:38" x14ac:dyDescent="0.3">
      <c r="A2834" s="5"/>
      <c r="B2834" s="4"/>
      <c r="C2834" s="4"/>
      <c r="D2834" s="82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17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</row>
    <row r="2835" spans="1:38" x14ac:dyDescent="0.3">
      <c r="A2835" s="5"/>
      <c r="B2835" s="4"/>
      <c r="C2835" s="4"/>
      <c r="D2835" s="82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17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</row>
    <row r="2836" spans="1:38" x14ac:dyDescent="0.3">
      <c r="A2836" s="5"/>
      <c r="B2836" s="4"/>
      <c r="C2836" s="4"/>
      <c r="D2836" s="82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17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</row>
    <row r="2837" spans="1:38" x14ac:dyDescent="0.3">
      <c r="A2837" s="5"/>
      <c r="B2837" s="4"/>
      <c r="C2837" s="4"/>
      <c r="D2837" s="82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17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</row>
    <row r="2838" spans="1:38" x14ac:dyDescent="0.3">
      <c r="A2838" s="5"/>
      <c r="B2838" s="4"/>
      <c r="C2838" s="4"/>
      <c r="D2838" s="82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17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</row>
    <row r="2839" spans="1:38" x14ac:dyDescent="0.3">
      <c r="A2839" s="5"/>
      <c r="B2839" s="4"/>
      <c r="C2839" s="4"/>
      <c r="D2839" s="82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17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</row>
    <row r="2840" spans="1:38" x14ac:dyDescent="0.3">
      <c r="A2840" s="5"/>
      <c r="B2840" s="4"/>
      <c r="C2840" s="4"/>
      <c r="D2840" s="82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17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</row>
    <row r="2841" spans="1:38" x14ac:dyDescent="0.3">
      <c r="A2841" s="5"/>
      <c r="B2841" s="4"/>
      <c r="C2841" s="4"/>
      <c r="D2841" s="82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17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</row>
    <row r="2842" spans="1:38" x14ac:dyDescent="0.3">
      <c r="A2842" s="5"/>
      <c r="B2842" s="4"/>
      <c r="C2842" s="4"/>
      <c r="D2842" s="82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17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</row>
    <row r="2843" spans="1:38" x14ac:dyDescent="0.3">
      <c r="A2843" s="5"/>
      <c r="B2843" s="4"/>
      <c r="C2843" s="4"/>
      <c r="D2843" s="82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17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</row>
    <row r="2844" spans="1:38" x14ac:dyDescent="0.3">
      <c r="A2844" s="5"/>
      <c r="B2844" s="4"/>
      <c r="C2844" s="4"/>
      <c r="D2844" s="82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17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</row>
    <row r="2845" spans="1:38" x14ac:dyDescent="0.3">
      <c r="A2845" s="5"/>
      <c r="B2845" s="4"/>
      <c r="C2845" s="4"/>
      <c r="D2845" s="82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17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</row>
    <row r="2846" spans="1:38" x14ac:dyDescent="0.3">
      <c r="A2846" s="5"/>
      <c r="B2846" s="4"/>
      <c r="C2846" s="4"/>
      <c r="D2846" s="82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17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</row>
    <row r="2847" spans="1:38" x14ac:dyDescent="0.3">
      <c r="A2847" s="5"/>
      <c r="B2847" s="4"/>
      <c r="C2847" s="4"/>
      <c r="D2847" s="82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17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</row>
    <row r="2848" spans="1:38" x14ac:dyDescent="0.3">
      <c r="A2848" s="5"/>
      <c r="B2848" s="4"/>
      <c r="C2848" s="4"/>
      <c r="D2848" s="82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17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</row>
    <row r="2849" spans="1:38" x14ac:dyDescent="0.3">
      <c r="A2849" s="5"/>
      <c r="B2849" s="4"/>
      <c r="C2849" s="4"/>
      <c r="D2849" s="82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17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</row>
    <row r="2850" spans="1:38" x14ac:dyDescent="0.3">
      <c r="A2850" s="5"/>
      <c r="B2850" s="4"/>
      <c r="C2850" s="4"/>
      <c r="D2850" s="82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17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</row>
    <row r="2851" spans="1:38" x14ac:dyDescent="0.3">
      <c r="A2851" s="5"/>
      <c r="B2851" s="4"/>
      <c r="C2851" s="4"/>
      <c r="D2851" s="82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17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</row>
    <row r="2852" spans="1:38" x14ac:dyDescent="0.3">
      <c r="A2852" s="5"/>
      <c r="B2852" s="4"/>
      <c r="C2852" s="4"/>
      <c r="D2852" s="82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17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</row>
    <row r="2853" spans="1:38" x14ac:dyDescent="0.3">
      <c r="A2853" s="5"/>
      <c r="B2853" s="4"/>
      <c r="C2853" s="4"/>
      <c r="D2853" s="82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17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</row>
    <row r="2854" spans="1:38" x14ac:dyDescent="0.3">
      <c r="A2854" s="5"/>
      <c r="B2854" s="4"/>
      <c r="C2854" s="4"/>
      <c r="D2854" s="82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17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</row>
    <row r="2855" spans="1:38" x14ac:dyDescent="0.3">
      <c r="A2855" s="5"/>
      <c r="B2855" s="4"/>
      <c r="C2855" s="4"/>
      <c r="D2855" s="82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17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</row>
    <row r="2856" spans="1:38" x14ac:dyDescent="0.3">
      <c r="A2856" s="5"/>
      <c r="B2856" s="4"/>
      <c r="C2856" s="4"/>
      <c r="D2856" s="82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17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</row>
    <row r="2857" spans="1:38" x14ac:dyDescent="0.3">
      <c r="A2857" s="5"/>
      <c r="B2857" s="4"/>
      <c r="C2857" s="4"/>
      <c r="D2857" s="82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17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</row>
    <row r="2858" spans="1:38" x14ac:dyDescent="0.3">
      <c r="A2858" s="5"/>
      <c r="B2858" s="4"/>
      <c r="C2858" s="4"/>
      <c r="D2858" s="82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17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</row>
    <row r="2859" spans="1:38" x14ac:dyDescent="0.3">
      <c r="A2859" s="5"/>
      <c r="B2859" s="4"/>
      <c r="C2859" s="4"/>
      <c r="D2859" s="82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17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</row>
    <row r="2860" spans="1:38" x14ac:dyDescent="0.3">
      <c r="A2860" s="5"/>
      <c r="B2860" s="4"/>
      <c r="C2860" s="4"/>
      <c r="D2860" s="82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17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</row>
    <row r="2861" spans="1:38" x14ac:dyDescent="0.3">
      <c r="A2861" s="5"/>
      <c r="B2861" s="4"/>
      <c r="C2861" s="4"/>
      <c r="D2861" s="82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17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</row>
    <row r="2862" spans="1:38" x14ac:dyDescent="0.3">
      <c r="A2862" s="5"/>
      <c r="B2862" s="4"/>
      <c r="C2862" s="4"/>
      <c r="D2862" s="82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17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</row>
    <row r="2863" spans="1:38" x14ac:dyDescent="0.3">
      <c r="A2863" s="5"/>
      <c r="B2863" s="4"/>
      <c r="C2863" s="4"/>
      <c r="D2863" s="82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17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</row>
    <row r="2864" spans="1:38" x14ac:dyDescent="0.3">
      <c r="A2864" s="5"/>
      <c r="B2864" s="4"/>
      <c r="C2864" s="4"/>
      <c r="D2864" s="82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17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</row>
    <row r="2865" spans="1:38" x14ac:dyDescent="0.3">
      <c r="A2865" s="5"/>
      <c r="B2865" s="4"/>
      <c r="C2865" s="4"/>
      <c r="D2865" s="82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17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</row>
    <row r="2866" spans="1:38" x14ac:dyDescent="0.3">
      <c r="A2866" s="5"/>
      <c r="B2866" s="4"/>
      <c r="C2866" s="4"/>
      <c r="D2866" s="82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17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</row>
    <row r="2867" spans="1:38" x14ac:dyDescent="0.3">
      <c r="A2867" s="5"/>
      <c r="B2867" s="4"/>
      <c r="C2867" s="4"/>
      <c r="D2867" s="82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17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</row>
    <row r="2868" spans="1:38" x14ac:dyDescent="0.3">
      <c r="A2868" s="5"/>
      <c r="B2868" s="4"/>
      <c r="C2868" s="4"/>
      <c r="D2868" s="82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17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</row>
    <row r="2869" spans="1:38" x14ac:dyDescent="0.3">
      <c r="A2869" s="5"/>
      <c r="B2869" s="4"/>
      <c r="C2869" s="4"/>
      <c r="D2869" s="82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17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</row>
    <row r="2870" spans="1:38" x14ac:dyDescent="0.3">
      <c r="A2870" s="5"/>
      <c r="B2870" s="4"/>
      <c r="C2870" s="4"/>
      <c r="D2870" s="82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17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</row>
    <row r="2871" spans="1:38" x14ac:dyDescent="0.3">
      <c r="A2871" s="5"/>
      <c r="B2871" s="4"/>
      <c r="C2871" s="4"/>
      <c r="D2871" s="82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17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</row>
    <row r="2872" spans="1:38" x14ac:dyDescent="0.3">
      <c r="A2872" s="5"/>
      <c r="B2872" s="4"/>
      <c r="C2872" s="4"/>
      <c r="D2872" s="82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17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</row>
    <row r="2873" spans="1:38" x14ac:dyDescent="0.3">
      <c r="A2873" s="5"/>
      <c r="B2873" s="4"/>
      <c r="C2873" s="4"/>
      <c r="D2873" s="82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17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</row>
    <row r="2874" spans="1:38" x14ac:dyDescent="0.3">
      <c r="A2874" s="5"/>
      <c r="B2874" s="4"/>
      <c r="C2874" s="4"/>
      <c r="D2874" s="82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17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</row>
    <row r="2875" spans="1:38" x14ac:dyDescent="0.3">
      <c r="A2875" s="5"/>
      <c r="B2875" s="4"/>
      <c r="C2875" s="4"/>
      <c r="D2875" s="82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17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</row>
    <row r="2876" spans="1:38" x14ac:dyDescent="0.3">
      <c r="A2876" s="5"/>
      <c r="B2876" s="4"/>
      <c r="C2876" s="4"/>
      <c r="D2876" s="82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17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</row>
    <row r="2877" spans="1:38" x14ac:dyDescent="0.3">
      <c r="A2877" s="5"/>
      <c r="B2877" s="4"/>
      <c r="C2877" s="4"/>
      <c r="D2877" s="82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17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</row>
    <row r="2878" spans="1:38" x14ac:dyDescent="0.3">
      <c r="A2878" s="5"/>
      <c r="B2878" s="4"/>
      <c r="C2878" s="4"/>
      <c r="D2878" s="82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17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</row>
    <row r="2879" spans="1:38" x14ac:dyDescent="0.3">
      <c r="A2879" s="5"/>
      <c r="B2879" s="4"/>
      <c r="C2879" s="4"/>
      <c r="D2879" s="82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17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</row>
    <row r="2880" spans="1:38" x14ac:dyDescent="0.3">
      <c r="A2880" s="5"/>
      <c r="B2880" s="4"/>
      <c r="C2880" s="4"/>
      <c r="D2880" s="82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17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</row>
    <row r="2881" spans="1:38" x14ac:dyDescent="0.3">
      <c r="A2881" s="5"/>
      <c r="B2881" s="4"/>
      <c r="C2881" s="4"/>
      <c r="D2881" s="82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17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</row>
    <row r="2882" spans="1:38" x14ac:dyDescent="0.3">
      <c r="A2882" s="5"/>
      <c r="B2882" s="4"/>
      <c r="C2882" s="4"/>
      <c r="D2882" s="82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17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</row>
    <row r="2883" spans="1:38" x14ac:dyDescent="0.3">
      <c r="A2883" s="5"/>
      <c r="B2883" s="4"/>
      <c r="C2883" s="4"/>
      <c r="D2883" s="82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17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</row>
    <row r="2884" spans="1:38" x14ac:dyDescent="0.3">
      <c r="A2884" s="5"/>
      <c r="B2884" s="4"/>
      <c r="C2884" s="4"/>
      <c r="D2884" s="82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17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</row>
    <row r="2885" spans="1:38" x14ac:dyDescent="0.3">
      <c r="A2885" s="5"/>
      <c r="B2885" s="4"/>
      <c r="C2885" s="4"/>
      <c r="D2885" s="82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17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</row>
    <row r="2886" spans="1:38" x14ac:dyDescent="0.3">
      <c r="A2886" s="5"/>
      <c r="B2886" s="4"/>
      <c r="C2886" s="4"/>
      <c r="D2886" s="82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17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</row>
    <row r="2887" spans="1:38" x14ac:dyDescent="0.3">
      <c r="A2887" s="5"/>
      <c r="B2887" s="4"/>
      <c r="C2887" s="4"/>
      <c r="D2887" s="82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17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</row>
    <row r="2888" spans="1:38" x14ac:dyDescent="0.3">
      <c r="A2888" s="5"/>
      <c r="B2888" s="4"/>
      <c r="C2888" s="4"/>
      <c r="D2888" s="82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17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</row>
    <row r="2889" spans="1:38" x14ac:dyDescent="0.3">
      <c r="A2889" s="5"/>
      <c r="B2889" s="4"/>
      <c r="C2889" s="4"/>
      <c r="D2889" s="82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17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</row>
    <row r="2890" spans="1:38" x14ac:dyDescent="0.3">
      <c r="A2890" s="5"/>
      <c r="B2890" s="4"/>
      <c r="C2890" s="4"/>
      <c r="D2890" s="82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17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</row>
    <row r="2891" spans="1:38" x14ac:dyDescent="0.3">
      <c r="A2891" s="5"/>
      <c r="B2891" s="4"/>
      <c r="C2891" s="4"/>
      <c r="D2891" s="82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17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</row>
    <row r="2892" spans="1:38" x14ac:dyDescent="0.3">
      <c r="A2892" s="5"/>
      <c r="B2892" s="4"/>
      <c r="C2892" s="4"/>
      <c r="D2892" s="82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17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</row>
    <row r="2893" spans="1:38" x14ac:dyDescent="0.3">
      <c r="A2893" s="5"/>
      <c r="B2893" s="4"/>
      <c r="C2893" s="4"/>
      <c r="D2893" s="82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17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</row>
    <row r="2894" spans="1:38" x14ac:dyDescent="0.3">
      <c r="A2894" s="5"/>
      <c r="B2894" s="4"/>
      <c r="C2894" s="4"/>
      <c r="D2894" s="82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17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</row>
    <row r="2895" spans="1:38" x14ac:dyDescent="0.3">
      <c r="A2895" s="5"/>
      <c r="B2895" s="4"/>
      <c r="C2895" s="4"/>
      <c r="D2895" s="82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17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</row>
    <row r="2896" spans="1:38" x14ac:dyDescent="0.3">
      <c r="A2896" s="5"/>
      <c r="B2896" s="4"/>
      <c r="C2896" s="4"/>
      <c r="D2896" s="82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17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</row>
    <row r="2897" spans="1:38" x14ac:dyDescent="0.3">
      <c r="A2897" s="5"/>
      <c r="B2897" s="4"/>
      <c r="C2897" s="4"/>
      <c r="D2897" s="82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17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</row>
    <row r="2898" spans="1:38" x14ac:dyDescent="0.3">
      <c r="A2898" s="5"/>
      <c r="B2898" s="4"/>
      <c r="C2898" s="4"/>
      <c r="D2898" s="82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17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</row>
    <row r="2899" spans="1:38" x14ac:dyDescent="0.3">
      <c r="A2899" s="5"/>
      <c r="B2899" s="4"/>
      <c r="C2899" s="4"/>
      <c r="D2899" s="82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17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</row>
    <row r="2900" spans="1:38" x14ac:dyDescent="0.3">
      <c r="A2900" s="5"/>
      <c r="B2900" s="4"/>
      <c r="C2900" s="4"/>
      <c r="D2900" s="82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17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</row>
    <row r="2901" spans="1:38" x14ac:dyDescent="0.3">
      <c r="A2901" s="5"/>
      <c r="B2901" s="4"/>
      <c r="C2901" s="4"/>
      <c r="D2901" s="82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17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</row>
    <row r="2902" spans="1:38" x14ac:dyDescent="0.3">
      <c r="A2902" s="5"/>
      <c r="B2902" s="4"/>
      <c r="C2902" s="4"/>
      <c r="D2902" s="82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17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</row>
    <row r="2903" spans="1:38" x14ac:dyDescent="0.3">
      <c r="A2903" s="5"/>
      <c r="B2903" s="4"/>
      <c r="C2903" s="4"/>
      <c r="D2903" s="82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17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</row>
    <row r="2904" spans="1:38" x14ac:dyDescent="0.3">
      <c r="A2904" s="5"/>
      <c r="B2904" s="4"/>
      <c r="C2904" s="4"/>
      <c r="D2904" s="82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17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</row>
    <row r="2905" spans="1:38" x14ac:dyDescent="0.3">
      <c r="A2905" s="5"/>
      <c r="B2905" s="4"/>
      <c r="C2905" s="4"/>
      <c r="D2905" s="82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17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</row>
    <row r="2906" spans="1:38" x14ac:dyDescent="0.3">
      <c r="A2906" s="5"/>
      <c r="B2906" s="4"/>
      <c r="C2906" s="4"/>
      <c r="D2906" s="82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17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</row>
    <row r="2907" spans="1:38" x14ac:dyDescent="0.3">
      <c r="A2907" s="5"/>
      <c r="B2907" s="4"/>
      <c r="C2907" s="4"/>
      <c r="D2907" s="82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17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</row>
    <row r="2908" spans="1:38" x14ac:dyDescent="0.3">
      <c r="A2908" s="5"/>
      <c r="B2908" s="4"/>
      <c r="C2908" s="4"/>
      <c r="D2908" s="82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17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</row>
    <row r="2909" spans="1:38" x14ac:dyDescent="0.3">
      <c r="A2909" s="5"/>
      <c r="B2909" s="4"/>
      <c r="C2909" s="4"/>
      <c r="D2909" s="82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17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</row>
    <row r="2910" spans="1:38" x14ac:dyDescent="0.3">
      <c r="A2910" s="5"/>
      <c r="B2910" s="4"/>
      <c r="C2910" s="4"/>
      <c r="D2910" s="82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17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</row>
    <row r="2911" spans="1:38" x14ac:dyDescent="0.3">
      <c r="A2911" s="5"/>
      <c r="B2911" s="4"/>
      <c r="C2911" s="4"/>
      <c r="D2911" s="82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17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</row>
    <row r="2912" spans="1:38" x14ac:dyDescent="0.3">
      <c r="A2912" s="5"/>
      <c r="B2912" s="4"/>
      <c r="C2912" s="4"/>
      <c r="D2912" s="82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17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</row>
    <row r="2913" spans="1:38" x14ac:dyDescent="0.3">
      <c r="A2913" s="5"/>
      <c r="B2913" s="4"/>
      <c r="C2913" s="4"/>
      <c r="D2913" s="82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17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</row>
    <row r="2914" spans="1:38" x14ac:dyDescent="0.3">
      <c r="A2914" s="5"/>
      <c r="B2914" s="4"/>
      <c r="C2914" s="4"/>
      <c r="D2914" s="82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17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</row>
    <row r="2915" spans="1:38" x14ac:dyDescent="0.3">
      <c r="A2915" s="5"/>
      <c r="B2915" s="4"/>
      <c r="C2915" s="4"/>
      <c r="D2915" s="82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17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</row>
    <row r="2916" spans="1:38" x14ac:dyDescent="0.3">
      <c r="A2916" s="5"/>
      <c r="B2916" s="4"/>
      <c r="C2916" s="4"/>
      <c r="D2916" s="82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17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</row>
    <row r="2917" spans="1:38" x14ac:dyDescent="0.3">
      <c r="A2917" s="5"/>
      <c r="B2917" s="4"/>
      <c r="C2917" s="4"/>
      <c r="D2917" s="82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17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</row>
    <row r="2918" spans="1:38" x14ac:dyDescent="0.3">
      <c r="A2918" s="5"/>
      <c r="B2918" s="4"/>
      <c r="C2918" s="4"/>
      <c r="D2918" s="82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17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</row>
    <row r="2919" spans="1:38" x14ac:dyDescent="0.3">
      <c r="A2919" s="5"/>
      <c r="B2919" s="4"/>
      <c r="C2919" s="4"/>
      <c r="D2919" s="82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17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</row>
    <row r="2920" spans="1:38" x14ac:dyDescent="0.3">
      <c r="A2920" s="5"/>
      <c r="B2920" s="4"/>
      <c r="C2920" s="4"/>
      <c r="D2920" s="82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17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</row>
    <row r="2921" spans="1:38" x14ac:dyDescent="0.3">
      <c r="A2921" s="5"/>
      <c r="B2921" s="4"/>
      <c r="C2921" s="4"/>
      <c r="D2921" s="82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17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</row>
    <row r="2922" spans="1:38" x14ac:dyDescent="0.3">
      <c r="A2922" s="5"/>
      <c r="B2922" s="4"/>
      <c r="C2922" s="4"/>
      <c r="D2922" s="82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17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</row>
    <row r="2923" spans="1:38" x14ac:dyDescent="0.3">
      <c r="A2923" s="5"/>
      <c r="B2923" s="4"/>
      <c r="C2923" s="4"/>
      <c r="D2923" s="82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17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</row>
    <row r="2924" spans="1:38" x14ac:dyDescent="0.3">
      <c r="A2924" s="5"/>
      <c r="B2924" s="4"/>
      <c r="C2924" s="4"/>
      <c r="D2924" s="82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17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</row>
    <row r="2925" spans="1:38" x14ac:dyDescent="0.3">
      <c r="A2925" s="5"/>
      <c r="B2925" s="4"/>
      <c r="C2925" s="4"/>
      <c r="D2925" s="82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17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</row>
    <row r="2926" spans="1:38" x14ac:dyDescent="0.3">
      <c r="A2926" s="5"/>
      <c r="B2926" s="4"/>
      <c r="C2926" s="4"/>
      <c r="D2926" s="82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17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</row>
    <row r="2927" spans="1:38" x14ac:dyDescent="0.3">
      <c r="A2927" s="5"/>
      <c r="B2927" s="4"/>
      <c r="C2927" s="4"/>
      <c r="D2927" s="82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17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</row>
    <row r="2928" spans="1:38" x14ac:dyDescent="0.3">
      <c r="A2928" s="5"/>
      <c r="B2928" s="4"/>
      <c r="C2928" s="4"/>
      <c r="D2928" s="82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17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</row>
    <row r="2929" spans="1:38" x14ac:dyDescent="0.3">
      <c r="A2929" s="5"/>
      <c r="B2929" s="4"/>
      <c r="C2929" s="4"/>
      <c r="D2929" s="82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17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</row>
    <row r="2930" spans="1:38" x14ac:dyDescent="0.3">
      <c r="A2930" s="5"/>
      <c r="B2930" s="4"/>
      <c r="C2930" s="4"/>
      <c r="D2930" s="82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17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</row>
    <row r="2931" spans="1:38" x14ac:dyDescent="0.3">
      <c r="A2931" s="5"/>
      <c r="B2931" s="4"/>
      <c r="C2931" s="4"/>
      <c r="D2931" s="82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17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</row>
    <row r="2932" spans="1:38" x14ac:dyDescent="0.3">
      <c r="A2932" s="5"/>
      <c r="B2932" s="4"/>
      <c r="C2932" s="4"/>
      <c r="D2932" s="82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17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</row>
    <row r="2933" spans="1:38" x14ac:dyDescent="0.3">
      <c r="A2933" s="5"/>
      <c r="B2933" s="4"/>
      <c r="C2933" s="4"/>
      <c r="D2933" s="82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17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</row>
    <row r="2934" spans="1:38" x14ac:dyDescent="0.3">
      <c r="A2934" s="5"/>
      <c r="B2934" s="4"/>
      <c r="C2934" s="4"/>
      <c r="D2934" s="82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17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</row>
    <row r="2935" spans="1:38" x14ac:dyDescent="0.3">
      <c r="A2935" s="5"/>
      <c r="B2935" s="4"/>
      <c r="C2935" s="4"/>
      <c r="D2935" s="82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17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</row>
    <row r="2936" spans="1:38" x14ac:dyDescent="0.3">
      <c r="A2936" s="5"/>
      <c r="B2936" s="4"/>
      <c r="C2936" s="4"/>
      <c r="D2936" s="82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17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</row>
    <row r="2937" spans="1:38" x14ac:dyDescent="0.3">
      <c r="A2937" s="5"/>
      <c r="B2937" s="4"/>
      <c r="C2937" s="4"/>
      <c r="D2937" s="82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17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</row>
    <row r="2938" spans="1:38" x14ac:dyDescent="0.3">
      <c r="A2938" s="5"/>
      <c r="B2938" s="4"/>
      <c r="C2938" s="4"/>
      <c r="D2938" s="82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17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</row>
    <row r="2939" spans="1:38" x14ac:dyDescent="0.3">
      <c r="A2939" s="5"/>
      <c r="B2939" s="4"/>
      <c r="C2939" s="4"/>
      <c r="D2939" s="82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17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</row>
    <row r="2940" spans="1:38" x14ac:dyDescent="0.3">
      <c r="A2940" s="5"/>
      <c r="B2940" s="4"/>
      <c r="C2940" s="4"/>
      <c r="D2940" s="82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17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</row>
    <row r="2941" spans="1:38" x14ac:dyDescent="0.3">
      <c r="A2941" s="5"/>
      <c r="B2941" s="4"/>
      <c r="C2941" s="4"/>
      <c r="D2941" s="82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17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</row>
    <row r="2942" spans="1:38" x14ac:dyDescent="0.3">
      <c r="A2942" s="5"/>
      <c r="B2942" s="4"/>
      <c r="C2942" s="4"/>
      <c r="D2942" s="82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17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</row>
    <row r="2943" spans="1:38" x14ac:dyDescent="0.3">
      <c r="A2943" s="5"/>
      <c r="B2943" s="4"/>
      <c r="C2943" s="4"/>
      <c r="D2943" s="82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17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</row>
    <row r="2944" spans="1:38" x14ac:dyDescent="0.3">
      <c r="A2944" s="5"/>
      <c r="B2944" s="4"/>
      <c r="C2944" s="4"/>
      <c r="D2944" s="82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17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</row>
    <row r="2945" spans="1:38" x14ac:dyDescent="0.3">
      <c r="A2945" s="5"/>
      <c r="B2945" s="4"/>
      <c r="C2945" s="4"/>
      <c r="D2945" s="82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17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</row>
    <row r="2946" spans="1:38" x14ac:dyDescent="0.3">
      <c r="A2946" s="5"/>
      <c r="B2946" s="4"/>
      <c r="C2946" s="4"/>
      <c r="D2946" s="82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17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</row>
    <row r="2947" spans="1:38" x14ac:dyDescent="0.3">
      <c r="A2947" s="5"/>
      <c r="B2947" s="4"/>
      <c r="C2947" s="4"/>
      <c r="D2947" s="82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17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</row>
    <row r="2948" spans="1:38" x14ac:dyDescent="0.3">
      <c r="A2948" s="5"/>
      <c r="B2948" s="4"/>
      <c r="C2948" s="4"/>
      <c r="D2948" s="82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17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</row>
    <row r="2949" spans="1:38" x14ac:dyDescent="0.3">
      <c r="A2949" s="5"/>
      <c r="B2949" s="4"/>
      <c r="C2949" s="4"/>
      <c r="D2949" s="82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17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</row>
    <row r="2950" spans="1:38" x14ac:dyDescent="0.3">
      <c r="A2950" s="5"/>
      <c r="B2950" s="4"/>
      <c r="C2950" s="4"/>
      <c r="D2950" s="82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17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</row>
    <row r="2951" spans="1:38" x14ac:dyDescent="0.3">
      <c r="A2951" s="5"/>
      <c r="B2951" s="4"/>
      <c r="C2951" s="4"/>
      <c r="D2951" s="82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17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</row>
    <row r="2952" spans="1:38" x14ac:dyDescent="0.3">
      <c r="A2952" s="5"/>
      <c r="B2952" s="4"/>
      <c r="C2952" s="4"/>
      <c r="D2952" s="82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17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</row>
    <row r="2953" spans="1:38" x14ac:dyDescent="0.3">
      <c r="A2953" s="5"/>
      <c r="B2953" s="4"/>
      <c r="C2953" s="4"/>
      <c r="D2953" s="82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17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</row>
    <row r="2954" spans="1:38" x14ac:dyDescent="0.3">
      <c r="A2954" s="5"/>
      <c r="B2954" s="4"/>
      <c r="C2954" s="4"/>
      <c r="D2954" s="82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17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</row>
    <row r="2955" spans="1:38" x14ac:dyDescent="0.3">
      <c r="A2955" s="5"/>
      <c r="B2955" s="4"/>
      <c r="C2955" s="4"/>
      <c r="D2955" s="82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17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</row>
    <row r="2956" spans="1:38" x14ac:dyDescent="0.3">
      <c r="A2956" s="5"/>
      <c r="B2956" s="4"/>
      <c r="C2956" s="4"/>
      <c r="D2956" s="82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17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</row>
    <row r="2957" spans="1:38" x14ac:dyDescent="0.3">
      <c r="A2957" s="5"/>
      <c r="B2957" s="4"/>
      <c r="C2957" s="4"/>
      <c r="D2957" s="82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17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</row>
    <row r="2958" spans="1:38" x14ac:dyDescent="0.3">
      <c r="A2958" s="5"/>
      <c r="B2958" s="4"/>
      <c r="C2958" s="4"/>
      <c r="D2958" s="82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17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</row>
    <row r="2959" spans="1:38" x14ac:dyDescent="0.3">
      <c r="A2959" s="5"/>
      <c r="B2959" s="4"/>
      <c r="C2959" s="4"/>
      <c r="D2959" s="82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17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</row>
    <row r="2960" spans="1:38" x14ac:dyDescent="0.3">
      <c r="A2960" s="5"/>
      <c r="B2960" s="4"/>
      <c r="C2960" s="4"/>
      <c r="D2960" s="82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17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</row>
    <row r="2961" spans="1:38" x14ac:dyDescent="0.3">
      <c r="A2961" s="5"/>
      <c r="B2961" s="4"/>
      <c r="C2961" s="4"/>
      <c r="D2961" s="82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17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</row>
    <row r="2962" spans="1:38" x14ac:dyDescent="0.3">
      <c r="A2962" s="5"/>
      <c r="B2962" s="4"/>
      <c r="C2962" s="4"/>
      <c r="D2962" s="82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17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</row>
    <row r="2963" spans="1:38" x14ac:dyDescent="0.3">
      <c r="A2963" s="5"/>
      <c r="B2963" s="4"/>
      <c r="C2963" s="4"/>
      <c r="D2963" s="82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17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</row>
    <row r="2964" spans="1:38" x14ac:dyDescent="0.3">
      <c r="A2964" s="5"/>
      <c r="B2964" s="4"/>
      <c r="C2964" s="4"/>
      <c r="D2964" s="82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17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</row>
    <row r="2965" spans="1:38" x14ac:dyDescent="0.3">
      <c r="A2965" s="5"/>
      <c r="B2965" s="4"/>
      <c r="C2965" s="4"/>
      <c r="D2965" s="82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17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</row>
    <row r="2966" spans="1:38" x14ac:dyDescent="0.3">
      <c r="A2966" s="5"/>
      <c r="B2966" s="4"/>
      <c r="C2966" s="4"/>
      <c r="D2966" s="82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17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</row>
    <row r="2967" spans="1:38" x14ac:dyDescent="0.3">
      <c r="A2967" s="5"/>
      <c r="B2967" s="4"/>
      <c r="C2967" s="4"/>
      <c r="D2967" s="82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17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</row>
    <row r="2968" spans="1:38" x14ac:dyDescent="0.3">
      <c r="A2968" s="5"/>
      <c r="B2968" s="4"/>
      <c r="C2968" s="4"/>
      <c r="D2968" s="82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17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</row>
    <row r="2969" spans="1:38" x14ac:dyDescent="0.3">
      <c r="A2969" s="5"/>
      <c r="B2969" s="4"/>
      <c r="C2969" s="4"/>
      <c r="D2969" s="82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17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</row>
    <row r="2970" spans="1:38" x14ac:dyDescent="0.3">
      <c r="A2970" s="5"/>
      <c r="B2970" s="4"/>
      <c r="C2970" s="4"/>
      <c r="D2970" s="82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17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</row>
    <row r="2971" spans="1:38" x14ac:dyDescent="0.3">
      <c r="A2971" s="5"/>
      <c r="B2971" s="4"/>
      <c r="C2971" s="4"/>
      <c r="D2971" s="82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17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</row>
    <row r="2972" spans="1:38" x14ac:dyDescent="0.3">
      <c r="A2972" s="5"/>
      <c r="B2972" s="4"/>
      <c r="C2972" s="4"/>
      <c r="D2972" s="82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17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</row>
    <row r="2973" spans="1:38" x14ac:dyDescent="0.3">
      <c r="A2973" s="5"/>
      <c r="B2973" s="4"/>
      <c r="C2973" s="4"/>
      <c r="D2973" s="82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17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</row>
    <row r="2974" spans="1:38" x14ac:dyDescent="0.3">
      <c r="A2974" s="5"/>
      <c r="B2974" s="4"/>
      <c r="C2974" s="4"/>
      <c r="D2974" s="82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17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</row>
    <row r="2975" spans="1:38" x14ac:dyDescent="0.3">
      <c r="A2975" s="5"/>
      <c r="B2975" s="4"/>
      <c r="C2975" s="4"/>
      <c r="D2975" s="82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17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</row>
    <row r="2976" spans="1:38" x14ac:dyDescent="0.3">
      <c r="A2976" s="5"/>
      <c r="B2976" s="4"/>
      <c r="C2976" s="4"/>
      <c r="D2976" s="82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17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</row>
    <row r="2977" spans="1:38" x14ac:dyDescent="0.3">
      <c r="A2977" s="5"/>
      <c r="B2977" s="4"/>
      <c r="C2977" s="4"/>
      <c r="D2977" s="82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17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</row>
    <row r="2978" spans="1:38" x14ac:dyDescent="0.3">
      <c r="A2978" s="5"/>
      <c r="B2978" s="4"/>
      <c r="C2978" s="4"/>
      <c r="D2978" s="82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17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</row>
    <row r="2979" spans="1:38" x14ac:dyDescent="0.3">
      <c r="A2979" s="5"/>
      <c r="B2979" s="4"/>
      <c r="C2979" s="4"/>
      <c r="D2979" s="82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17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</row>
    <row r="2980" spans="1:38" x14ac:dyDescent="0.3">
      <c r="A2980" s="5"/>
      <c r="B2980" s="4"/>
      <c r="C2980" s="4"/>
      <c r="D2980" s="82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17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</row>
    <row r="2981" spans="1:38" x14ac:dyDescent="0.3">
      <c r="A2981" s="5"/>
      <c r="B2981" s="4"/>
      <c r="C2981" s="4"/>
      <c r="D2981" s="82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17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</row>
    <row r="2982" spans="1:38" x14ac:dyDescent="0.3">
      <c r="A2982" s="5"/>
      <c r="B2982" s="4"/>
      <c r="C2982" s="4"/>
      <c r="D2982" s="82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17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</row>
    <row r="2983" spans="1:38" x14ac:dyDescent="0.3">
      <c r="A2983" s="5"/>
      <c r="B2983" s="4"/>
      <c r="C2983" s="4"/>
      <c r="D2983" s="82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17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</row>
    <row r="2984" spans="1:38" x14ac:dyDescent="0.3">
      <c r="A2984" s="5"/>
      <c r="B2984" s="4"/>
      <c r="C2984" s="4"/>
      <c r="D2984" s="82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17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</row>
    <row r="2985" spans="1:38" x14ac:dyDescent="0.3">
      <c r="A2985" s="5"/>
      <c r="B2985" s="4"/>
      <c r="C2985" s="4"/>
      <c r="D2985" s="82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17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</row>
    <row r="2986" spans="1:38" x14ac:dyDescent="0.3">
      <c r="A2986" s="5"/>
      <c r="B2986" s="4"/>
      <c r="C2986" s="4"/>
      <c r="D2986" s="82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17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</row>
    <row r="2987" spans="1:38" x14ac:dyDescent="0.3">
      <c r="A2987" s="5"/>
      <c r="B2987" s="4"/>
      <c r="C2987" s="4"/>
      <c r="D2987" s="82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17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</row>
    <row r="2988" spans="1:38" x14ac:dyDescent="0.3">
      <c r="A2988" s="5"/>
      <c r="B2988" s="4"/>
      <c r="C2988" s="4"/>
      <c r="D2988" s="82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17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</row>
    <row r="2989" spans="1:38" x14ac:dyDescent="0.3">
      <c r="A2989" s="5"/>
      <c r="B2989" s="4"/>
      <c r="C2989" s="4"/>
      <c r="D2989" s="82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17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</row>
    <row r="2990" spans="1:38" x14ac:dyDescent="0.3">
      <c r="A2990" s="5"/>
      <c r="B2990" s="4"/>
      <c r="C2990" s="4"/>
      <c r="D2990" s="82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17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</row>
    <row r="2991" spans="1:38" x14ac:dyDescent="0.3">
      <c r="A2991" s="5"/>
      <c r="B2991" s="4"/>
      <c r="C2991" s="4"/>
      <c r="D2991" s="82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17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</row>
    <row r="2992" spans="1:38" x14ac:dyDescent="0.3">
      <c r="A2992" s="5"/>
      <c r="B2992" s="4"/>
      <c r="C2992" s="4"/>
      <c r="D2992" s="82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17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</row>
    <row r="2993" spans="1:38" x14ac:dyDescent="0.3">
      <c r="A2993" s="5"/>
      <c r="B2993" s="4"/>
      <c r="C2993" s="4"/>
      <c r="D2993" s="82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17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</row>
    <row r="2994" spans="1:38" x14ac:dyDescent="0.3">
      <c r="A2994" s="5"/>
      <c r="B2994" s="4"/>
      <c r="C2994" s="4"/>
      <c r="D2994" s="82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17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</row>
    <row r="2995" spans="1:38" x14ac:dyDescent="0.3">
      <c r="A2995" s="5"/>
      <c r="B2995" s="4"/>
      <c r="C2995" s="4"/>
      <c r="D2995" s="82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17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</row>
    <row r="2996" spans="1:38" x14ac:dyDescent="0.3">
      <c r="A2996" s="5"/>
      <c r="B2996" s="4"/>
      <c r="C2996" s="4"/>
      <c r="D2996" s="82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17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</row>
    <row r="2997" spans="1:38" x14ac:dyDescent="0.3">
      <c r="A2997" s="5"/>
      <c r="B2997" s="4"/>
      <c r="C2997" s="4"/>
      <c r="D2997" s="82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17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</row>
    <row r="2998" spans="1:38" x14ac:dyDescent="0.3">
      <c r="A2998" s="5"/>
      <c r="B2998" s="4"/>
      <c r="C2998" s="4"/>
      <c r="D2998" s="82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17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</row>
    <row r="2999" spans="1:38" x14ac:dyDescent="0.3">
      <c r="A2999" s="5"/>
      <c r="B2999" s="4"/>
      <c r="C2999" s="4"/>
      <c r="D2999" s="82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17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</row>
    <row r="3000" spans="1:38" x14ac:dyDescent="0.3">
      <c r="A3000" s="5"/>
      <c r="B3000" s="4"/>
      <c r="C3000" s="4"/>
      <c r="D3000" s="82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17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</row>
    <row r="3001" spans="1:38" x14ac:dyDescent="0.3">
      <c r="A3001" s="5"/>
      <c r="B3001" s="4"/>
      <c r="C3001" s="4"/>
      <c r="D3001" s="82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17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</row>
    <row r="3002" spans="1:38" x14ac:dyDescent="0.3">
      <c r="A3002" s="5"/>
      <c r="B3002" s="4"/>
      <c r="C3002" s="4"/>
      <c r="D3002" s="82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17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</row>
    <row r="3003" spans="1:38" x14ac:dyDescent="0.3">
      <c r="A3003" s="5"/>
      <c r="B3003" s="4"/>
      <c r="C3003" s="4"/>
      <c r="D3003" s="82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17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</row>
    <row r="3004" spans="1:38" x14ac:dyDescent="0.3">
      <c r="A3004" s="5"/>
      <c r="B3004" s="4"/>
      <c r="C3004" s="4"/>
      <c r="D3004" s="82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17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</row>
    <row r="3005" spans="1:38" x14ac:dyDescent="0.3">
      <c r="A3005" s="5"/>
      <c r="B3005" s="4"/>
      <c r="C3005" s="4"/>
      <c r="D3005" s="82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17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</row>
    <row r="3006" spans="1:38" x14ac:dyDescent="0.3">
      <c r="A3006" s="5"/>
      <c r="B3006" s="4"/>
      <c r="C3006" s="4"/>
      <c r="D3006" s="82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17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</row>
    <row r="3007" spans="1:38" x14ac:dyDescent="0.3">
      <c r="A3007" s="5"/>
      <c r="B3007" s="4"/>
      <c r="C3007" s="4"/>
      <c r="D3007" s="82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17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</row>
    <row r="3008" spans="1:38" x14ac:dyDescent="0.3">
      <c r="A3008" s="5"/>
      <c r="B3008" s="4"/>
      <c r="C3008" s="4"/>
      <c r="D3008" s="82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17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</row>
    <row r="3009" spans="1:38" x14ac:dyDescent="0.3">
      <c r="A3009" s="5"/>
      <c r="B3009" s="4"/>
      <c r="C3009" s="4"/>
      <c r="D3009" s="82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17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</row>
    <row r="3010" spans="1:38" x14ac:dyDescent="0.3">
      <c r="A3010" s="5"/>
      <c r="B3010" s="4"/>
      <c r="C3010" s="4"/>
      <c r="D3010" s="82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17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</row>
    <row r="3011" spans="1:38" x14ac:dyDescent="0.3">
      <c r="A3011" s="5"/>
      <c r="B3011" s="4"/>
      <c r="C3011" s="4"/>
      <c r="D3011" s="82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17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</row>
    <row r="3012" spans="1:38" x14ac:dyDescent="0.3">
      <c r="A3012" s="5"/>
      <c r="B3012" s="4"/>
      <c r="C3012" s="4"/>
      <c r="D3012" s="82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17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</row>
    <row r="3013" spans="1:38" x14ac:dyDescent="0.3">
      <c r="A3013" s="5"/>
      <c r="B3013" s="4"/>
      <c r="C3013" s="4"/>
      <c r="D3013" s="82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17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</row>
    <row r="3014" spans="1:38" x14ac:dyDescent="0.3">
      <c r="A3014" s="5"/>
      <c r="B3014" s="4"/>
      <c r="C3014" s="4"/>
      <c r="D3014" s="82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17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</row>
    <row r="3015" spans="1:38" x14ac:dyDescent="0.3">
      <c r="A3015" s="5"/>
      <c r="B3015" s="4"/>
      <c r="C3015" s="4"/>
      <c r="D3015" s="82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17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</row>
    <row r="3016" spans="1:38" x14ac:dyDescent="0.3">
      <c r="A3016" s="5"/>
      <c r="B3016" s="4"/>
      <c r="C3016" s="4"/>
      <c r="D3016" s="82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17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</row>
    <row r="3017" spans="1:38" x14ac:dyDescent="0.3">
      <c r="A3017" s="5"/>
      <c r="B3017" s="4"/>
      <c r="C3017" s="4"/>
      <c r="D3017" s="82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17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</row>
    <row r="3018" spans="1:38" x14ac:dyDescent="0.3">
      <c r="A3018" s="5"/>
      <c r="B3018" s="4"/>
      <c r="C3018" s="4"/>
      <c r="D3018" s="82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17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</row>
    <row r="3019" spans="1:38" x14ac:dyDescent="0.3">
      <c r="A3019" s="5"/>
      <c r="B3019" s="4"/>
      <c r="C3019" s="4"/>
      <c r="D3019" s="82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17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</row>
    <row r="3020" spans="1:38" x14ac:dyDescent="0.3">
      <c r="A3020" s="5"/>
      <c r="B3020" s="4"/>
      <c r="C3020" s="4"/>
      <c r="D3020" s="82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17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</row>
    <row r="3021" spans="1:38" x14ac:dyDescent="0.3">
      <c r="A3021" s="5"/>
      <c r="B3021" s="4"/>
      <c r="C3021" s="4"/>
      <c r="D3021" s="82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17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</row>
    <row r="3022" spans="1:38" x14ac:dyDescent="0.3">
      <c r="A3022" s="5"/>
      <c r="B3022" s="4"/>
      <c r="C3022" s="4"/>
      <c r="D3022" s="82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17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</row>
    <row r="3023" spans="1:38" x14ac:dyDescent="0.3">
      <c r="A3023" s="5"/>
      <c r="B3023" s="4"/>
      <c r="C3023" s="4"/>
      <c r="D3023" s="82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17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</row>
    <row r="3024" spans="1:38" x14ac:dyDescent="0.3">
      <c r="A3024" s="5"/>
      <c r="B3024" s="4"/>
      <c r="C3024" s="4"/>
      <c r="D3024" s="82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17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</row>
    <row r="3025" spans="1:38" x14ac:dyDescent="0.3">
      <c r="A3025" s="5"/>
      <c r="B3025" s="4"/>
      <c r="C3025" s="4"/>
      <c r="D3025" s="82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17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</row>
    <row r="3026" spans="1:38" x14ac:dyDescent="0.3">
      <c r="A3026" s="5"/>
      <c r="B3026" s="4"/>
      <c r="C3026" s="4"/>
      <c r="D3026" s="82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17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</row>
    <row r="3027" spans="1:38" x14ac:dyDescent="0.3">
      <c r="A3027" s="5"/>
      <c r="B3027" s="4"/>
      <c r="C3027" s="4"/>
      <c r="D3027" s="82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17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</row>
    <row r="3028" spans="1:38" x14ac:dyDescent="0.3">
      <c r="A3028" s="5"/>
      <c r="B3028" s="4"/>
      <c r="C3028" s="4"/>
      <c r="D3028" s="82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17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</row>
    <row r="3029" spans="1:38" x14ac:dyDescent="0.3">
      <c r="A3029" s="5"/>
      <c r="B3029" s="4"/>
      <c r="C3029" s="4"/>
      <c r="D3029" s="82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17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</row>
    <row r="3030" spans="1:38" x14ac:dyDescent="0.3">
      <c r="A3030" s="5"/>
      <c r="B3030" s="4"/>
      <c r="C3030" s="4"/>
      <c r="D3030" s="82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17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</row>
    <row r="3031" spans="1:38" x14ac:dyDescent="0.3">
      <c r="A3031" s="5"/>
      <c r="B3031" s="4"/>
      <c r="C3031" s="4"/>
      <c r="D3031" s="82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17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</row>
    <row r="3032" spans="1:38" x14ac:dyDescent="0.3">
      <c r="A3032" s="5"/>
      <c r="B3032" s="4"/>
      <c r="C3032" s="4"/>
      <c r="D3032" s="82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17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</row>
    <row r="3033" spans="1:38" x14ac:dyDescent="0.3">
      <c r="A3033" s="5"/>
      <c r="B3033" s="4"/>
      <c r="C3033" s="4"/>
      <c r="D3033" s="82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17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</row>
    <row r="3034" spans="1:38" x14ac:dyDescent="0.3">
      <c r="A3034" s="5"/>
      <c r="B3034" s="4"/>
      <c r="C3034" s="4"/>
      <c r="D3034" s="82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17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</row>
    <row r="3035" spans="1:38" x14ac:dyDescent="0.3">
      <c r="A3035" s="5"/>
      <c r="B3035" s="4"/>
      <c r="C3035" s="4"/>
      <c r="D3035" s="82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17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</row>
    <row r="3036" spans="1:38" x14ac:dyDescent="0.3">
      <c r="A3036" s="5"/>
      <c r="B3036" s="4"/>
      <c r="C3036" s="4"/>
      <c r="D3036" s="82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17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</row>
    <row r="3037" spans="1:38" x14ac:dyDescent="0.3">
      <c r="A3037" s="5"/>
      <c r="B3037" s="4"/>
      <c r="C3037" s="4"/>
      <c r="D3037" s="82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17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</row>
    <row r="3038" spans="1:38" x14ac:dyDescent="0.3">
      <c r="A3038" s="5"/>
      <c r="B3038" s="4"/>
      <c r="C3038" s="4"/>
      <c r="D3038" s="82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17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</row>
    <row r="3039" spans="1:38" x14ac:dyDescent="0.3">
      <c r="A3039" s="5"/>
      <c r="B3039" s="4"/>
      <c r="C3039" s="4"/>
      <c r="D3039" s="82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17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</row>
    <row r="3040" spans="1:38" x14ac:dyDescent="0.3">
      <c r="A3040" s="5"/>
      <c r="B3040" s="4"/>
      <c r="C3040" s="4"/>
      <c r="D3040" s="82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17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</row>
    <row r="3041" spans="1:38" x14ac:dyDescent="0.3">
      <c r="A3041" s="5"/>
      <c r="B3041" s="4"/>
      <c r="C3041" s="4"/>
      <c r="D3041" s="82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17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</row>
    <row r="3042" spans="1:38" x14ac:dyDescent="0.3">
      <c r="A3042" s="5"/>
      <c r="B3042" s="4"/>
      <c r="C3042" s="4"/>
      <c r="D3042" s="82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17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</row>
    <row r="3043" spans="1:38" x14ac:dyDescent="0.3">
      <c r="A3043" s="5"/>
      <c r="B3043" s="4"/>
      <c r="C3043" s="4"/>
      <c r="D3043" s="82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17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</row>
    <row r="3044" spans="1:38" x14ac:dyDescent="0.3">
      <c r="A3044" s="5"/>
      <c r="B3044" s="4"/>
      <c r="C3044" s="4"/>
      <c r="D3044" s="82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17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</row>
    <row r="3045" spans="1:38" x14ac:dyDescent="0.3">
      <c r="A3045" s="5"/>
      <c r="B3045" s="4"/>
      <c r="C3045" s="4"/>
      <c r="D3045" s="82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17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</row>
    <row r="3046" spans="1:38" x14ac:dyDescent="0.3">
      <c r="A3046" s="5"/>
      <c r="B3046" s="4"/>
      <c r="C3046" s="4"/>
      <c r="D3046" s="82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17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</row>
    <row r="3047" spans="1:38" x14ac:dyDescent="0.3">
      <c r="A3047" s="5"/>
      <c r="B3047" s="4"/>
      <c r="C3047" s="4"/>
      <c r="D3047" s="82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17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</row>
    <row r="3048" spans="1:38" x14ac:dyDescent="0.3">
      <c r="A3048" s="5"/>
      <c r="B3048" s="4"/>
      <c r="C3048" s="4"/>
      <c r="D3048" s="82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17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</row>
    <row r="3049" spans="1:38" x14ac:dyDescent="0.3">
      <c r="A3049" s="5"/>
      <c r="B3049" s="4"/>
      <c r="C3049" s="4"/>
      <c r="D3049" s="82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17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</row>
    <row r="3050" spans="1:38" x14ac:dyDescent="0.3">
      <c r="A3050" s="5"/>
      <c r="B3050" s="4"/>
      <c r="C3050" s="4"/>
      <c r="D3050" s="82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17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</row>
    <row r="3051" spans="1:38" x14ac:dyDescent="0.3">
      <c r="A3051" s="5"/>
      <c r="B3051" s="4"/>
      <c r="C3051" s="4"/>
      <c r="D3051" s="82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17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</row>
    <row r="3052" spans="1:38" x14ac:dyDescent="0.3">
      <c r="A3052" s="5"/>
      <c r="B3052" s="4"/>
      <c r="C3052" s="4"/>
      <c r="D3052" s="82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17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</row>
    <row r="3053" spans="1:38" x14ac:dyDescent="0.3">
      <c r="A3053" s="5"/>
      <c r="B3053" s="4"/>
      <c r="C3053" s="4"/>
      <c r="D3053" s="82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17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</row>
    <row r="3054" spans="1:38" x14ac:dyDescent="0.3">
      <c r="A3054" s="5"/>
      <c r="B3054" s="4"/>
      <c r="C3054" s="4"/>
      <c r="D3054" s="82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17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</row>
    <row r="3055" spans="1:38" x14ac:dyDescent="0.3">
      <c r="A3055" s="5"/>
      <c r="B3055" s="4"/>
      <c r="C3055" s="4"/>
      <c r="D3055" s="82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17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</row>
    <row r="3056" spans="1:38" x14ac:dyDescent="0.3">
      <c r="A3056" s="5"/>
      <c r="B3056" s="4"/>
      <c r="C3056" s="4"/>
      <c r="D3056" s="82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17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</row>
    <row r="3057" spans="1:38" x14ac:dyDescent="0.3">
      <c r="A3057" s="5"/>
      <c r="B3057" s="4"/>
      <c r="C3057" s="4"/>
      <c r="D3057" s="82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17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</row>
    <row r="3058" spans="1:38" x14ac:dyDescent="0.3">
      <c r="A3058" s="5"/>
      <c r="B3058" s="4"/>
      <c r="C3058" s="4"/>
      <c r="D3058" s="82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17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</row>
    <row r="3059" spans="1:38" x14ac:dyDescent="0.3">
      <c r="A3059" s="5"/>
      <c r="B3059" s="4"/>
      <c r="C3059" s="4"/>
      <c r="D3059" s="82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17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</row>
    <row r="3060" spans="1:38" x14ac:dyDescent="0.3">
      <c r="A3060" s="5"/>
      <c r="B3060" s="4"/>
      <c r="C3060" s="4"/>
      <c r="D3060" s="82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17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</row>
    <row r="3061" spans="1:38" x14ac:dyDescent="0.3">
      <c r="A3061" s="5"/>
      <c r="B3061" s="4"/>
      <c r="C3061" s="4"/>
      <c r="D3061" s="82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17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</row>
    <row r="3062" spans="1:38" x14ac:dyDescent="0.3">
      <c r="A3062" s="5"/>
      <c r="B3062" s="4"/>
      <c r="C3062" s="4"/>
      <c r="D3062" s="82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17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</row>
    <row r="3063" spans="1:38" x14ac:dyDescent="0.3">
      <c r="A3063" s="5"/>
      <c r="B3063" s="4"/>
      <c r="C3063" s="4"/>
      <c r="D3063" s="82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17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</row>
    <row r="3064" spans="1:38" x14ac:dyDescent="0.3">
      <c r="A3064" s="5"/>
      <c r="B3064" s="4"/>
      <c r="C3064" s="4"/>
      <c r="D3064" s="82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17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</row>
    <row r="3065" spans="1:38" x14ac:dyDescent="0.3">
      <c r="A3065" s="5"/>
      <c r="B3065" s="4"/>
      <c r="C3065" s="4"/>
      <c r="D3065" s="82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17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</row>
    <row r="3066" spans="1:38" x14ac:dyDescent="0.3">
      <c r="A3066" s="5"/>
      <c r="B3066" s="4"/>
      <c r="C3066" s="4"/>
      <c r="D3066" s="82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17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</row>
    <row r="3067" spans="1:38" x14ac:dyDescent="0.3">
      <c r="A3067" s="5"/>
      <c r="B3067" s="4"/>
      <c r="C3067" s="4"/>
      <c r="D3067" s="82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17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</row>
    <row r="3068" spans="1:38" x14ac:dyDescent="0.3">
      <c r="A3068" s="5"/>
      <c r="B3068" s="4"/>
      <c r="C3068" s="4"/>
      <c r="D3068" s="82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17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</row>
    <row r="3069" spans="1:38" x14ac:dyDescent="0.3">
      <c r="A3069" s="5"/>
      <c r="B3069" s="4"/>
      <c r="C3069" s="4"/>
      <c r="D3069" s="82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17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</row>
    <row r="3070" spans="1:38" x14ac:dyDescent="0.3">
      <c r="A3070" s="5"/>
      <c r="B3070" s="4"/>
      <c r="C3070" s="4"/>
      <c r="D3070" s="82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17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</row>
    <row r="3071" spans="1:38" x14ac:dyDescent="0.3">
      <c r="A3071" s="5"/>
      <c r="B3071" s="4"/>
      <c r="C3071" s="4"/>
      <c r="D3071" s="82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17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</row>
    <row r="3072" spans="1:38" x14ac:dyDescent="0.3">
      <c r="A3072" s="5"/>
      <c r="B3072" s="4"/>
      <c r="C3072" s="4"/>
      <c r="D3072" s="82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17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</row>
    <row r="3073" spans="1:38" x14ac:dyDescent="0.3">
      <c r="A3073" s="5"/>
      <c r="B3073" s="4"/>
      <c r="C3073" s="4"/>
      <c r="D3073" s="82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17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</row>
    <row r="3074" spans="1:38" x14ac:dyDescent="0.3">
      <c r="A3074" s="5"/>
      <c r="B3074" s="4"/>
      <c r="C3074" s="4"/>
      <c r="D3074" s="82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17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</row>
    <row r="3075" spans="1:38" x14ac:dyDescent="0.3">
      <c r="A3075" s="5"/>
      <c r="B3075" s="4"/>
      <c r="C3075" s="4"/>
      <c r="D3075" s="82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17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</row>
    <row r="3076" spans="1:38" x14ac:dyDescent="0.3">
      <c r="A3076" s="5"/>
      <c r="B3076" s="4"/>
      <c r="C3076" s="4"/>
      <c r="D3076" s="82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17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</row>
    <row r="3077" spans="1:38" x14ac:dyDescent="0.3">
      <c r="A3077" s="5"/>
      <c r="B3077" s="4"/>
      <c r="C3077" s="4"/>
      <c r="D3077" s="82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17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</row>
    <row r="3078" spans="1:38" x14ac:dyDescent="0.3">
      <c r="A3078" s="5"/>
      <c r="B3078" s="4"/>
      <c r="C3078" s="4"/>
      <c r="D3078" s="82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17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</row>
    <row r="3079" spans="1:38" x14ac:dyDescent="0.3">
      <c r="A3079" s="5"/>
      <c r="B3079" s="4"/>
      <c r="C3079" s="4"/>
      <c r="D3079" s="82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17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</row>
    <row r="3080" spans="1:38" x14ac:dyDescent="0.3">
      <c r="A3080" s="5"/>
      <c r="B3080" s="4"/>
      <c r="C3080" s="4"/>
      <c r="D3080" s="82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17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</row>
    <row r="3081" spans="1:38" x14ac:dyDescent="0.3">
      <c r="A3081" s="5"/>
      <c r="B3081" s="4"/>
      <c r="C3081" s="4"/>
      <c r="D3081" s="82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17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</row>
    <row r="3082" spans="1:38" x14ac:dyDescent="0.3">
      <c r="A3082" s="5"/>
      <c r="B3082" s="4"/>
      <c r="C3082" s="4"/>
      <c r="D3082" s="82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17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</row>
    <row r="3083" spans="1:38" x14ac:dyDescent="0.3">
      <c r="A3083" s="5"/>
      <c r="B3083" s="4"/>
      <c r="C3083" s="4"/>
      <c r="D3083" s="82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17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</row>
    <row r="3084" spans="1:38" x14ac:dyDescent="0.3">
      <c r="A3084" s="5"/>
      <c r="B3084" s="4"/>
      <c r="C3084" s="4"/>
      <c r="D3084" s="82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17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</row>
    <row r="3085" spans="1:38" x14ac:dyDescent="0.3">
      <c r="A3085" s="5"/>
      <c r="B3085" s="4"/>
      <c r="C3085" s="4"/>
      <c r="D3085" s="82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17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</row>
    <row r="3086" spans="1:38" x14ac:dyDescent="0.3">
      <c r="A3086" s="5"/>
      <c r="B3086" s="4"/>
      <c r="C3086" s="4"/>
      <c r="D3086" s="82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17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</row>
    <row r="3087" spans="1:38" x14ac:dyDescent="0.3">
      <c r="A3087" s="5"/>
      <c r="B3087" s="4"/>
      <c r="C3087" s="4"/>
      <c r="D3087" s="82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17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</row>
    <row r="3088" spans="1:38" x14ac:dyDescent="0.3">
      <c r="A3088" s="5"/>
      <c r="B3088" s="4"/>
      <c r="C3088" s="4"/>
      <c r="D3088" s="82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17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</row>
    <row r="3089" spans="1:38" x14ac:dyDescent="0.3">
      <c r="A3089" s="5"/>
      <c r="B3089" s="4"/>
      <c r="C3089" s="4"/>
      <c r="D3089" s="82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17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</row>
    <row r="3090" spans="1:38" x14ac:dyDescent="0.3">
      <c r="A3090" s="5"/>
      <c r="B3090" s="4"/>
      <c r="C3090" s="4"/>
      <c r="D3090" s="82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17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</row>
    <row r="3091" spans="1:38" x14ac:dyDescent="0.3">
      <c r="A3091" s="5"/>
      <c r="B3091" s="4"/>
      <c r="C3091" s="4"/>
      <c r="D3091" s="82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17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</row>
    <row r="3092" spans="1:38" x14ac:dyDescent="0.3">
      <c r="A3092" s="5"/>
      <c r="B3092" s="4"/>
      <c r="C3092" s="4"/>
      <c r="D3092" s="82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17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</row>
    <row r="3093" spans="1:38" x14ac:dyDescent="0.3">
      <c r="A3093" s="5"/>
      <c r="B3093" s="4"/>
      <c r="C3093" s="4"/>
      <c r="D3093" s="82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17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</row>
    <row r="3094" spans="1:38" x14ac:dyDescent="0.3">
      <c r="A3094" s="5"/>
      <c r="B3094" s="4"/>
      <c r="C3094" s="4"/>
      <c r="D3094" s="82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17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</row>
    <row r="3095" spans="1:38" x14ac:dyDescent="0.3">
      <c r="A3095" s="5"/>
      <c r="B3095" s="4"/>
      <c r="C3095" s="4"/>
      <c r="D3095" s="82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17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</row>
    <row r="3096" spans="1:38" x14ac:dyDescent="0.3">
      <c r="A3096" s="5"/>
      <c r="B3096" s="4"/>
      <c r="C3096" s="4"/>
      <c r="D3096" s="82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17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</row>
    <row r="3097" spans="1:38" x14ac:dyDescent="0.3">
      <c r="A3097" s="5"/>
      <c r="B3097" s="4"/>
      <c r="C3097" s="4"/>
      <c r="D3097" s="82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17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</row>
    <row r="3098" spans="1:38" x14ac:dyDescent="0.3">
      <c r="A3098" s="5"/>
      <c r="B3098" s="4"/>
      <c r="C3098" s="4"/>
      <c r="D3098" s="82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17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</row>
    <row r="3099" spans="1:38" x14ac:dyDescent="0.3">
      <c r="A3099" s="5"/>
      <c r="B3099" s="4"/>
      <c r="C3099" s="4"/>
      <c r="D3099" s="82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17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</row>
    <row r="3100" spans="1:38" x14ac:dyDescent="0.3">
      <c r="A3100" s="5"/>
      <c r="B3100" s="4"/>
      <c r="C3100" s="4"/>
      <c r="D3100" s="82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17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</row>
    <row r="3101" spans="1:38" x14ac:dyDescent="0.3">
      <c r="A3101" s="5"/>
      <c r="B3101" s="4"/>
      <c r="C3101" s="4"/>
      <c r="D3101" s="82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17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</row>
    <row r="3102" spans="1:38" x14ac:dyDescent="0.3">
      <c r="A3102" s="5"/>
      <c r="B3102" s="4"/>
      <c r="C3102" s="4"/>
      <c r="D3102" s="82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17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</row>
    <row r="3103" spans="1:38" x14ac:dyDescent="0.3">
      <c r="A3103" s="5"/>
      <c r="B3103" s="4"/>
      <c r="C3103" s="4"/>
      <c r="D3103" s="82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17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</row>
    <row r="3104" spans="1:38" x14ac:dyDescent="0.3">
      <c r="A3104" s="5"/>
      <c r="B3104" s="4"/>
      <c r="C3104" s="4"/>
      <c r="D3104" s="82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17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</row>
    <row r="3105" spans="1:38" x14ac:dyDescent="0.3">
      <c r="A3105" s="5"/>
      <c r="B3105" s="4"/>
      <c r="C3105" s="4"/>
      <c r="D3105" s="82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17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</row>
    <row r="3106" spans="1:38" x14ac:dyDescent="0.3">
      <c r="A3106" s="5"/>
      <c r="B3106" s="4"/>
      <c r="C3106" s="4"/>
      <c r="D3106" s="82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17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</row>
    <row r="3107" spans="1:38" x14ac:dyDescent="0.3">
      <c r="A3107" s="5"/>
      <c r="B3107" s="4"/>
      <c r="C3107" s="4"/>
      <c r="D3107" s="82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17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</row>
    <row r="3108" spans="1:38" x14ac:dyDescent="0.3">
      <c r="A3108" s="5"/>
      <c r="B3108" s="4"/>
      <c r="C3108" s="4"/>
      <c r="D3108" s="82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17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</row>
    <row r="3109" spans="1:38" x14ac:dyDescent="0.3">
      <c r="A3109" s="5"/>
      <c r="B3109" s="4"/>
      <c r="C3109" s="4"/>
      <c r="D3109" s="82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17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</row>
    <row r="3110" spans="1:38" x14ac:dyDescent="0.3">
      <c r="A3110" s="5"/>
      <c r="B3110" s="4"/>
      <c r="C3110" s="4"/>
      <c r="D3110" s="82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17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</row>
    <row r="3111" spans="1:38" x14ac:dyDescent="0.3">
      <c r="A3111" s="5"/>
      <c r="B3111" s="4"/>
      <c r="C3111" s="4"/>
      <c r="D3111" s="82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17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</row>
    <row r="3112" spans="1:38" x14ac:dyDescent="0.3">
      <c r="A3112" s="5"/>
      <c r="B3112" s="4"/>
      <c r="C3112" s="4"/>
      <c r="D3112" s="82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17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</row>
    <row r="3113" spans="1:38" x14ac:dyDescent="0.3">
      <c r="A3113" s="5"/>
      <c r="B3113" s="4"/>
      <c r="C3113" s="4"/>
      <c r="D3113" s="82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17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</row>
    <row r="3114" spans="1:38" x14ac:dyDescent="0.3">
      <c r="A3114" s="5"/>
      <c r="B3114" s="4"/>
      <c r="C3114" s="4"/>
      <c r="D3114" s="82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17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</row>
    <row r="3115" spans="1:38" x14ac:dyDescent="0.3">
      <c r="A3115" s="5"/>
      <c r="B3115" s="4"/>
      <c r="C3115" s="4"/>
      <c r="D3115" s="82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17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</row>
    <row r="3116" spans="1:38" x14ac:dyDescent="0.3">
      <c r="A3116" s="5"/>
      <c r="B3116" s="4"/>
      <c r="C3116" s="4"/>
      <c r="D3116" s="82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17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</row>
    <row r="3117" spans="1:38" x14ac:dyDescent="0.3">
      <c r="A3117" s="5"/>
      <c r="B3117" s="4"/>
      <c r="C3117" s="4"/>
      <c r="D3117" s="82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17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</row>
    <row r="3118" spans="1:38" x14ac:dyDescent="0.3">
      <c r="A3118" s="5"/>
      <c r="B3118" s="4"/>
      <c r="C3118" s="4"/>
      <c r="D3118" s="82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17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</row>
    <row r="3119" spans="1:38" x14ac:dyDescent="0.3">
      <c r="A3119" s="5"/>
      <c r="B3119" s="4"/>
      <c r="C3119" s="4"/>
      <c r="D3119" s="82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17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</row>
    <row r="3120" spans="1:38" x14ac:dyDescent="0.3">
      <c r="A3120" s="5"/>
      <c r="B3120" s="4"/>
      <c r="C3120" s="4"/>
      <c r="D3120" s="82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17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</row>
    <row r="3121" spans="1:38" x14ac:dyDescent="0.3">
      <c r="A3121" s="5"/>
      <c r="B3121" s="4"/>
      <c r="C3121" s="4"/>
      <c r="D3121" s="82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17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</row>
    <row r="3122" spans="1:38" x14ac:dyDescent="0.3">
      <c r="A3122" s="5"/>
      <c r="B3122" s="4"/>
      <c r="C3122" s="4"/>
      <c r="D3122" s="82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17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</row>
    <row r="3123" spans="1:38" x14ac:dyDescent="0.3">
      <c r="A3123" s="5"/>
      <c r="B3123" s="4"/>
      <c r="C3123" s="4"/>
      <c r="D3123" s="82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17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</row>
    <row r="3124" spans="1:38" x14ac:dyDescent="0.3">
      <c r="A3124" s="5"/>
      <c r="B3124" s="4"/>
      <c r="C3124" s="4"/>
      <c r="D3124" s="82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17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</row>
    <row r="3125" spans="1:38" x14ac:dyDescent="0.3">
      <c r="A3125" s="5"/>
      <c r="B3125" s="4"/>
      <c r="C3125" s="4"/>
      <c r="D3125" s="82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17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</row>
    <row r="3126" spans="1:38" x14ac:dyDescent="0.3">
      <c r="A3126" s="5"/>
      <c r="B3126" s="4"/>
      <c r="C3126" s="4"/>
      <c r="D3126" s="82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17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</row>
    <row r="3127" spans="1:38" x14ac:dyDescent="0.3">
      <c r="A3127" s="5"/>
      <c r="B3127" s="4"/>
      <c r="C3127" s="4"/>
      <c r="D3127" s="82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17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</row>
    <row r="3128" spans="1:38" x14ac:dyDescent="0.3">
      <c r="A3128" s="5"/>
      <c r="B3128" s="4"/>
      <c r="C3128" s="4"/>
      <c r="D3128" s="82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17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</row>
    <row r="3129" spans="1:38" x14ac:dyDescent="0.3">
      <c r="A3129" s="5"/>
      <c r="B3129" s="4"/>
      <c r="C3129" s="4"/>
      <c r="D3129" s="82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17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</row>
    <row r="3130" spans="1:38" x14ac:dyDescent="0.3">
      <c r="A3130" s="5"/>
      <c r="B3130" s="4"/>
      <c r="C3130" s="4"/>
      <c r="D3130" s="82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17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</row>
    <row r="3131" spans="1:38" x14ac:dyDescent="0.3">
      <c r="A3131" s="5"/>
      <c r="B3131" s="4"/>
      <c r="C3131" s="4"/>
      <c r="D3131" s="82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17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</row>
    <row r="3132" spans="1:38" x14ac:dyDescent="0.3">
      <c r="A3132" s="5"/>
      <c r="B3132" s="4"/>
      <c r="C3132" s="4"/>
      <c r="D3132" s="82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17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</row>
    <row r="3133" spans="1:38" x14ac:dyDescent="0.3">
      <c r="A3133" s="5"/>
      <c r="B3133" s="4"/>
      <c r="C3133" s="4"/>
      <c r="D3133" s="82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17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</row>
    <row r="3134" spans="1:38" x14ac:dyDescent="0.3">
      <c r="A3134" s="5"/>
      <c r="B3134" s="4"/>
      <c r="C3134" s="4"/>
      <c r="D3134" s="82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17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</row>
    <row r="3135" spans="1:38" x14ac:dyDescent="0.3">
      <c r="A3135" s="5"/>
      <c r="B3135" s="4"/>
      <c r="C3135" s="4"/>
      <c r="D3135" s="82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17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</row>
    <row r="3136" spans="1:38" x14ac:dyDescent="0.3">
      <c r="A3136" s="5"/>
      <c r="B3136" s="4"/>
      <c r="C3136" s="4"/>
      <c r="D3136" s="82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17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</row>
    <row r="3137" spans="1:38" x14ac:dyDescent="0.3">
      <c r="A3137" s="5"/>
      <c r="B3137" s="4"/>
      <c r="C3137" s="4"/>
      <c r="D3137" s="82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17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</row>
    <row r="3138" spans="1:38" x14ac:dyDescent="0.3">
      <c r="A3138" s="5"/>
      <c r="B3138" s="4"/>
      <c r="C3138" s="4"/>
      <c r="D3138" s="82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17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</row>
    <row r="3139" spans="1:38" x14ac:dyDescent="0.3">
      <c r="A3139" s="5"/>
      <c r="B3139" s="4"/>
      <c r="C3139" s="4"/>
      <c r="D3139" s="82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17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</row>
    <row r="3140" spans="1:38" x14ac:dyDescent="0.3">
      <c r="A3140" s="5"/>
      <c r="B3140" s="4"/>
      <c r="C3140" s="4"/>
      <c r="D3140" s="82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17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</row>
    <row r="3141" spans="1:38" x14ac:dyDescent="0.3">
      <c r="A3141" s="5"/>
      <c r="B3141" s="4"/>
      <c r="C3141" s="4"/>
      <c r="D3141" s="82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17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</row>
    <row r="3142" spans="1:38" x14ac:dyDescent="0.3">
      <c r="A3142" s="5"/>
      <c r="B3142" s="4"/>
      <c r="C3142" s="4"/>
      <c r="D3142" s="82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17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</row>
    <row r="3143" spans="1:38" x14ac:dyDescent="0.3">
      <c r="A3143" s="5"/>
      <c r="B3143" s="4"/>
      <c r="C3143" s="4"/>
      <c r="D3143" s="82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17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</row>
    <row r="3144" spans="1:38" x14ac:dyDescent="0.3">
      <c r="A3144" s="5"/>
      <c r="B3144" s="4"/>
      <c r="C3144" s="4"/>
      <c r="D3144" s="82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17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</row>
    <row r="3145" spans="1:38" x14ac:dyDescent="0.3">
      <c r="A3145" s="5"/>
      <c r="B3145" s="4"/>
      <c r="C3145" s="4"/>
      <c r="D3145" s="82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17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</row>
    <row r="3146" spans="1:38" x14ac:dyDescent="0.3">
      <c r="A3146" s="5"/>
      <c r="B3146" s="4"/>
      <c r="C3146" s="4"/>
      <c r="D3146" s="82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17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</row>
    <row r="3147" spans="1:38" x14ac:dyDescent="0.3">
      <c r="A3147" s="5"/>
      <c r="B3147" s="4"/>
      <c r="C3147" s="4"/>
      <c r="D3147" s="82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17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</row>
    <row r="3148" spans="1:38" x14ac:dyDescent="0.3">
      <c r="A3148" s="5"/>
      <c r="B3148" s="4"/>
      <c r="C3148" s="4"/>
      <c r="D3148" s="82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17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</row>
    <row r="3149" spans="1:38" x14ac:dyDescent="0.3">
      <c r="A3149" s="5"/>
      <c r="B3149" s="4"/>
      <c r="C3149" s="4"/>
      <c r="D3149" s="82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17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</row>
    <row r="3150" spans="1:38" x14ac:dyDescent="0.3">
      <c r="A3150" s="5"/>
      <c r="B3150" s="4"/>
      <c r="C3150" s="4"/>
      <c r="D3150" s="82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17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</row>
    <row r="3151" spans="1:38" x14ac:dyDescent="0.3">
      <c r="A3151" s="5"/>
      <c r="B3151" s="4"/>
      <c r="C3151" s="4"/>
      <c r="D3151" s="82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17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</row>
    <row r="3152" spans="1:38" x14ac:dyDescent="0.3">
      <c r="A3152" s="5"/>
      <c r="B3152" s="4"/>
      <c r="C3152" s="4"/>
      <c r="D3152" s="82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17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</row>
    <row r="3153" spans="1:38" x14ac:dyDescent="0.3">
      <c r="A3153" s="5"/>
      <c r="B3153" s="4"/>
      <c r="C3153" s="4"/>
      <c r="D3153" s="82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17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</row>
    <row r="3154" spans="1:38" x14ac:dyDescent="0.3">
      <c r="A3154" s="5"/>
      <c r="B3154" s="4"/>
      <c r="C3154" s="4"/>
      <c r="D3154" s="82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17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</row>
    <row r="3155" spans="1:38" x14ac:dyDescent="0.3">
      <c r="A3155" s="5"/>
      <c r="B3155" s="4"/>
      <c r="C3155" s="4"/>
      <c r="D3155" s="82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17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</row>
    <row r="3156" spans="1:38" x14ac:dyDescent="0.3">
      <c r="A3156" s="5"/>
      <c r="B3156" s="4"/>
      <c r="C3156" s="4"/>
      <c r="D3156" s="82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17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</row>
    <row r="3157" spans="1:38" x14ac:dyDescent="0.3">
      <c r="A3157" s="5"/>
      <c r="B3157" s="4"/>
      <c r="C3157" s="4"/>
      <c r="D3157" s="82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17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</row>
    <row r="3158" spans="1:38" x14ac:dyDescent="0.3">
      <c r="A3158" s="5"/>
      <c r="B3158" s="4"/>
      <c r="C3158" s="4"/>
      <c r="D3158" s="82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17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</row>
    <row r="3159" spans="1:38" x14ac:dyDescent="0.3">
      <c r="A3159" s="5"/>
      <c r="B3159" s="4"/>
      <c r="C3159" s="4"/>
      <c r="D3159" s="82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17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</row>
    <row r="3160" spans="1:38" x14ac:dyDescent="0.3">
      <c r="A3160" s="5"/>
      <c r="B3160" s="4"/>
      <c r="C3160" s="4"/>
      <c r="D3160" s="82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17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</row>
    <row r="3161" spans="1:38" x14ac:dyDescent="0.3">
      <c r="A3161" s="5"/>
      <c r="B3161" s="4"/>
      <c r="C3161" s="4"/>
      <c r="D3161" s="82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17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</row>
    <row r="3162" spans="1:38" x14ac:dyDescent="0.3">
      <c r="A3162" s="5"/>
      <c r="B3162" s="4"/>
      <c r="C3162" s="4"/>
      <c r="D3162" s="82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17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</row>
    <row r="3163" spans="1:38" x14ac:dyDescent="0.3">
      <c r="A3163" s="5"/>
      <c r="B3163" s="4"/>
      <c r="C3163" s="4"/>
      <c r="D3163" s="82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17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</row>
    <row r="3164" spans="1:38" x14ac:dyDescent="0.3">
      <c r="A3164" s="5"/>
      <c r="B3164" s="4"/>
      <c r="C3164" s="4"/>
      <c r="D3164" s="82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17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</row>
    <row r="3165" spans="1:38" x14ac:dyDescent="0.3">
      <c r="A3165" s="5"/>
      <c r="B3165" s="4"/>
      <c r="C3165" s="4"/>
      <c r="D3165" s="82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17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</row>
    <row r="3166" spans="1:38" x14ac:dyDescent="0.3">
      <c r="A3166" s="5"/>
      <c r="B3166" s="4"/>
      <c r="C3166" s="4"/>
      <c r="D3166" s="82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17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</row>
    <row r="3167" spans="1:38" x14ac:dyDescent="0.3">
      <c r="A3167" s="5"/>
      <c r="B3167" s="4"/>
      <c r="C3167" s="4"/>
      <c r="D3167" s="82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17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</row>
    <row r="3168" spans="1:38" x14ac:dyDescent="0.3">
      <c r="A3168" s="5"/>
      <c r="B3168" s="4"/>
      <c r="C3168" s="4"/>
      <c r="D3168" s="82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17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</row>
    <row r="3169" spans="1:38" x14ac:dyDescent="0.3">
      <c r="A3169" s="5"/>
      <c r="B3169" s="4"/>
      <c r="C3169" s="4"/>
      <c r="D3169" s="82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17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</row>
    <row r="3170" spans="1:38" x14ac:dyDescent="0.3">
      <c r="A3170" s="5"/>
      <c r="B3170" s="4"/>
      <c r="C3170" s="4"/>
      <c r="D3170" s="82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17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</row>
    <row r="3171" spans="1:38" x14ac:dyDescent="0.3">
      <c r="A3171" s="5"/>
      <c r="B3171" s="4"/>
      <c r="C3171" s="4"/>
      <c r="D3171" s="82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17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</row>
    <row r="3172" spans="1:38" x14ac:dyDescent="0.3">
      <c r="A3172" s="5"/>
      <c r="B3172" s="4"/>
      <c r="C3172" s="4"/>
      <c r="D3172" s="82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17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</row>
    <row r="3173" spans="1:38" x14ac:dyDescent="0.3">
      <c r="A3173" s="5"/>
      <c r="B3173" s="4"/>
      <c r="C3173" s="4"/>
      <c r="D3173" s="82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17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</row>
    <row r="3174" spans="1:38" x14ac:dyDescent="0.3">
      <c r="A3174" s="5"/>
      <c r="B3174" s="4"/>
      <c r="C3174" s="4"/>
      <c r="D3174" s="82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17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</row>
    <row r="3175" spans="1:38" x14ac:dyDescent="0.3">
      <c r="A3175" s="5"/>
      <c r="B3175" s="4"/>
      <c r="C3175" s="4"/>
      <c r="D3175" s="82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17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</row>
    <row r="3176" spans="1:38" x14ac:dyDescent="0.3">
      <c r="A3176" s="5"/>
      <c r="B3176" s="4"/>
      <c r="C3176" s="4"/>
      <c r="D3176" s="82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17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</row>
    <row r="3177" spans="1:38" x14ac:dyDescent="0.3">
      <c r="A3177" s="5"/>
      <c r="B3177" s="4"/>
      <c r="C3177" s="4"/>
      <c r="D3177" s="82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17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</row>
    <row r="3178" spans="1:38" x14ac:dyDescent="0.3">
      <c r="A3178" s="5"/>
      <c r="B3178" s="4"/>
      <c r="C3178" s="4"/>
      <c r="D3178" s="82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17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</row>
    <row r="3179" spans="1:38" x14ac:dyDescent="0.3">
      <c r="A3179" s="5"/>
      <c r="B3179" s="4"/>
      <c r="C3179" s="4"/>
      <c r="D3179" s="82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17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</row>
    <row r="3180" spans="1:38" x14ac:dyDescent="0.3">
      <c r="A3180" s="5"/>
      <c r="B3180" s="4"/>
      <c r="C3180" s="4"/>
      <c r="D3180" s="82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17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</row>
    <row r="3181" spans="1:38" x14ac:dyDescent="0.3">
      <c r="A3181" s="5"/>
      <c r="B3181" s="4"/>
      <c r="C3181" s="4"/>
      <c r="D3181" s="82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17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</row>
    <row r="3182" spans="1:38" x14ac:dyDescent="0.3">
      <c r="A3182" s="5"/>
      <c r="B3182" s="4"/>
      <c r="C3182" s="4"/>
      <c r="D3182" s="82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17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</row>
    <row r="3183" spans="1:38" x14ac:dyDescent="0.3">
      <c r="A3183" s="5"/>
      <c r="B3183" s="4"/>
      <c r="C3183" s="4"/>
      <c r="D3183" s="82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17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</row>
    <row r="3184" spans="1:38" x14ac:dyDescent="0.3">
      <c r="A3184" s="5"/>
      <c r="B3184" s="4"/>
      <c r="C3184" s="4"/>
      <c r="D3184" s="82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17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</row>
    <row r="3185" spans="1:38" x14ac:dyDescent="0.3">
      <c r="A3185" s="5"/>
      <c r="B3185" s="4"/>
      <c r="C3185" s="4"/>
      <c r="D3185" s="82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17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</row>
    <row r="3186" spans="1:38" x14ac:dyDescent="0.3">
      <c r="A3186" s="5"/>
      <c r="B3186" s="4"/>
      <c r="C3186" s="4"/>
      <c r="D3186" s="82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17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</row>
    <row r="3187" spans="1:38" x14ac:dyDescent="0.3">
      <c r="A3187" s="5"/>
      <c r="B3187" s="4"/>
      <c r="C3187" s="4"/>
      <c r="D3187" s="82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17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</row>
    <row r="3188" spans="1:38" x14ac:dyDescent="0.3">
      <c r="A3188" s="5"/>
      <c r="B3188" s="4"/>
      <c r="C3188" s="4"/>
      <c r="D3188" s="82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17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</row>
    <row r="3189" spans="1:38" x14ac:dyDescent="0.3">
      <c r="A3189" s="5"/>
      <c r="B3189" s="4"/>
      <c r="C3189" s="4"/>
      <c r="D3189" s="82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17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</row>
    <row r="3190" spans="1:38" x14ac:dyDescent="0.3">
      <c r="A3190" s="5"/>
      <c r="B3190" s="4"/>
      <c r="C3190" s="4"/>
      <c r="D3190" s="82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17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</row>
    <row r="3191" spans="1:38" x14ac:dyDescent="0.3">
      <c r="A3191" s="5"/>
      <c r="B3191" s="4"/>
      <c r="C3191" s="4"/>
      <c r="D3191" s="82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17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</row>
    <row r="3192" spans="1:38" x14ac:dyDescent="0.3">
      <c r="A3192" s="5"/>
      <c r="B3192" s="4"/>
      <c r="C3192" s="4"/>
      <c r="D3192" s="82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17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</row>
    <row r="3193" spans="1:38" x14ac:dyDescent="0.3">
      <c r="A3193" s="5"/>
      <c r="B3193" s="4"/>
      <c r="C3193" s="4"/>
      <c r="D3193" s="82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17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</row>
    <row r="3194" spans="1:38" x14ac:dyDescent="0.3">
      <c r="A3194" s="5"/>
      <c r="B3194" s="4"/>
      <c r="C3194" s="4"/>
      <c r="D3194" s="82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17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</row>
    <row r="3195" spans="1:38" x14ac:dyDescent="0.3">
      <c r="A3195" s="5"/>
      <c r="B3195" s="4"/>
      <c r="C3195" s="4"/>
      <c r="D3195" s="82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17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</row>
    <row r="3196" spans="1:38" x14ac:dyDescent="0.3">
      <c r="A3196" s="5"/>
      <c r="B3196" s="4"/>
      <c r="C3196" s="4"/>
      <c r="D3196" s="82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17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</row>
    <row r="3197" spans="1:38" x14ac:dyDescent="0.3">
      <c r="A3197" s="5"/>
      <c r="B3197" s="4"/>
      <c r="C3197" s="4"/>
      <c r="D3197" s="82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17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</row>
    <row r="3198" spans="1:38" x14ac:dyDescent="0.3">
      <c r="A3198" s="5"/>
      <c r="B3198" s="4"/>
      <c r="C3198" s="4"/>
      <c r="D3198" s="82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17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</row>
    <row r="3199" spans="1:38" x14ac:dyDescent="0.3">
      <c r="A3199" s="5"/>
      <c r="B3199" s="4"/>
      <c r="C3199" s="4"/>
      <c r="D3199" s="82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17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</row>
    <row r="3200" spans="1:38" x14ac:dyDescent="0.3">
      <c r="A3200" s="5"/>
      <c r="B3200" s="4"/>
      <c r="C3200" s="4"/>
      <c r="D3200" s="82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17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</row>
    <row r="3201" spans="1:38" x14ac:dyDescent="0.3">
      <c r="A3201" s="5"/>
      <c r="B3201" s="4"/>
      <c r="C3201" s="4"/>
      <c r="D3201" s="82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17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</row>
    <row r="3202" spans="1:38" x14ac:dyDescent="0.3">
      <c r="A3202" s="5"/>
      <c r="B3202" s="4"/>
      <c r="C3202" s="4"/>
      <c r="D3202" s="82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17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</row>
    <row r="3203" spans="1:38" x14ac:dyDescent="0.3">
      <c r="A3203" s="5"/>
      <c r="B3203" s="4"/>
      <c r="C3203" s="4"/>
      <c r="D3203" s="82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17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</row>
    <row r="3204" spans="1:38" x14ac:dyDescent="0.3">
      <c r="A3204" s="5"/>
      <c r="B3204" s="4"/>
      <c r="C3204" s="4"/>
      <c r="D3204" s="82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17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</row>
    <row r="3205" spans="1:38" x14ac:dyDescent="0.3">
      <c r="A3205" s="5"/>
      <c r="B3205" s="4"/>
      <c r="C3205" s="4"/>
      <c r="D3205" s="82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17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</row>
    <row r="3206" spans="1:38" x14ac:dyDescent="0.3">
      <c r="A3206" s="5"/>
      <c r="B3206" s="4"/>
      <c r="C3206" s="4"/>
      <c r="D3206" s="82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17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</row>
    <row r="3207" spans="1:38" x14ac:dyDescent="0.3">
      <c r="A3207" s="5"/>
      <c r="B3207" s="4"/>
      <c r="C3207" s="4"/>
      <c r="D3207" s="82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17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</row>
    <row r="3208" spans="1:38" x14ac:dyDescent="0.3">
      <c r="A3208" s="5"/>
      <c r="B3208" s="4"/>
      <c r="C3208" s="4"/>
      <c r="D3208" s="82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17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</row>
    <row r="3209" spans="1:38" x14ac:dyDescent="0.3">
      <c r="A3209" s="5"/>
      <c r="B3209" s="4"/>
      <c r="C3209" s="4"/>
      <c r="D3209" s="82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17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</row>
    <row r="3210" spans="1:38" x14ac:dyDescent="0.3">
      <c r="A3210" s="5"/>
      <c r="B3210" s="4"/>
      <c r="C3210" s="4"/>
      <c r="D3210" s="82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17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</row>
    <row r="3211" spans="1:38" x14ac:dyDescent="0.3">
      <c r="A3211" s="5"/>
      <c r="B3211" s="4"/>
      <c r="C3211" s="4"/>
      <c r="D3211" s="82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17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</row>
    <row r="3212" spans="1:38" x14ac:dyDescent="0.3">
      <c r="A3212" s="5"/>
      <c r="B3212" s="4"/>
      <c r="C3212" s="4"/>
      <c r="D3212" s="82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17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</row>
    <row r="3213" spans="1:38" x14ac:dyDescent="0.3">
      <c r="A3213" s="5"/>
      <c r="B3213" s="4"/>
      <c r="C3213" s="4"/>
      <c r="D3213" s="82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17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</row>
    <row r="3214" spans="1:38" x14ac:dyDescent="0.3">
      <c r="A3214" s="5"/>
      <c r="B3214" s="4"/>
      <c r="C3214" s="4"/>
      <c r="D3214" s="82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17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</row>
    <row r="3215" spans="1:38" x14ac:dyDescent="0.3">
      <c r="A3215" s="5"/>
      <c r="B3215" s="4"/>
      <c r="C3215" s="4"/>
      <c r="D3215" s="82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17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</row>
    <row r="3216" spans="1:38" x14ac:dyDescent="0.3">
      <c r="A3216" s="5"/>
      <c r="B3216" s="4"/>
      <c r="C3216" s="4"/>
      <c r="D3216" s="82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17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</row>
    <row r="3217" spans="1:38" x14ac:dyDescent="0.3">
      <c r="A3217" s="5"/>
      <c r="B3217" s="4"/>
      <c r="C3217" s="4"/>
      <c r="D3217" s="82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17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</row>
    <row r="3218" spans="1:38" x14ac:dyDescent="0.3">
      <c r="A3218" s="5"/>
      <c r="B3218" s="4"/>
      <c r="C3218" s="4"/>
      <c r="D3218" s="82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17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</row>
    <row r="3219" spans="1:38" x14ac:dyDescent="0.3">
      <c r="A3219" s="5"/>
      <c r="B3219" s="4"/>
      <c r="C3219" s="4"/>
      <c r="D3219" s="82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17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</row>
    <row r="3220" spans="1:38" x14ac:dyDescent="0.3">
      <c r="A3220" s="5"/>
      <c r="B3220" s="4"/>
      <c r="C3220" s="4"/>
      <c r="D3220" s="82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17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</row>
    <row r="3221" spans="1:38" x14ac:dyDescent="0.3">
      <c r="A3221" s="5"/>
      <c r="B3221" s="4"/>
      <c r="C3221" s="4"/>
      <c r="D3221" s="82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17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</row>
    <row r="3222" spans="1:38" x14ac:dyDescent="0.3">
      <c r="A3222" s="5"/>
      <c r="B3222" s="4"/>
      <c r="C3222" s="4"/>
      <c r="D3222" s="82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17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</row>
    <row r="3223" spans="1:38" x14ac:dyDescent="0.3">
      <c r="A3223" s="5"/>
      <c r="B3223" s="4"/>
      <c r="C3223" s="4"/>
      <c r="D3223" s="82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17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</row>
    <row r="3224" spans="1:38" x14ac:dyDescent="0.3">
      <c r="A3224" s="5"/>
      <c r="B3224" s="4"/>
      <c r="C3224" s="4"/>
      <c r="D3224" s="82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17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</row>
    <row r="3225" spans="1:38" x14ac:dyDescent="0.3">
      <c r="A3225" s="5"/>
      <c r="B3225" s="4"/>
      <c r="C3225" s="4"/>
      <c r="D3225" s="82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17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</row>
    <row r="3226" spans="1:38" x14ac:dyDescent="0.3">
      <c r="A3226" s="5"/>
      <c r="B3226" s="4"/>
      <c r="C3226" s="4"/>
      <c r="D3226" s="82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17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</row>
    <row r="3227" spans="1:38" x14ac:dyDescent="0.3">
      <c r="A3227" s="5"/>
      <c r="B3227" s="4"/>
      <c r="C3227" s="4"/>
      <c r="D3227" s="82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17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</row>
    <row r="3228" spans="1:38" x14ac:dyDescent="0.3">
      <c r="A3228" s="5"/>
      <c r="B3228" s="4"/>
      <c r="C3228" s="4"/>
      <c r="D3228" s="82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17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</row>
    <row r="3229" spans="1:38" x14ac:dyDescent="0.3">
      <c r="A3229" s="5"/>
      <c r="B3229" s="4"/>
      <c r="C3229" s="4"/>
      <c r="D3229" s="82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17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</row>
    <row r="3230" spans="1:38" x14ac:dyDescent="0.3">
      <c r="A3230" s="5"/>
      <c r="B3230" s="4"/>
      <c r="C3230" s="4"/>
      <c r="D3230" s="82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17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</row>
    <row r="3231" spans="1:38" x14ac:dyDescent="0.3">
      <c r="A3231" s="5"/>
      <c r="B3231" s="4"/>
      <c r="C3231" s="4"/>
      <c r="D3231" s="82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17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</row>
    <row r="3232" spans="1:38" x14ac:dyDescent="0.3">
      <c r="A3232" s="5"/>
      <c r="B3232" s="4"/>
      <c r="C3232" s="4"/>
      <c r="D3232" s="82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17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</row>
    <row r="3233" spans="1:38" x14ac:dyDescent="0.3">
      <c r="A3233" s="5"/>
      <c r="B3233" s="4"/>
      <c r="C3233" s="4"/>
      <c r="D3233" s="82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17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</row>
    <row r="3234" spans="1:38" x14ac:dyDescent="0.3">
      <c r="A3234" s="5"/>
      <c r="B3234" s="4"/>
      <c r="C3234" s="4"/>
      <c r="D3234" s="82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17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</row>
    <row r="3235" spans="1:38" x14ac:dyDescent="0.3">
      <c r="A3235" s="5"/>
      <c r="B3235" s="4"/>
      <c r="C3235" s="4"/>
      <c r="D3235" s="82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17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</row>
    <row r="3236" spans="1:38" x14ac:dyDescent="0.3">
      <c r="A3236" s="5"/>
      <c r="B3236" s="4"/>
      <c r="C3236" s="4"/>
      <c r="D3236" s="82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17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</row>
    <row r="3237" spans="1:38" x14ac:dyDescent="0.3">
      <c r="A3237" s="5"/>
      <c r="B3237" s="4"/>
      <c r="C3237" s="4"/>
      <c r="D3237" s="82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17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</row>
    <row r="3238" spans="1:38" x14ac:dyDescent="0.3">
      <c r="A3238" s="5"/>
      <c r="B3238" s="4"/>
      <c r="C3238" s="4"/>
      <c r="D3238" s="82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17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</row>
    <row r="3239" spans="1:38" x14ac:dyDescent="0.3">
      <c r="A3239" s="5"/>
      <c r="B3239" s="4"/>
      <c r="C3239" s="4"/>
      <c r="D3239" s="82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17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</row>
    <row r="3240" spans="1:38" x14ac:dyDescent="0.3">
      <c r="A3240" s="5"/>
      <c r="B3240" s="4"/>
      <c r="C3240" s="4"/>
      <c r="D3240" s="82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17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</row>
    <row r="3241" spans="1:38" x14ac:dyDescent="0.3">
      <c r="A3241" s="5"/>
      <c r="B3241" s="4"/>
      <c r="C3241" s="4"/>
      <c r="D3241" s="82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17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</row>
    <row r="3242" spans="1:38" x14ac:dyDescent="0.3">
      <c r="A3242" s="5"/>
      <c r="B3242" s="4"/>
      <c r="C3242" s="4"/>
      <c r="D3242" s="82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17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</row>
    <row r="3243" spans="1:38" x14ac:dyDescent="0.3">
      <c r="A3243" s="5"/>
      <c r="B3243" s="4"/>
      <c r="C3243" s="4"/>
      <c r="D3243" s="82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17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</row>
    <row r="3244" spans="1:38" x14ac:dyDescent="0.3">
      <c r="A3244" s="5"/>
      <c r="B3244" s="4"/>
      <c r="C3244" s="4"/>
      <c r="D3244" s="82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17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</row>
    <row r="3245" spans="1:38" x14ac:dyDescent="0.3">
      <c r="A3245" s="5"/>
      <c r="B3245" s="4"/>
      <c r="C3245" s="4"/>
      <c r="D3245" s="82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17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</row>
    <row r="3246" spans="1:38" x14ac:dyDescent="0.3">
      <c r="A3246" s="5"/>
      <c r="B3246" s="4"/>
      <c r="C3246" s="4"/>
      <c r="D3246" s="82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17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</row>
    <row r="3247" spans="1:38" x14ac:dyDescent="0.3">
      <c r="A3247" s="5"/>
      <c r="B3247" s="4"/>
      <c r="C3247" s="4"/>
      <c r="D3247" s="82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17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</row>
    <row r="3248" spans="1:38" x14ac:dyDescent="0.3">
      <c r="A3248" s="5"/>
      <c r="B3248" s="4"/>
      <c r="C3248" s="4"/>
      <c r="D3248" s="82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17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</row>
    <row r="3249" spans="1:38" x14ac:dyDescent="0.3">
      <c r="A3249" s="5"/>
      <c r="B3249" s="4"/>
      <c r="C3249" s="4"/>
      <c r="D3249" s="82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17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</row>
    <row r="3250" spans="1:38" x14ac:dyDescent="0.3">
      <c r="A3250" s="5"/>
      <c r="B3250" s="4"/>
      <c r="C3250" s="4"/>
      <c r="D3250" s="82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17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</row>
    <row r="3251" spans="1:38" x14ac:dyDescent="0.3">
      <c r="A3251" s="5"/>
      <c r="B3251" s="4"/>
      <c r="C3251" s="4"/>
      <c r="D3251" s="82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17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</row>
    <row r="3252" spans="1:38" x14ac:dyDescent="0.3">
      <c r="A3252" s="5"/>
      <c r="B3252" s="4"/>
      <c r="C3252" s="4"/>
      <c r="D3252" s="82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17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</row>
    <row r="3253" spans="1:38" x14ac:dyDescent="0.3">
      <c r="A3253" s="5"/>
      <c r="B3253" s="4"/>
      <c r="C3253" s="4"/>
      <c r="D3253" s="82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17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</row>
    <row r="3254" spans="1:38" x14ac:dyDescent="0.3">
      <c r="A3254" s="5"/>
      <c r="B3254" s="4"/>
      <c r="C3254" s="4"/>
      <c r="D3254" s="82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17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</row>
    <row r="3255" spans="1:38" x14ac:dyDescent="0.3">
      <c r="A3255" s="5"/>
      <c r="B3255" s="4"/>
      <c r="C3255" s="4"/>
      <c r="D3255" s="82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17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</row>
    <row r="3256" spans="1:38" x14ac:dyDescent="0.3">
      <c r="A3256" s="5"/>
      <c r="B3256" s="4"/>
      <c r="C3256" s="4"/>
      <c r="D3256" s="82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17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</row>
    <row r="3257" spans="1:38" x14ac:dyDescent="0.3">
      <c r="A3257" s="5"/>
      <c r="B3257" s="4"/>
      <c r="C3257" s="4"/>
      <c r="D3257" s="82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17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</row>
    <row r="3258" spans="1:38" x14ac:dyDescent="0.3">
      <c r="A3258" s="5"/>
      <c r="B3258" s="4"/>
      <c r="C3258" s="4"/>
      <c r="D3258" s="82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17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</row>
    <row r="3259" spans="1:38" x14ac:dyDescent="0.3">
      <c r="A3259" s="5"/>
      <c r="B3259" s="4"/>
      <c r="C3259" s="4"/>
      <c r="D3259" s="82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17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</row>
    <row r="3260" spans="1:38" x14ac:dyDescent="0.3">
      <c r="A3260" s="5"/>
      <c r="B3260" s="4"/>
      <c r="C3260" s="4"/>
      <c r="D3260" s="82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17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</row>
    <row r="3261" spans="1:38" x14ac:dyDescent="0.3">
      <c r="A3261" s="5"/>
      <c r="B3261" s="4"/>
      <c r="C3261" s="4"/>
      <c r="D3261" s="82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17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</row>
    <row r="3262" spans="1:38" x14ac:dyDescent="0.3">
      <c r="A3262" s="5"/>
      <c r="B3262" s="4"/>
      <c r="C3262" s="4"/>
      <c r="D3262" s="82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17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</row>
    <row r="3263" spans="1:38" x14ac:dyDescent="0.3">
      <c r="A3263" s="5"/>
      <c r="B3263" s="4"/>
      <c r="C3263" s="4"/>
      <c r="D3263" s="82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17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</row>
    <row r="3264" spans="1:38" x14ac:dyDescent="0.3">
      <c r="A3264" s="5"/>
      <c r="B3264" s="4"/>
      <c r="C3264" s="4"/>
      <c r="D3264" s="82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17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</row>
    <row r="3265" spans="1:38" x14ac:dyDescent="0.3">
      <c r="A3265" s="5"/>
      <c r="B3265" s="4"/>
      <c r="C3265" s="4"/>
      <c r="D3265" s="82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17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</row>
    <row r="3266" spans="1:38" x14ac:dyDescent="0.3">
      <c r="A3266" s="5"/>
      <c r="B3266" s="4"/>
      <c r="C3266" s="4"/>
      <c r="D3266" s="82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17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</row>
    <row r="3267" spans="1:38" x14ac:dyDescent="0.3">
      <c r="A3267" s="5"/>
      <c r="B3267" s="4"/>
      <c r="C3267" s="4"/>
      <c r="D3267" s="82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17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</row>
    <row r="3268" spans="1:38" x14ac:dyDescent="0.3">
      <c r="A3268" s="5"/>
      <c r="B3268" s="4"/>
      <c r="C3268" s="4"/>
      <c r="D3268" s="82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17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</row>
    <row r="3269" spans="1:38" x14ac:dyDescent="0.3">
      <c r="A3269" s="5"/>
      <c r="B3269" s="4"/>
      <c r="C3269" s="4"/>
      <c r="D3269" s="82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17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</row>
    <row r="3270" spans="1:38" x14ac:dyDescent="0.3">
      <c r="A3270" s="5"/>
      <c r="B3270" s="4"/>
      <c r="C3270" s="4"/>
      <c r="D3270" s="82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17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</row>
    <row r="3271" spans="1:38" x14ac:dyDescent="0.3">
      <c r="A3271" s="5"/>
      <c r="B3271" s="4"/>
      <c r="C3271" s="4"/>
      <c r="D3271" s="82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17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</row>
    <row r="3272" spans="1:38" x14ac:dyDescent="0.3">
      <c r="A3272" s="5"/>
      <c r="B3272" s="4"/>
      <c r="C3272" s="4"/>
      <c r="D3272" s="82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17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</row>
    <row r="3273" spans="1:38" x14ac:dyDescent="0.3">
      <c r="A3273" s="5"/>
      <c r="B3273" s="4"/>
      <c r="C3273" s="4"/>
      <c r="D3273" s="82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17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</row>
    <row r="3274" spans="1:38" x14ac:dyDescent="0.3">
      <c r="A3274" s="5"/>
      <c r="B3274" s="4"/>
      <c r="C3274" s="4"/>
      <c r="D3274" s="82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17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</row>
    <row r="3275" spans="1:38" x14ac:dyDescent="0.3">
      <c r="A3275" s="5"/>
      <c r="B3275" s="4"/>
      <c r="C3275" s="4"/>
      <c r="D3275" s="82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17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</row>
    <row r="3276" spans="1:38" x14ac:dyDescent="0.3">
      <c r="A3276" s="5"/>
      <c r="B3276" s="4"/>
      <c r="C3276" s="4"/>
      <c r="D3276" s="82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17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</row>
    <row r="3277" spans="1:38" x14ac:dyDescent="0.3">
      <c r="A3277" s="5"/>
      <c r="B3277" s="4"/>
      <c r="C3277" s="4"/>
      <c r="D3277" s="82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17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</row>
    <row r="3278" spans="1:38" x14ac:dyDescent="0.3">
      <c r="A3278" s="5"/>
      <c r="B3278" s="4"/>
      <c r="C3278" s="4"/>
      <c r="D3278" s="82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17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</row>
    <row r="3279" spans="1:38" x14ac:dyDescent="0.3">
      <c r="A3279" s="5"/>
      <c r="B3279" s="4"/>
      <c r="C3279" s="4"/>
      <c r="D3279" s="82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17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</row>
    <row r="3280" spans="1:38" x14ac:dyDescent="0.3">
      <c r="A3280" s="5"/>
      <c r="B3280" s="4"/>
      <c r="C3280" s="4"/>
      <c r="D3280" s="82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17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</row>
    <row r="3281" spans="1:38" x14ac:dyDescent="0.3">
      <c r="A3281" s="5"/>
      <c r="B3281" s="4"/>
      <c r="C3281" s="4"/>
      <c r="D3281" s="82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17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</row>
    <row r="3282" spans="1:38" x14ac:dyDescent="0.3">
      <c r="A3282" s="5"/>
      <c r="B3282" s="4"/>
      <c r="C3282" s="4"/>
      <c r="D3282" s="82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17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</row>
    <row r="3283" spans="1:38" x14ac:dyDescent="0.3">
      <c r="A3283" s="5"/>
      <c r="B3283" s="4"/>
      <c r="C3283" s="4"/>
      <c r="D3283" s="82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17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</row>
    <row r="3284" spans="1:38" x14ac:dyDescent="0.3">
      <c r="A3284" s="5"/>
      <c r="B3284" s="4"/>
      <c r="C3284" s="4"/>
      <c r="D3284" s="82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17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</row>
    <row r="3285" spans="1:38" x14ac:dyDescent="0.3">
      <c r="A3285" s="5"/>
      <c r="B3285" s="4"/>
      <c r="C3285" s="4"/>
      <c r="D3285" s="82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17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</row>
    <row r="3286" spans="1:38" x14ac:dyDescent="0.3">
      <c r="A3286" s="5"/>
      <c r="B3286" s="4"/>
      <c r="C3286" s="4"/>
      <c r="D3286" s="82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17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</row>
    <row r="3287" spans="1:38" x14ac:dyDescent="0.3">
      <c r="A3287" s="5"/>
      <c r="B3287" s="4"/>
      <c r="C3287" s="4"/>
      <c r="D3287" s="82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17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</row>
    <row r="3288" spans="1:38" x14ac:dyDescent="0.3">
      <c r="A3288" s="5"/>
      <c r="B3288" s="4"/>
      <c r="C3288" s="4"/>
      <c r="D3288" s="82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17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</row>
    <row r="3289" spans="1:38" x14ac:dyDescent="0.3">
      <c r="A3289" s="5"/>
      <c r="B3289" s="4"/>
      <c r="C3289" s="4"/>
      <c r="D3289" s="82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17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</row>
    <row r="3290" spans="1:38" x14ac:dyDescent="0.3">
      <c r="A3290" s="5"/>
      <c r="B3290" s="4"/>
      <c r="C3290" s="4"/>
      <c r="D3290" s="82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17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</row>
    <row r="3291" spans="1:38" x14ac:dyDescent="0.3">
      <c r="A3291" s="5"/>
      <c r="B3291" s="4"/>
      <c r="C3291" s="4"/>
      <c r="D3291" s="82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17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</row>
    <row r="3292" spans="1:38" x14ac:dyDescent="0.3">
      <c r="A3292" s="5"/>
      <c r="B3292" s="4"/>
      <c r="C3292" s="4"/>
      <c r="D3292" s="82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17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</row>
    <row r="3293" spans="1:38" x14ac:dyDescent="0.3">
      <c r="A3293" s="5"/>
      <c r="B3293" s="4"/>
      <c r="C3293" s="4"/>
      <c r="D3293" s="82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17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</row>
    <row r="3294" spans="1:38" x14ac:dyDescent="0.3">
      <c r="A3294" s="5"/>
      <c r="B3294" s="4"/>
      <c r="C3294" s="4"/>
      <c r="D3294" s="82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17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</row>
    <row r="3295" spans="1:38" x14ac:dyDescent="0.3">
      <c r="A3295" s="5"/>
      <c r="B3295" s="4"/>
      <c r="C3295" s="4"/>
      <c r="D3295" s="82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17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</row>
    <row r="3296" spans="1:38" x14ac:dyDescent="0.3">
      <c r="A3296" s="5"/>
      <c r="B3296" s="4"/>
      <c r="C3296" s="4"/>
      <c r="D3296" s="82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17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</row>
    <row r="3297" spans="1:38" x14ac:dyDescent="0.3">
      <c r="A3297" s="5"/>
      <c r="B3297" s="4"/>
      <c r="C3297" s="4"/>
      <c r="D3297" s="82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17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</row>
    <row r="3298" spans="1:38" x14ac:dyDescent="0.3">
      <c r="A3298" s="5"/>
      <c r="B3298" s="4"/>
      <c r="C3298" s="4"/>
      <c r="D3298" s="82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17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</row>
    <row r="3299" spans="1:38" x14ac:dyDescent="0.3">
      <c r="A3299" s="5"/>
      <c r="B3299" s="4"/>
      <c r="C3299" s="4"/>
      <c r="D3299" s="82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17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</row>
    <row r="3300" spans="1:38" x14ac:dyDescent="0.3">
      <c r="A3300" s="5"/>
      <c r="B3300" s="4"/>
      <c r="C3300" s="4"/>
      <c r="D3300" s="82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17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</row>
    <row r="3301" spans="1:38" x14ac:dyDescent="0.3">
      <c r="A3301" s="5"/>
      <c r="B3301" s="4"/>
      <c r="C3301" s="4"/>
      <c r="D3301" s="82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17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</row>
    <row r="3302" spans="1:38" x14ac:dyDescent="0.3">
      <c r="A3302" s="5"/>
      <c r="B3302" s="4"/>
      <c r="C3302" s="4"/>
      <c r="D3302" s="82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17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</row>
    <row r="3303" spans="1:38" x14ac:dyDescent="0.3">
      <c r="A3303" s="5"/>
      <c r="B3303" s="4"/>
      <c r="C3303" s="4"/>
      <c r="D3303" s="82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17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</row>
    <row r="3304" spans="1:38" x14ac:dyDescent="0.3">
      <c r="A3304" s="5"/>
      <c r="B3304" s="4"/>
      <c r="C3304" s="4"/>
      <c r="D3304" s="82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17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</row>
    <row r="3305" spans="1:38" x14ac:dyDescent="0.3">
      <c r="A3305" s="5"/>
      <c r="B3305" s="4"/>
      <c r="C3305" s="4"/>
      <c r="D3305" s="82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17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</row>
    <row r="3306" spans="1:38" x14ac:dyDescent="0.3">
      <c r="A3306" s="5"/>
      <c r="B3306" s="4"/>
      <c r="C3306" s="4"/>
      <c r="D3306" s="82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17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</row>
    <row r="3307" spans="1:38" x14ac:dyDescent="0.3">
      <c r="A3307" s="5"/>
      <c r="B3307" s="4"/>
      <c r="C3307" s="4"/>
      <c r="D3307" s="82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17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</row>
    <row r="3308" spans="1:38" x14ac:dyDescent="0.3">
      <c r="A3308" s="5"/>
      <c r="B3308" s="4"/>
      <c r="C3308" s="4"/>
      <c r="D3308" s="82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17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</row>
    <row r="3309" spans="1:38" x14ac:dyDescent="0.3">
      <c r="A3309" s="5"/>
      <c r="B3309" s="4"/>
      <c r="C3309" s="4"/>
      <c r="D3309" s="82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17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</row>
    <row r="3310" spans="1:38" x14ac:dyDescent="0.3">
      <c r="A3310" s="5"/>
      <c r="B3310" s="4"/>
      <c r="C3310" s="4"/>
      <c r="D3310" s="82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17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</row>
    <row r="3311" spans="1:38" x14ac:dyDescent="0.3">
      <c r="A3311" s="5"/>
      <c r="B3311" s="4"/>
      <c r="C3311" s="4"/>
      <c r="D3311" s="82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17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</row>
    <row r="3312" spans="1:38" x14ac:dyDescent="0.3">
      <c r="A3312" s="5"/>
      <c r="B3312" s="4"/>
      <c r="C3312" s="4"/>
      <c r="D3312" s="82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17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</row>
    <row r="3313" spans="1:38" x14ac:dyDescent="0.3">
      <c r="A3313" s="5"/>
      <c r="B3313" s="4"/>
      <c r="C3313" s="4"/>
      <c r="D3313" s="82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17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</row>
    <row r="3314" spans="1:38" x14ac:dyDescent="0.3">
      <c r="A3314" s="5"/>
      <c r="B3314" s="4"/>
      <c r="C3314" s="4"/>
      <c r="D3314" s="82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17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</row>
    <row r="3315" spans="1:38" x14ac:dyDescent="0.3">
      <c r="A3315" s="5"/>
      <c r="B3315" s="4"/>
      <c r="C3315" s="4"/>
      <c r="D3315" s="82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17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</row>
    <row r="3316" spans="1:38" x14ac:dyDescent="0.3">
      <c r="A3316" s="5"/>
      <c r="B3316" s="4"/>
      <c r="C3316" s="4"/>
      <c r="D3316" s="82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17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</row>
    <row r="3317" spans="1:38" x14ac:dyDescent="0.3">
      <c r="A3317" s="5"/>
      <c r="B3317" s="4"/>
      <c r="C3317" s="4"/>
      <c r="D3317" s="82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17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</row>
    <row r="3318" spans="1:38" x14ac:dyDescent="0.3">
      <c r="A3318" s="5"/>
      <c r="B3318" s="4"/>
      <c r="C3318" s="4"/>
      <c r="D3318" s="82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17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</row>
    <row r="3319" spans="1:38" x14ac:dyDescent="0.3">
      <c r="A3319" s="5"/>
      <c r="B3319" s="4"/>
      <c r="C3319" s="4"/>
      <c r="D3319" s="82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17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</row>
    <row r="3320" spans="1:38" x14ac:dyDescent="0.3">
      <c r="A3320" s="5"/>
      <c r="B3320" s="4"/>
      <c r="C3320" s="4"/>
      <c r="D3320" s="82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17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</row>
    <row r="3321" spans="1:38" x14ac:dyDescent="0.3">
      <c r="A3321" s="5"/>
      <c r="B3321" s="4"/>
      <c r="C3321" s="4"/>
      <c r="D3321" s="82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17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</row>
    <row r="3322" spans="1:38" x14ac:dyDescent="0.3">
      <c r="A3322" s="5"/>
      <c r="B3322" s="4"/>
      <c r="C3322" s="4"/>
      <c r="D3322" s="82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17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</row>
    <row r="3323" spans="1:38" x14ac:dyDescent="0.3">
      <c r="A3323" s="5"/>
      <c r="B3323" s="4"/>
      <c r="C3323" s="4"/>
      <c r="D3323" s="82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17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</row>
    <row r="3324" spans="1:38" x14ac:dyDescent="0.3">
      <c r="A3324" s="5"/>
      <c r="B3324" s="4"/>
      <c r="C3324" s="4"/>
      <c r="D3324" s="82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17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</row>
    <row r="3325" spans="1:38" x14ac:dyDescent="0.3">
      <c r="A3325" s="5"/>
      <c r="B3325" s="4"/>
      <c r="C3325" s="4"/>
      <c r="D3325" s="82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17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</row>
    <row r="3326" spans="1:38" x14ac:dyDescent="0.3">
      <c r="A3326" s="5"/>
      <c r="B3326" s="4"/>
      <c r="C3326" s="4"/>
      <c r="D3326" s="82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17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</row>
    <row r="3327" spans="1:38" x14ac:dyDescent="0.3">
      <c r="A3327" s="5"/>
      <c r="B3327" s="4"/>
      <c r="C3327" s="4"/>
      <c r="D3327" s="82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17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</row>
    <row r="3328" spans="1:38" x14ac:dyDescent="0.3">
      <c r="A3328" s="5"/>
      <c r="B3328" s="4"/>
      <c r="C3328" s="4"/>
      <c r="D3328" s="82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17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</row>
    <row r="3329" spans="1:38" x14ac:dyDescent="0.3">
      <c r="A3329" s="5"/>
      <c r="B3329" s="4"/>
      <c r="C3329" s="4"/>
      <c r="D3329" s="82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17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</row>
    <row r="3330" spans="1:38" x14ac:dyDescent="0.3">
      <c r="A3330" s="5"/>
      <c r="B3330" s="4"/>
      <c r="C3330" s="4"/>
      <c r="D3330" s="82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17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</row>
    <row r="3331" spans="1:38" x14ac:dyDescent="0.3">
      <c r="A3331" s="5"/>
      <c r="B3331" s="4"/>
      <c r="C3331" s="4"/>
      <c r="D3331" s="82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17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</row>
    <row r="3332" spans="1:38" x14ac:dyDescent="0.3">
      <c r="A3332" s="5"/>
      <c r="B3332" s="4"/>
      <c r="C3332" s="4"/>
      <c r="D3332" s="82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17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</row>
    <row r="3333" spans="1:38" x14ac:dyDescent="0.3">
      <c r="A3333" s="5"/>
      <c r="B3333" s="4"/>
      <c r="C3333" s="4"/>
      <c r="D3333" s="82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17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</row>
    <row r="3334" spans="1:38" x14ac:dyDescent="0.3">
      <c r="A3334" s="5"/>
      <c r="B3334" s="4"/>
      <c r="C3334" s="4"/>
      <c r="D3334" s="82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17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</row>
    <row r="3335" spans="1:38" x14ac:dyDescent="0.3">
      <c r="A3335" s="5"/>
      <c r="B3335" s="4"/>
      <c r="C3335" s="4"/>
      <c r="D3335" s="82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17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</row>
    <row r="3336" spans="1:38" x14ac:dyDescent="0.3">
      <c r="A3336" s="5"/>
      <c r="B3336" s="4"/>
      <c r="C3336" s="4"/>
      <c r="D3336" s="82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17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</row>
    <row r="3337" spans="1:38" x14ac:dyDescent="0.3">
      <c r="A3337" s="5"/>
      <c r="B3337" s="4"/>
      <c r="C3337" s="4"/>
      <c r="D3337" s="82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17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</row>
    <row r="3338" spans="1:38" x14ac:dyDescent="0.3">
      <c r="A3338" s="5"/>
      <c r="B3338" s="4"/>
      <c r="C3338" s="4"/>
      <c r="D3338" s="82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17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</row>
    <row r="3339" spans="1:38" x14ac:dyDescent="0.3">
      <c r="A3339" s="5"/>
      <c r="B3339" s="4"/>
      <c r="C3339" s="4"/>
      <c r="D3339" s="82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17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</row>
    <row r="3340" spans="1:38" x14ac:dyDescent="0.3">
      <c r="A3340" s="5"/>
      <c r="B3340" s="4"/>
      <c r="C3340" s="4"/>
      <c r="D3340" s="82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17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</row>
    <row r="3341" spans="1:38" x14ac:dyDescent="0.3">
      <c r="A3341" s="5"/>
      <c r="B3341" s="4"/>
      <c r="C3341" s="4"/>
      <c r="D3341" s="82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17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</row>
    <row r="3342" spans="1:38" x14ac:dyDescent="0.3">
      <c r="A3342" s="5"/>
      <c r="B3342" s="4"/>
      <c r="C3342" s="4"/>
      <c r="D3342" s="82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17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</row>
    <row r="3343" spans="1:38" x14ac:dyDescent="0.3">
      <c r="A3343" s="5"/>
      <c r="B3343" s="4"/>
      <c r="C3343" s="4"/>
      <c r="D3343" s="82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17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</row>
    <row r="3344" spans="1:38" x14ac:dyDescent="0.3">
      <c r="A3344" s="5"/>
      <c r="B3344" s="4"/>
      <c r="C3344" s="4"/>
      <c r="D3344" s="82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17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</row>
    <row r="3345" spans="1:38" x14ac:dyDescent="0.3">
      <c r="A3345" s="5"/>
      <c r="B3345" s="4"/>
      <c r="C3345" s="4"/>
      <c r="D3345" s="82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17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</row>
    <row r="3346" spans="1:38" x14ac:dyDescent="0.3">
      <c r="A3346" s="5"/>
      <c r="B3346" s="4"/>
      <c r="C3346" s="4"/>
      <c r="D3346" s="82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17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</row>
    <row r="3347" spans="1:38" x14ac:dyDescent="0.3">
      <c r="A3347" s="5"/>
      <c r="B3347" s="4"/>
      <c r="C3347" s="4"/>
      <c r="D3347" s="82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17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</row>
    <row r="3348" spans="1:38" x14ac:dyDescent="0.3">
      <c r="A3348" s="5"/>
      <c r="B3348" s="4"/>
      <c r="C3348" s="4"/>
      <c r="D3348" s="82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17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</row>
    <row r="3349" spans="1:38" x14ac:dyDescent="0.3">
      <c r="A3349" s="5"/>
      <c r="B3349" s="4"/>
      <c r="C3349" s="4"/>
      <c r="D3349" s="82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17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</row>
    <row r="3350" spans="1:38" x14ac:dyDescent="0.3">
      <c r="A3350" s="5"/>
      <c r="B3350" s="4"/>
      <c r="C3350" s="4"/>
      <c r="D3350" s="82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17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</row>
    <row r="3351" spans="1:38" x14ac:dyDescent="0.3">
      <c r="A3351" s="5"/>
      <c r="B3351" s="4"/>
      <c r="C3351" s="4"/>
      <c r="D3351" s="82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17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</row>
    <row r="3352" spans="1:38" x14ac:dyDescent="0.3">
      <c r="A3352" s="5"/>
      <c r="B3352" s="4"/>
      <c r="C3352" s="4"/>
      <c r="D3352" s="82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17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</row>
    <row r="3353" spans="1:38" x14ac:dyDescent="0.3">
      <c r="A3353" s="5"/>
      <c r="B3353" s="4"/>
      <c r="C3353" s="4"/>
      <c r="D3353" s="82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17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</row>
    <row r="3354" spans="1:38" x14ac:dyDescent="0.3">
      <c r="A3354" s="5"/>
      <c r="B3354" s="4"/>
      <c r="C3354" s="4"/>
      <c r="D3354" s="82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17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</row>
    <row r="3355" spans="1:38" x14ac:dyDescent="0.3">
      <c r="A3355" s="5"/>
      <c r="B3355" s="4"/>
      <c r="C3355" s="4"/>
      <c r="D3355" s="82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17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</row>
    <row r="3356" spans="1:38" x14ac:dyDescent="0.3">
      <c r="A3356" s="5"/>
      <c r="B3356" s="4"/>
      <c r="C3356" s="4"/>
      <c r="D3356" s="82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17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</row>
    <row r="3357" spans="1:38" x14ac:dyDescent="0.3">
      <c r="A3357" s="5"/>
      <c r="B3357" s="4"/>
      <c r="C3357" s="4"/>
      <c r="D3357" s="82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17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</row>
    <row r="3358" spans="1:38" x14ac:dyDescent="0.3">
      <c r="A3358" s="5"/>
      <c r="B3358" s="4"/>
      <c r="C3358" s="4"/>
      <c r="D3358" s="82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17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</row>
    <row r="3359" spans="1:38" x14ac:dyDescent="0.3">
      <c r="A3359" s="5"/>
      <c r="B3359" s="4"/>
      <c r="C3359" s="4"/>
      <c r="D3359" s="82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17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</row>
    <row r="3360" spans="1:38" x14ac:dyDescent="0.3">
      <c r="A3360" s="5"/>
      <c r="B3360" s="4"/>
      <c r="C3360" s="4"/>
      <c r="D3360" s="82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17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</row>
    <row r="3361" spans="1:38" x14ac:dyDescent="0.3">
      <c r="A3361" s="5"/>
      <c r="B3361" s="4"/>
      <c r="C3361" s="4"/>
      <c r="D3361" s="82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17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</row>
    <row r="3362" spans="1:38" x14ac:dyDescent="0.3">
      <c r="A3362" s="5"/>
      <c r="B3362" s="4"/>
      <c r="C3362" s="4"/>
      <c r="D3362" s="82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17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</row>
    <row r="3363" spans="1:38" x14ac:dyDescent="0.3">
      <c r="A3363" s="5"/>
      <c r="B3363" s="4"/>
      <c r="C3363" s="4"/>
      <c r="D3363" s="82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17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</row>
    <row r="3364" spans="1:38" x14ac:dyDescent="0.3">
      <c r="A3364" s="5"/>
      <c r="B3364" s="4"/>
      <c r="C3364" s="4"/>
      <c r="D3364" s="82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17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</row>
    <row r="3365" spans="1:38" x14ac:dyDescent="0.3">
      <c r="A3365" s="5"/>
      <c r="B3365" s="4"/>
      <c r="C3365" s="4"/>
      <c r="D3365" s="82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17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</row>
    <row r="3366" spans="1:38" x14ac:dyDescent="0.3">
      <c r="A3366" s="5"/>
      <c r="B3366" s="4"/>
      <c r="C3366" s="4"/>
      <c r="D3366" s="82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17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</row>
    <row r="3367" spans="1:38" x14ac:dyDescent="0.3">
      <c r="A3367" s="5"/>
      <c r="B3367" s="4"/>
      <c r="C3367" s="4"/>
      <c r="D3367" s="82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17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</row>
    <row r="3368" spans="1:38" x14ac:dyDescent="0.3">
      <c r="A3368" s="5"/>
      <c r="B3368" s="4"/>
      <c r="C3368" s="4"/>
      <c r="D3368" s="82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17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</row>
    <row r="3369" spans="1:38" x14ac:dyDescent="0.3">
      <c r="A3369" s="5"/>
      <c r="B3369" s="4"/>
      <c r="C3369" s="4"/>
      <c r="D3369" s="82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17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</row>
    <row r="3370" spans="1:38" x14ac:dyDescent="0.3">
      <c r="A3370" s="5"/>
      <c r="B3370" s="4"/>
      <c r="C3370" s="4"/>
      <c r="D3370" s="82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17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</row>
    <row r="3371" spans="1:38" x14ac:dyDescent="0.3">
      <c r="A3371" s="5"/>
      <c r="B3371" s="4"/>
      <c r="C3371" s="4"/>
      <c r="D3371" s="82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17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</row>
    <row r="3372" spans="1:38" x14ac:dyDescent="0.3">
      <c r="A3372" s="5"/>
      <c r="B3372" s="4"/>
      <c r="C3372" s="4"/>
      <c r="D3372" s="82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17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</row>
    <row r="3373" spans="1:38" x14ac:dyDescent="0.3">
      <c r="A3373" s="5"/>
      <c r="B3373" s="4"/>
      <c r="C3373" s="4"/>
      <c r="D3373" s="82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17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</row>
    <row r="3374" spans="1:38" x14ac:dyDescent="0.3">
      <c r="A3374" s="5"/>
      <c r="B3374" s="4"/>
      <c r="C3374" s="4"/>
      <c r="D3374" s="82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17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</row>
    <row r="3375" spans="1:38" x14ac:dyDescent="0.3">
      <c r="A3375" s="5"/>
      <c r="B3375" s="4"/>
      <c r="C3375" s="4"/>
      <c r="D3375" s="82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17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</row>
    <row r="3376" spans="1:38" x14ac:dyDescent="0.3">
      <c r="A3376" s="5"/>
      <c r="B3376" s="4"/>
      <c r="C3376" s="4"/>
      <c r="D3376" s="82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17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</row>
    <row r="3377" spans="1:38" x14ac:dyDescent="0.3">
      <c r="A3377" s="5"/>
      <c r="B3377" s="4"/>
      <c r="C3377" s="4"/>
      <c r="D3377" s="82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17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</row>
    <row r="3378" spans="1:38" x14ac:dyDescent="0.3">
      <c r="A3378" s="5"/>
      <c r="B3378" s="4"/>
      <c r="C3378" s="4"/>
      <c r="D3378" s="82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17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</row>
    <row r="3379" spans="1:38" x14ac:dyDescent="0.3">
      <c r="A3379" s="5"/>
      <c r="B3379" s="4"/>
      <c r="C3379" s="4"/>
      <c r="D3379" s="82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17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</row>
    <row r="3380" spans="1:38" x14ac:dyDescent="0.3">
      <c r="A3380" s="5"/>
      <c r="B3380" s="4"/>
      <c r="C3380" s="4"/>
      <c r="D3380" s="82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17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</row>
    <row r="3381" spans="1:38" x14ac:dyDescent="0.3">
      <c r="A3381" s="5"/>
      <c r="B3381" s="4"/>
      <c r="C3381" s="4"/>
      <c r="D3381" s="82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17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</row>
    <row r="3382" spans="1:38" x14ac:dyDescent="0.3">
      <c r="A3382" s="5"/>
      <c r="B3382" s="4"/>
      <c r="C3382" s="4"/>
      <c r="D3382" s="82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17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</row>
    <row r="3383" spans="1:38" x14ac:dyDescent="0.3">
      <c r="A3383" s="5"/>
      <c r="B3383" s="4"/>
      <c r="C3383" s="4"/>
      <c r="D3383" s="82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17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</row>
    <row r="3384" spans="1:38" x14ac:dyDescent="0.3">
      <c r="A3384" s="5"/>
      <c r="B3384" s="4"/>
      <c r="C3384" s="4"/>
      <c r="D3384" s="82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17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</row>
    <row r="3385" spans="1:38" x14ac:dyDescent="0.3">
      <c r="A3385" s="5"/>
      <c r="B3385" s="4"/>
      <c r="C3385" s="4"/>
      <c r="D3385" s="82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17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</row>
    <row r="3386" spans="1:38" x14ac:dyDescent="0.3">
      <c r="A3386" s="5"/>
      <c r="B3386" s="4"/>
      <c r="C3386" s="4"/>
      <c r="D3386" s="82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17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</row>
    <row r="3387" spans="1:38" x14ac:dyDescent="0.3">
      <c r="A3387" s="5"/>
      <c r="B3387" s="4"/>
      <c r="C3387" s="4"/>
      <c r="D3387" s="82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17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</row>
    <row r="3388" spans="1:38" x14ac:dyDescent="0.3">
      <c r="A3388" s="5"/>
      <c r="B3388" s="4"/>
      <c r="C3388" s="4"/>
      <c r="D3388" s="82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17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</row>
    <row r="3389" spans="1:38" x14ac:dyDescent="0.3">
      <c r="A3389" s="5"/>
      <c r="B3389" s="4"/>
      <c r="C3389" s="4"/>
      <c r="D3389" s="82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17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</row>
    <row r="3390" spans="1:38" x14ac:dyDescent="0.3">
      <c r="A3390" s="5"/>
      <c r="B3390" s="4"/>
      <c r="C3390" s="4"/>
      <c r="D3390" s="82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17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</row>
    <row r="3391" spans="1:38" x14ac:dyDescent="0.3">
      <c r="A3391" s="5"/>
      <c r="B3391" s="4"/>
      <c r="C3391" s="4"/>
      <c r="D3391" s="82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17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</row>
    <row r="3392" spans="1:38" x14ac:dyDescent="0.3">
      <c r="A3392" s="5"/>
      <c r="B3392" s="4"/>
      <c r="C3392" s="4"/>
      <c r="D3392" s="82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17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</row>
    <row r="3393" spans="1:38" x14ac:dyDescent="0.3">
      <c r="A3393" s="5"/>
      <c r="B3393" s="4"/>
      <c r="C3393" s="4"/>
      <c r="D3393" s="82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17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</row>
    <row r="3394" spans="1:38" x14ac:dyDescent="0.3">
      <c r="A3394" s="5"/>
      <c r="B3394" s="4"/>
      <c r="C3394" s="4"/>
      <c r="D3394" s="82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17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</row>
    <row r="3395" spans="1:38" x14ac:dyDescent="0.3">
      <c r="A3395" s="5"/>
      <c r="B3395" s="4"/>
      <c r="C3395" s="4"/>
      <c r="D3395" s="82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17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</row>
    <row r="3396" spans="1:38" x14ac:dyDescent="0.3">
      <c r="A3396" s="5"/>
      <c r="B3396" s="4"/>
      <c r="C3396" s="4"/>
      <c r="D3396" s="82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17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</row>
    <row r="3397" spans="1:38" x14ac:dyDescent="0.3">
      <c r="A3397" s="5"/>
      <c r="B3397" s="4"/>
      <c r="C3397" s="4"/>
      <c r="D3397" s="82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17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</row>
    <row r="3398" spans="1:38" x14ac:dyDescent="0.3">
      <c r="A3398" s="5"/>
      <c r="B3398" s="4"/>
      <c r="C3398" s="4"/>
      <c r="D3398" s="82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17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</row>
    <row r="3399" spans="1:38" x14ac:dyDescent="0.3">
      <c r="A3399" s="5"/>
      <c r="B3399" s="4"/>
      <c r="C3399" s="4"/>
      <c r="D3399" s="82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17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</row>
    <row r="3400" spans="1:38" x14ac:dyDescent="0.3">
      <c r="A3400" s="5"/>
      <c r="B3400" s="4"/>
      <c r="C3400" s="4"/>
      <c r="D3400" s="82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17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</row>
    <row r="3401" spans="1:38" x14ac:dyDescent="0.3">
      <c r="A3401" s="5"/>
      <c r="B3401" s="4"/>
      <c r="C3401" s="4"/>
      <c r="D3401" s="82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17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</row>
    <row r="3402" spans="1:38" x14ac:dyDescent="0.3">
      <c r="A3402" s="5"/>
      <c r="B3402" s="4"/>
      <c r="C3402" s="4"/>
      <c r="D3402" s="82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17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</row>
    <row r="3403" spans="1:38" x14ac:dyDescent="0.3">
      <c r="A3403" s="5"/>
      <c r="B3403" s="4"/>
      <c r="C3403" s="4"/>
      <c r="D3403" s="82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17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</row>
    <row r="3404" spans="1:38" x14ac:dyDescent="0.3">
      <c r="A3404" s="5"/>
      <c r="B3404" s="4"/>
      <c r="C3404" s="4"/>
      <c r="D3404" s="82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17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</row>
    <row r="3405" spans="1:38" x14ac:dyDescent="0.3">
      <c r="A3405" s="5"/>
      <c r="B3405" s="4"/>
      <c r="C3405" s="4"/>
      <c r="D3405" s="82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17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</row>
    <row r="3406" spans="1:38" x14ac:dyDescent="0.3">
      <c r="A3406" s="5"/>
      <c r="B3406" s="4"/>
      <c r="C3406" s="4"/>
      <c r="D3406" s="82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17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</row>
    <row r="3407" spans="1:38" x14ac:dyDescent="0.3">
      <c r="A3407" s="5"/>
      <c r="B3407" s="4"/>
      <c r="C3407" s="4"/>
      <c r="D3407" s="82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17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</row>
    <row r="3408" spans="1:38" x14ac:dyDescent="0.3">
      <c r="A3408" s="5"/>
      <c r="B3408" s="4"/>
      <c r="C3408" s="4"/>
      <c r="D3408" s="82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17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</row>
    <row r="3409" spans="1:38" x14ac:dyDescent="0.3">
      <c r="A3409" s="5"/>
      <c r="B3409" s="4"/>
      <c r="C3409" s="4"/>
      <c r="D3409" s="82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17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</row>
    <row r="3410" spans="1:38" x14ac:dyDescent="0.3">
      <c r="A3410" s="5"/>
      <c r="B3410" s="4"/>
      <c r="C3410" s="4"/>
      <c r="D3410" s="82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17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</row>
    <row r="3411" spans="1:38" x14ac:dyDescent="0.3">
      <c r="A3411" s="5"/>
      <c r="B3411" s="4"/>
      <c r="C3411" s="4"/>
      <c r="D3411" s="82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17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</row>
    <row r="3412" spans="1:38" x14ac:dyDescent="0.3">
      <c r="A3412" s="5"/>
      <c r="B3412" s="4"/>
      <c r="C3412" s="4"/>
      <c r="D3412" s="82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17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</row>
    <row r="3413" spans="1:38" x14ac:dyDescent="0.3">
      <c r="A3413" s="5"/>
      <c r="B3413" s="4"/>
      <c r="C3413" s="4"/>
      <c r="D3413" s="82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17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</row>
    <row r="3414" spans="1:38" x14ac:dyDescent="0.3">
      <c r="A3414" s="5"/>
      <c r="B3414" s="4"/>
      <c r="C3414" s="4"/>
      <c r="D3414" s="82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17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</row>
    <row r="3415" spans="1:38" x14ac:dyDescent="0.3">
      <c r="A3415" s="5"/>
      <c r="B3415" s="4"/>
      <c r="C3415" s="4"/>
      <c r="D3415" s="82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17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</row>
    <row r="3416" spans="1:38" x14ac:dyDescent="0.3">
      <c r="A3416" s="5"/>
      <c r="B3416" s="4"/>
      <c r="C3416" s="4"/>
      <c r="D3416" s="82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17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</row>
    <row r="3417" spans="1:38" x14ac:dyDescent="0.3">
      <c r="A3417" s="5"/>
      <c r="B3417" s="4"/>
      <c r="C3417" s="4"/>
      <c r="D3417" s="82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17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</row>
    <row r="3418" spans="1:38" x14ac:dyDescent="0.3">
      <c r="A3418" s="5"/>
      <c r="B3418" s="4"/>
      <c r="C3418" s="4"/>
      <c r="D3418" s="82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17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</row>
    <row r="3419" spans="1:38" x14ac:dyDescent="0.3">
      <c r="A3419" s="5"/>
      <c r="B3419" s="4"/>
      <c r="C3419" s="4"/>
      <c r="D3419" s="82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17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</row>
    <row r="3420" spans="1:38" x14ac:dyDescent="0.3">
      <c r="A3420" s="5"/>
      <c r="B3420" s="4"/>
      <c r="C3420" s="4"/>
      <c r="D3420" s="82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17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</row>
    <row r="3421" spans="1:38" x14ac:dyDescent="0.3">
      <c r="A3421" s="5"/>
      <c r="B3421" s="4"/>
      <c r="C3421" s="4"/>
      <c r="D3421" s="82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17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</row>
    <row r="3422" spans="1:38" x14ac:dyDescent="0.3">
      <c r="A3422" s="5"/>
      <c r="B3422" s="4"/>
      <c r="C3422" s="4"/>
      <c r="D3422" s="82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17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</row>
    <row r="3423" spans="1:38" x14ac:dyDescent="0.3">
      <c r="A3423" s="5"/>
      <c r="B3423" s="4"/>
      <c r="C3423" s="4"/>
      <c r="D3423" s="82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17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</row>
    <row r="3424" spans="1:38" x14ac:dyDescent="0.3">
      <c r="A3424" s="5"/>
      <c r="B3424" s="4"/>
      <c r="C3424" s="4"/>
      <c r="D3424" s="82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17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</row>
    <row r="3425" spans="1:38" x14ac:dyDescent="0.3">
      <c r="A3425" s="5"/>
      <c r="B3425" s="4"/>
      <c r="C3425" s="4"/>
      <c r="D3425" s="82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17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</row>
    <row r="3426" spans="1:38" x14ac:dyDescent="0.3">
      <c r="A3426" s="5"/>
      <c r="B3426" s="4"/>
      <c r="C3426" s="4"/>
      <c r="D3426" s="82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17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</row>
    <row r="3427" spans="1:38" x14ac:dyDescent="0.3">
      <c r="A3427" s="5"/>
      <c r="B3427" s="4"/>
      <c r="C3427" s="4"/>
      <c r="D3427" s="82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17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</row>
    <row r="3428" spans="1:38" x14ac:dyDescent="0.3">
      <c r="A3428" s="5"/>
      <c r="B3428" s="4"/>
      <c r="C3428" s="4"/>
      <c r="D3428" s="82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17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</row>
    <row r="3429" spans="1:38" x14ac:dyDescent="0.3">
      <c r="A3429" s="5"/>
      <c r="B3429" s="4"/>
      <c r="C3429" s="4"/>
      <c r="D3429" s="82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17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</row>
    <row r="3430" spans="1:38" x14ac:dyDescent="0.3">
      <c r="A3430" s="5"/>
      <c r="B3430" s="4"/>
      <c r="C3430" s="4"/>
      <c r="D3430" s="82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17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</row>
    <row r="3431" spans="1:38" x14ac:dyDescent="0.3">
      <c r="A3431" s="5"/>
      <c r="B3431" s="4"/>
      <c r="C3431" s="4"/>
      <c r="D3431" s="82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17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</row>
    <row r="3432" spans="1:38" x14ac:dyDescent="0.3">
      <c r="A3432" s="5"/>
      <c r="B3432" s="4"/>
      <c r="C3432" s="4"/>
      <c r="D3432" s="82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17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</row>
    <row r="3433" spans="1:38" x14ac:dyDescent="0.3">
      <c r="A3433" s="5"/>
      <c r="B3433" s="4"/>
      <c r="C3433" s="4"/>
      <c r="D3433" s="82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17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</row>
    <row r="3434" spans="1:38" x14ac:dyDescent="0.3">
      <c r="A3434" s="5"/>
      <c r="B3434" s="4"/>
      <c r="C3434" s="4"/>
      <c r="D3434" s="82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17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</row>
    <row r="3435" spans="1:38" x14ac:dyDescent="0.3">
      <c r="A3435" s="5"/>
      <c r="B3435" s="4"/>
      <c r="C3435" s="4"/>
      <c r="D3435" s="82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17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</row>
    <row r="3436" spans="1:38" x14ac:dyDescent="0.3">
      <c r="A3436" s="5"/>
      <c r="B3436" s="4"/>
      <c r="C3436" s="4"/>
      <c r="D3436" s="82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17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</row>
    <row r="3437" spans="1:38" x14ac:dyDescent="0.3">
      <c r="A3437" s="5"/>
      <c r="B3437" s="4"/>
      <c r="C3437" s="4"/>
      <c r="D3437" s="82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17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</row>
    <row r="3438" spans="1:38" x14ac:dyDescent="0.3">
      <c r="A3438" s="5"/>
      <c r="B3438" s="4"/>
      <c r="C3438" s="4"/>
      <c r="D3438" s="82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17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</row>
    <row r="3439" spans="1:38" x14ac:dyDescent="0.3">
      <c r="A3439" s="5"/>
      <c r="B3439" s="4"/>
      <c r="C3439" s="4"/>
      <c r="D3439" s="82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17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</row>
    <row r="3440" spans="1:38" x14ac:dyDescent="0.3">
      <c r="A3440" s="5"/>
      <c r="B3440" s="4"/>
      <c r="C3440" s="4"/>
      <c r="D3440" s="82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17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</row>
    <row r="3441" spans="1:38" x14ac:dyDescent="0.3">
      <c r="A3441" s="5"/>
      <c r="B3441" s="4"/>
      <c r="C3441" s="4"/>
      <c r="D3441" s="82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17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</row>
    <row r="3442" spans="1:38" x14ac:dyDescent="0.3">
      <c r="A3442" s="5"/>
      <c r="B3442" s="4"/>
      <c r="C3442" s="4"/>
      <c r="D3442" s="82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17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</row>
    <row r="3443" spans="1:38" x14ac:dyDescent="0.3">
      <c r="A3443" s="5"/>
      <c r="B3443" s="4"/>
      <c r="C3443" s="4"/>
      <c r="D3443" s="82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17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</row>
    <row r="3444" spans="1:38" x14ac:dyDescent="0.3">
      <c r="A3444" s="5"/>
      <c r="B3444" s="4"/>
      <c r="C3444" s="4"/>
      <c r="D3444" s="82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17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</row>
    <row r="3445" spans="1:38" x14ac:dyDescent="0.3">
      <c r="A3445" s="5"/>
      <c r="B3445" s="4"/>
      <c r="C3445" s="4"/>
      <c r="D3445" s="82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17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</row>
    <row r="3446" spans="1:38" x14ac:dyDescent="0.3">
      <c r="A3446" s="5"/>
      <c r="B3446" s="4"/>
      <c r="C3446" s="4"/>
      <c r="D3446" s="82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17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</row>
    <row r="3447" spans="1:38" x14ac:dyDescent="0.3">
      <c r="A3447" s="5"/>
      <c r="B3447" s="4"/>
      <c r="C3447" s="4"/>
      <c r="D3447" s="82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17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</row>
    <row r="3448" spans="1:38" x14ac:dyDescent="0.3">
      <c r="A3448" s="5"/>
      <c r="B3448" s="4"/>
      <c r="C3448" s="4"/>
      <c r="D3448" s="82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17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</row>
    <row r="3449" spans="1:38" x14ac:dyDescent="0.3">
      <c r="A3449" s="5"/>
      <c r="B3449" s="4"/>
      <c r="C3449" s="4"/>
      <c r="D3449" s="82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17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</row>
    <row r="3450" spans="1:38" x14ac:dyDescent="0.3">
      <c r="A3450" s="5"/>
      <c r="B3450" s="4"/>
      <c r="C3450" s="4"/>
      <c r="D3450" s="82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17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</row>
    <row r="3451" spans="1:38" x14ac:dyDescent="0.3">
      <c r="A3451" s="5"/>
      <c r="B3451" s="4"/>
      <c r="C3451" s="4"/>
      <c r="D3451" s="82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17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</row>
    <row r="3452" spans="1:38" x14ac:dyDescent="0.3">
      <c r="A3452" s="5"/>
      <c r="B3452" s="4"/>
      <c r="C3452" s="4"/>
      <c r="D3452" s="82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17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</row>
    <row r="3453" spans="1:38" x14ac:dyDescent="0.3">
      <c r="A3453" s="5"/>
      <c r="B3453" s="4"/>
      <c r="C3453" s="4"/>
      <c r="D3453" s="82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17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</row>
    <row r="3454" spans="1:38" x14ac:dyDescent="0.3">
      <c r="A3454" s="5"/>
      <c r="B3454" s="4"/>
      <c r="C3454" s="4"/>
      <c r="D3454" s="82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17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</row>
    <row r="3455" spans="1:38" x14ac:dyDescent="0.3">
      <c r="A3455" s="5"/>
      <c r="B3455" s="4"/>
      <c r="C3455" s="4"/>
      <c r="D3455" s="82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17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</row>
    <row r="3456" spans="1:38" x14ac:dyDescent="0.3">
      <c r="A3456" s="5"/>
      <c r="B3456" s="4"/>
      <c r="C3456" s="4"/>
      <c r="D3456" s="82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17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</row>
    <row r="3457" spans="1:38" x14ac:dyDescent="0.3">
      <c r="A3457" s="5"/>
      <c r="B3457" s="4"/>
      <c r="C3457" s="4"/>
      <c r="D3457" s="82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17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</row>
    <row r="3458" spans="1:38" x14ac:dyDescent="0.3">
      <c r="A3458" s="5"/>
      <c r="B3458" s="4"/>
      <c r="C3458" s="4"/>
      <c r="D3458" s="82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17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</row>
    <row r="3459" spans="1:38" x14ac:dyDescent="0.3">
      <c r="A3459" s="5"/>
      <c r="B3459" s="4"/>
      <c r="C3459" s="4"/>
      <c r="D3459" s="82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17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</row>
    <row r="3460" spans="1:38" x14ac:dyDescent="0.3">
      <c r="A3460" s="5"/>
      <c r="B3460" s="4"/>
      <c r="C3460" s="4"/>
      <c r="D3460" s="82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17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</row>
    <row r="3461" spans="1:38" x14ac:dyDescent="0.3">
      <c r="A3461" s="5"/>
      <c r="B3461" s="4"/>
      <c r="C3461" s="4"/>
      <c r="D3461" s="82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17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</row>
    <row r="3462" spans="1:38" x14ac:dyDescent="0.3">
      <c r="A3462" s="5"/>
      <c r="B3462" s="4"/>
      <c r="C3462" s="4"/>
      <c r="D3462" s="82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17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</row>
    <row r="3463" spans="1:38" x14ac:dyDescent="0.3">
      <c r="A3463" s="5"/>
      <c r="B3463" s="4"/>
      <c r="C3463" s="4"/>
      <c r="D3463" s="82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17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</row>
    <row r="3464" spans="1:38" x14ac:dyDescent="0.3">
      <c r="A3464" s="5"/>
      <c r="B3464" s="4"/>
      <c r="C3464" s="4"/>
      <c r="D3464" s="82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17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</row>
    <row r="3465" spans="1:38" x14ac:dyDescent="0.3">
      <c r="A3465" s="5"/>
      <c r="B3465" s="4"/>
      <c r="C3465" s="4"/>
      <c r="D3465" s="82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17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</row>
    <row r="3466" spans="1:38" x14ac:dyDescent="0.3">
      <c r="A3466" s="5"/>
      <c r="B3466" s="4"/>
      <c r="C3466" s="4"/>
      <c r="D3466" s="82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17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</row>
    <row r="3467" spans="1:38" x14ac:dyDescent="0.3">
      <c r="A3467" s="5"/>
      <c r="B3467" s="4"/>
      <c r="C3467" s="4"/>
      <c r="D3467" s="82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17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</row>
    <row r="3468" spans="1:38" x14ac:dyDescent="0.3">
      <c r="A3468" s="5"/>
      <c r="B3468" s="4"/>
      <c r="C3468" s="4"/>
      <c r="D3468" s="82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17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</row>
    <row r="3469" spans="1:38" x14ac:dyDescent="0.3">
      <c r="A3469" s="5"/>
      <c r="B3469" s="4"/>
      <c r="C3469" s="4"/>
      <c r="D3469" s="82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17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</row>
    <row r="3470" spans="1:38" x14ac:dyDescent="0.3">
      <c r="A3470" s="5"/>
      <c r="B3470" s="4"/>
      <c r="C3470" s="4"/>
      <c r="D3470" s="82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17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</row>
    <row r="3471" spans="1:38" x14ac:dyDescent="0.3">
      <c r="A3471" s="5"/>
      <c r="B3471" s="4"/>
      <c r="C3471" s="4"/>
      <c r="D3471" s="82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17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</row>
    <row r="3472" spans="1:38" x14ac:dyDescent="0.3">
      <c r="A3472" s="5"/>
      <c r="B3472" s="4"/>
      <c r="C3472" s="4"/>
      <c r="D3472" s="82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17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</row>
    <row r="3473" spans="1:38" x14ac:dyDescent="0.3">
      <c r="A3473" s="5"/>
      <c r="B3473" s="4"/>
      <c r="C3473" s="4"/>
      <c r="D3473" s="82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17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</row>
    <row r="3474" spans="1:38" x14ac:dyDescent="0.3">
      <c r="A3474" s="5"/>
      <c r="B3474" s="4"/>
      <c r="C3474" s="4"/>
      <c r="D3474" s="82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17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</row>
    <row r="3475" spans="1:38" x14ac:dyDescent="0.3">
      <c r="A3475" s="5"/>
      <c r="B3475" s="4"/>
      <c r="C3475" s="4"/>
      <c r="D3475" s="82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17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</row>
    <row r="3476" spans="1:38" x14ac:dyDescent="0.3">
      <c r="A3476" s="5"/>
      <c r="B3476" s="4"/>
      <c r="C3476" s="4"/>
      <c r="D3476" s="82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17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</row>
    <row r="3477" spans="1:38" x14ac:dyDescent="0.3">
      <c r="A3477" s="5"/>
      <c r="B3477" s="4"/>
      <c r="C3477" s="4"/>
      <c r="D3477" s="82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17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</row>
    <row r="3478" spans="1:38" x14ac:dyDescent="0.3">
      <c r="A3478" s="5"/>
      <c r="B3478" s="4"/>
      <c r="C3478" s="4"/>
      <c r="D3478" s="82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17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</row>
    <row r="3479" spans="1:38" x14ac:dyDescent="0.3">
      <c r="A3479" s="5"/>
      <c r="B3479" s="4"/>
      <c r="C3479" s="4"/>
      <c r="D3479" s="82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17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</row>
    <row r="3480" spans="1:38" x14ac:dyDescent="0.3">
      <c r="A3480" s="5"/>
      <c r="B3480" s="4"/>
      <c r="C3480" s="4"/>
      <c r="D3480" s="82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17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</row>
    <row r="3481" spans="1:38" x14ac:dyDescent="0.3">
      <c r="A3481" s="5"/>
      <c r="B3481" s="4"/>
      <c r="C3481" s="4"/>
      <c r="D3481" s="82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17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</row>
    <row r="3482" spans="1:38" x14ac:dyDescent="0.3">
      <c r="A3482" s="5"/>
      <c r="B3482" s="4"/>
      <c r="C3482" s="4"/>
      <c r="D3482" s="82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17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</row>
    <row r="3483" spans="1:38" x14ac:dyDescent="0.3">
      <c r="A3483" s="5"/>
      <c r="B3483" s="4"/>
      <c r="C3483" s="4"/>
      <c r="D3483" s="82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17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</row>
    <row r="3484" spans="1:38" x14ac:dyDescent="0.3">
      <c r="A3484" s="5"/>
      <c r="B3484" s="4"/>
      <c r="C3484" s="4"/>
      <c r="D3484" s="82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17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</row>
    <row r="3485" spans="1:38" x14ac:dyDescent="0.3">
      <c r="A3485" s="5"/>
      <c r="B3485" s="4"/>
      <c r="C3485" s="4"/>
      <c r="D3485" s="82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17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</row>
    <row r="3486" spans="1:38" x14ac:dyDescent="0.3">
      <c r="A3486" s="5"/>
      <c r="B3486" s="4"/>
      <c r="C3486" s="4"/>
      <c r="D3486" s="82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17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</row>
    <row r="3487" spans="1:38" x14ac:dyDescent="0.3">
      <c r="A3487" s="5"/>
      <c r="B3487" s="4"/>
      <c r="C3487" s="4"/>
      <c r="D3487" s="82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17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</row>
    <row r="3488" spans="1:38" x14ac:dyDescent="0.3">
      <c r="A3488" s="5"/>
      <c r="B3488" s="4"/>
      <c r="C3488" s="4"/>
      <c r="D3488" s="82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17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</row>
    <row r="3489" spans="1:38" x14ac:dyDescent="0.3">
      <c r="A3489" s="5"/>
      <c r="B3489" s="4"/>
      <c r="C3489" s="4"/>
      <c r="D3489" s="82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17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</row>
    <row r="3490" spans="1:38" x14ac:dyDescent="0.3">
      <c r="A3490" s="5"/>
      <c r="B3490" s="4"/>
      <c r="C3490" s="4"/>
      <c r="D3490" s="82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17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</row>
    <row r="3491" spans="1:38" x14ac:dyDescent="0.3">
      <c r="A3491" s="5"/>
      <c r="B3491" s="4"/>
      <c r="C3491" s="4"/>
      <c r="D3491" s="82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17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</row>
    <row r="3492" spans="1:38" x14ac:dyDescent="0.3">
      <c r="A3492" s="5"/>
      <c r="B3492" s="4"/>
      <c r="C3492" s="4"/>
      <c r="D3492" s="82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17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</row>
    <row r="3493" spans="1:38" x14ac:dyDescent="0.3">
      <c r="A3493" s="5"/>
      <c r="B3493" s="4"/>
      <c r="C3493" s="4"/>
      <c r="D3493" s="82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17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</row>
    <row r="3494" spans="1:38" x14ac:dyDescent="0.3">
      <c r="A3494" s="5"/>
      <c r="B3494" s="4"/>
      <c r="C3494" s="4"/>
      <c r="D3494" s="82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17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</row>
    <row r="3495" spans="1:38" x14ac:dyDescent="0.3">
      <c r="A3495" s="5"/>
      <c r="B3495" s="4"/>
      <c r="C3495" s="4"/>
      <c r="D3495" s="82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17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</row>
    <row r="3496" spans="1:38" x14ac:dyDescent="0.3">
      <c r="A3496" s="5"/>
      <c r="B3496" s="4"/>
      <c r="C3496" s="4"/>
      <c r="D3496" s="82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17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</row>
    <row r="3497" spans="1:38" x14ac:dyDescent="0.3">
      <c r="A3497" s="5"/>
      <c r="B3497" s="4"/>
      <c r="C3497" s="4"/>
      <c r="D3497" s="82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17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</row>
    <row r="3498" spans="1:38" x14ac:dyDescent="0.3">
      <c r="A3498" s="5"/>
      <c r="B3498" s="4"/>
      <c r="C3498" s="4"/>
      <c r="D3498" s="82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17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</row>
    <row r="3499" spans="1:38" x14ac:dyDescent="0.3">
      <c r="A3499" s="5"/>
      <c r="B3499" s="4"/>
      <c r="C3499" s="4"/>
      <c r="D3499" s="82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17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</row>
    <row r="3500" spans="1:38" x14ac:dyDescent="0.3">
      <c r="A3500" s="5"/>
      <c r="B3500" s="4"/>
      <c r="C3500" s="4"/>
      <c r="D3500" s="82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17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</row>
    <row r="3501" spans="1:38" x14ac:dyDescent="0.3">
      <c r="A3501" s="5"/>
      <c r="B3501" s="4"/>
      <c r="C3501" s="4"/>
      <c r="D3501" s="82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17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</row>
    <row r="3502" spans="1:38" x14ac:dyDescent="0.3">
      <c r="A3502" s="5"/>
      <c r="B3502" s="4"/>
      <c r="C3502" s="4"/>
      <c r="D3502" s="82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17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</row>
    <row r="3503" spans="1:38" x14ac:dyDescent="0.3">
      <c r="A3503" s="5"/>
      <c r="B3503" s="4"/>
      <c r="C3503" s="4"/>
      <c r="D3503" s="82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17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</row>
    <row r="3504" spans="1:38" x14ac:dyDescent="0.3">
      <c r="A3504" s="5"/>
      <c r="B3504" s="4"/>
      <c r="C3504" s="4"/>
      <c r="D3504" s="82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17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</row>
    <row r="3505" spans="1:38" x14ac:dyDescent="0.3">
      <c r="A3505" s="5"/>
      <c r="B3505" s="4"/>
      <c r="C3505" s="4"/>
      <c r="D3505" s="82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17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</row>
    <row r="3506" spans="1:38" x14ac:dyDescent="0.3">
      <c r="A3506" s="5"/>
      <c r="B3506" s="4"/>
      <c r="C3506" s="4"/>
      <c r="D3506" s="82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17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</row>
    <row r="3507" spans="1:38" x14ac:dyDescent="0.3">
      <c r="A3507" s="5"/>
      <c r="B3507" s="4"/>
      <c r="C3507" s="4"/>
      <c r="D3507" s="82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17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</row>
    <row r="3508" spans="1:38" x14ac:dyDescent="0.3">
      <c r="A3508" s="5"/>
      <c r="B3508" s="4"/>
      <c r="C3508" s="4"/>
      <c r="D3508" s="82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17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</row>
    <row r="3509" spans="1:38" x14ac:dyDescent="0.3">
      <c r="A3509" s="5"/>
      <c r="B3509" s="4"/>
      <c r="C3509" s="4"/>
      <c r="D3509" s="82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17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</row>
    <row r="3510" spans="1:38" x14ac:dyDescent="0.3">
      <c r="A3510" s="5"/>
      <c r="B3510" s="4"/>
      <c r="C3510" s="4"/>
      <c r="D3510" s="82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17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</row>
    <row r="3511" spans="1:38" x14ac:dyDescent="0.3">
      <c r="A3511" s="5"/>
      <c r="B3511" s="4"/>
      <c r="C3511" s="4"/>
      <c r="D3511" s="82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17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</row>
    <row r="3512" spans="1:38" x14ac:dyDescent="0.3">
      <c r="A3512" s="5"/>
      <c r="B3512" s="4"/>
      <c r="C3512" s="4"/>
      <c r="D3512" s="82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17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</row>
    <row r="3513" spans="1:38" x14ac:dyDescent="0.3">
      <c r="A3513" s="5"/>
      <c r="B3513" s="4"/>
      <c r="C3513" s="4"/>
      <c r="D3513" s="82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17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</row>
    <row r="3514" spans="1:38" x14ac:dyDescent="0.3">
      <c r="A3514" s="5"/>
      <c r="B3514" s="4"/>
      <c r="C3514" s="4"/>
      <c r="D3514" s="82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17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</row>
    <row r="3515" spans="1:38" x14ac:dyDescent="0.3">
      <c r="A3515" s="5"/>
      <c r="B3515" s="4"/>
      <c r="C3515" s="4"/>
      <c r="D3515" s="82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17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</row>
    <row r="3516" spans="1:38" x14ac:dyDescent="0.3">
      <c r="A3516" s="5"/>
      <c r="B3516" s="4"/>
      <c r="C3516" s="4"/>
      <c r="D3516" s="82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17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</row>
    <row r="3517" spans="1:38" x14ac:dyDescent="0.3">
      <c r="A3517" s="5"/>
      <c r="B3517" s="4"/>
      <c r="C3517" s="4"/>
      <c r="D3517" s="82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17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</row>
    <row r="3518" spans="1:38" x14ac:dyDescent="0.3">
      <c r="A3518" s="5"/>
      <c r="B3518" s="4"/>
      <c r="C3518" s="4"/>
      <c r="D3518" s="82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17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</row>
    <row r="3519" spans="1:38" x14ac:dyDescent="0.3">
      <c r="A3519" s="5"/>
      <c r="B3519" s="4"/>
      <c r="C3519" s="4"/>
      <c r="D3519" s="82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17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</row>
    <row r="3520" spans="1:38" x14ac:dyDescent="0.3">
      <c r="A3520" s="5"/>
      <c r="B3520" s="4"/>
      <c r="C3520" s="4"/>
      <c r="D3520" s="82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17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</row>
    <row r="3521" spans="1:38" x14ac:dyDescent="0.3">
      <c r="A3521" s="5"/>
      <c r="B3521" s="4"/>
      <c r="C3521" s="4"/>
      <c r="D3521" s="82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17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</row>
    <row r="3522" spans="1:38" x14ac:dyDescent="0.3">
      <c r="A3522" s="5"/>
      <c r="B3522" s="4"/>
      <c r="C3522" s="4"/>
      <c r="D3522" s="82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17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</row>
    <row r="3523" spans="1:38" x14ac:dyDescent="0.3">
      <c r="A3523" s="5"/>
      <c r="B3523" s="4"/>
      <c r="C3523" s="4"/>
      <c r="D3523" s="82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17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</row>
    <row r="3524" spans="1:38" x14ac:dyDescent="0.3">
      <c r="A3524" s="5"/>
      <c r="B3524" s="4"/>
      <c r="C3524" s="4"/>
      <c r="D3524" s="82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17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</row>
    <row r="3525" spans="1:38" x14ac:dyDescent="0.3">
      <c r="A3525" s="5"/>
      <c r="B3525" s="4"/>
      <c r="C3525" s="4"/>
      <c r="D3525" s="82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17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</row>
    <row r="3526" spans="1:38" x14ac:dyDescent="0.3">
      <c r="A3526" s="5"/>
      <c r="B3526" s="4"/>
      <c r="C3526" s="4"/>
      <c r="D3526" s="82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17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</row>
    <row r="3527" spans="1:38" x14ac:dyDescent="0.3">
      <c r="A3527" s="5"/>
      <c r="B3527" s="4"/>
      <c r="C3527" s="4"/>
      <c r="D3527" s="82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17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</row>
    <row r="3528" spans="1:38" x14ac:dyDescent="0.3">
      <c r="A3528" s="5"/>
      <c r="B3528" s="4"/>
      <c r="C3528" s="4"/>
      <c r="D3528" s="82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17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</row>
    <row r="3529" spans="1:38" x14ac:dyDescent="0.3">
      <c r="A3529" s="5"/>
      <c r="B3529" s="4"/>
      <c r="C3529" s="4"/>
      <c r="D3529" s="82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17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</row>
    <row r="3530" spans="1:38" x14ac:dyDescent="0.3">
      <c r="A3530" s="5"/>
      <c r="B3530" s="4"/>
      <c r="C3530" s="4"/>
      <c r="D3530" s="82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17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</row>
    <row r="3531" spans="1:38" x14ac:dyDescent="0.3">
      <c r="A3531" s="5"/>
      <c r="B3531" s="4"/>
      <c r="C3531" s="4"/>
      <c r="D3531" s="82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17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</row>
    <row r="3532" spans="1:38" x14ac:dyDescent="0.3">
      <c r="A3532" s="5"/>
      <c r="B3532" s="4"/>
      <c r="C3532" s="4"/>
      <c r="D3532" s="82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17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</row>
    <row r="3533" spans="1:38" x14ac:dyDescent="0.3">
      <c r="A3533" s="5"/>
      <c r="B3533" s="4"/>
      <c r="C3533" s="4"/>
      <c r="D3533" s="82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17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</row>
    <row r="3534" spans="1:38" x14ac:dyDescent="0.3">
      <c r="A3534" s="5"/>
      <c r="B3534" s="4"/>
      <c r="C3534" s="4"/>
      <c r="D3534" s="82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17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</row>
    <row r="3535" spans="1:38" x14ac:dyDescent="0.3">
      <c r="A3535" s="5"/>
      <c r="B3535" s="4"/>
      <c r="C3535" s="4"/>
      <c r="D3535" s="82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17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</row>
    <row r="3536" spans="1:38" x14ac:dyDescent="0.3">
      <c r="A3536" s="5"/>
      <c r="B3536" s="4"/>
      <c r="C3536" s="4"/>
      <c r="D3536" s="82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17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</row>
    <row r="3537" spans="1:38" x14ac:dyDescent="0.3">
      <c r="A3537" s="5"/>
      <c r="B3537" s="4"/>
      <c r="C3537" s="4"/>
      <c r="D3537" s="82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17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</row>
    <row r="3538" spans="1:38" x14ac:dyDescent="0.3">
      <c r="A3538" s="5"/>
      <c r="B3538" s="4"/>
      <c r="C3538" s="4"/>
      <c r="D3538" s="82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17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</row>
    <row r="3539" spans="1:38" x14ac:dyDescent="0.3">
      <c r="A3539" s="5"/>
      <c r="B3539" s="4"/>
      <c r="C3539" s="4"/>
      <c r="D3539" s="82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17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</row>
    <row r="3540" spans="1:38" x14ac:dyDescent="0.3">
      <c r="A3540" s="5"/>
      <c r="B3540" s="4"/>
      <c r="C3540" s="4"/>
      <c r="D3540" s="82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17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</row>
    <row r="3541" spans="1:38" x14ac:dyDescent="0.3">
      <c r="A3541" s="5"/>
      <c r="B3541" s="4"/>
      <c r="C3541" s="4"/>
      <c r="D3541" s="82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17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</row>
    <row r="3542" spans="1:38" x14ac:dyDescent="0.3">
      <c r="A3542" s="5"/>
      <c r="B3542" s="4"/>
      <c r="C3542" s="4"/>
      <c r="D3542" s="82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17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</row>
    <row r="3543" spans="1:38" x14ac:dyDescent="0.3">
      <c r="A3543" s="5"/>
      <c r="B3543" s="4"/>
      <c r="C3543" s="4"/>
      <c r="D3543" s="82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17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</row>
    <row r="3544" spans="1:38" x14ac:dyDescent="0.3">
      <c r="A3544" s="5"/>
      <c r="B3544" s="4"/>
      <c r="C3544" s="4"/>
      <c r="D3544" s="82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17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</row>
    <row r="3545" spans="1:38" x14ac:dyDescent="0.3">
      <c r="A3545" s="5"/>
      <c r="B3545" s="4"/>
      <c r="C3545" s="4"/>
      <c r="D3545" s="82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17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</row>
    <row r="3546" spans="1:38" x14ac:dyDescent="0.3">
      <c r="A3546" s="5"/>
      <c r="B3546" s="4"/>
      <c r="C3546" s="4"/>
      <c r="D3546" s="82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17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</row>
    <row r="3547" spans="1:38" x14ac:dyDescent="0.3">
      <c r="A3547" s="5"/>
      <c r="B3547" s="4"/>
      <c r="C3547" s="4"/>
      <c r="D3547" s="82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17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</row>
    <row r="3548" spans="1:38" x14ac:dyDescent="0.3">
      <c r="A3548" s="5"/>
      <c r="B3548" s="4"/>
      <c r="C3548" s="4"/>
      <c r="D3548" s="82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17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</row>
    <row r="3549" spans="1:38" x14ac:dyDescent="0.3">
      <c r="A3549" s="5"/>
      <c r="B3549" s="4"/>
      <c r="C3549" s="4"/>
      <c r="D3549" s="82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17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</row>
    <row r="3550" spans="1:38" x14ac:dyDescent="0.3">
      <c r="A3550" s="5"/>
      <c r="B3550" s="4"/>
      <c r="C3550" s="4"/>
      <c r="D3550" s="82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17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</row>
    <row r="3551" spans="1:38" x14ac:dyDescent="0.3">
      <c r="A3551" s="5"/>
      <c r="B3551" s="4"/>
      <c r="C3551" s="4"/>
      <c r="D3551" s="82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17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</row>
    <row r="3552" spans="1:38" x14ac:dyDescent="0.3">
      <c r="A3552" s="5"/>
      <c r="B3552" s="4"/>
      <c r="C3552" s="4"/>
      <c r="D3552" s="82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17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</row>
    <row r="3553" spans="1:38" x14ac:dyDescent="0.3">
      <c r="A3553" s="5"/>
      <c r="B3553" s="4"/>
      <c r="C3553" s="4"/>
      <c r="D3553" s="82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17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</row>
    <row r="3554" spans="1:38" x14ac:dyDescent="0.3">
      <c r="A3554" s="5"/>
      <c r="B3554" s="4"/>
      <c r="C3554" s="4"/>
      <c r="D3554" s="82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17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</row>
    <row r="3555" spans="1:38" x14ac:dyDescent="0.3">
      <c r="A3555" s="5"/>
      <c r="B3555" s="4"/>
      <c r="C3555" s="4"/>
      <c r="D3555" s="82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17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</row>
    <row r="3556" spans="1:38" x14ac:dyDescent="0.3">
      <c r="A3556" s="5"/>
      <c r="B3556" s="4"/>
      <c r="C3556" s="4"/>
      <c r="D3556" s="82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17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</row>
    <row r="3557" spans="1:38" x14ac:dyDescent="0.3">
      <c r="A3557" s="5"/>
      <c r="B3557" s="4"/>
      <c r="C3557" s="4"/>
      <c r="D3557" s="82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17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</row>
    <row r="3558" spans="1:38" x14ac:dyDescent="0.3">
      <c r="A3558" s="5"/>
      <c r="B3558" s="4"/>
      <c r="C3558" s="4"/>
      <c r="D3558" s="82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17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</row>
    <row r="3559" spans="1:38" x14ac:dyDescent="0.3">
      <c r="A3559" s="5"/>
      <c r="B3559" s="4"/>
      <c r="C3559" s="4"/>
      <c r="D3559" s="82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17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</row>
    <row r="3560" spans="1:38" x14ac:dyDescent="0.3">
      <c r="A3560" s="5"/>
      <c r="B3560" s="4"/>
      <c r="C3560" s="4"/>
      <c r="D3560" s="82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17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</row>
    <row r="3561" spans="1:38" x14ac:dyDescent="0.3">
      <c r="A3561" s="5"/>
      <c r="B3561" s="4"/>
      <c r="C3561" s="4"/>
      <c r="D3561" s="82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17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</row>
    <row r="3562" spans="1:38" x14ac:dyDescent="0.3">
      <c r="A3562" s="5"/>
      <c r="B3562" s="4"/>
      <c r="C3562" s="4"/>
      <c r="D3562" s="82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17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</row>
    <row r="3563" spans="1:38" x14ac:dyDescent="0.3">
      <c r="A3563" s="5"/>
      <c r="B3563" s="4"/>
      <c r="C3563" s="4"/>
      <c r="D3563" s="82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17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</row>
    <row r="3564" spans="1:38" x14ac:dyDescent="0.3">
      <c r="A3564" s="5"/>
      <c r="B3564" s="4"/>
      <c r="C3564" s="4"/>
      <c r="D3564" s="82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17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</row>
    <row r="3565" spans="1:38" x14ac:dyDescent="0.3">
      <c r="A3565" s="5"/>
      <c r="B3565" s="4"/>
      <c r="C3565" s="4"/>
      <c r="D3565" s="82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17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</row>
    <row r="3566" spans="1:38" x14ac:dyDescent="0.3">
      <c r="A3566" s="5"/>
      <c r="B3566" s="4"/>
      <c r="C3566" s="4"/>
      <c r="D3566" s="82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17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</row>
    <row r="3567" spans="1:38" x14ac:dyDescent="0.3">
      <c r="A3567" s="5"/>
      <c r="B3567" s="4"/>
      <c r="C3567" s="4"/>
      <c r="D3567" s="82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17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</row>
    <row r="3568" spans="1:38" x14ac:dyDescent="0.3">
      <c r="A3568" s="5"/>
      <c r="B3568" s="4"/>
      <c r="C3568" s="4"/>
      <c r="D3568" s="82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17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</row>
    <row r="3569" spans="1:38" x14ac:dyDescent="0.3">
      <c r="A3569" s="5"/>
      <c r="B3569" s="4"/>
      <c r="C3569" s="4"/>
      <c r="D3569" s="82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17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</row>
    <row r="3570" spans="1:38" x14ac:dyDescent="0.3">
      <c r="A3570" s="5"/>
      <c r="B3570" s="4"/>
      <c r="C3570" s="4"/>
      <c r="D3570" s="82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17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</row>
    <row r="3571" spans="1:38" x14ac:dyDescent="0.3">
      <c r="A3571" s="5"/>
      <c r="B3571" s="4"/>
      <c r="C3571" s="4"/>
      <c r="D3571" s="82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17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</row>
    <row r="3572" spans="1:38" x14ac:dyDescent="0.3">
      <c r="A3572" s="5"/>
      <c r="B3572" s="4"/>
      <c r="C3572" s="4"/>
      <c r="D3572" s="82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17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</row>
    <row r="3573" spans="1:38" x14ac:dyDescent="0.3">
      <c r="A3573" s="5"/>
      <c r="B3573" s="4"/>
      <c r="C3573" s="4"/>
      <c r="D3573" s="82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17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</row>
    <row r="3574" spans="1:38" x14ac:dyDescent="0.3">
      <c r="A3574" s="5"/>
      <c r="B3574" s="4"/>
      <c r="C3574" s="4"/>
      <c r="D3574" s="82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17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</row>
    <row r="3575" spans="1:38" x14ac:dyDescent="0.3">
      <c r="A3575" s="5"/>
      <c r="B3575" s="4"/>
      <c r="C3575" s="4"/>
      <c r="D3575" s="82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17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</row>
    <row r="3576" spans="1:38" x14ac:dyDescent="0.3">
      <c r="A3576" s="5"/>
      <c r="B3576" s="4"/>
      <c r="C3576" s="4"/>
      <c r="D3576" s="82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17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</row>
    <row r="3577" spans="1:38" x14ac:dyDescent="0.3">
      <c r="A3577" s="5"/>
      <c r="B3577" s="4"/>
      <c r="C3577" s="4"/>
      <c r="D3577" s="82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17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</row>
    <row r="3578" spans="1:38" x14ac:dyDescent="0.3">
      <c r="A3578" s="5"/>
      <c r="B3578" s="4"/>
      <c r="C3578" s="4"/>
      <c r="D3578" s="82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17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</row>
    <row r="3579" spans="1:38" x14ac:dyDescent="0.3">
      <c r="A3579" s="5"/>
      <c r="B3579" s="4"/>
      <c r="C3579" s="4"/>
      <c r="D3579" s="82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17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</row>
    <row r="3580" spans="1:38" x14ac:dyDescent="0.3">
      <c r="A3580" s="5"/>
      <c r="B3580" s="4"/>
      <c r="C3580" s="4"/>
      <c r="D3580" s="82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17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</row>
    <row r="3581" spans="1:38" x14ac:dyDescent="0.3">
      <c r="A3581" s="5"/>
      <c r="B3581" s="4"/>
      <c r="C3581" s="4"/>
      <c r="D3581" s="82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17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</row>
    <row r="3582" spans="1:38" x14ac:dyDescent="0.3">
      <c r="A3582" s="5"/>
      <c r="B3582" s="4"/>
      <c r="C3582" s="4"/>
      <c r="D3582" s="82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17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</row>
    <row r="3583" spans="1:38" x14ac:dyDescent="0.3">
      <c r="A3583" s="5"/>
      <c r="B3583" s="4"/>
      <c r="C3583" s="4"/>
      <c r="D3583" s="82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17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</row>
    <row r="3584" spans="1:38" x14ac:dyDescent="0.3">
      <c r="A3584" s="5"/>
      <c r="B3584" s="4"/>
      <c r="C3584" s="4"/>
      <c r="D3584" s="82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17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</row>
    <row r="3585" spans="1:38" x14ac:dyDescent="0.3">
      <c r="A3585" s="5"/>
      <c r="B3585" s="4"/>
      <c r="C3585" s="4"/>
      <c r="D3585" s="82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17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</row>
    <row r="3586" spans="1:38" x14ac:dyDescent="0.3">
      <c r="A3586" s="5"/>
      <c r="B3586" s="4"/>
      <c r="C3586" s="4"/>
      <c r="D3586" s="82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17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</row>
    <row r="3587" spans="1:38" x14ac:dyDescent="0.3">
      <c r="A3587" s="5"/>
      <c r="B3587" s="4"/>
      <c r="C3587" s="4"/>
      <c r="D3587" s="82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17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</row>
    <row r="3588" spans="1:38" x14ac:dyDescent="0.3">
      <c r="A3588" s="5"/>
      <c r="B3588" s="4"/>
      <c r="C3588" s="4"/>
      <c r="D3588" s="82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17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</row>
    <row r="3589" spans="1:38" x14ac:dyDescent="0.3">
      <c r="A3589" s="5"/>
      <c r="B3589" s="4"/>
      <c r="C3589" s="4"/>
      <c r="D3589" s="82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17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</row>
    <row r="3590" spans="1:38" x14ac:dyDescent="0.3">
      <c r="A3590" s="5"/>
      <c r="B3590" s="4"/>
      <c r="C3590" s="4"/>
      <c r="D3590" s="82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17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</row>
    <row r="3591" spans="1:38" x14ac:dyDescent="0.3">
      <c r="A3591" s="5"/>
      <c r="B3591" s="4"/>
      <c r="C3591" s="4"/>
      <c r="D3591" s="82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17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</row>
    <row r="3592" spans="1:38" x14ac:dyDescent="0.3">
      <c r="A3592" s="5"/>
      <c r="B3592" s="4"/>
      <c r="C3592" s="4"/>
      <c r="D3592" s="82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17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</row>
    <row r="3593" spans="1:38" x14ac:dyDescent="0.3">
      <c r="A3593" s="5"/>
      <c r="B3593" s="4"/>
      <c r="C3593" s="4"/>
      <c r="D3593" s="82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17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</row>
    <row r="3594" spans="1:38" x14ac:dyDescent="0.3">
      <c r="A3594" s="5"/>
      <c r="B3594" s="4"/>
      <c r="C3594" s="4"/>
      <c r="D3594" s="82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17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</row>
    <row r="3595" spans="1:38" x14ac:dyDescent="0.3">
      <c r="A3595" s="5"/>
      <c r="B3595" s="4"/>
      <c r="C3595" s="4"/>
      <c r="D3595" s="82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17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</row>
    <row r="3596" spans="1:38" x14ac:dyDescent="0.3">
      <c r="A3596" s="5"/>
      <c r="B3596" s="4"/>
      <c r="C3596" s="4"/>
      <c r="D3596" s="82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17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</row>
    <row r="3597" spans="1:38" x14ac:dyDescent="0.3">
      <c r="A3597" s="5"/>
      <c r="B3597" s="4"/>
      <c r="C3597" s="4"/>
      <c r="D3597" s="82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17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</row>
    <row r="3598" spans="1:38" x14ac:dyDescent="0.3">
      <c r="A3598" s="5"/>
      <c r="B3598" s="4"/>
      <c r="C3598" s="4"/>
      <c r="D3598" s="82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17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</row>
    <row r="3599" spans="1:38" x14ac:dyDescent="0.3">
      <c r="A3599" s="5"/>
      <c r="B3599" s="4"/>
      <c r="C3599" s="4"/>
      <c r="D3599" s="82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17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</row>
    <row r="3600" spans="1:38" x14ac:dyDescent="0.3">
      <c r="A3600" s="5"/>
      <c r="B3600" s="4"/>
      <c r="C3600" s="4"/>
      <c r="D3600" s="82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17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</row>
    <row r="3601" spans="1:38" x14ac:dyDescent="0.3">
      <c r="A3601" s="5"/>
      <c r="B3601" s="4"/>
      <c r="C3601" s="4"/>
      <c r="D3601" s="82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17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</row>
    <row r="3602" spans="1:38" x14ac:dyDescent="0.3">
      <c r="A3602" s="5"/>
      <c r="B3602" s="4"/>
      <c r="C3602" s="4"/>
      <c r="D3602" s="82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17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</row>
    <row r="3603" spans="1:38" x14ac:dyDescent="0.3">
      <c r="A3603" s="5"/>
      <c r="B3603" s="4"/>
      <c r="C3603" s="4"/>
      <c r="D3603" s="82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17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</row>
    <row r="3604" spans="1:38" x14ac:dyDescent="0.3">
      <c r="A3604" s="5"/>
      <c r="B3604" s="4"/>
      <c r="C3604" s="4"/>
      <c r="D3604" s="82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17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</row>
    <row r="3605" spans="1:38" x14ac:dyDescent="0.3">
      <c r="A3605" s="5"/>
      <c r="B3605" s="4"/>
      <c r="C3605" s="4"/>
      <c r="D3605" s="82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17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</row>
    <row r="3606" spans="1:38" x14ac:dyDescent="0.3">
      <c r="A3606" s="5"/>
      <c r="B3606" s="4"/>
      <c r="C3606" s="4"/>
      <c r="D3606" s="82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17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</row>
    <row r="3607" spans="1:38" x14ac:dyDescent="0.3">
      <c r="A3607" s="5"/>
      <c r="B3607" s="4"/>
      <c r="C3607" s="4"/>
      <c r="D3607" s="82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17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</row>
    <row r="3608" spans="1:38" x14ac:dyDescent="0.3">
      <c r="A3608" s="5"/>
      <c r="B3608" s="4"/>
      <c r="C3608" s="4"/>
      <c r="D3608" s="82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17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</row>
    <row r="3609" spans="1:38" x14ac:dyDescent="0.3">
      <c r="A3609" s="5"/>
      <c r="B3609" s="4"/>
      <c r="C3609" s="4"/>
      <c r="D3609" s="82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17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</row>
    <row r="3610" spans="1:38" x14ac:dyDescent="0.3">
      <c r="A3610" s="5"/>
      <c r="B3610" s="4"/>
      <c r="C3610" s="4"/>
      <c r="D3610" s="82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17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</row>
    <row r="3611" spans="1:38" x14ac:dyDescent="0.3">
      <c r="A3611" s="5"/>
      <c r="B3611" s="4"/>
      <c r="C3611" s="4"/>
      <c r="D3611" s="82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17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</row>
    <row r="3612" spans="1:38" x14ac:dyDescent="0.3">
      <c r="A3612" s="5"/>
      <c r="B3612" s="4"/>
      <c r="C3612" s="4"/>
      <c r="D3612" s="82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17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</row>
    <row r="3613" spans="1:38" x14ac:dyDescent="0.3">
      <c r="A3613" s="5"/>
      <c r="B3613" s="4"/>
      <c r="C3613" s="4"/>
      <c r="D3613" s="82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17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</row>
    <row r="3614" spans="1:38" x14ac:dyDescent="0.3">
      <c r="A3614" s="5"/>
      <c r="B3614" s="4"/>
      <c r="C3614" s="4"/>
      <c r="D3614" s="82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17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</row>
    <row r="3615" spans="1:38" x14ac:dyDescent="0.3">
      <c r="A3615" s="5"/>
      <c r="B3615" s="4"/>
      <c r="C3615" s="4"/>
      <c r="D3615" s="82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17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</row>
    <row r="3616" spans="1:38" x14ac:dyDescent="0.3">
      <c r="A3616" s="5"/>
      <c r="B3616" s="4"/>
      <c r="C3616" s="4"/>
      <c r="D3616" s="82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17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</row>
    <row r="3617" spans="1:38" x14ac:dyDescent="0.3">
      <c r="A3617" s="5"/>
      <c r="B3617" s="4"/>
      <c r="C3617" s="4"/>
      <c r="D3617" s="82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17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</row>
    <row r="3618" spans="1:38" x14ac:dyDescent="0.3">
      <c r="A3618" s="5"/>
      <c r="B3618" s="4"/>
      <c r="C3618" s="4"/>
      <c r="D3618" s="82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17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</row>
    <row r="3619" spans="1:38" x14ac:dyDescent="0.3">
      <c r="A3619" s="5"/>
      <c r="B3619" s="4"/>
      <c r="C3619" s="4"/>
      <c r="D3619" s="82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17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</row>
    <row r="3620" spans="1:38" x14ac:dyDescent="0.3">
      <c r="A3620" s="5"/>
      <c r="B3620" s="4"/>
      <c r="C3620" s="4"/>
      <c r="D3620" s="82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17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</row>
    <row r="3621" spans="1:38" x14ac:dyDescent="0.3">
      <c r="A3621" s="5"/>
      <c r="B3621" s="4"/>
      <c r="C3621" s="4"/>
      <c r="D3621" s="82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17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</row>
    <row r="3622" spans="1:38" x14ac:dyDescent="0.3">
      <c r="A3622" s="5"/>
      <c r="B3622" s="4"/>
      <c r="C3622" s="4"/>
      <c r="D3622" s="82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17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</row>
    <row r="3623" spans="1:38" x14ac:dyDescent="0.3">
      <c r="A3623" s="5"/>
      <c r="B3623" s="4"/>
      <c r="C3623" s="4"/>
      <c r="D3623" s="82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17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</row>
    <row r="3624" spans="1:38" x14ac:dyDescent="0.3">
      <c r="A3624" s="5"/>
      <c r="B3624" s="4"/>
      <c r="C3624" s="4"/>
      <c r="D3624" s="82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17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</row>
    <row r="3625" spans="1:38" x14ac:dyDescent="0.3">
      <c r="A3625" s="5"/>
      <c r="B3625" s="4"/>
      <c r="C3625" s="4"/>
      <c r="D3625" s="82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17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</row>
    <row r="3626" spans="1:38" x14ac:dyDescent="0.3">
      <c r="A3626" s="5"/>
      <c r="B3626" s="4"/>
      <c r="C3626" s="4"/>
      <c r="D3626" s="82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17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</row>
    <row r="3627" spans="1:38" x14ac:dyDescent="0.3">
      <c r="A3627" s="5"/>
      <c r="B3627" s="4"/>
      <c r="C3627" s="4"/>
      <c r="D3627" s="82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17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</row>
    <row r="3628" spans="1:38" x14ac:dyDescent="0.3">
      <c r="A3628" s="5"/>
      <c r="B3628" s="4"/>
      <c r="C3628" s="4"/>
      <c r="D3628" s="82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17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</row>
    <row r="3629" spans="1:38" x14ac:dyDescent="0.3">
      <c r="A3629" s="5"/>
      <c r="B3629" s="4"/>
      <c r="C3629" s="4"/>
      <c r="D3629" s="82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17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</row>
    <row r="3630" spans="1:38" x14ac:dyDescent="0.3">
      <c r="A3630" s="5"/>
      <c r="B3630" s="4"/>
      <c r="C3630" s="4"/>
      <c r="D3630" s="82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17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</row>
    <row r="3631" spans="1:38" x14ac:dyDescent="0.3">
      <c r="A3631" s="5"/>
      <c r="B3631" s="4"/>
      <c r="C3631" s="4"/>
      <c r="D3631" s="82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17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</row>
    <row r="3632" spans="1:38" x14ac:dyDescent="0.3">
      <c r="A3632" s="5"/>
      <c r="B3632" s="4"/>
      <c r="C3632" s="4"/>
      <c r="D3632" s="82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17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</row>
    <row r="3633" spans="1:38" x14ac:dyDescent="0.3">
      <c r="A3633" s="5"/>
      <c r="B3633" s="4"/>
      <c r="C3633" s="4"/>
      <c r="D3633" s="82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17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</row>
    <row r="3634" spans="1:38" x14ac:dyDescent="0.3">
      <c r="A3634" s="5"/>
      <c r="B3634" s="4"/>
      <c r="C3634" s="4"/>
      <c r="D3634" s="82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17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</row>
    <row r="3635" spans="1:38" x14ac:dyDescent="0.3">
      <c r="A3635" s="5"/>
      <c r="B3635" s="4"/>
      <c r="C3635" s="4"/>
      <c r="D3635" s="82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17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</row>
    <row r="3636" spans="1:38" x14ac:dyDescent="0.3">
      <c r="A3636" s="5"/>
      <c r="B3636" s="4"/>
      <c r="C3636" s="4"/>
      <c r="D3636" s="82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17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</row>
    <row r="3637" spans="1:38" x14ac:dyDescent="0.3">
      <c r="A3637" s="5"/>
      <c r="B3637" s="4"/>
      <c r="C3637" s="4"/>
      <c r="D3637" s="82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17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</row>
    <row r="3638" spans="1:38" x14ac:dyDescent="0.3">
      <c r="A3638" s="5"/>
      <c r="B3638" s="4"/>
      <c r="C3638" s="4"/>
      <c r="D3638" s="82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17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</row>
    <row r="3639" spans="1:38" x14ac:dyDescent="0.3">
      <c r="A3639" s="5"/>
      <c r="B3639" s="4"/>
      <c r="C3639" s="4"/>
      <c r="D3639" s="82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17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</row>
    <row r="3640" spans="1:38" x14ac:dyDescent="0.3">
      <c r="A3640" s="5"/>
      <c r="B3640" s="4"/>
      <c r="C3640" s="4"/>
      <c r="D3640" s="82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17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</row>
    <row r="3641" spans="1:38" x14ac:dyDescent="0.3">
      <c r="A3641" s="5"/>
      <c r="B3641" s="4"/>
      <c r="C3641" s="4"/>
      <c r="D3641" s="82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17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</row>
    <row r="3642" spans="1:38" x14ac:dyDescent="0.3">
      <c r="A3642" s="5"/>
      <c r="B3642" s="4"/>
      <c r="C3642" s="4"/>
      <c r="D3642" s="82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17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</row>
    <row r="3643" spans="1:38" x14ac:dyDescent="0.3">
      <c r="A3643" s="5"/>
      <c r="B3643" s="4"/>
      <c r="C3643" s="4"/>
      <c r="D3643" s="82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17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</row>
    <row r="3644" spans="1:38" x14ac:dyDescent="0.3">
      <c r="A3644" s="5"/>
      <c r="B3644" s="4"/>
      <c r="C3644" s="4"/>
      <c r="D3644" s="82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17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</row>
    <row r="3645" spans="1:38" x14ac:dyDescent="0.3">
      <c r="A3645" s="5"/>
      <c r="B3645" s="4"/>
      <c r="C3645" s="4"/>
      <c r="D3645" s="82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17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</row>
    <row r="3646" spans="1:38" x14ac:dyDescent="0.3">
      <c r="A3646" s="5"/>
      <c r="B3646" s="4"/>
      <c r="C3646" s="4"/>
      <c r="D3646" s="82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17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</row>
    <row r="3647" spans="1:38" x14ac:dyDescent="0.3">
      <c r="A3647" s="5"/>
      <c r="B3647" s="4"/>
      <c r="C3647" s="4"/>
      <c r="D3647" s="82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17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</row>
    <row r="3648" spans="1:38" x14ac:dyDescent="0.3">
      <c r="A3648" s="5"/>
      <c r="B3648" s="4"/>
      <c r="C3648" s="4"/>
      <c r="D3648" s="82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17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</row>
    <row r="3649" spans="1:38" x14ac:dyDescent="0.3">
      <c r="A3649" s="5"/>
      <c r="B3649" s="4"/>
      <c r="C3649" s="4"/>
      <c r="D3649" s="82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17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</row>
    <row r="3650" spans="1:38" x14ac:dyDescent="0.3">
      <c r="A3650" s="5"/>
      <c r="B3650" s="4"/>
      <c r="C3650" s="4"/>
      <c r="D3650" s="82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17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</row>
    <row r="3651" spans="1:38" x14ac:dyDescent="0.3">
      <c r="A3651" s="5"/>
      <c r="B3651" s="4"/>
      <c r="C3651" s="4"/>
      <c r="D3651" s="82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17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</row>
    <row r="3652" spans="1:38" x14ac:dyDescent="0.3">
      <c r="A3652" s="5"/>
      <c r="B3652" s="4"/>
      <c r="C3652" s="4"/>
      <c r="D3652" s="82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17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</row>
    <row r="3653" spans="1:38" x14ac:dyDescent="0.3">
      <c r="A3653" s="5"/>
      <c r="B3653" s="4"/>
      <c r="C3653" s="4"/>
      <c r="D3653" s="82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17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</row>
    <row r="3654" spans="1:38" x14ac:dyDescent="0.3">
      <c r="A3654" s="5"/>
      <c r="B3654" s="4"/>
      <c r="C3654" s="4"/>
      <c r="D3654" s="82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17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</row>
    <row r="3655" spans="1:38" x14ac:dyDescent="0.3">
      <c r="A3655" s="5"/>
      <c r="B3655" s="4"/>
      <c r="C3655" s="4"/>
      <c r="D3655" s="82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17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</row>
    <row r="3656" spans="1:38" x14ac:dyDescent="0.3">
      <c r="A3656" s="5"/>
      <c r="B3656" s="4"/>
      <c r="C3656" s="4"/>
      <c r="D3656" s="82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17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</row>
    <row r="3657" spans="1:38" x14ac:dyDescent="0.3">
      <c r="A3657" s="5"/>
      <c r="B3657" s="4"/>
      <c r="C3657" s="4"/>
      <c r="D3657" s="82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17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</row>
    <row r="3658" spans="1:38" x14ac:dyDescent="0.3">
      <c r="A3658" s="5"/>
      <c r="B3658" s="4"/>
      <c r="C3658" s="4"/>
      <c r="D3658" s="82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17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</row>
    <row r="3659" spans="1:38" x14ac:dyDescent="0.3">
      <c r="A3659" s="5"/>
      <c r="B3659" s="4"/>
      <c r="C3659" s="4"/>
      <c r="D3659" s="82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17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</row>
    <row r="3660" spans="1:38" x14ac:dyDescent="0.3">
      <c r="A3660" s="5"/>
      <c r="B3660" s="4"/>
      <c r="C3660" s="4"/>
      <c r="D3660" s="82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17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</row>
    <row r="3661" spans="1:38" x14ac:dyDescent="0.3">
      <c r="A3661" s="5"/>
      <c r="B3661" s="4"/>
      <c r="C3661" s="4"/>
      <c r="D3661" s="82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17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</row>
    <row r="3662" spans="1:38" x14ac:dyDescent="0.3">
      <c r="A3662" s="5"/>
      <c r="B3662" s="4"/>
      <c r="C3662" s="4"/>
      <c r="D3662" s="82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17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</row>
    <row r="3663" spans="1:38" x14ac:dyDescent="0.3">
      <c r="A3663" s="5"/>
      <c r="B3663" s="4"/>
      <c r="C3663" s="4"/>
      <c r="D3663" s="82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17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</row>
    <row r="3664" spans="1:38" x14ac:dyDescent="0.3">
      <c r="A3664" s="5"/>
      <c r="B3664" s="4"/>
      <c r="C3664" s="4"/>
      <c r="D3664" s="82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17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</row>
    <row r="3665" spans="1:38" x14ac:dyDescent="0.3">
      <c r="A3665" s="5"/>
      <c r="B3665" s="4"/>
      <c r="C3665" s="4"/>
      <c r="D3665" s="82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17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</row>
    <row r="3666" spans="1:38" x14ac:dyDescent="0.3">
      <c r="A3666" s="5"/>
      <c r="B3666" s="4"/>
      <c r="C3666" s="4"/>
      <c r="D3666" s="82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17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</row>
    <row r="3667" spans="1:38" x14ac:dyDescent="0.3">
      <c r="A3667" s="5"/>
      <c r="B3667" s="4"/>
      <c r="C3667" s="4"/>
      <c r="D3667" s="82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17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</row>
    <row r="3668" spans="1:38" x14ac:dyDescent="0.3">
      <c r="A3668" s="5"/>
      <c r="B3668" s="4"/>
      <c r="C3668" s="4"/>
      <c r="D3668" s="82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17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</row>
    <row r="3669" spans="1:38" x14ac:dyDescent="0.3">
      <c r="A3669" s="5"/>
      <c r="B3669" s="4"/>
      <c r="C3669" s="4"/>
      <c r="D3669" s="82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17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</row>
    <row r="3670" spans="1:38" x14ac:dyDescent="0.3">
      <c r="A3670" s="5"/>
      <c r="B3670" s="4"/>
      <c r="C3670" s="4"/>
      <c r="D3670" s="82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17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</row>
    <row r="3671" spans="1:38" x14ac:dyDescent="0.3">
      <c r="A3671" s="5"/>
      <c r="B3671" s="4"/>
      <c r="C3671" s="4"/>
      <c r="D3671" s="82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17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</row>
    <row r="3672" spans="1:38" x14ac:dyDescent="0.3">
      <c r="A3672" s="5"/>
      <c r="B3672" s="4"/>
      <c r="C3672" s="4"/>
      <c r="D3672" s="82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17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</row>
    <row r="3673" spans="1:38" x14ac:dyDescent="0.3">
      <c r="A3673" s="5"/>
      <c r="B3673" s="4"/>
      <c r="C3673" s="4"/>
      <c r="D3673" s="82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17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</row>
    <row r="3674" spans="1:38" x14ac:dyDescent="0.3">
      <c r="A3674" s="5"/>
      <c r="B3674" s="4"/>
      <c r="C3674" s="4"/>
      <c r="D3674" s="82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17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</row>
    <row r="3675" spans="1:38" x14ac:dyDescent="0.3">
      <c r="A3675" s="5"/>
      <c r="B3675" s="4"/>
      <c r="C3675" s="4"/>
      <c r="D3675" s="82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17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</row>
    <row r="3676" spans="1:38" x14ac:dyDescent="0.3">
      <c r="A3676" s="5"/>
      <c r="B3676" s="4"/>
      <c r="C3676" s="4"/>
      <c r="D3676" s="82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17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</row>
    <row r="3677" spans="1:38" x14ac:dyDescent="0.3">
      <c r="A3677" s="5"/>
      <c r="B3677" s="4"/>
      <c r="C3677" s="4"/>
      <c r="D3677" s="82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17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</row>
    <row r="3678" spans="1:38" x14ac:dyDescent="0.3">
      <c r="A3678" s="5"/>
      <c r="B3678" s="4"/>
      <c r="C3678" s="4"/>
      <c r="D3678" s="82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17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</row>
    <row r="3679" spans="1:38" x14ac:dyDescent="0.3">
      <c r="A3679" s="5"/>
      <c r="B3679" s="4"/>
      <c r="C3679" s="4"/>
      <c r="D3679" s="82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17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</row>
    <row r="3680" spans="1:38" x14ac:dyDescent="0.3">
      <c r="A3680" s="5"/>
      <c r="B3680" s="4"/>
      <c r="C3680" s="4"/>
      <c r="D3680" s="82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17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</row>
    <row r="3681" spans="1:38" x14ac:dyDescent="0.3">
      <c r="A3681" s="5"/>
      <c r="B3681" s="4"/>
      <c r="C3681" s="4"/>
      <c r="D3681" s="82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17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</row>
    <row r="3682" spans="1:38" x14ac:dyDescent="0.3">
      <c r="A3682" s="5"/>
      <c r="B3682" s="4"/>
      <c r="C3682" s="4"/>
      <c r="D3682" s="82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17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</row>
    <row r="3683" spans="1:38" x14ac:dyDescent="0.3">
      <c r="A3683" s="5"/>
      <c r="B3683" s="4"/>
      <c r="C3683" s="4"/>
      <c r="D3683" s="82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17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</row>
    <row r="3684" spans="1:38" x14ac:dyDescent="0.3">
      <c r="A3684" s="5"/>
      <c r="B3684" s="4"/>
      <c r="C3684" s="4"/>
      <c r="D3684" s="82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17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</row>
    <row r="3685" spans="1:38" x14ac:dyDescent="0.3">
      <c r="A3685" s="5"/>
      <c r="B3685" s="4"/>
      <c r="C3685" s="4"/>
      <c r="D3685" s="82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17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</row>
    <row r="3686" spans="1:38" x14ac:dyDescent="0.3">
      <c r="A3686" s="5"/>
      <c r="B3686" s="4"/>
      <c r="C3686" s="4"/>
      <c r="D3686" s="82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17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</row>
    <row r="3687" spans="1:38" x14ac:dyDescent="0.3">
      <c r="A3687" s="5"/>
      <c r="B3687" s="4"/>
      <c r="C3687" s="4"/>
      <c r="D3687" s="82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17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</row>
    <row r="3688" spans="1:38" x14ac:dyDescent="0.3">
      <c r="A3688" s="5"/>
      <c r="B3688" s="4"/>
      <c r="C3688" s="4"/>
      <c r="D3688" s="82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17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</row>
    <row r="3689" spans="1:38" x14ac:dyDescent="0.3">
      <c r="A3689" s="5"/>
      <c r="B3689" s="4"/>
      <c r="C3689" s="4"/>
      <c r="D3689" s="82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17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</row>
    <row r="3690" spans="1:38" x14ac:dyDescent="0.3">
      <c r="A3690" s="5"/>
      <c r="B3690" s="4"/>
      <c r="C3690" s="4"/>
      <c r="D3690" s="82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17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</row>
    <row r="3691" spans="1:38" x14ac:dyDescent="0.3">
      <c r="A3691" s="5"/>
      <c r="B3691" s="4"/>
      <c r="C3691" s="4"/>
      <c r="D3691" s="82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17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</row>
    <row r="3692" spans="1:38" x14ac:dyDescent="0.3">
      <c r="A3692" s="5"/>
      <c r="B3692" s="4"/>
      <c r="C3692" s="4"/>
      <c r="D3692" s="82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17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</row>
    <row r="3693" spans="1:38" x14ac:dyDescent="0.3">
      <c r="A3693" s="5"/>
      <c r="B3693" s="4"/>
      <c r="C3693" s="4"/>
      <c r="D3693" s="82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17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</row>
    <row r="3694" spans="1:38" x14ac:dyDescent="0.3">
      <c r="A3694" s="5"/>
      <c r="B3694" s="4"/>
      <c r="C3694" s="4"/>
      <c r="D3694" s="82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17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</row>
    <row r="3695" spans="1:38" x14ac:dyDescent="0.3">
      <c r="A3695" s="5"/>
      <c r="B3695" s="4"/>
      <c r="C3695" s="4"/>
      <c r="D3695" s="82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17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</row>
    <row r="3696" spans="1:38" x14ac:dyDescent="0.3">
      <c r="A3696" s="5"/>
      <c r="B3696" s="4"/>
      <c r="C3696" s="4"/>
      <c r="D3696" s="82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17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</row>
    <row r="3697" spans="1:38" x14ac:dyDescent="0.3">
      <c r="A3697" s="5"/>
      <c r="B3697" s="4"/>
      <c r="C3697" s="4"/>
      <c r="D3697" s="82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17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</row>
    <row r="3698" spans="1:38" x14ac:dyDescent="0.3">
      <c r="A3698" s="5"/>
      <c r="B3698" s="4"/>
      <c r="C3698" s="4"/>
      <c r="D3698" s="82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17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</row>
    <row r="3699" spans="1:38" x14ac:dyDescent="0.3">
      <c r="A3699" s="5"/>
      <c r="B3699" s="4"/>
      <c r="C3699" s="4"/>
      <c r="D3699" s="82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17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</row>
    <row r="3700" spans="1:38" x14ac:dyDescent="0.3">
      <c r="A3700" s="5"/>
      <c r="B3700" s="4"/>
      <c r="C3700" s="4"/>
      <c r="D3700" s="82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17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</row>
    <row r="3701" spans="1:38" x14ac:dyDescent="0.3">
      <c r="A3701" s="5"/>
      <c r="B3701" s="4"/>
      <c r="C3701" s="4"/>
      <c r="D3701" s="82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17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</row>
    <row r="3702" spans="1:38" x14ac:dyDescent="0.3">
      <c r="A3702" s="5"/>
      <c r="B3702" s="4"/>
      <c r="C3702" s="4"/>
      <c r="D3702" s="82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17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</row>
    <row r="3703" spans="1:38" x14ac:dyDescent="0.3">
      <c r="A3703" s="5"/>
      <c r="B3703" s="4"/>
      <c r="C3703" s="4"/>
      <c r="D3703" s="82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17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</row>
    <row r="3704" spans="1:38" x14ac:dyDescent="0.3">
      <c r="A3704" s="5"/>
      <c r="B3704" s="4"/>
      <c r="C3704" s="4"/>
      <c r="D3704" s="82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17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</row>
    <row r="3705" spans="1:38" x14ac:dyDescent="0.3">
      <c r="A3705" s="5"/>
      <c r="B3705" s="4"/>
      <c r="C3705" s="4"/>
      <c r="D3705" s="82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17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</row>
    <row r="3706" spans="1:38" x14ac:dyDescent="0.3">
      <c r="A3706" s="5"/>
      <c r="B3706" s="4"/>
      <c r="C3706" s="4"/>
      <c r="D3706" s="82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17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</row>
    <row r="3707" spans="1:38" x14ac:dyDescent="0.3">
      <c r="A3707" s="5"/>
      <c r="B3707" s="4"/>
      <c r="C3707" s="4"/>
      <c r="D3707" s="82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17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</row>
    <row r="3708" spans="1:38" x14ac:dyDescent="0.3">
      <c r="A3708" s="5"/>
      <c r="B3708" s="4"/>
      <c r="C3708" s="4"/>
      <c r="D3708" s="82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17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</row>
    <row r="3709" spans="1:38" x14ac:dyDescent="0.3">
      <c r="A3709" s="5"/>
      <c r="B3709" s="4"/>
      <c r="C3709" s="4"/>
      <c r="D3709" s="82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17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</row>
    <row r="3710" spans="1:38" x14ac:dyDescent="0.3">
      <c r="A3710" s="5"/>
      <c r="B3710" s="4"/>
      <c r="C3710" s="4"/>
      <c r="D3710" s="82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17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</row>
    <row r="3711" spans="1:38" x14ac:dyDescent="0.3">
      <c r="A3711" s="5"/>
      <c r="B3711" s="4"/>
      <c r="C3711" s="4"/>
      <c r="D3711" s="82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17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</row>
    <row r="3712" spans="1:38" x14ac:dyDescent="0.3">
      <c r="A3712" s="5"/>
      <c r="B3712" s="4"/>
      <c r="C3712" s="4"/>
      <c r="D3712" s="82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17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</row>
    <row r="3713" spans="1:38" x14ac:dyDescent="0.3">
      <c r="A3713" s="5"/>
      <c r="B3713" s="4"/>
      <c r="C3713" s="4"/>
      <c r="D3713" s="82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17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</row>
    <row r="3714" spans="1:38" x14ac:dyDescent="0.3">
      <c r="A3714" s="5"/>
      <c r="B3714" s="4"/>
      <c r="C3714" s="4"/>
      <c r="D3714" s="82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17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</row>
    <row r="3715" spans="1:38" x14ac:dyDescent="0.3">
      <c r="A3715" s="5"/>
      <c r="B3715" s="4"/>
      <c r="C3715" s="4"/>
      <c r="D3715" s="82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17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</row>
    <row r="3716" spans="1:38" x14ac:dyDescent="0.3">
      <c r="A3716" s="5"/>
      <c r="B3716" s="4"/>
      <c r="C3716" s="4"/>
      <c r="D3716" s="82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17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</row>
    <row r="3717" spans="1:38" x14ac:dyDescent="0.3">
      <c r="A3717" s="5"/>
      <c r="B3717" s="4"/>
      <c r="C3717" s="4"/>
      <c r="D3717" s="82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17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</row>
    <row r="3718" spans="1:38" x14ac:dyDescent="0.3">
      <c r="A3718" s="5"/>
      <c r="B3718" s="4"/>
      <c r="C3718" s="4"/>
      <c r="D3718" s="82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17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</row>
    <row r="3719" spans="1:38" x14ac:dyDescent="0.3">
      <c r="A3719" s="5"/>
      <c r="B3719" s="4"/>
      <c r="C3719" s="4"/>
      <c r="D3719" s="82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17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</row>
    <row r="3720" spans="1:38" x14ac:dyDescent="0.3">
      <c r="A3720" s="5"/>
      <c r="B3720" s="4"/>
      <c r="C3720" s="4"/>
      <c r="D3720" s="82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17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</row>
    <row r="3721" spans="1:38" x14ac:dyDescent="0.3">
      <c r="A3721" s="5"/>
      <c r="B3721" s="4"/>
      <c r="C3721" s="4"/>
      <c r="D3721" s="82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17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</row>
    <row r="3722" spans="1:38" x14ac:dyDescent="0.3">
      <c r="A3722" s="5"/>
      <c r="B3722" s="4"/>
      <c r="C3722" s="4"/>
      <c r="D3722" s="82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17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</row>
    <row r="3723" spans="1:38" x14ac:dyDescent="0.3">
      <c r="A3723" s="5"/>
      <c r="B3723" s="4"/>
      <c r="C3723" s="4"/>
      <c r="D3723" s="82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17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</row>
    <row r="3724" spans="1:38" x14ac:dyDescent="0.3">
      <c r="A3724" s="5"/>
      <c r="B3724" s="4"/>
      <c r="C3724" s="4"/>
      <c r="D3724" s="82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17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</row>
    <row r="3725" spans="1:38" x14ac:dyDescent="0.3">
      <c r="A3725" s="5"/>
      <c r="B3725" s="4"/>
      <c r="C3725" s="4"/>
      <c r="D3725" s="82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17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</row>
    <row r="3726" spans="1:38" x14ac:dyDescent="0.3">
      <c r="A3726" s="5"/>
      <c r="B3726" s="4"/>
      <c r="C3726" s="4"/>
      <c r="D3726" s="82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17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</row>
    <row r="3727" spans="1:38" x14ac:dyDescent="0.3">
      <c r="A3727" s="5"/>
      <c r="B3727" s="4"/>
      <c r="C3727" s="4"/>
      <c r="D3727" s="82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17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</row>
    <row r="3728" spans="1:38" x14ac:dyDescent="0.3">
      <c r="A3728" s="5"/>
      <c r="B3728" s="4"/>
      <c r="C3728" s="4"/>
      <c r="D3728" s="82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17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</row>
    <row r="3729" spans="1:38" x14ac:dyDescent="0.3">
      <c r="A3729" s="5"/>
      <c r="B3729" s="4"/>
      <c r="C3729" s="4"/>
      <c r="D3729" s="82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17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</row>
    <row r="3730" spans="1:38" x14ac:dyDescent="0.3">
      <c r="A3730" s="5"/>
      <c r="B3730" s="4"/>
      <c r="C3730" s="4"/>
      <c r="D3730" s="82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17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</row>
    <row r="3731" spans="1:38" x14ac:dyDescent="0.3">
      <c r="A3731" s="5"/>
      <c r="B3731" s="4"/>
      <c r="C3731" s="4"/>
      <c r="D3731" s="82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17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</row>
    <row r="3732" spans="1:38" x14ac:dyDescent="0.3">
      <c r="A3732" s="5"/>
      <c r="B3732" s="4"/>
      <c r="C3732" s="4"/>
      <c r="D3732" s="82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17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</row>
    <row r="3733" spans="1:38" x14ac:dyDescent="0.3">
      <c r="A3733" s="5"/>
      <c r="B3733" s="4"/>
      <c r="C3733" s="4"/>
      <c r="D3733" s="82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17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</row>
    <row r="3734" spans="1:38" x14ac:dyDescent="0.3">
      <c r="A3734" s="5"/>
      <c r="B3734" s="4"/>
      <c r="C3734" s="4"/>
      <c r="D3734" s="82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17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</row>
    <row r="3735" spans="1:38" x14ac:dyDescent="0.3">
      <c r="A3735" s="5"/>
      <c r="B3735" s="4"/>
      <c r="C3735" s="4"/>
      <c r="D3735" s="82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17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</row>
    <row r="3736" spans="1:38" x14ac:dyDescent="0.3">
      <c r="A3736" s="5"/>
      <c r="B3736" s="4"/>
      <c r="C3736" s="4"/>
      <c r="D3736" s="82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17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</row>
    <row r="3737" spans="1:38" x14ac:dyDescent="0.3">
      <c r="A3737" s="5"/>
      <c r="B3737" s="4"/>
      <c r="C3737" s="4"/>
      <c r="D3737" s="82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17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</row>
    <row r="3738" spans="1:38" x14ac:dyDescent="0.3">
      <c r="A3738" s="5"/>
      <c r="B3738" s="4"/>
      <c r="C3738" s="4"/>
      <c r="D3738" s="82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17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</row>
    <row r="3739" spans="1:38" x14ac:dyDescent="0.3">
      <c r="A3739" s="5"/>
      <c r="B3739" s="4"/>
      <c r="C3739" s="4"/>
      <c r="D3739" s="82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17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</row>
    <row r="3740" spans="1:38" x14ac:dyDescent="0.3">
      <c r="A3740" s="5"/>
      <c r="B3740" s="4"/>
      <c r="C3740" s="4"/>
      <c r="D3740" s="82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17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</row>
    <row r="3741" spans="1:38" x14ac:dyDescent="0.3">
      <c r="A3741" s="5"/>
      <c r="B3741" s="4"/>
      <c r="C3741" s="4"/>
      <c r="D3741" s="82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17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</row>
    <row r="3742" spans="1:38" x14ac:dyDescent="0.3">
      <c r="A3742" s="5"/>
      <c r="B3742" s="4"/>
      <c r="C3742" s="4"/>
      <c r="D3742" s="82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17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</row>
    <row r="3743" spans="1:38" x14ac:dyDescent="0.3">
      <c r="A3743" s="5"/>
      <c r="B3743" s="4"/>
      <c r="C3743" s="4"/>
      <c r="D3743" s="82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17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</row>
    <row r="3744" spans="1:38" x14ac:dyDescent="0.3">
      <c r="A3744" s="5"/>
      <c r="B3744" s="4"/>
      <c r="C3744" s="4"/>
      <c r="D3744" s="82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17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</row>
    <row r="3745" spans="1:38" x14ac:dyDescent="0.3">
      <c r="A3745" s="5"/>
      <c r="B3745" s="4"/>
      <c r="C3745" s="4"/>
      <c r="D3745" s="82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17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</row>
    <row r="3746" spans="1:38" x14ac:dyDescent="0.3">
      <c r="A3746" s="5"/>
      <c r="B3746" s="4"/>
      <c r="C3746" s="4"/>
      <c r="D3746" s="82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17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</row>
    <row r="3747" spans="1:38" x14ac:dyDescent="0.3">
      <c r="A3747" s="5"/>
      <c r="B3747" s="4"/>
      <c r="C3747" s="4"/>
      <c r="D3747" s="82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17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</row>
    <row r="3748" spans="1:38" x14ac:dyDescent="0.3">
      <c r="A3748" s="5"/>
      <c r="B3748" s="4"/>
      <c r="C3748" s="4"/>
      <c r="D3748" s="82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17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</row>
    <row r="3749" spans="1:38" x14ac:dyDescent="0.3">
      <c r="A3749" s="5"/>
      <c r="B3749" s="4"/>
      <c r="C3749" s="4"/>
      <c r="D3749" s="82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17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</row>
    <row r="3750" spans="1:38" x14ac:dyDescent="0.3">
      <c r="A3750" s="5"/>
      <c r="B3750" s="4"/>
      <c r="C3750" s="4"/>
      <c r="D3750" s="82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17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</row>
    <row r="3751" spans="1:38" x14ac:dyDescent="0.3">
      <c r="A3751" s="5"/>
      <c r="B3751" s="4"/>
      <c r="C3751" s="4"/>
      <c r="D3751" s="82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17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</row>
    <row r="3752" spans="1:38" x14ac:dyDescent="0.3">
      <c r="A3752" s="5"/>
      <c r="B3752" s="4"/>
      <c r="C3752" s="4"/>
      <c r="D3752" s="82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17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</row>
    <row r="3753" spans="1:38" x14ac:dyDescent="0.3">
      <c r="A3753" s="5"/>
      <c r="B3753" s="4"/>
      <c r="C3753" s="4"/>
      <c r="D3753" s="82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17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</row>
    <row r="3754" spans="1:38" x14ac:dyDescent="0.3">
      <c r="A3754" s="5"/>
      <c r="B3754" s="4"/>
      <c r="C3754" s="4"/>
      <c r="D3754" s="82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17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</row>
    <row r="3755" spans="1:38" x14ac:dyDescent="0.3">
      <c r="A3755" s="5"/>
      <c r="B3755" s="4"/>
      <c r="C3755" s="4"/>
      <c r="D3755" s="82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17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</row>
    <row r="3756" spans="1:38" x14ac:dyDescent="0.3">
      <c r="A3756" s="5"/>
      <c r="B3756" s="4"/>
      <c r="C3756" s="4"/>
      <c r="D3756" s="82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17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</row>
    <row r="3757" spans="1:38" x14ac:dyDescent="0.3">
      <c r="A3757" s="5"/>
      <c r="B3757" s="4"/>
      <c r="C3757" s="4"/>
      <c r="D3757" s="82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17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</row>
    <row r="3758" spans="1:38" x14ac:dyDescent="0.3">
      <c r="A3758" s="5"/>
      <c r="B3758" s="4"/>
      <c r="C3758" s="4"/>
      <c r="D3758" s="82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17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</row>
    <row r="3759" spans="1:38" x14ac:dyDescent="0.3">
      <c r="A3759" s="5"/>
      <c r="B3759" s="4"/>
      <c r="C3759" s="4"/>
      <c r="D3759" s="82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17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</row>
    <row r="3760" spans="1:38" x14ac:dyDescent="0.3">
      <c r="A3760" s="5"/>
      <c r="B3760" s="4"/>
      <c r="C3760" s="4"/>
      <c r="D3760" s="82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17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</row>
    <row r="3761" spans="1:38" x14ac:dyDescent="0.3">
      <c r="A3761" s="5"/>
      <c r="B3761" s="4"/>
      <c r="C3761" s="4"/>
      <c r="D3761" s="82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17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</row>
    <row r="3762" spans="1:38" x14ac:dyDescent="0.3">
      <c r="A3762" s="5"/>
      <c r="B3762" s="4"/>
      <c r="C3762" s="4"/>
      <c r="D3762" s="82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17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</row>
    <row r="3763" spans="1:38" x14ac:dyDescent="0.3">
      <c r="A3763" s="5"/>
      <c r="B3763" s="4"/>
      <c r="C3763" s="4"/>
      <c r="D3763" s="82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17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</row>
    <row r="3764" spans="1:38" x14ac:dyDescent="0.3">
      <c r="A3764" s="5"/>
      <c r="B3764" s="4"/>
      <c r="C3764" s="4"/>
      <c r="D3764" s="82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17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</row>
    <row r="3765" spans="1:38" x14ac:dyDescent="0.3">
      <c r="A3765" s="5"/>
      <c r="B3765" s="4"/>
      <c r="C3765" s="4"/>
      <c r="D3765" s="82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17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</row>
    <row r="3766" spans="1:38" x14ac:dyDescent="0.3">
      <c r="A3766" s="5"/>
      <c r="B3766" s="4"/>
      <c r="C3766" s="4"/>
      <c r="D3766" s="82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17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</row>
    <row r="3767" spans="1:38" x14ac:dyDescent="0.3">
      <c r="A3767" s="5"/>
      <c r="B3767" s="4"/>
      <c r="C3767" s="4"/>
      <c r="D3767" s="82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17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</row>
    <row r="3768" spans="1:38" x14ac:dyDescent="0.3">
      <c r="A3768" s="5"/>
      <c r="B3768" s="4"/>
      <c r="C3768" s="4"/>
      <c r="D3768" s="82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17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</row>
    <row r="3769" spans="1:38" x14ac:dyDescent="0.3">
      <c r="A3769" s="5"/>
      <c r="B3769" s="4"/>
      <c r="C3769" s="4"/>
      <c r="D3769" s="82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17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</row>
    <row r="3770" spans="1:38" x14ac:dyDescent="0.3">
      <c r="A3770" s="5"/>
      <c r="B3770" s="4"/>
      <c r="C3770" s="4"/>
      <c r="D3770" s="82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17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</row>
    <row r="3771" spans="1:38" x14ac:dyDescent="0.3">
      <c r="A3771" s="5"/>
      <c r="B3771" s="4"/>
      <c r="C3771" s="4"/>
      <c r="D3771" s="82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17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</row>
    <row r="3772" spans="1:38" x14ac:dyDescent="0.3">
      <c r="A3772" s="5"/>
      <c r="B3772" s="4"/>
      <c r="C3772" s="4"/>
      <c r="D3772" s="82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17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</row>
    <row r="3773" spans="1:38" x14ac:dyDescent="0.3">
      <c r="A3773" s="5"/>
      <c r="B3773" s="4"/>
      <c r="C3773" s="4"/>
      <c r="D3773" s="82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17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</row>
    <row r="3774" spans="1:38" x14ac:dyDescent="0.3">
      <c r="A3774" s="5"/>
      <c r="B3774" s="4"/>
      <c r="C3774" s="4"/>
      <c r="D3774" s="82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17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</row>
    <row r="3775" spans="1:38" x14ac:dyDescent="0.3">
      <c r="A3775" s="5"/>
      <c r="B3775" s="4"/>
      <c r="C3775" s="4"/>
      <c r="D3775" s="82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17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</row>
    <row r="3776" spans="1:38" x14ac:dyDescent="0.3">
      <c r="A3776" s="5"/>
      <c r="B3776" s="4"/>
      <c r="C3776" s="4"/>
      <c r="D3776" s="82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17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</row>
    <row r="3777" spans="1:38" x14ac:dyDescent="0.3">
      <c r="A3777" s="5"/>
      <c r="B3777" s="4"/>
      <c r="C3777" s="4"/>
      <c r="D3777" s="82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17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</row>
    <row r="3778" spans="1:38" x14ac:dyDescent="0.3">
      <c r="A3778" s="5"/>
      <c r="B3778" s="4"/>
      <c r="C3778" s="4"/>
      <c r="D3778" s="82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17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</row>
    <row r="3779" spans="1:38" x14ac:dyDescent="0.3">
      <c r="A3779" s="5"/>
      <c r="B3779" s="4"/>
      <c r="C3779" s="4"/>
      <c r="D3779" s="82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17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</row>
    <row r="3780" spans="1:38" x14ac:dyDescent="0.3">
      <c r="A3780" s="5"/>
      <c r="B3780" s="4"/>
      <c r="C3780" s="4"/>
      <c r="D3780" s="82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17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</row>
    <row r="3781" spans="1:38" x14ac:dyDescent="0.3">
      <c r="A3781" s="5"/>
      <c r="B3781" s="4"/>
      <c r="C3781" s="4"/>
      <c r="D3781" s="82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17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</row>
    <row r="3782" spans="1:38" x14ac:dyDescent="0.3">
      <c r="A3782" s="5"/>
      <c r="B3782" s="4"/>
      <c r="C3782" s="4"/>
      <c r="D3782" s="82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17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</row>
    <row r="3783" spans="1:38" x14ac:dyDescent="0.3">
      <c r="A3783" s="5"/>
      <c r="B3783" s="4"/>
      <c r="C3783" s="4"/>
      <c r="D3783" s="82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17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</row>
    <row r="3784" spans="1:38" x14ac:dyDescent="0.3">
      <c r="A3784" s="5"/>
      <c r="B3784" s="4"/>
      <c r="C3784" s="4"/>
      <c r="D3784" s="82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17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</row>
    <row r="3785" spans="1:38" x14ac:dyDescent="0.3">
      <c r="A3785" s="5"/>
      <c r="B3785" s="4"/>
      <c r="C3785" s="4"/>
      <c r="D3785" s="82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17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</row>
    <row r="3786" spans="1:38" x14ac:dyDescent="0.3">
      <c r="A3786" s="5"/>
      <c r="B3786" s="4"/>
      <c r="C3786" s="4"/>
      <c r="D3786" s="82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17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</row>
    <row r="3787" spans="1:38" x14ac:dyDescent="0.3">
      <c r="A3787" s="5"/>
      <c r="B3787" s="4"/>
      <c r="C3787" s="4"/>
      <c r="D3787" s="82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17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</row>
    <row r="3788" spans="1:38" x14ac:dyDescent="0.3">
      <c r="A3788" s="5"/>
      <c r="B3788" s="4"/>
      <c r="C3788" s="4"/>
      <c r="D3788" s="82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17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</row>
    <row r="3789" spans="1:38" x14ac:dyDescent="0.3">
      <c r="A3789" s="5"/>
      <c r="B3789" s="4"/>
      <c r="C3789" s="4"/>
      <c r="D3789" s="82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17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</row>
    <row r="3790" spans="1:38" x14ac:dyDescent="0.3">
      <c r="A3790" s="5"/>
      <c r="B3790" s="4"/>
      <c r="C3790" s="4"/>
      <c r="D3790" s="82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17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</row>
    <row r="3791" spans="1:38" x14ac:dyDescent="0.3">
      <c r="A3791" s="5"/>
      <c r="B3791" s="4"/>
      <c r="C3791" s="4"/>
      <c r="D3791" s="82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17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</row>
    <row r="3792" spans="1:38" x14ac:dyDescent="0.3">
      <c r="A3792" s="5"/>
      <c r="B3792" s="4"/>
      <c r="C3792" s="4"/>
      <c r="D3792" s="82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17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</row>
    <row r="3793" spans="1:38" x14ac:dyDescent="0.3">
      <c r="A3793" s="5"/>
      <c r="B3793" s="4"/>
      <c r="C3793" s="4"/>
      <c r="D3793" s="82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17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</row>
    <row r="3794" spans="1:38" x14ac:dyDescent="0.3">
      <c r="A3794" s="5"/>
      <c r="B3794" s="4"/>
      <c r="C3794" s="4"/>
      <c r="D3794" s="82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17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</row>
    <row r="3795" spans="1:38" x14ac:dyDescent="0.3">
      <c r="A3795" s="5"/>
      <c r="B3795" s="4"/>
      <c r="C3795" s="4"/>
      <c r="D3795" s="82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17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</row>
    <row r="3796" spans="1:38" x14ac:dyDescent="0.3">
      <c r="A3796" s="5"/>
      <c r="B3796" s="4"/>
      <c r="C3796" s="4"/>
      <c r="D3796" s="82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17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</row>
    <row r="3797" spans="1:38" x14ac:dyDescent="0.3">
      <c r="A3797" s="5"/>
      <c r="B3797" s="4"/>
      <c r="C3797" s="4"/>
      <c r="D3797" s="82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17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</row>
    <row r="3798" spans="1:38" x14ac:dyDescent="0.3">
      <c r="A3798" s="5"/>
      <c r="B3798" s="4"/>
      <c r="C3798" s="4"/>
      <c r="D3798" s="82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17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</row>
    <row r="3799" spans="1:38" x14ac:dyDescent="0.3">
      <c r="A3799" s="5"/>
      <c r="B3799" s="4"/>
      <c r="C3799" s="4"/>
      <c r="D3799" s="82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17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</row>
    <row r="3800" spans="1:38" x14ac:dyDescent="0.3">
      <c r="A3800" s="5"/>
      <c r="B3800" s="4"/>
      <c r="C3800" s="4"/>
      <c r="D3800" s="82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17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</row>
    <row r="3801" spans="1:38" x14ac:dyDescent="0.3">
      <c r="A3801" s="5"/>
      <c r="B3801" s="4"/>
      <c r="C3801" s="4"/>
      <c r="D3801" s="82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17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</row>
    <row r="3802" spans="1:38" x14ac:dyDescent="0.3">
      <c r="A3802" s="5"/>
      <c r="B3802" s="4"/>
      <c r="C3802" s="4"/>
      <c r="D3802" s="82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17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</row>
    <row r="3803" spans="1:38" x14ac:dyDescent="0.3">
      <c r="A3803" s="5"/>
      <c r="B3803" s="4"/>
      <c r="C3803" s="4"/>
      <c r="D3803" s="82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17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</row>
    <row r="3804" spans="1:38" x14ac:dyDescent="0.3">
      <c r="A3804" s="5"/>
      <c r="B3804" s="4"/>
      <c r="C3804" s="4"/>
      <c r="D3804" s="82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17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</row>
    <row r="3805" spans="1:38" x14ac:dyDescent="0.3">
      <c r="A3805" s="5"/>
      <c r="B3805" s="4"/>
      <c r="C3805" s="4"/>
      <c r="D3805" s="82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17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</row>
    <row r="3806" spans="1:38" x14ac:dyDescent="0.3">
      <c r="A3806" s="5"/>
      <c r="B3806" s="4"/>
      <c r="C3806" s="4"/>
      <c r="D3806" s="82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17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</row>
    <row r="3807" spans="1:38" x14ac:dyDescent="0.3">
      <c r="A3807" s="5"/>
      <c r="B3807" s="4"/>
      <c r="C3807" s="4"/>
      <c r="D3807" s="82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17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</row>
    <row r="3808" spans="1:38" x14ac:dyDescent="0.3">
      <c r="A3808" s="5"/>
      <c r="B3808" s="4"/>
      <c r="C3808" s="4"/>
      <c r="D3808" s="82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17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</row>
    <row r="3809" spans="1:38" x14ac:dyDescent="0.3">
      <c r="A3809" s="5"/>
      <c r="B3809" s="4"/>
      <c r="C3809" s="4"/>
      <c r="D3809" s="82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17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</row>
    <row r="3810" spans="1:38" x14ac:dyDescent="0.3">
      <c r="A3810" s="5"/>
      <c r="B3810" s="4"/>
      <c r="C3810" s="4"/>
      <c r="D3810" s="82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17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</row>
    <row r="3811" spans="1:38" x14ac:dyDescent="0.3">
      <c r="A3811" s="5"/>
      <c r="B3811" s="4"/>
      <c r="C3811" s="4"/>
      <c r="D3811" s="82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17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</row>
    <row r="3812" spans="1:38" x14ac:dyDescent="0.3">
      <c r="A3812" s="5"/>
      <c r="B3812" s="4"/>
      <c r="C3812" s="4"/>
      <c r="D3812" s="82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17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</row>
    <row r="3813" spans="1:38" x14ac:dyDescent="0.3">
      <c r="A3813" s="5"/>
      <c r="B3813" s="4"/>
      <c r="C3813" s="4"/>
      <c r="D3813" s="82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17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</row>
    <row r="3814" spans="1:38" x14ac:dyDescent="0.3">
      <c r="A3814" s="5"/>
      <c r="B3814" s="4"/>
      <c r="C3814" s="4"/>
      <c r="D3814" s="82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17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</row>
    <row r="3815" spans="1:38" x14ac:dyDescent="0.3">
      <c r="A3815" s="5"/>
      <c r="B3815" s="4"/>
      <c r="C3815" s="4"/>
      <c r="D3815" s="82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17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</row>
    <row r="3816" spans="1:38" x14ac:dyDescent="0.3">
      <c r="A3816" s="5"/>
      <c r="B3816" s="4"/>
      <c r="C3816" s="4"/>
      <c r="D3816" s="82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17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</row>
    <row r="3817" spans="1:38" x14ac:dyDescent="0.3">
      <c r="A3817" s="5"/>
      <c r="B3817" s="4"/>
      <c r="C3817" s="4"/>
      <c r="D3817" s="82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17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</row>
    <row r="3818" spans="1:38" x14ac:dyDescent="0.3">
      <c r="A3818" s="5"/>
      <c r="B3818" s="4"/>
      <c r="C3818" s="4"/>
      <c r="D3818" s="82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17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</row>
    <row r="3819" spans="1:38" x14ac:dyDescent="0.3">
      <c r="A3819" s="5"/>
      <c r="B3819" s="4"/>
      <c r="C3819" s="4"/>
      <c r="D3819" s="82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17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</row>
    <row r="3820" spans="1:38" x14ac:dyDescent="0.3">
      <c r="A3820" s="5"/>
      <c r="B3820" s="4"/>
      <c r="C3820" s="4"/>
      <c r="D3820" s="82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17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</row>
    <row r="3821" spans="1:38" x14ac:dyDescent="0.3">
      <c r="A3821" s="5"/>
      <c r="B3821" s="4"/>
      <c r="C3821" s="4"/>
      <c r="D3821" s="82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17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</row>
    <row r="3822" spans="1:38" x14ac:dyDescent="0.3">
      <c r="A3822" s="5"/>
      <c r="B3822" s="4"/>
      <c r="C3822" s="4"/>
      <c r="D3822" s="82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17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</row>
    <row r="3823" spans="1:38" x14ac:dyDescent="0.3">
      <c r="A3823" s="5"/>
      <c r="B3823" s="4"/>
      <c r="C3823" s="4"/>
      <c r="D3823" s="82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17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</row>
    <row r="3824" spans="1:38" x14ac:dyDescent="0.3">
      <c r="A3824" s="5"/>
      <c r="B3824" s="4"/>
      <c r="C3824" s="4"/>
      <c r="D3824" s="82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17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</row>
    <row r="3825" spans="1:38" x14ac:dyDescent="0.3">
      <c r="A3825" s="5"/>
      <c r="B3825" s="4"/>
      <c r="C3825" s="4"/>
      <c r="D3825" s="82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17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</row>
    <row r="3826" spans="1:38" x14ac:dyDescent="0.3">
      <c r="A3826" s="5"/>
      <c r="B3826" s="4"/>
      <c r="C3826" s="4"/>
      <c r="D3826" s="82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17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</row>
    <row r="3827" spans="1:38" x14ac:dyDescent="0.3">
      <c r="A3827" s="5"/>
      <c r="B3827" s="4"/>
      <c r="C3827" s="4"/>
      <c r="D3827" s="82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17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</row>
    <row r="3828" spans="1:38" x14ac:dyDescent="0.3">
      <c r="A3828" s="5"/>
      <c r="B3828" s="4"/>
      <c r="C3828" s="4"/>
      <c r="D3828" s="82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17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</row>
    <row r="3829" spans="1:38" x14ac:dyDescent="0.3">
      <c r="A3829" s="5"/>
      <c r="B3829" s="4"/>
      <c r="C3829" s="4"/>
      <c r="D3829" s="82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17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</row>
    <row r="3830" spans="1:38" x14ac:dyDescent="0.3">
      <c r="A3830" s="5"/>
      <c r="B3830" s="4"/>
      <c r="C3830" s="4"/>
      <c r="D3830" s="82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17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</row>
    <row r="3831" spans="1:38" x14ac:dyDescent="0.3">
      <c r="A3831" s="5"/>
      <c r="B3831" s="4"/>
      <c r="C3831" s="4"/>
      <c r="D3831" s="82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17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</row>
    <row r="3832" spans="1:38" x14ac:dyDescent="0.3">
      <c r="A3832" s="5"/>
      <c r="B3832" s="4"/>
      <c r="C3832" s="4"/>
      <c r="D3832" s="82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17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</row>
    <row r="3833" spans="1:38" x14ac:dyDescent="0.3">
      <c r="A3833" s="5"/>
      <c r="B3833" s="4"/>
      <c r="C3833" s="4"/>
      <c r="D3833" s="82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17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</row>
    <row r="3834" spans="1:38" x14ac:dyDescent="0.3">
      <c r="A3834" s="5"/>
      <c r="B3834" s="4"/>
      <c r="C3834" s="4"/>
      <c r="D3834" s="82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17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</row>
    <row r="3835" spans="1:38" x14ac:dyDescent="0.3">
      <c r="A3835" s="5"/>
      <c r="B3835" s="4"/>
      <c r="C3835" s="4"/>
      <c r="D3835" s="82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17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</row>
    <row r="3836" spans="1:38" x14ac:dyDescent="0.3">
      <c r="A3836" s="5"/>
      <c r="B3836" s="4"/>
      <c r="C3836" s="4"/>
      <c r="D3836" s="82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17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</row>
    <row r="3837" spans="1:38" x14ac:dyDescent="0.3">
      <c r="A3837" s="5"/>
      <c r="B3837" s="4"/>
      <c r="C3837" s="4"/>
      <c r="D3837" s="82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17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</row>
    <row r="3838" spans="1:38" x14ac:dyDescent="0.3">
      <c r="A3838" s="5"/>
      <c r="B3838" s="4"/>
      <c r="C3838" s="4"/>
      <c r="D3838" s="82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17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</row>
    <row r="3839" spans="1:38" x14ac:dyDescent="0.3">
      <c r="A3839" s="5"/>
      <c r="B3839" s="4"/>
      <c r="C3839" s="4"/>
      <c r="D3839" s="82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17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</row>
    <row r="3840" spans="1:38" x14ac:dyDescent="0.3">
      <c r="A3840" s="5"/>
      <c r="B3840" s="4"/>
      <c r="C3840" s="4"/>
      <c r="D3840" s="82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17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</row>
    <row r="3841" spans="1:38" x14ac:dyDescent="0.3">
      <c r="A3841" s="5"/>
      <c r="B3841" s="4"/>
      <c r="C3841" s="4"/>
      <c r="D3841" s="82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17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</row>
    <row r="3842" spans="1:38" x14ac:dyDescent="0.3">
      <c r="A3842" s="5"/>
      <c r="B3842" s="4"/>
      <c r="C3842" s="4"/>
      <c r="D3842" s="82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17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</row>
    <row r="3843" spans="1:38" x14ac:dyDescent="0.3">
      <c r="A3843" s="5"/>
      <c r="B3843" s="4"/>
      <c r="C3843" s="4"/>
      <c r="D3843" s="82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17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</row>
    <row r="3844" spans="1:38" x14ac:dyDescent="0.3">
      <c r="A3844" s="5"/>
      <c r="B3844" s="4"/>
      <c r="C3844" s="4"/>
      <c r="D3844" s="82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17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</row>
    <row r="3845" spans="1:38" x14ac:dyDescent="0.3">
      <c r="A3845" s="5"/>
      <c r="B3845" s="4"/>
      <c r="C3845" s="4"/>
      <c r="D3845" s="82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17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</row>
    <row r="3846" spans="1:38" x14ac:dyDescent="0.3">
      <c r="A3846" s="5"/>
      <c r="B3846" s="4"/>
      <c r="C3846" s="4"/>
      <c r="D3846" s="82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17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</row>
    <row r="3847" spans="1:38" x14ac:dyDescent="0.3">
      <c r="A3847" s="5"/>
      <c r="B3847" s="4"/>
      <c r="C3847" s="4"/>
      <c r="D3847" s="82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17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</row>
    <row r="3848" spans="1:38" x14ac:dyDescent="0.3">
      <c r="A3848" s="5"/>
      <c r="B3848" s="4"/>
      <c r="C3848" s="4"/>
      <c r="D3848" s="82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17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</row>
    <row r="3849" spans="1:38" x14ac:dyDescent="0.3">
      <c r="A3849" s="5"/>
      <c r="B3849" s="4"/>
      <c r="C3849" s="4"/>
      <c r="D3849" s="82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17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</row>
    <row r="3850" spans="1:38" x14ac:dyDescent="0.3">
      <c r="A3850" s="5"/>
      <c r="B3850" s="4"/>
      <c r="C3850" s="4"/>
      <c r="D3850" s="82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17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</row>
    <row r="3851" spans="1:38" x14ac:dyDescent="0.3">
      <c r="A3851" s="5"/>
      <c r="B3851" s="4"/>
      <c r="C3851" s="4"/>
      <c r="D3851" s="82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17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</row>
    <row r="3852" spans="1:38" x14ac:dyDescent="0.3">
      <c r="A3852" s="5"/>
      <c r="B3852" s="4"/>
      <c r="C3852" s="4"/>
      <c r="D3852" s="82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17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</row>
    <row r="3853" spans="1:38" x14ac:dyDescent="0.3">
      <c r="A3853" s="5"/>
      <c r="B3853" s="4"/>
      <c r="C3853" s="4"/>
      <c r="D3853" s="82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17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</row>
    <row r="3854" spans="1:38" x14ac:dyDescent="0.3">
      <c r="A3854" s="5"/>
      <c r="B3854" s="4"/>
      <c r="C3854" s="4"/>
      <c r="D3854" s="82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17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</row>
    <row r="3855" spans="1:38" x14ac:dyDescent="0.3">
      <c r="A3855" s="5"/>
      <c r="B3855" s="4"/>
      <c r="C3855" s="4"/>
      <c r="D3855" s="82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17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</row>
    <row r="3856" spans="1:38" x14ac:dyDescent="0.3">
      <c r="A3856" s="5"/>
      <c r="B3856" s="4"/>
      <c r="C3856" s="4"/>
      <c r="D3856" s="82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17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</row>
    <row r="3857" spans="1:38" x14ac:dyDescent="0.3">
      <c r="A3857" s="5"/>
      <c r="B3857" s="4"/>
      <c r="C3857" s="4"/>
      <c r="D3857" s="82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17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</row>
    <row r="3858" spans="1:38" x14ac:dyDescent="0.3">
      <c r="A3858" s="5"/>
      <c r="B3858" s="4"/>
      <c r="C3858" s="4"/>
      <c r="D3858" s="82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17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</row>
    <row r="3859" spans="1:38" x14ac:dyDescent="0.3">
      <c r="A3859" s="5"/>
      <c r="B3859" s="4"/>
      <c r="C3859" s="4"/>
      <c r="D3859" s="82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17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</row>
    <row r="3860" spans="1:38" x14ac:dyDescent="0.3">
      <c r="A3860" s="5"/>
      <c r="B3860" s="4"/>
      <c r="C3860" s="4"/>
      <c r="D3860" s="82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17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</row>
    <row r="3861" spans="1:38" x14ac:dyDescent="0.3">
      <c r="A3861" s="5"/>
      <c r="B3861" s="4"/>
      <c r="C3861" s="4"/>
      <c r="D3861" s="82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17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</row>
    <row r="3862" spans="1:38" x14ac:dyDescent="0.3">
      <c r="A3862" s="5"/>
      <c r="B3862" s="4"/>
      <c r="C3862" s="4"/>
      <c r="D3862" s="82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17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</row>
    <row r="3863" spans="1:38" x14ac:dyDescent="0.3">
      <c r="A3863" s="5"/>
      <c r="B3863" s="4"/>
      <c r="C3863" s="4"/>
      <c r="D3863" s="82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17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</row>
    <row r="3864" spans="1:38" x14ac:dyDescent="0.3">
      <c r="A3864" s="5"/>
      <c r="B3864" s="4"/>
      <c r="C3864" s="4"/>
      <c r="D3864" s="82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17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</row>
    <row r="3865" spans="1:38" x14ac:dyDescent="0.3">
      <c r="A3865" s="5"/>
      <c r="B3865" s="4"/>
      <c r="C3865" s="4"/>
      <c r="D3865" s="82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17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</row>
    <row r="3866" spans="1:38" x14ac:dyDescent="0.3">
      <c r="A3866" s="5"/>
      <c r="B3866" s="4"/>
      <c r="C3866" s="4"/>
      <c r="D3866" s="82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17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</row>
    <row r="3867" spans="1:38" x14ac:dyDescent="0.3">
      <c r="A3867" s="5"/>
      <c r="B3867" s="4"/>
      <c r="C3867" s="4"/>
      <c r="D3867" s="82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17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</row>
    <row r="3868" spans="1:38" x14ac:dyDescent="0.3">
      <c r="A3868" s="5"/>
      <c r="B3868" s="4"/>
      <c r="C3868" s="4"/>
      <c r="D3868" s="82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17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</row>
    <row r="3869" spans="1:38" x14ac:dyDescent="0.3">
      <c r="A3869" s="5"/>
      <c r="B3869" s="4"/>
      <c r="C3869" s="4"/>
      <c r="D3869" s="82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17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</row>
    <row r="3870" spans="1:38" x14ac:dyDescent="0.3">
      <c r="A3870" s="5"/>
      <c r="B3870" s="4"/>
      <c r="C3870" s="4"/>
      <c r="D3870" s="82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17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</row>
    <row r="3871" spans="1:38" x14ac:dyDescent="0.3">
      <c r="A3871" s="5"/>
      <c r="B3871" s="4"/>
      <c r="C3871" s="4"/>
      <c r="D3871" s="82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17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</row>
    <row r="3872" spans="1:38" x14ac:dyDescent="0.3">
      <c r="A3872" s="5"/>
      <c r="B3872" s="4"/>
      <c r="C3872" s="4"/>
      <c r="D3872" s="82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17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</row>
    <row r="3873" spans="1:38" x14ac:dyDescent="0.3">
      <c r="A3873" s="5"/>
      <c r="B3873" s="4"/>
      <c r="C3873" s="4"/>
      <c r="D3873" s="82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17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</row>
    <row r="3874" spans="1:38" x14ac:dyDescent="0.3">
      <c r="A3874" s="5"/>
      <c r="B3874" s="4"/>
      <c r="C3874" s="4"/>
      <c r="D3874" s="82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17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</row>
    <row r="3875" spans="1:38" x14ac:dyDescent="0.3">
      <c r="A3875" s="5"/>
      <c r="B3875" s="4"/>
      <c r="C3875" s="4"/>
      <c r="D3875" s="82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17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</row>
    <row r="3876" spans="1:38" x14ac:dyDescent="0.3">
      <c r="A3876" s="5"/>
      <c r="B3876" s="4"/>
      <c r="C3876" s="4"/>
      <c r="D3876" s="82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17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</row>
    <row r="3877" spans="1:38" x14ac:dyDescent="0.3">
      <c r="A3877" s="5"/>
      <c r="B3877" s="4"/>
      <c r="C3877" s="4"/>
      <c r="D3877" s="82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17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</row>
    <row r="3878" spans="1:38" x14ac:dyDescent="0.3">
      <c r="A3878" s="5"/>
      <c r="B3878" s="4"/>
      <c r="C3878" s="4"/>
      <c r="D3878" s="82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17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</row>
    <row r="3879" spans="1:38" x14ac:dyDescent="0.3">
      <c r="A3879" s="5"/>
      <c r="B3879" s="4"/>
      <c r="C3879" s="4"/>
      <c r="D3879" s="82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17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</row>
    <row r="3880" spans="1:38" x14ac:dyDescent="0.3">
      <c r="A3880" s="5"/>
      <c r="B3880" s="4"/>
      <c r="C3880" s="4"/>
      <c r="D3880" s="82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17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</row>
    <row r="3881" spans="1:38" x14ac:dyDescent="0.3">
      <c r="A3881" s="5"/>
      <c r="B3881" s="4"/>
      <c r="C3881" s="4"/>
      <c r="D3881" s="82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17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</row>
    <row r="3882" spans="1:38" x14ac:dyDescent="0.3">
      <c r="A3882" s="5"/>
      <c r="B3882" s="4"/>
      <c r="C3882" s="4"/>
      <c r="D3882" s="82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17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</row>
    <row r="3883" spans="1:38" x14ac:dyDescent="0.3">
      <c r="A3883" s="5"/>
      <c r="B3883" s="4"/>
      <c r="C3883" s="4"/>
      <c r="D3883" s="82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17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</row>
    <row r="3884" spans="1:38" x14ac:dyDescent="0.3">
      <c r="A3884" s="5"/>
      <c r="B3884" s="4"/>
      <c r="C3884" s="4"/>
      <c r="D3884" s="82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17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</row>
    <row r="3885" spans="1:38" x14ac:dyDescent="0.3">
      <c r="A3885" s="5"/>
      <c r="B3885" s="4"/>
      <c r="C3885" s="4"/>
      <c r="D3885" s="82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17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</row>
    <row r="3886" spans="1:38" x14ac:dyDescent="0.3">
      <c r="A3886" s="5"/>
      <c r="B3886" s="4"/>
      <c r="C3886" s="4"/>
      <c r="D3886" s="82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17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</row>
    <row r="3887" spans="1:38" x14ac:dyDescent="0.3">
      <c r="A3887" s="5"/>
      <c r="B3887" s="4"/>
      <c r="C3887" s="4"/>
      <c r="D3887" s="82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17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</row>
    <row r="3888" spans="1:38" x14ac:dyDescent="0.3">
      <c r="A3888" s="5"/>
      <c r="B3888" s="4"/>
      <c r="C3888" s="4"/>
      <c r="D3888" s="82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17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</row>
    <row r="3889" spans="1:38" x14ac:dyDescent="0.3">
      <c r="A3889" s="5"/>
      <c r="B3889" s="4"/>
      <c r="C3889" s="4"/>
      <c r="D3889" s="82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17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</row>
    <row r="3890" spans="1:38" x14ac:dyDescent="0.3">
      <c r="A3890" s="5"/>
      <c r="B3890" s="4"/>
      <c r="C3890" s="4"/>
      <c r="D3890" s="82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17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</row>
    <row r="3891" spans="1:38" x14ac:dyDescent="0.3">
      <c r="A3891" s="5"/>
      <c r="B3891" s="4"/>
      <c r="C3891" s="4"/>
      <c r="D3891" s="82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17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</row>
    <row r="3892" spans="1:38" x14ac:dyDescent="0.3">
      <c r="A3892" s="5"/>
      <c r="B3892" s="4"/>
      <c r="C3892" s="4"/>
      <c r="D3892" s="82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17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</row>
    <row r="3893" spans="1:38" x14ac:dyDescent="0.3">
      <c r="A3893" s="5"/>
      <c r="B3893" s="4"/>
      <c r="C3893" s="4"/>
      <c r="D3893" s="82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17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</row>
    <row r="3894" spans="1:38" x14ac:dyDescent="0.3">
      <c r="A3894" s="5"/>
      <c r="B3894" s="4"/>
      <c r="C3894" s="4"/>
      <c r="D3894" s="82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17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</row>
    <row r="3895" spans="1:38" x14ac:dyDescent="0.3">
      <c r="A3895" s="5"/>
      <c r="B3895" s="4"/>
      <c r="C3895" s="4"/>
      <c r="D3895" s="82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17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</row>
    <row r="3896" spans="1:38" x14ac:dyDescent="0.3">
      <c r="A3896" s="5"/>
      <c r="B3896" s="4"/>
      <c r="C3896" s="4"/>
      <c r="D3896" s="82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17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</row>
    <row r="3897" spans="1:38" x14ac:dyDescent="0.3">
      <c r="A3897" s="5"/>
      <c r="B3897" s="4"/>
      <c r="C3897" s="4"/>
      <c r="D3897" s="82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17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</row>
    <row r="3898" spans="1:38" x14ac:dyDescent="0.3">
      <c r="A3898" s="5"/>
      <c r="B3898" s="4"/>
      <c r="C3898" s="4"/>
      <c r="D3898" s="82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17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</row>
    <row r="3899" spans="1:38" x14ac:dyDescent="0.3">
      <c r="A3899" s="5"/>
      <c r="B3899" s="4"/>
      <c r="C3899" s="4"/>
      <c r="D3899" s="82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17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</row>
    <row r="3900" spans="1:38" x14ac:dyDescent="0.3">
      <c r="A3900" s="5"/>
      <c r="B3900" s="4"/>
      <c r="C3900" s="4"/>
      <c r="D3900" s="82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17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</row>
    <row r="3901" spans="1:38" x14ac:dyDescent="0.3">
      <c r="A3901" s="5"/>
      <c r="B3901" s="4"/>
      <c r="C3901" s="4"/>
      <c r="D3901" s="82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17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</row>
    <row r="3902" spans="1:38" x14ac:dyDescent="0.3">
      <c r="A3902" s="5"/>
      <c r="B3902" s="4"/>
      <c r="C3902" s="4"/>
      <c r="D3902" s="82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17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</row>
    <row r="3903" spans="1:38" x14ac:dyDescent="0.3">
      <c r="A3903" s="5"/>
      <c r="B3903" s="4"/>
      <c r="C3903" s="4"/>
      <c r="D3903" s="82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17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</row>
    <row r="3904" spans="1:38" x14ac:dyDescent="0.3">
      <c r="A3904" s="5"/>
      <c r="B3904" s="4"/>
      <c r="C3904" s="4"/>
      <c r="D3904" s="82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17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</row>
    <row r="3905" spans="1:38" x14ac:dyDescent="0.3">
      <c r="A3905" s="5"/>
      <c r="B3905" s="4"/>
      <c r="C3905" s="4"/>
      <c r="D3905" s="82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17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</row>
    <row r="3906" spans="1:38" x14ac:dyDescent="0.3">
      <c r="A3906" s="5"/>
      <c r="B3906" s="4"/>
      <c r="C3906" s="4"/>
      <c r="D3906" s="82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17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</row>
    <row r="3907" spans="1:38" x14ac:dyDescent="0.3">
      <c r="A3907" s="5"/>
      <c r="B3907" s="4"/>
      <c r="C3907" s="4"/>
      <c r="D3907" s="82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17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</row>
    <row r="3908" spans="1:38" x14ac:dyDescent="0.3">
      <c r="A3908" s="5"/>
      <c r="B3908" s="4"/>
      <c r="C3908" s="4"/>
      <c r="D3908" s="82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17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</row>
    <row r="3909" spans="1:38" x14ac:dyDescent="0.3">
      <c r="A3909" s="5"/>
      <c r="B3909" s="4"/>
      <c r="C3909" s="4"/>
      <c r="D3909" s="82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17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</row>
    <row r="3910" spans="1:38" x14ac:dyDescent="0.3">
      <c r="A3910" s="5"/>
      <c r="B3910" s="4"/>
      <c r="C3910" s="4"/>
      <c r="D3910" s="82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17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</row>
    <row r="3911" spans="1:38" x14ac:dyDescent="0.3">
      <c r="A3911" s="5"/>
      <c r="B3911" s="4"/>
      <c r="C3911" s="4"/>
      <c r="D3911" s="82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17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</row>
    <row r="3912" spans="1:38" x14ac:dyDescent="0.3">
      <c r="A3912" s="5"/>
      <c r="B3912" s="4"/>
      <c r="C3912" s="4"/>
      <c r="D3912" s="82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17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</row>
    <row r="3913" spans="1:38" x14ac:dyDescent="0.3">
      <c r="A3913" s="5"/>
      <c r="B3913" s="4"/>
      <c r="C3913" s="4"/>
      <c r="D3913" s="82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17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</row>
    <row r="3914" spans="1:38" x14ac:dyDescent="0.3">
      <c r="A3914" s="5"/>
      <c r="B3914" s="4"/>
      <c r="C3914" s="4"/>
      <c r="D3914" s="82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17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</row>
    <row r="3915" spans="1:38" x14ac:dyDescent="0.3">
      <c r="A3915" s="5"/>
      <c r="B3915" s="4"/>
      <c r="C3915" s="4"/>
      <c r="D3915" s="82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17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</row>
    <row r="3916" spans="1:38" x14ac:dyDescent="0.3">
      <c r="A3916" s="5"/>
      <c r="B3916" s="4"/>
      <c r="C3916" s="4"/>
      <c r="D3916" s="82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17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</row>
    <row r="3917" spans="1:38" x14ac:dyDescent="0.3">
      <c r="A3917" s="5"/>
      <c r="B3917" s="4"/>
      <c r="C3917" s="4"/>
      <c r="D3917" s="82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17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</row>
    <row r="3918" spans="1:38" x14ac:dyDescent="0.3">
      <c r="A3918" s="5"/>
      <c r="B3918" s="4"/>
      <c r="C3918" s="4"/>
      <c r="D3918" s="82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17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</row>
    <row r="3919" spans="1:38" x14ac:dyDescent="0.3">
      <c r="A3919" s="5"/>
      <c r="B3919" s="4"/>
      <c r="C3919" s="4"/>
      <c r="D3919" s="82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17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</row>
    <row r="3920" spans="1:38" x14ac:dyDescent="0.3">
      <c r="A3920" s="5"/>
      <c r="B3920" s="4"/>
      <c r="C3920" s="4"/>
      <c r="D3920" s="82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17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</row>
    <row r="3921" spans="1:38" x14ac:dyDescent="0.3">
      <c r="A3921" s="5"/>
      <c r="B3921" s="4"/>
      <c r="C3921" s="4"/>
      <c r="D3921" s="82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17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</row>
    <row r="3922" spans="1:38" x14ac:dyDescent="0.3">
      <c r="A3922" s="5"/>
      <c r="B3922" s="4"/>
      <c r="C3922" s="4"/>
      <c r="D3922" s="82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17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</row>
    <row r="3923" spans="1:38" x14ac:dyDescent="0.3">
      <c r="A3923" s="5"/>
      <c r="B3923" s="4"/>
      <c r="C3923" s="4"/>
      <c r="D3923" s="82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17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</row>
    <row r="3924" spans="1:38" x14ac:dyDescent="0.3">
      <c r="A3924" s="5"/>
      <c r="B3924" s="4"/>
      <c r="C3924" s="4"/>
      <c r="D3924" s="82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17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</row>
    <row r="3925" spans="1:38" x14ac:dyDescent="0.3">
      <c r="A3925" s="5"/>
      <c r="B3925" s="4"/>
      <c r="C3925" s="4"/>
      <c r="D3925" s="82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17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</row>
    <row r="3926" spans="1:38" x14ac:dyDescent="0.3">
      <c r="A3926" s="5"/>
      <c r="B3926" s="4"/>
      <c r="C3926" s="4"/>
      <c r="D3926" s="82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17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</row>
    <row r="3927" spans="1:38" x14ac:dyDescent="0.3">
      <c r="A3927" s="5"/>
      <c r="B3927" s="4"/>
      <c r="C3927" s="4"/>
      <c r="D3927" s="82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17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</row>
    <row r="3928" spans="1:38" x14ac:dyDescent="0.3">
      <c r="A3928" s="5"/>
      <c r="B3928" s="4"/>
      <c r="C3928" s="4"/>
      <c r="D3928" s="82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17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</row>
    <row r="3929" spans="1:38" x14ac:dyDescent="0.3">
      <c r="A3929" s="5"/>
      <c r="B3929" s="4"/>
      <c r="C3929" s="4"/>
      <c r="D3929" s="82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17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</row>
    <row r="3930" spans="1:38" x14ac:dyDescent="0.3">
      <c r="A3930" s="5"/>
      <c r="B3930" s="4"/>
      <c r="C3930" s="4"/>
      <c r="D3930" s="82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17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</row>
    <row r="3931" spans="1:38" x14ac:dyDescent="0.3">
      <c r="A3931" s="5"/>
      <c r="B3931" s="4"/>
      <c r="C3931" s="4"/>
      <c r="D3931" s="82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17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</row>
    <row r="3932" spans="1:38" x14ac:dyDescent="0.3">
      <c r="A3932" s="5"/>
      <c r="B3932" s="4"/>
      <c r="C3932" s="4"/>
      <c r="D3932" s="82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17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</row>
    <row r="3933" spans="1:38" x14ac:dyDescent="0.3">
      <c r="A3933" s="5"/>
      <c r="B3933" s="4"/>
      <c r="C3933" s="4"/>
      <c r="D3933" s="82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17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</row>
    <row r="3934" spans="1:38" x14ac:dyDescent="0.3">
      <c r="A3934" s="5"/>
      <c r="B3934" s="4"/>
      <c r="C3934" s="4"/>
      <c r="D3934" s="82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17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</row>
    <row r="3935" spans="1:38" x14ac:dyDescent="0.3">
      <c r="A3935" s="5"/>
      <c r="B3935" s="4"/>
      <c r="C3935" s="4"/>
      <c r="D3935" s="82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17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</row>
    <row r="3936" spans="1:38" x14ac:dyDescent="0.3">
      <c r="A3936" s="5"/>
      <c r="B3936" s="4"/>
      <c r="C3936" s="4"/>
      <c r="D3936" s="82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17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</row>
    <row r="3937" spans="1:38" x14ac:dyDescent="0.3">
      <c r="A3937" s="5"/>
      <c r="B3937" s="4"/>
      <c r="C3937" s="4"/>
      <c r="D3937" s="82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17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</row>
    <row r="3938" spans="1:38" x14ac:dyDescent="0.3">
      <c r="A3938" s="5"/>
      <c r="B3938" s="4"/>
      <c r="C3938" s="4"/>
      <c r="D3938" s="82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17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</row>
    <row r="3939" spans="1:38" x14ac:dyDescent="0.3">
      <c r="A3939" s="5"/>
      <c r="B3939" s="4"/>
      <c r="C3939" s="4"/>
      <c r="D3939" s="82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17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</row>
    <row r="3940" spans="1:38" x14ac:dyDescent="0.3">
      <c r="A3940" s="5"/>
      <c r="B3940" s="4"/>
      <c r="C3940" s="4"/>
      <c r="D3940" s="82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17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</row>
    <row r="3941" spans="1:38" x14ac:dyDescent="0.3">
      <c r="A3941" s="5"/>
      <c r="B3941" s="4"/>
      <c r="C3941" s="4"/>
      <c r="D3941" s="82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17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</row>
    <row r="3942" spans="1:38" x14ac:dyDescent="0.3">
      <c r="A3942" s="5"/>
      <c r="B3942" s="4"/>
      <c r="C3942" s="4"/>
      <c r="D3942" s="82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17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</row>
    <row r="3943" spans="1:38" x14ac:dyDescent="0.3">
      <c r="A3943" s="5"/>
      <c r="B3943" s="4"/>
      <c r="C3943" s="4"/>
      <c r="D3943" s="82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17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</row>
    <row r="3944" spans="1:38" x14ac:dyDescent="0.3">
      <c r="A3944" s="5"/>
      <c r="B3944" s="4"/>
      <c r="C3944" s="4"/>
      <c r="D3944" s="82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17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</row>
    <row r="3945" spans="1:38" x14ac:dyDescent="0.3">
      <c r="A3945" s="5"/>
      <c r="B3945" s="4"/>
      <c r="C3945" s="4"/>
      <c r="D3945" s="82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17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</row>
    <row r="3946" spans="1:38" x14ac:dyDescent="0.3">
      <c r="A3946" s="5"/>
      <c r="B3946" s="4"/>
      <c r="C3946" s="4"/>
      <c r="D3946" s="82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17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</row>
    <row r="3947" spans="1:38" x14ac:dyDescent="0.3">
      <c r="A3947" s="5"/>
      <c r="B3947" s="4"/>
      <c r="C3947" s="4"/>
      <c r="D3947" s="82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17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</row>
    <row r="3948" spans="1:38" x14ac:dyDescent="0.3">
      <c r="A3948" s="5"/>
      <c r="B3948" s="4"/>
      <c r="C3948" s="4"/>
      <c r="D3948" s="82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17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</row>
    <row r="3949" spans="1:38" x14ac:dyDescent="0.3">
      <c r="A3949" s="5"/>
      <c r="B3949" s="4"/>
      <c r="C3949" s="4"/>
      <c r="D3949" s="82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17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</row>
    <row r="3950" spans="1:38" x14ac:dyDescent="0.3">
      <c r="A3950" s="5"/>
      <c r="B3950" s="4"/>
      <c r="C3950" s="4"/>
      <c r="D3950" s="82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17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</row>
    <row r="3951" spans="1:38" x14ac:dyDescent="0.3">
      <c r="A3951" s="5"/>
      <c r="B3951" s="4"/>
      <c r="C3951" s="4"/>
      <c r="D3951" s="82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17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</row>
    <row r="3952" spans="1:38" x14ac:dyDescent="0.3">
      <c r="A3952" s="5"/>
      <c r="B3952" s="4"/>
      <c r="C3952" s="4"/>
      <c r="D3952" s="82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17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</row>
    <row r="3953" spans="1:38" x14ac:dyDescent="0.3">
      <c r="A3953" s="5"/>
      <c r="B3953" s="4"/>
      <c r="C3953" s="4"/>
      <c r="D3953" s="82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17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</row>
    <row r="3954" spans="1:38" x14ac:dyDescent="0.3">
      <c r="A3954" s="5"/>
      <c r="B3954" s="4"/>
      <c r="C3954" s="4"/>
      <c r="D3954" s="82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17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</row>
    <row r="3955" spans="1:38" x14ac:dyDescent="0.3">
      <c r="A3955" s="5"/>
      <c r="B3955" s="4"/>
      <c r="C3955" s="4"/>
      <c r="D3955" s="82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17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</row>
    <row r="3956" spans="1:38" x14ac:dyDescent="0.3">
      <c r="A3956" s="5"/>
      <c r="B3956" s="4"/>
      <c r="C3956" s="4"/>
      <c r="D3956" s="82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17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</row>
    <row r="3957" spans="1:38" x14ac:dyDescent="0.3">
      <c r="A3957" s="5"/>
      <c r="B3957" s="4"/>
      <c r="C3957" s="4"/>
      <c r="D3957" s="82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17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</row>
    <row r="3958" spans="1:38" x14ac:dyDescent="0.3">
      <c r="A3958" s="5"/>
      <c r="B3958" s="4"/>
      <c r="C3958" s="4"/>
      <c r="D3958" s="82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17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</row>
    <row r="3959" spans="1:38" x14ac:dyDescent="0.3">
      <c r="A3959" s="5"/>
      <c r="B3959" s="4"/>
      <c r="C3959" s="4"/>
      <c r="D3959" s="82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17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</row>
    <row r="3960" spans="1:38" x14ac:dyDescent="0.3">
      <c r="A3960" s="5"/>
      <c r="B3960" s="4"/>
      <c r="C3960" s="4"/>
      <c r="D3960" s="82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17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</row>
    <row r="3961" spans="1:38" x14ac:dyDescent="0.3">
      <c r="A3961" s="5"/>
      <c r="B3961" s="4"/>
      <c r="C3961" s="4"/>
      <c r="D3961" s="82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17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</row>
    <row r="3962" spans="1:38" x14ac:dyDescent="0.3">
      <c r="A3962" s="5"/>
      <c r="B3962" s="4"/>
      <c r="C3962" s="4"/>
      <c r="D3962" s="82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17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</row>
    <row r="3963" spans="1:38" x14ac:dyDescent="0.3">
      <c r="A3963" s="5"/>
      <c r="B3963" s="4"/>
      <c r="C3963" s="4"/>
      <c r="D3963" s="82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17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</row>
    <row r="3964" spans="1:38" x14ac:dyDescent="0.3">
      <c r="A3964" s="5"/>
      <c r="B3964" s="4"/>
      <c r="C3964" s="4"/>
      <c r="D3964" s="82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17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</row>
    <row r="3965" spans="1:38" x14ac:dyDescent="0.3">
      <c r="A3965" s="5"/>
      <c r="B3965" s="4"/>
      <c r="C3965" s="4"/>
      <c r="D3965" s="82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17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</row>
    <row r="3966" spans="1:38" x14ac:dyDescent="0.3">
      <c r="A3966" s="5"/>
      <c r="B3966" s="4"/>
      <c r="C3966" s="4"/>
      <c r="D3966" s="82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17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</row>
    <row r="3967" spans="1:38" x14ac:dyDescent="0.3">
      <c r="A3967" s="5"/>
      <c r="B3967" s="4"/>
      <c r="C3967" s="4"/>
      <c r="D3967" s="82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17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</row>
    <row r="3968" spans="1:38" x14ac:dyDescent="0.3">
      <c r="A3968" s="5"/>
      <c r="B3968" s="4"/>
      <c r="C3968" s="4"/>
      <c r="D3968" s="82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17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</row>
    <row r="3969" spans="1:38" x14ac:dyDescent="0.3">
      <c r="A3969" s="5"/>
      <c r="B3969" s="4"/>
      <c r="C3969" s="4"/>
      <c r="D3969" s="82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17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</row>
    <row r="3970" spans="1:38" x14ac:dyDescent="0.3">
      <c r="A3970" s="5"/>
      <c r="B3970" s="4"/>
      <c r="C3970" s="4"/>
      <c r="D3970" s="82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17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</row>
    <row r="3971" spans="1:38" x14ac:dyDescent="0.3">
      <c r="A3971" s="5"/>
      <c r="B3971" s="4"/>
      <c r="C3971" s="4"/>
      <c r="D3971" s="82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17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</row>
    <row r="3972" spans="1:38" x14ac:dyDescent="0.3">
      <c r="A3972" s="5"/>
      <c r="B3972" s="4"/>
      <c r="C3972" s="4"/>
      <c r="D3972" s="82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17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</row>
    <row r="3973" spans="1:38" x14ac:dyDescent="0.3">
      <c r="A3973" s="5"/>
      <c r="B3973" s="4"/>
      <c r="C3973" s="4"/>
      <c r="D3973" s="82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17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</row>
    <row r="3974" spans="1:38" x14ac:dyDescent="0.3">
      <c r="A3974" s="5"/>
      <c r="B3974" s="4"/>
      <c r="C3974" s="4"/>
      <c r="D3974" s="82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17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</row>
    <row r="3975" spans="1:38" x14ac:dyDescent="0.3">
      <c r="A3975" s="5"/>
      <c r="B3975" s="4"/>
      <c r="C3975" s="4"/>
      <c r="D3975" s="82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17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</row>
    <row r="3976" spans="1:38" x14ac:dyDescent="0.3">
      <c r="A3976" s="5"/>
      <c r="B3976" s="4"/>
      <c r="C3976" s="4"/>
      <c r="D3976" s="82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17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</row>
    <row r="3977" spans="1:38" x14ac:dyDescent="0.3">
      <c r="A3977" s="5"/>
      <c r="B3977" s="4"/>
      <c r="C3977" s="4"/>
      <c r="D3977" s="82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17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</row>
    <row r="3978" spans="1:38" x14ac:dyDescent="0.3">
      <c r="A3978" s="5"/>
      <c r="B3978" s="4"/>
      <c r="C3978" s="4"/>
      <c r="D3978" s="82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17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</row>
    <row r="3979" spans="1:38" x14ac:dyDescent="0.3">
      <c r="A3979" s="5"/>
      <c r="B3979" s="4"/>
      <c r="C3979" s="4"/>
      <c r="D3979" s="82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17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</row>
    <row r="3980" spans="1:38" x14ac:dyDescent="0.3">
      <c r="A3980" s="5"/>
      <c r="B3980" s="4"/>
      <c r="C3980" s="4"/>
      <c r="D3980" s="82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17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</row>
    <row r="3981" spans="1:38" x14ac:dyDescent="0.3">
      <c r="A3981" s="5"/>
      <c r="B3981" s="4"/>
      <c r="C3981" s="4"/>
      <c r="D3981" s="82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17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</row>
    <row r="3982" spans="1:38" x14ac:dyDescent="0.3">
      <c r="A3982" s="5"/>
      <c r="B3982" s="4"/>
      <c r="C3982" s="4"/>
      <c r="D3982" s="82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17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</row>
    <row r="3983" spans="1:38" x14ac:dyDescent="0.3">
      <c r="A3983" s="5"/>
      <c r="B3983" s="4"/>
      <c r="C3983" s="4"/>
      <c r="D3983" s="82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17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</row>
    <row r="3984" spans="1:38" x14ac:dyDescent="0.3">
      <c r="A3984" s="5"/>
      <c r="B3984" s="4"/>
      <c r="C3984" s="4"/>
      <c r="D3984" s="82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17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</row>
    <row r="3985" spans="1:38" x14ac:dyDescent="0.3">
      <c r="A3985" s="5"/>
      <c r="B3985" s="4"/>
      <c r="C3985" s="4"/>
      <c r="D3985" s="82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17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</row>
    <row r="3986" spans="1:38" x14ac:dyDescent="0.3">
      <c r="A3986" s="5"/>
      <c r="B3986" s="4"/>
      <c r="C3986" s="4"/>
      <c r="D3986" s="82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17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</row>
    <row r="3987" spans="1:38" x14ac:dyDescent="0.3">
      <c r="A3987" s="5"/>
      <c r="B3987" s="4"/>
      <c r="C3987" s="4"/>
      <c r="D3987" s="82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17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</row>
    <row r="3988" spans="1:38" x14ac:dyDescent="0.3">
      <c r="A3988" s="5"/>
      <c r="B3988" s="4"/>
      <c r="C3988" s="4"/>
      <c r="D3988" s="82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17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</row>
    <row r="3989" spans="1:38" x14ac:dyDescent="0.3">
      <c r="A3989" s="5"/>
      <c r="B3989" s="4"/>
      <c r="C3989" s="4"/>
      <c r="D3989" s="82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17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</row>
    <row r="3990" spans="1:38" x14ac:dyDescent="0.3">
      <c r="A3990" s="5"/>
      <c r="B3990" s="4"/>
      <c r="C3990" s="4"/>
      <c r="D3990" s="82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17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</row>
    <row r="3991" spans="1:38" x14ac:dyDescent="0.3">
      <c r="A3991" s="5"/>
      <c r="B3991" s="4"/>
      <c r="C3991" s="4"/>
      <c r="D3991" s="82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17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</row>
    <row r="3992" spans="1:38" x14ac:dyDescent="0.3">
      <c r="A3992" s="5"/>
      <c r="B3992" s="4"/>
      <c r="C3992" s="4"/>
      <c r="D3992" s="82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17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</row>
    <row r="3993" spans="1:38" x14ac:dyDescent="0.3">
      <c r="A3993" s="5"/>
      <c r="B3993" s="4"/>
      <c r="C3993" s="4"/>
      <c r="D3993" s="82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17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</row>
    <row r="3994" spans="1:38" x14ac:dyDescent="0.3">
      <c r="A3994" s="5"/>
      <c r="B3994" s="4"/>
      <c r="C3994" s="4"/>
      <c r="D3994" s="82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17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</row>
    <row r="3995" spans="1:38" x14ac:dyDescent="0.3">
      <c r="A3995" s="5"/>
      <c r="B3995" s="4"/>
      <c r="C3995" s="4"/>
      <c r="D3995" s="82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17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</row>
    <row r="3996" spans="1:38" x14ac:dyDescent="0.3">
      <c r="A3996" s="5"/>
      <c r="B3996" s="4"/>
      <c r="C3996" s="4"/>
      <c r="D3996" s="82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17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</row>
    <row r="3997" spans="1:38" x14ac:dyDescent="0.3">
      <c r="A3997" s="5"/>
      <c r="B3997" s="4"/>
      <c r="C3997" s="4"/>
      <c r="D3997" s="82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17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</row>
    <row r="3998" spans="1:38" x14ac:dyDescent="0.3">
      <c r="A3998" s="5"/>
      <c r="B3998" s="4"/>
      <c r="C3998" s="4"/>
      <c r="D3998" s="82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17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</row>
    <row r="3999" spans="1:38" x14ac:dyDescent="0.3">
      <c r="A3999" s="5"/>
      <c r="B3999" s="4"/>
      <c r="C3999" s="4"/>
      <c r="D3999" s="82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17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</row>
    <row r="4000" spans="1:38" x14ac:dyDescent="0.3">
      <c r="A4000" s="5"/>
      <c r="B4000" s="4"/>
      <c r="C4000" s="4"/>
      <c r="D4000" s="82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17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</row>
    <row r="4001" spans="1:38" x14ac:dyDescent="0.3">
      <c r="A4001" s="5"/>
      <c r="B4001" s="4"/>
      <c r="C4001" s="4"/>
      <c r="D4001" s="82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17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</row>
    <row r="4002" spans="1:38" x14ac:dyDescent="0.3">
      <c r="A4002" s="5"/>
      <c r="B4002" s="4"/>
      <c r="C4002" s="4"/>
      <c r="D4002" s="82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17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</row>
    <row r="4003" spans="1:38" x14ac:dyDescent="0.3">
      <c r="A4003" s="5"/>
      <c r="B4003" s="4"/>
      <c r="C4003" s="4"/>
      <c r="D4003" s="82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17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</row>
    <row r="4004" spans="1:38" x14ac:dyDescent="0.3">
      <c r="A4004" s="5"/>
      <c r="B4004" s="4"/>
      <c r="C4004" s="4"/>
      <c r="D4004" s="82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17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</row>
    <row r="4005" spans="1:38" x14ac:dyDescent="0.3">
      <c r="A4005" s="5"/>
      <c r="B4005" s="4"/>
      <c r="C4005" s="4"/>
      <c r="D4005" s="82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17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</row>
    <row r="4006" spans="1:38" x14ac:dyDescent="0.3">
      <c r="A4006" s="5"/>
      <c r="B4006" s="4"/>
      <c r="C4006" s="4"/>
      <c r="D4006" s="82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17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</row>
    <row r="4007" spans="1:38" x14ac:dyDescent="0.3">
      <c r="A4007" s="5"/>
      <c r="B4007" s="4"/>
      <c r="C4007" s="4"/>
      <c r="D4007" s="82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17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</row>
    <row r="4008" spans="1:38" x14ac:dyDescent="0.3">
      <c r="A4008" s="5"/>
      <c r="B4008" s="4"/>
      <c r="C4008" s="4"/>
      <c r="D4008" s="82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17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</row>
    <row r="4009" spans="1:38" x14ac:dyDescent="0.3">
      <c r="A4009" s="5"/>
      <c r="B4009" s="4"/>
      <c r="C4009" s="4"/>
      <c r="D4009" s="82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17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</row>
    <row r="4010" spans="1:38" x14ac:dyDescent="0.3">
      <c r="A4010" s="5"/>
      <c r="B4010" s="4"/>
      <c r="C4010" s="4"/>
      <c r="D4010" s="82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17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</row>
    <row r="4011" spans="1:38" x14ac:dyDescent="0.3">
      <c r="A4011" s="5"/>
      <c r="B4011" s="4"/>
      <c r="C4011" s="4"/>
      <c r="D4011" s="82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17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</row>
    <row r="4012" spans="1:38" x14ac:dyDescent="0.3">
      <c r="A4012" s="5"/>
      <c r="B4012" s="4"/>
      <c r="C4012" s="4"/>
      <c r="D4012" s="82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17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</row>
    <row r="4013" spans="1:38" x14ac:dyDescent="0.3">
      <c r="A4013" s="5"/>
      <c r="B4013" s="4"/>
      <c r="C4013" s="4"/>
      <c r="D4013" s="82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17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</row>
    <row r="4014" spans="1:38" x14ac:dyDescent="0.3">
      <c r="A4014" s="5"/>
      <c r="B4014" s="4"/>
      <c r="C4014" s="4"/>
      <c r="D4014" s="82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17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</row>
    <row r="4015" spans="1:38" x14ac:dyDescent="0.3">
      <c r="A4015" s="5"/>
      <c r="B4015" s="4"/>
      <c r="C4015" s="4"/>
      <c r="D4015" s="82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17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</row>
    <row r="4016" spans="1:38" x14ac:dyDescent="0.3">
      <c r="A4016" s="5"/>
      <c r="B4016" s="4"/>
      <c r="C4016" s="4"/>
      <c r="D4016" s="82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17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</row>
    <row r="4017" spans="1:38" x14ac:dyDescent="0.3">
      <c r="A4017" s="5"/>
      <c r="B4017" s="4"/>
      <c r="C4017" s="4"/>
      <c r="D4017" s="82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17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</row>
    <row r="4018" spans="1:38" x14ac:dyDescent="0.3">
      <c r="A4018" s="5"/>
      <c r="B4018" s="4"/>
      <c r="C4018" s="4"/>
      <c r="D4018" s="82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17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</row>
    <row r="4019" spans="1:38" x14ac:dyDescent="0.3">
      <c r="A4019" s="5"/>
      <c r="B4019" s="4"/>
      <c r="C4019" s="4"/>
      <c r="D4019" s="82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17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</row>
    <row r="4020" spans="1:38" x14ac:dyDescent="0.3">
      <c r="A4020" s="5"/>
      <c r="B4020" s="4"/>
      <c r="C4020" s="4"/>
      <c r="D4020" s="82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17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</row>
    <row r="4021" spans="1:38" x14ac:dyDescent="0.3">
      <c r="A4021" s="5"/>
      <c r="B4021" s="4"/>
      <c r="C4021" s="4"/>
      <c r="D4021" s="82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17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</row>
    <row r="4022" spans="1:38" x14ac:dyDescent="0.3">
      <c r="A4022" s="5"/>
      <c r="B4022" s="4"/>
      <c r="C4022" s="4"/>
      <c r="D4022" s="82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17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</row>
    <row r="4023" spans="1:38" x14ac:dyDescent="0.3">
      <c r="A4023" s="5"/>
      <c r="B4023" s="4"/>
      <c r="C4023" s="4"/>
      <c r="D4023" s="82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17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</row>
    <row r="4024" spans="1:38" x14ac:dyDescent="0.3">
      <c r="A4024" s="5"/>
      <c r="B4024" s="4"/>
      <c r="C4024" s="4"/>
      <c r="D4024" s="82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17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</row>
    <row r="4025" spans="1:38" x14ac:dyDescent="0.3">
      <c r="A4025" s="5"/>
      <c r="B4025" s="4"/>
      <c r="C4025" s="4"/>
      <c r="D4025" s="82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17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</row>
    <row r="4026" spans="1:38" x14ac:dyDescent="0.3">
      <c r="A4026" s="5"/>
      <c r="B4026" s="4"/>
      <c r="C4026" s="4"/>
      <c r="D4026" s="82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17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</row>
    <row r="4027" spans="1:38" x14ac:dyDescent="0.3">
      <c r="A4027" s="5"/>
      <c r="B4027" s="4"/>
      <c r="C4027" s="4"/>
      <c r="D4027" s="82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17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</row>
    <row r="4028" spans="1:38" x14ac:dyDescent="0.3">
      <c r="A4028" s="5"/>
      <c r="B4028" s="4"/>
      <c r="C4028" s="4"/>
      <c r="D4028" s="82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17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</row>
    <row r="4029" spans="1:38" x14ac:dyDescent="0.3">
      <c r="A4029" s="5"/>
      <c r="B4029" s="4"/>
      <c r="C4029" s="4"/>
      <c r="D4029" s="82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17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</row>
    <row r="4030" spans="1:38" x14ac:dyDescent="0.3">
      <c r="A4030" s="5"/>
      <c r="B4030" s="4"/>
      <c r="C4030" s="4"/>
      <c r="D4030" s="82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17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</row>
    <row r="4031" spans="1:38" x14ac:dyDescent="0.3">
      <c r="A4031" s="5"/>
      <c r="B4031" s="4"/>
      <c r="C4031" s="4"/>
      <c r="D4031" s="82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17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</row>
    <row r="4032" spans="1:38" x14ac:dyDescent="0.3">
      <c r="A4032" s="5"/>
      <c r="B4032" s="4"/>
      <c r="C4032" s="4"/>
      <c r="D4032" s="82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17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</row>
    <row r="4033" spans="1:38" x14ac:dyDescent="0.3">
      <c r="A4033" s="5"/>
      <c r="B4033" s="4"/>
      <c r="C4033" s="4"/>
      <c r="D4033" s="82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17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</row>
    <row r="4034" spans="1:38" x14ac:dyDescent="0.3">
      <c r="A4034" s="5"/>
      <c r="B4034" s="4"/>
      <c r="C4034" s="4"/>
      <c r="D4034" s="82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17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</row>
    <row r="4035" spans="1:38" x14ac:dyDescent="0.3">
      <c r="A4035" s="5"/>
      <c r="B4035" s="4"/>
      <c r="C4035" s="4"/>
      <c r="D4035" s="82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17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</row>
    <row r="4036" spans="1:38" x14ac:dyDescent="0.3">
      <c r="A4036" s="5"/>
      <c r="B4036" s="4"/>
      <c r="C4036" s="4"/>
      <c r="D4036" s="82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17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</row>
    <row r="4037" spans="1:38" x14ac:dyDescent="0.3">
      <c r="A4037" s="5"/>
      <c r="B4037" s="4"/>
      <c r="C4037" s="4"/>
      <c r="D4037" s="82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17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</row>
    <row r="4038" spans="1:38" x14ac:dyDescent="0.3">
      <c r="A4038" s="5"/>
      <c r="B4038" s="4"/>
      <c r="C4038" s="4"/>
      <c r="D4038" s="82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17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</row>
    <row r="4039" spans="1:38" x14ac:dyDescent="0.3">
      <c r="A4039" s="5"/>
      <c r="B4039" s="4"/>
      <c r="C4039" s="4"/>
      <c r="D4039" s="82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17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</row>
    <row r="4040" spans="1:38" x14ac:dyDescent="0.3">
      <c r="A4040" s="5"/>
      <c r="B4040" s="4"/>
      <c r="C4040" s="4"/>
      <c r="D4040" s="82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17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</row>
    <row r="4041" spans="1:38" x14ac:dyDescent="0.3">
      <c r="A4041" s="5"/>
      <c r="B4041" s="4"/>
      <c r="C4041" s="4"/>
      <c r="D4041" s="82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17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</row>
    <row r="4042" spans="1:38" x14ac:dyDescent="0.3">
      <c r="A4042" s="5"/>
      <c r="B4042" s="4"/>
      <c r="C4042" s="4"/>
      <c r="D4042" s="82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17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</row>
    <row r="4043" spans="1:38" x14ac:dyDescent="0.3">
      <c r="A4043" s="5"/>
      <c r="B4043" s="4"/>
      <c r="C4043" s="4"/>
      <c r="D4043" s="82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17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</row>
    <row r="4044" spans="1:38" x14ac:dyDescent="0.3">
      <c r="A4044" s="5"/>
      <c r="B4044" s="4"/>
      <c r="C4044" s="4"/>
      <c r="D4044" s="82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17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</row>
    <row r="4045" spans="1:38" x14ac:dyDescent="0.3">
      <c r="A4045" s="5"/>
      <c r="B4045" s="4"/>
      <c r="C4045" s="4"/>
      <c r="D4045" s="82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17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</row>
    <row r="4046" spans="1:38" x14ac:dyDescent="0.3">
      <c r="A4046" s="5"/>
      <c r="B4046" s="4"/>
      <c r="C4046" s="4"/>
      <c r="D4046" s="82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17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</row>
    <row r="4047" spans="1:38" x14ac:dyDescent="0.3">
      <c r="A4047" s="5"/>
      <c r="B4047" s="4"/>
      <c r="C4047" s="4"/>
      <c r="D4047" s="82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17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</row>
    <row r="4048" spans="1:38" x14ac:dyDescent="0.3">
      <c r="A4048" s="5"/>
      <c r="B4048" s="4"/>
      <c r="C4048" s="4"/>
      <c r="D4048" s="82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17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</row>
    <row r="4049" spans="1:38" x14ac:dyDescent="0.3">
      <c r="A4049" s="5"/>
      <c r="B4049" s="4"/>
      <c r="C4049" s="4"/>
      <c r="D4049" s="82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17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</row>
    <row r="4050" spans="1:38" x14ac:dyDescent="0.3">
      <c r="A4050" s="5"/>
      <c r="B4050" s="4"/>
      <c r="C4050" s="4"/>
      <c r="D4050" s="82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17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</row>
    <row r="4051" spans="1:38" x14ac:dyDescent="0.3">
      <c r="A4051" s="5"/>
      <c r="B4051" s="4"/>
      <c r="C4051" s="4"/>
      <c r="D4051" s="82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17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</row>
    <row r="4052" spans="1:38" x14ac:dyDescent="0.3">
      <c r="A4052" s="5"/>
      <c r="B4052" s="4"/>
      <c r="C4052" s="4"/>
      <c r="D4052" s="82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17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</row>
    <row r="4053" spans="1:38" x14ac:dyDescent="0.3">
      <c r="A4053" s="5"/>
      <c r="B4053" s="4"/>
      <c r="C4053" s="4"/>
      <c r="D4053" s="82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17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</row>
    <row r="4054" spans="1:38" x14ac:dyDescent="0.3">
      <c r="A4054" s="5"/>
      <c r="B4054" s="4"/>
      <c r="C4054" s="4"/>
      <c r="D4054" s="82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17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</row>
    <row r="4055" spans="1:38" x14ac:dyDescent="0.3">
      <c r="A4055" s="5"/>
      <c r="B4055" s="4"/>
      <c r="C4055" s="4"/>
      <c r="D4055" s="82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17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</row>
    <row r="4056" spans="1:38" x14ac:dyDescent="0.3">
      <c r="A4056" s="5"/>
      <c r="B4056" s="4"/>
      <c r="C4056" s="4"/>
      <c r="D4056" s="82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17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</row>
    <row r="4057" spans="1:38" x14ac:dyDescent="0.3">
      <c r="A4057" s="5"/>
      <c r="B4057" s="4"/>
      <c r="C4057" s="4"/>
      <c r="D4057" s="82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17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</row>
    <row r="4058" spans="1:38" x14ac:dyDescent="0.3">
      <c r="A4058" s="5"/>
      <c r="B4058" s="4"/>
      <c r="C4058" s="4"/>
      <c r="D4058" s="82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17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</row>
    <row r="4059" spans="1:38" x14ac:dyDescent="0.3">
      <c r="A4059" s="5"/>
      <c r="B4059" s="4"/>
      <c r="C4059" s="4"/>
      <c r="D4059" s="82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17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</row>
    <row r="4060" spans="1:38" x14ac:dyDescent="0.3">
      <c r="A4060" s="5"/>
      <c r="B4060" s="4"/>
      <c r="C4060" s="4"/>
      <c r="D4060" s="82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17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</row>
    <row r="4061" spans="1:38" x14ac:dyDescent="0.3">
      <c r="A4061" s="5"/>
      <c r="B4061" s="4"/>
      <c r="C4061" s="4"/>
      <c r="D4061" s="82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17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</row>
    <row r="4062" spans="1:38" x14ac:dyDescent="0.3">
      <c r="A4062" s="5"/>
      <c r="B4062" s="4"/>
      <c r="C4062" s="4"/>
      <c r="D4062" s="82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17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</row>
    <row r="4063" spans="1:38" x14ac:dyDescent="0.3">
      <c r="A4063" s="5"/>
      <c r="B4063" s="4"/>
      <c r="C4063" s="4"/>
      <c r="D4063" s="82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17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</row>
    <row r="4064" spans="1:38" x14ac:dyDescent="0.3">
      <c r="A4064" s="5"/>
      <c r="B4064" s="4"/>
      <c r="C4064" s="4"/>
      <c r="D4064" s="82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17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</row>
    <row r="4065" spans="1:38" x14ac:dyDescent="0.3">
      <c r="A4065" s="5"/>
      <c r="B4065" s="4"/>
      <c r="C4065" s="4"/>
      <c r="D4065" s="82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17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</row>
    <row r="4066" spans="1:38" x14ac:dyDescent="0.3">
      <c r="A4066" s="5"/>
      <c r="B4066" s="4"/>
      <c r="C4066" s="4"/>
      <c r="D4066" s="82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17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</row>
    <row r="4067" spans="1:38" x14ac:dyDescent="0.3">
      <c r="A4067" s="5"/>
      <c r="B4067" s="4"/>
      <c r="C4067" s="4"/>
      <c r="D4067" s="82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17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</row>
    <row r="4068" spans="1:38" x14ac:dyDescent="0.3">
      <c r="A4068" s="5"/>
      <c r="B4068" s="4"/>
      <c r="C4068" s="4"/>
      <c r="D4068" s="82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17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</row>
    <row r="4069" spans="1:38" x14ac:dyDescent="0.3">
      <c r="A4069" s="5"/>
      <c r="B4069" s="4"/>
      <c r="C4069" s="4"/>
      <c r="D4069" s="82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17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</row>
    <row r="4070" spans="1:38" x14ac:dyDescent="0.3">
      <c r="A4070" s="5"/>
      <c r="B4070" s="4"/>
      <c r="C4070" s="4"/>
      <c r="D4070" s="82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17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</row>
    <row r="4071" spans="1:38" x14ac:dyDescent="0.3">
      <c r="A4071" s="5"/>
      <c r="B4071" s="4"/>
      <c r="C4071" s="4"/>
      <c r="D4071" s="82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17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</row>
    <row r="4072" spans="1:38" x14ac:dyDescent="0.3">
      <c r="A4072" s="5"/>
      <c r="B4072" s="4"/>
      <c r="C4072" s="4"/>
      <c r="D4072" s="82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17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</row>
    <row r="4073" spans="1:38" x14ac:dyDescent="0.3">
      <c r="A4073" s="5"/>
      <c r="B4073" s="4"/>
      <c r="C4073" s="4"/>
      <c r="D4073" s="82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17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</row>
    <row r="4074" spans="1:38" x14ac:dyDescent="0.3">
      <c r="A4074" s="5"/>
      <c r="B4074" s="4"/>
      <c r="C4074" s="4"/>
      <c r="D4074" s="82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17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</row>
    <row r="4075" spans="1:38" x14ac:dyDescent="0.3">
      <c r="A4075" s="5"/>
      <c r="B4075" s="4"/>
      <c r="C4075" s="4"/>
      <c r="D4075" s="82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17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</row>
    <row r="4076" spans="1:38" x14ac:dyDescent="0.3">
      <c r="A4076" s="5"/>
      <c r="B4076" s="4"/>
      <c r="C4076" s="4"/>
      <c r="D4076" s="82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17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</row>
    <row r="4077" spans="1:38" x14ac:dyDescent="0.3">
      <c r="A4077" s="5"/>
      <c r="B4077" s="4"/>
      <c r="C4077" s="4"/>
      <c r="D4077" s="82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17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</row>
    <row r="4078" spans="1:38" x14ac:dyDescent="0.3">
      <c r="A4078" s="5"/>
      <c r="B4078" s="4"/>
      <c r="C4078" s="4"/>
      <c r="D4078" s="82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17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</row>
    <row r="4079" spans="1:38" x14ac:dyDescent="0.3">
      <c r="A4079" s="5"/>
      <c r="B4079" s="4"/>
      <c r="C4079" s="4"/>
      <c r="D4079" s="82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17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</row>
    <row r="4080" spans="1:38" x14ac:dyDescent="0.3">
      <c r="A4080" s="5"/>
      <c r="B4080" s="4"/>
      <c r="C4080" s="4"/>
      <c r="D4080" s="82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17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</row>
    <row r="4081" spans="1:38" x14ac:dyDescent="0.3">
      <c r="A4081" s="5"/>
      <c r="B4081" s="4"/>
      <c r="C4081" s="4"/>
      <c r="D4081" s="82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17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</row>
    <row r="4082" spans="1:38" x14ac:dyDescent="0.3">
      <c r="A4082" s="5"/>
      <c r="B4082" s="4"/>
      <c r="C4082" s="4"/>
      <c r="D4082" s="82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17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</row>
    <row r="4083" spans="1:38" x14ac:dyDescent="0.3">
      <c r="A4083" s="5"/>
      <c r="B4083" s="4"/>
      <c r="C4083" s="4"/>
      <c r="D4083" s="82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17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</row>
    <row r="4084" spans="1:38" x14ac:dyDescent="0.3">
      <c r="A4084" s="5"/>
      <c r="B4084" s="4"/>
      <c r="C4084" s="4"/>
      <c r="D4084" s="82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17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</row>
    <row r="4085" spans="1:38" x14ac:dyDescent="0.3">
      <c r="A4085" s="5"/>
      <c r="B4085" s="4"/>
      <c r="C4085" s="4"/>
      <c r="D4085" s="82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17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</row>
    <row r="4086" spans="1:38" x14ac:dyDescent="0.3">
      <c r="A4086" s="5"/>
      <c r="B4086" s="4"/>
      <c r="C4086" s="4"/>
      <c r="D4086" s="82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17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</row>
    <row r="4087" spans="1:38" x14ac:dyDescent="0.3">
      <c r="A4087" s="5"/>
      <c r="B4087" s="4"/>
      <c r="C4087" s="4"/>
      <c r="D4087" s="82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17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</row>
    <row r="4088" spans="1:38" x14ac:dyDescent="0.3">
      <c r="A4088" s="5"/>
      <c r="B4088" s="4"/>
      <c r="C4088" s="4"/>
      <c r="D4088" s="82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17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</row>
    <row r="4089" spans="1:38" x14ac:dyDescent="0.3">
      <c r="A4089" s="5"/>
      <c r="B4089" s="4"/>
      <c r="C4089" s="4"/>
      <c r="D4089" s="82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17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</row>
    <row r="4090" spans="1:38" x14ac:dyDescent="0.3">
      <c r="A4090" s="5"/>
      <c r="B4090" s="4"/>
      <c r="C4090" s="4"/>
      <c r="D4090" s="82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17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</row>
    <row r="4091" spans="1:38" x14ac:dyDescent="0.3">
      <c r="A4091" s="5"/>
      <c r="B4091" s="4"/>
      <c r="C4091" s="4"/>
      <c r="D4091" s="82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17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</row>
    <row r="4092" spans="1:38" x14ac:dyDescent="0.3">
      <c r="A4092" s="5"/>
      <c r="B4092" s="4"/>
      <c r="C4092" s="4"/>
      <c r="D4092" s="82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17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</row>
    <row r="4093" spans="1:38" x14ac:dyDescent="0.3">
      <c r="A4093" s="5"/>
      <c r="B4093" s="4"/>
      <c r="C4093" s="4"/>
      <c r="D4093" s="82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17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</row>
    <row r="4094" spans="1:38" x14ac:dyDescent="0.3">
      <c r="A4094" s="5"/>
      <c r="B4094" s="4"/>
      <c r="C4094" s="4"/>
      <c r="D4094" s="82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17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</row>
    <row r="4095" spans="1:38" x14ac:dyDescent="0.3">
      <c r="A4095" s="5"/>
      <c r="B4095" s="4"/>
      <c r="C4095" s="4"/>
      <c r="D4095" s="82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17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</row>
    <row r="4096" spans="1:38" x14ac:dyDescent="0.3">
      <c r="A4096" s="5"/>
      <c r="B4096" s="4"/>
      <c r="C4096" s="4"/>
      <c r="D4096" s="82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17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</row>
    <row r="4097" spans="1:38" x14ac:dyDescent="0.3">
      <c r="A4097" s="5"/>
      <c r="B4097" s="4"/>
      <c r="C4097" s="4"/>
      <c r="D4097" s="82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17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</row>
    <row r="4098" spans="1:38" x14ac:dyDescent="0.3">
      <c r="A4098" s="5"/>
      <c r="B4098" s="4"/>
      <c r="C4098" s="4"/>
      <c r="D4098" s="82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17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</row>
    <row r="4099" spans="1:38" x14ac:dyDescent="0.3">
      <c r="A4099" s="5"/>
      <c r="B4099" s="4"/>
      <c r="C4099" s="4"/>
      <c r="D4099" s="82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17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</row>
    <row r="4100" spans="1:38" x14ac:dyDescent="0.3">
      <c r="A4100" s="5"/>
      <c r="B4100" s="4"/>
      <c r="C4100" s="4"/>
      <c r="D4100" s="82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17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</row>
    <row r="4101" spans="1:38" x14ac:dyDescent="0.3">
      <c r="A4101" s="5"/>
      <c r="B4101" s="4"/>
      <c r="C4101" s="4"/>
      <c r="D4101" s="82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17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</row>
    <row r="4102" spans="1:38" x14ac:dyDescent="0.3">
      <c r="A4102" s="5"/>
      <c r="B4102" s="4"/>
      <c r="C4102" s="4"/>
      <c r="D4102" s="82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17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</row>
    <row r="4103" spans="1:38" x14ac:dyDescent="0.3">
      <c r="A4103" s="5"/>
      <c r="B4103" s="4"/>
      <c r="C4103" s="4"/>
      <c r="D4103" s="82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17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</row>
    <row r="4104" spans="1:38" x14ac:dyDescent="0.3">
      <c r="A4104" s="5"/>
      <c r="B4104" s="4"/>
      <c r="C4104" s="4"/>
      <c r="D4104" s="82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17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</row>
    <row r="4105" spans="1:38" x14ac:dyDescent="0.3">
      <c r="A4105" s="5"/>
      <c r="B4105" s="4"/>
      <c r="C4105" s="4"/>
      <c r="D4105" s="82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17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</row>
    <row r="4106" spans="1:38" x14ac:dyDescent="0.3">
      <c r="A4106" s="5"/>
      <c r="B4106" s="4"/>
      <c r="C4106" s="4"/>
      <c r="D4106" s="82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17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</row>
    <row r="4107" spans="1:38" x14ac:dyDescent="0.3">
      <c r="A4107" s="5"/>
      <c r="B4107" s="4"/>
      <c r="C4107" s="4"/>
      <c r="D4107" s="82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17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</row>
    <row r="4108" spans="1:38" x14ac:dyDescent="0.3">
      <c r="A4108" s="5"/>
      <c r="B4108" s="4"/>
      <c r="C4108" s="4"/>
      <c r="D4108" s="82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17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</row>
    <row r="4109" spans="1:38" x14ac:dyDescent="0.3">
      <c r="A4109" s="5"/>
      <c r="B4109" s="4"/>
      <c r="C4109" s="4"/>
      <c r="D4109" s="82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17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</row>
    <row r="4110" spans="1:38" x14ac:dyDescent="0.3">
      <c r="A4110" s="5"/>
      <c r="B4110" s="4"/>
      <c r="C4110" s="4"/>
      <c r="D4110" s="82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17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</row>
    <row r="4111" spans="1:38" x14ac:dyDescent="0.3">
      <c r="A4111" s="5"/>
      <c r="B4111" s="4"/>
      <c r="C4111" s="4"/>
      <c r="D4111" s="82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17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</row>
    <row r="4112" spans="1:38" x14ac:dyDescent="0.3">
      <c r="A4112" s="5"/>
      <c r="B4112" s="4"/>
      <c r="C4112" s="4"/>
      <c r="D4112" s="82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17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</row>
    <row r="4113" spans="1:38" x14ac:dyDescent="0.3">
      <c r="A4113" s="5"/>
      <c r="B4113" s="4"/>
      <c r="C4113" s="4"/>
      <c r="D4113" s="82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17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</row>
    <row r="4114" spans="1:38" x14ac:dyDescent="0.3">
      <c r="A4114" s="5"/>
      <c r="B4114" s="4"/>
      <c r="C4114" s="4"/>
      <c r="D4114" s="82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17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</row>
    <row r="4115" spans="1:38" x14ac:dyDescent="0.3">
      <c r="A4115" s="5"/>
      <c r="B4115" s="4"/>
      <c r="C4115" s="4"/>
      <c r="D4115" s="82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17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</row>
    <row r="4116" spans="1:38" x14ac:dyDescent="0.3">
      <c r="A4116" s="5"/>
      <c r="B4116" s="4"/>
      <c r="C4116" s="4"/>
      <c r="D4116" s="82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17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</row>
    <row r="4117" spans="1:38" x14ac:dyDescent="0.3">
      <c r="A4117" s="5"/>
      <c r="B4117" s="4"/>
      <c r="C4117" s="4"/>
      <c r="D4117" s="82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17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</row>
    <row r="4118" spans="1:38" x14ac:dyDescent="0.3">
      <c r="A4118" s="5"/>
      <c r="B4118" s="4"/>
      <c r="C4118" s="4"/>
      <c r="D4118" s="82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17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</row>
    <row r="4119" spans="1:38" x14ac:dyDescent="0.3">
      <c r="A4119" s="5"/>
      <c r="B4119" s="4"/>
      <c r="C4119" s="4"/>
      <c r="D4119" s="82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17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</row>
    <row r="4120" spans="1:38" x14ac:dyDescent="0.3">
      <c r="A4120" s="5"/>
      <c r="B4120" s="4"/>
      <c r="C4120" s="4"/>
      <c r="D4120" s="82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17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</row>
    <row r="4121" spans="1:38" x14ac:dyDescent="0.3">
      <c r="A4121" s="5"/>
      <c r="B4121" s="4"/>
      <c r="C4121" s="4"/>
      <c r="D4121" s="82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17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</row>
    <row r="4122" spans="1:38" x14ac:dyDescent="0.3">
      <c r="A4122" s="5"/>
      <c r="B4122" s="4"/>
      <c r="C4122" s="4"/>
      <c r="D4122" s="82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17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</row>
    <row r="4123" spans="1:38" x14ac:dyDescent="0.3">
      <c r="A4123" s="5"/>
      <c r="B4123" s="4"/>
      <c r="C4123" s="4"/>
      <c r="D4123" s="82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17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</row>
    <row r="4124" spans="1:38" x14ac:dyDescent="0.3">
      <c r="A4124" s="5"/>
      <c r="B4124" s="4"/>
      <c r="C4124" s="4"/>
      <c r="D4124" s="82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17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</row>
    <row r="4125" spans="1:38" x14ac:dyDescent="0.3">
      <c r="A4125" s="5"/>
      <c r="B4125" s="4"/>
      <c r="C4125" s="4"/>
      <c r="D4125" s="82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17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</row>
    <row r="4126" spans="1:38" x14ac:dyDescent="0.3">
      <c r="A4126" s="5"/>
      <c r="B4126" s="4"/>
      <c r="C4126" s="4"/>
      <c r="D4126" s="82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17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</row>
    <row r="4127" spans="1:38" x14ac:dyDescent="0.3">
      <c r="A4127" s="5"/>
      <c r="B4127" s="4"/>
      <c r="C4127" s="4"/>
      <c r="D4127" s="82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17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</row>
    <row r="4128" spans="1:38" x14ac:dyDescent="0.3">
      <c r="A4128" s="5"/>
      <c r="B4128" s="4"/>
      <c r="C4128" s="4"/>
      <c r="D4128" s="82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17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</row>
    <row r="4129" spans="1:38" x14ac:dyDescent="0.3">
      <c r="A4129" s="5"/>
      <c r="B4129" s="4"/>
      <c r="C4129" s="4"/>
      <c r="D4129" s="82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17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</row>
    <row r="4130" spans="1:38" x14ac:dyDescent="0.3">
      <c r="A4130" s="5"/>
      <c r="B4130" s="4"/>
      <c r="C4130" s="4"/>
      <c r="D4130" s="82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17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</row>
    <row r="4131" spans="1:38" x14ac:dyDescent="0.3">
      <c r="A4131" s="5"/>
      <c r="B4131" s="4"/>
      <c r="C4131" s="4"/>
      <c r="D4131" s="82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17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</row>
    <row r="4132" spans="1:38" x14ac:dyDescent="0.3">
      <c r="A4132" s="5"/>
      <c r="B4132" s="4"/>
      <c r="C4132" s="4"/>
      <c r="D4132" s="82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17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</row>
    <row r="4133" spans="1:38" x14ac:dyDescent="0.3">
      <c r="A4133" s="5"/>
      <c r="B4133" s="4"/>
      <c r="C4133" s="4"/>
      <c r="D4133" s="82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17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</row>
    <row r="4134" spans="1:38" x14ac:dyDescent="0.3">
      <c r="A4134" s="5"/>
      <c r="B4134" s="4"/>
      <c r="C4134" s="4"/>
      <c r="D4134" s="82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17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</row>
    <row r="4135" spans="1:38" x14ac:dyDescent="0.3">
      <c r="A4135" s="5"/>
      <c r="B4135" s="4"/>
      <c r="C4135" s="4"/>
      <c r="D4135" s="82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17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</row>
    <row r="4136" spans="1:38" x14ac:dyDescent="0.3">
      <c r="A4136" s="5"/>
      <c r="B4136" s="4"/>
      <c r="C4136" s="4"/>
      <c r="D4136" s="82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17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</row>
    <row r="4137" spans="1:38" x14ac:dyDescent="0.3">
      <c r="A4137" s="5"/>
      <c r="B4137" s="4"/>
      <c r="C4137" s="4"/>
      <c r="D4137" s="82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17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</row>
    <row r="4138" spans="1:38" x14ac:dyDescent="0.3">
      <c r="A4138" s="5"/>
      <c r="B4138" s="4"/>
      <c r="C4138" s="4"/>
      <c r="D4138" s="82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17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</row>
    <row r="4139" spans="1:38" x14ac:dyDescent="0.3">
      <c r="A4139" s="5"/>
      <c r="B4139" s="4"/>
      <c r="C4139" s="4"/>
      <c r="D4139" s="82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17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</row>
    <row r="4140" spans="1:38" x14ac:dyDescent="0.3">
      <c r="A4140" s="5"/>
      <c r="B4140" s="4"/>
      <c r="C4140" s="4"/>
      <c r="D4140" s="82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17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</row>
    <row r="4141" spans="1:38" x14ac:dyDescent="0.3">
      <c r="A4141" s="5"/>
      <c r="B4141" s="4"/>
      <c r="C4141" s="4"/>
      <c r="D4141" s="82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17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</row>
    <row r="4142" spans="1:38" x14ac:dyDescent="0.3">
      <c r="A4142" s="5"/>
      <c r="B4142" s="4"/>
      <c r="C4142" s="4"/>
      <c r="D4142" s="82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17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</row>
    <row r="4143" spans="1:38" x14ac:dyDescent="0.3">
      <c r="A4143" s="5"/>
      <c r="B4143" s="4"/>
      <c r="C4143" s="4"/>
      <c r="D4143" s="82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17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</row>
    <row r="4144" spans="1:38" x14ac:dyDescent="0.3">
      <c r="A4144" s="5"/>
      <c r="B4144" s="4"/>
      <c r="C4144" s="4"/>
      <c r="D4144" s="82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17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</row>
    <row r="4145" spans="1:38" x14ac:dyDescent="0.3">
      <c r="A4145" s="5"/>
      <c r="B4145" s="4"/>
      <c r="C4145" s="4"/>
      <c r="D4145" s="82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17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</row>
    <row r="4146" spans="1:38" x14ac:dyDescent="0.3">
      <c r="A4146" s="5"/>
      <c r="B4146" s="4"/>
      <c r="C4146" s="4"/>
      <c r="D4146" s="82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17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</row>
    <row r="4147" spans="1:38" x14ac:dyDescent="0.3">
      <c r="A4147" s="5"/>
      <c r="B4147" s="4"/>
      <c r="C4147" s="4"/>
      <c r="D4147" s="82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17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</row>
    <row r="4148" spans="1:38" x14ac:dyDescent="0.3">
      <c r="A4148" s="5"/>
      <c r="B4148" s="4"/>
      <c r="C4148" s="4"/>
      <c r="D4148" s="82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17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</row>
    <row r="4149" spans="1:38" x14ac:dyDescent="0.3">
      <c r="A4149" s="5"/>
      <c r="B4149" s="4"/>
      <c r="C4149" s="4"/>
      <c r="D4149" s="82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17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</row>
    <row r="4150" spans="1:38" x14ac:dyDescent="0.3">
      <c r="A4150" s="5"/>
      <c r="B4150" s="4"/>
      <c r="C4150" s="4"/>
      <c r="D4150" s="82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17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</row>
    <row r="4151" spans="1:38" x14ac:dyDescent="0.3">
      <c r="A4151" s="5"/>
      <c r="B4151" s="4"/>
      <c r="C4151" s="4"/>
      <c r="D4151" s="82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17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</row>
    <row r="4152" spans="1:38" x14ac:dyDescent="0.3">
      <c r="A4152" s="5"/>
      <c r="B4152" s="4"/>
      <c r="C4152" s="4"/>
      <c r="D4152" s="82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17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</row>
    <row r="4153" spans="1:38" x14ac:dyDescent="0.3">
      <c r="A4153" s="5"/>
      <c r="B4153" s="4"/>
      <c r="C4153" s="4"/>
      <c r="D4153" s="82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17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</row>
    <row r="4154" spans="1:38" x14ac:dyDescent="0.3">
      <c r="A4154" s="5"/>
      <c r="B4154" s="4"/>
      <c r="C4154" s="4"/>
      <c r="D4154" s="82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17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</row>
    <row r="4155" spans="1:38" x14ac:dyDescent="0.3">
      <c r="A4155" s="5"/>
      <c r="B4155" s="4"/>
      <c r="C4155" s="4"/>
      <c r="D4155" s="82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17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</row>
    <row r="4156" spans="1:38" x14ac:dyDescent="0.3">
      <c r="A4156" s="5"/>
      <c r="B4156" s="4"/>
      <c r="C4156" s="4"/>
      <c r="D4156" s="82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17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</row>
    <row r="4157" spans="1:38" x14ac:dyDescent="0.3">
      <c r="A4157" s="5"/>
      <c r="B4157" s="4"/>
      <c r="C4157" s="4"/>
      <c r="D4157" s="82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17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</row>
    <row r="4158" spans="1:38" x14ac:dyDescent="0.3">
      <c r="A4158" s="5"/>
      <c r="B4158" s="4"/>
      <c r="C4158" s="4"/>
      <c r="D4158" s="82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17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</row>
    <row r="4159" spans="1:38" x14ac:dyDescent="0.3">
      <c r="A4159" s="5"/>
      <c r="B4159" s="4"/>
      <c r="C4159" s="4"/>
      <c r="D4159" s="82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17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</row>
    <row r="4160" spans="1:38" x14ac:dyDescent="0.3">
      <c r="A4160" s="5"/>
      <c r="B4160" s="4"/>
      <c r="C4160" s="4"/>
      <c r="D4160" s="82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17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</row>
    <row r="4161" spans="1:38" x14ac:dyDescent="0.3">
      <c r="A4161" s="5"/>
      <c r="B4161" s="4"/>
      <c r="C4161" s="4"/>
      <c r="D4161" s="82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17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</row>
    <row r="4162" spans="1:38" x14ac:dyDescent="0.3">
      <c r="A4162" s="5"/>
      <c r="B4162" s="4"/>
      <c r="C4162" s="4"/>
      <c r="D4162" s="82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17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</row>
    <row r="4163" spans="1:38" x14ac:dyDescent="0.3">
      <c r="A4163" s="5"/>
      <c r="B4163" s="4"/>
      <c r="C4163" s="4"/>
      <c r="D4163" s="82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17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</row>
    <row r="4164" spans="1:38" x14ac:dyDescent="0.3">
      <c r="A4164" s="5"/>
      <c r="B4164" s="4"/>
      <c r="C4164" s="4"/>
      <c r="D4164" s="82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17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</row>
    <row r="4165" spans="1:38" x14ac:dyDescent="0.3">
      <c r="A4165" s="5"/>
      <c r="B4165" s="4"/>
      <c r="C4165" s="4"/>
      <c r="D4165" s="82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17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</row>
    <row r="4166" spans="1:38" x14ac:dyDescent="0.3">
      <c r="A4166" s="5"/>
      <c r="B4166" s="4"/>
      <c r="C4166" s="4"/>
      <c r="D4166" s="82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17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</row>
    <row r="4167" spans="1:38" x14ac:dyDescent="0.3">
      <c r="A4167" s="5"/>
      <c r="B4167" s="4"/>
      <c r="C4167" s="4"/>
      <c r="D4167" s="82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17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</row>
    <row r="4168" spans="1:38" x14ac:dyDescent="0.3">
      <c r="A4168" s="5"/>
      <c r="B4168" s="4"/>
      <c r="C4168" s="4"/>
      <c r="D4168" s="82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17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</row>
    <row r="4169" spans="1:38" x14ac:dyDescent="0.3">
      <c r="A4169" s="5"/>
      <c r="B4169" s="4"/>
      <c r="C4169" s="4"/>
      <c r="D4169" s="82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17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</row>
    <row r="4170" spans="1:38" x14ac:dyDescent="0.3">
      <c r="A4170" s="5"/>
      <c r="B4170" s="4"/>
      <c r="C4170" s="4"/>
      <c r="D4170" s="82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17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</row>
    <row r="4171" spans="1:38" x14ac:dyDescent="0.3">
      <c r="A4171" s="5"/>
      <c r="B4171" s="4"/>
      <c r="C4171" s="4"/>
      <c r="D4171" s="82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17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</row>
    <row r="4172" spans="1:38" x14ac:dyDescent="0.3">
      <c r="A4172" s="5"/>
      <c r="B4172" s="4"/>
      <c r="C4172" s="4"/>
      <c r="D4172" s="82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17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</row>
    <row r="4173" spans="1:38" x14ac:dyDescent="0.3">
      <c r="A4173" s="5"/>
      <c r="B4173" s="4"/>
      <c r="C4173" s="4"/>
      <c r="D4173" s="82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17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</row>
    <row r="4174" spans="1:38" x14ac:dyDescent="0.3">
      <c r="A4174" s="5"/>
      <c r="B4174" s="4"/>
      <c r="C4174" s="4"/>
      <c r="D4174" s="82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17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</row>
    <row r="4175" spans="1:38" x14ac:dyDescent="0.3">
      <c r="A4175" s="5"/>
      <c r="B4175" s="4"/>
      <c r="C4175" s="4"/>
      <c r="D4175" s="82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17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</row>
    <row r="4176" spans="1:38" x14ac:dyDescent="0.3">
      <c r="A4176" s="5"/>
      <c r="B4176" s="4"/>
      <c r="C4176" s="4"/>
      <c r="D4176" s="82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17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</row>
    <row r="4177" spans="1:38" x14ac:dyDescent="0.3">
      <c r="A4177" s="5"/>
      <c r="B4177" s="4"/>
      <c r="C4177" s="4"/>
      <c r="D4177" s="82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17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</row>
    <row r="4178" spans="1:38" x14ac:dyDescent="0.3">
      <c r="A4178" s="5"/>
      <c r="B4178" s="4"/>
      <c r="C4178" s="4"/>
      <c r="D4178" s="82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17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</row>
    <row r="4179" spans="1:38" x14ac:dyDescent="0.3">
      <c r="A4179" s="5"/>
      <c r="B4179" s="4"/>
      <c r="C4179" s="4"/>
      <c r="D4179" s="82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17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</row>
    <row r="4180" spans="1:38" x14ac:dyDescent="0.3">
      <c r="A4180" s="5"/>
      <c r="B4180" s="4"/>
      <c r="C4180" s="4"/>
      <c r="D4180" s="82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17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</row>
    <row r="4181" spans="1:38" x14ac:dyDescent="0.3">
      <c r="A4181" s="5"/>
      <c r="B4181" s="4"/>
      <c r="C4181" s="4"/>
      <c r="D4181" s="82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17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</row>
    <row r="4182" spans="1:38" x14ac:dyDescent="0.3">
      <c r="A4182" s="5"/>
      <c r="B4182" s="4"/>
      <c r="C4182" s="4"/>
      <c r="D4182" s="82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17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</row>
    <row r="4183" spans="1:38" x14ac:dyDescent="0.3">
      <c r="A4183" s="5"/>
      <c r="B4183" s="4"/>
      <c r="C4183" s="4"/>
      <c r="D4183" s="82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17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</row>
    <row r="4184" spans="1:38" x14ac:dyDescent="0.3">
      <c r="A4184" s="5"/>
      <c r="B4184" s="4"/>
      <c r="C4184" s="4"/>
      <c r="D4184" s="82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17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</row>
    <row r="4185" spans="1:38" x14ac:dyDescent="0.3">
      <c r="A4185" s="5"/>
      <c r="B4185" s="4"/>
      <c r="C4185" s="4"/>
      <c r="D4185" s="82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17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</row>
    <row r="4186" spans="1:38" x14ac:dyDescent="0.3">
      <c r="A4186" s="5"/>
      <c r="B4186" s="4"/>
      <c r="C4186" s="4"/>
      <c r="D4186" s="82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17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</row>
    <row r="4187" spans="1:38" x14ac:dyDescent="0.3">
      <c r="A4187" s="5"/>
      <c r="B4187" s="4"/>
      <c r="C4187" s="4"/>
      <c r="D4187" s="82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17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</row>
    <row r="4188" spans="1:38" x14ac:dyDescent="0.3">
      <c r="A4188" s="5"/>
      <c r="B4188" s="4"/>
      <c r="C4188" s="4"/>
      <c r="D4188" s="82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17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</row>
    <row r="4189" spans="1:38" x14ac:dyDescent="0.3">
      <c r="A4189" s="5"/>
      <c r="B4189" s="4"/>
      <c r="C4189" s="4"/>
      <c r="D4189" s="82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17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</row>
    <row r="4190" spans="1:38" x14ac:dyDescent="0.3">
      <c r="A4190" s="5"/>
      <c r="B4190" s="4"/>
      <c r="C4190" s="4"/>
      <c r="D4190" s="82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17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</row>
    <row r="4191" spans="1:38" x14ac:dyDescent="0.3">
      <c r="A4191" s="5"/>
      <c r="B4191" s="4"/>
      <c r="C4191" s="4"/>
      <c r="D4191" s="82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17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</row>
    <row r="4192" spans="1:38" x14ac:dyDescent="0.3">
      <c r="A4192" s="5"/>
      <c r="B4192" s="4"/>
      <c r="C4192" s="4"/>
      <c r="D4192" s="82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17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</row>
    <row r="4193" spans="1:38" x14ac:dyDescent="0.3">
      <c r="A4193" s="5"/>
      <c r="B4193" s="4"/>
      <c r="C4193" s="4"/>
      <c r="D4193" s="82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17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</row>
    <row r="4194" spans="1:38" x14ac:dyDescent="0.3">
      <c r="A4194" s="5"/>
      <c r="B4194" s="4"/>
      <c r="C4194" s="4"/>
      <c r="D4194" s="82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17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</row>
    <row r="4195" spans="1:38" x14ac:dyDescent="0.3">
      <c r="A4195" s="5"/>
      <c r="B4195" s="4"/>
      <c r="C4195" s="4"/>
      <c r="D4195" s="82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17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</row>
    <row r="4196" spans="1:38" x14ac:dyDescent="0.3">
      <c r="A4196" s="5"/>
      <c r="B4196" s="4"/>
      <c r="C4196" s="4"/>
      <c r="D4196" s="82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17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</row>
    <row r="4197" spans="1:38" x14ac:dyDescent="0.3">
      <c r="A4197" s="5"/>
      <c r="B4197" s="4"/>
      <c r="C4197" s="4"/>
      <c r="D4197" s="82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17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</row>
    <row r="4198" spans="1:38" x14ac:dyDescent="0.3">
      <c r="A4198" s="5"/>
      <c r="B4198" s="4"/>
      <c r="C4198" s="4"/>
      <c r="D4198" s="82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17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</row>
    <row r="4199" spans="1:38" x14ac:dyDescent="0.3">
      <c r="A4199" s="5"/>
      <c r="B4199" s="4"/>
      <c r="C4199" s="4"/>
      <c r="D4199" s="82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17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</row>
    <row r="4200" spans="1:38" x14ac:dyDescent="0.3">
      <c r="A4200" s="5"/>
      <c r="B4200" s="4"/>
      <c r="C4200" s="4"/>
      <c r="D4200" s="82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17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</row>
    <row r="4201" spans="1:38" x14ac:dyDescent="0.3">
      <c r="A4201" s="5"/>
      <c r="B4201" s="4"/>
      <c r="C4201" s="4"/>
      <c r="D4201" s="82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17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</row>
    <row r="4202" spans="1:38" x14ac:dyDescent="0.3">
      <c r="A4202" s="5"/>
      <c r="B4202" s="4"/>
      <c r="C4202" s="4"/>
      <c r="D4202" s="82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17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</row>
    <row r="4203" spans="1:38" x14ac:dyDescent="0.3">
      <c r="A4203" s="5"/>
      <c r="B4203" s="4"/>
      <c r="C4203" s="4"/>
      <c r="D4203" s="82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17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</row>
    <row r="4204" spans="1:38" x14ac:dyDescent="0.3">
      <c r="A4204" s="5"/>
      <c r="B4204" s="4"/>
      <c r="C4204" s="4"/>
      <c r="D4204" s="82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17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</row>
    <row r="4205" spans="1:38" x14ac:dyDescent="0.3">
      <c r="A4205" s="5"/>
      <c r="B4205" s="4"/>
      <c r="C4205" s="4"/>
      <c r="D4205" s="82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17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</row>
    <row r="4206" spans="1:38" x14ac:dyDescent="0.3">
      <c r="A4206" s="5"/>
      <c r="B4206" s="4"/>
      <c r="C4206" s="4"/>
      <c r="D4206" s="82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17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</row>
    <row r="4207" spans="1:38" x14ac:dyDescent="0.3">
      <c r="A4207" s="5"/>
      <c r="B4207" s="4"/>
      <c r="C4207" s="4"/>
      <c r="D4207" s="82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17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</row>
    <row r="4208" spans="1:38" x14ac:dyDescent="0.3">
      <c r="A4208" s="5"/>
      <c r="B4208" s="4"/>
      <c r="C4208" s="4"/>
      <c r="D4208" s="82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17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</row>
    <row r="4209" spans="1:38" x14ac:dyDescent="0.3">
      <c r="A4209" s="5"/>
      <c r="B4209" s="4"/>
      <c r="C4209" s="4"/>
      <c r="D4209" s="82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17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</row>
    <row r="4210" spans="1:38" x14ac:dyDescent="0.3">
      <c r="A4210" s="5"/>
      <c r="B4210" s="4"/>
      <c r="C4210" s="4"/>
      <c r="D4210" s="82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17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</row>
    <row r="4211" spans="1:38" x14ac:dyDescent="0.3">
      <c r="A4211" s="5"/>
      <c r="B4211" s="4"/>
      <c r="C4211" s="4"/>
      <c r="D4211" s="82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17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</row>
    <row r="4212" spans="1:38" x14ac:dyDescent="0.3">
      <c r="A4212" s="5"/>
      <c r="B4212" s="4"/>
      <c r="C4212" s="4"/>
      <c r="D4212" s="82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17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</row>
    <row r="4213" spans="1:38" x14ac:dyDescent="0.3">
      <c r="A4213" s="5"/>
      <c r="B4213" s="4"/>
      <c r="C4213" s="4"/>
      <c r="D4213" s="82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17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</row>
    <row r="4214" spans="1:38" x14ac:dyDescent="0.3">
      <c r="A4214" s="5"/>
      <c r="B4214" s="4"/>
      <c r="C4214" s="4"/>
      <c r="D4214" s="82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17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</row>
    <row r="4215" spans="1:38" x14ac:dyDescent="0.3">
      <c r="A4215" s="5"/>
      <c r="B4215" s="4"/>
      <c r="C4215" s="4"/>
      <c r="D4215" s="82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17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</row>
    <row r="4216" spans="1:38" x14ac:dyDescent="0.3">
      <c r="A4216" s="5"/>
      <c r="B4216" s="4"/>
      <c r="C4216" s="4"/>
      <c r="D4216" s="82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17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</row>
    <row r="4217" spans="1:38" x14ac:dyDescent="0.3">
      <c r="A4217" s="5"/>
      <c r="B4217" s="4"/>
      <c r="C4217" s="4"/>
      <c r="D4217" s="82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17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</row>
    <row r="4218" spans="1:38" x14ac:dyDescent="0.3">
      <c r="A4218" s="5"/>
      <c r="B4218" s="4"/>
      <c r="C4218" s="4"/>
      <c r="D4218" s="82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17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</row>
    <row r="4219" spans="1:38" x14ac:dyDescent="0.3">
      <c r="A4219" s="5"/>
      <c r="B4219" s="4"/>
      <c r="C4219" s="4"/>
      <c r="D4219" s="82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17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</row>
    <row r="4220" spans="1:38" x14ac:dyDescent="0.3">
      <c r="A4220" s="5"/>
      <c r="B4220" s="4"/>
      <c r="C4220" s="4"/>
      <c r="D4220" s="82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17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</row>
    <row r="4221" spans="1:38" x14ac:dyDescent="0.3">
      <c r="A4221" s="5"/>
      <c r="B4221" s="4"/>
      <c r="C4221" s="4"/>
      <c r="D4221" s="82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17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</row>
    <row r="4222" spans="1:38" x14ac:dyDescent="0.3">
      <c r="A4222" s="5"/>
      <c r="B4222" s="4"/>
      <c r="C4222" s="4"/>
      <c r="D4222" s="82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17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</row>
    <row r="4223" spans="1:38" x14ac:dyDescent="0.3">
      <c r="A4223" s="5"/>
      <c r="B4223" s="4"/>
      <c r="C4223" s="4"/>
      <c r="D4223" s="82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17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</row>
    <row r="4224" spans="1:38" x14ac:dyDescent="0.3">
      <c r="A4224" s="5"/>
      <c r="B4224" s="4"/>
      <c r="C4224" s="4"/>
      <c r="D4224" s="82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17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</row>
    <row r="4225" spans="1:38" x14ac:dyDescent="0.3">
      <c r="A4225" s="5"/>
      <c r="B4225" s="4"/>
      <c r="C4225" s="4"/>
      <c r="D4225" s="82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17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</row>
    <row r="4226" spans="1:38" x14ac:dyDescent="0.3">
      <c r="A4226" s="5"/>
      <c r="B4226" s="4"/>
      <c r="C4226" s="4"/>
      <c r="D4226" s="82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17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</row>
    <row r="4227" spans="1:38" x14ac:dyDescent="0.3">
      <c r="A4227" s="5"/>
      <c r="B4227" s="4"/>
      <c r="C4227" s="4"/>
      <c r="D4227" s="82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17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</row>
    <row r="4228" spans="1:38" x14ac:dyDescent="0.3">
      <c r="A4228" s="5"/>
      <c r="B4228" s="4"/>
      <c r="C4228" s="4"/>
      <c r="D4228" s="82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17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</row>
    <row r="4229" spans="1:38" x14ac:dyDescent="0.3">
      <c r="A4229" s="5"/>
      <c r="B4229" s="4"/>
      <c r="C4229" s="4"/>
      <c r="D4229" s="82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17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</row>
    <row r="4230" spans="1:38" x14ac:dyDescent="0.3">
      <c r="A4230" s="5"/>
      <c r="B4230" s="4"/>
      <c r="C4230" s="4"/>
      <c r="D4230" s="82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17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</row>
    <row r="4231" spans="1:38" x14ac:dyDescent="0.3">
      <c r="A4231" s="5"/>
      <c r="B4231" s="4"/>
      <c r="C4231" s="4"/>
      <c r="D4231" s="82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17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</row>
    <row r="4232" spans="1:38" x14ac:dyDescent="0.3">
      <c r="A4232" s="5"/>
      <c r="B4232" s="4"/>
      <c r="C4232" s="4"/>
      <c r="D4232" s="82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17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</row>
    <row r="4233" spans="1:38" x14ac:dyDescent="0.3">
      <c r="A4233" s="5"/>
      <c r="B4233" s="4"/>
      <c r="C4233" s="4"/>
      <c r="D4233" s="82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17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</row>
    <row r="4234" spans="1:38" x14ac:dyDescent="0.3">
      <c r="A4234" s="5"/>
      <c r="B4234" s="4"/>
      <c r="C4234" s="4"/>
      <c r="D4234" s="82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17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</row>
    <row r="4235" spans="1:38" x14ac:dyDescent="0.3">
      <c r="A4235" s="5"/>
      <c r="B4235" s="4"/>
      <c r="C4235" s="4"/>
      <c r="D4235" s="82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17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</row>
    <row r="4236" spans="1:38" x14ac:dyDescent="0.3">
      <c r="A4236" s="5"/>
      <c r="B4236" s="4"/>
      <c r="C4236" s="4"/>
      <c r="D4236" s="82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17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</row>
    <row r="4237" spans="1:38" x14ac:dyDescent="0.3">
      <c r="A4237" s="5"/>
      <c r="B4237" s="4"/>
      <c r="C4237" s="4"/>
      <c r="D4237" s="82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17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</row>
    <row r="4238" spans="1:38" x14ac:dyDescent="0.3">
      <c r="A4238" s="5"/>
      <c r="B4238" s="4"/>
      <c r="C4238" s="4"/>
      <c r="D4238" s="82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17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</row>
    <row r="4239" spans="1:38" x14ac:dyDescent="0.3">
      <c r="A4239" s="5"/>
      <c r="B4239" s="4"/>
      <c r="C4239" s="4"/>
      <c r="D4239" s="82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17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</row>
    <row r="4240" spans="1:38" x14ac:dyDescent="0.3">
      <c r="A4240" s="5"/>
      <c r="B4240" s="4"/>
      <c r="C4240" s="4"/>
      <c r="D4240" s="82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17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</row>
    <row r="4241" spans="1:38" x14ac:dyDescent="0.3">
      <c r="A4241" s="5"/>
      <c r="B4241" s="4"/>
      <c r="C4241" s="4"/>
      <c r="D4241" s="82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17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</row>
    <row r="4242" spans="1:38" x14ac:dyDescent="0.3">
      <c r="A4242" s="5"/>
      <c r="B4242" s="4"/>
      <c r="C4242" s="4"/>
      <c r="D4242" s="82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17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</row>
    <row r="4243" spans="1:38" x14ac:dyDescent="0.3">
      <c r="A4243" s="5"/>
      <c r="B4243" s="4"/>
      <c r="C4243" s="4"/>
      <c r="D4243" s="82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17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</row>
    <row r="4244" spans="1:38" x14ac:dyDescent="0.3">
      <c r="A4244" s="5"/>
      <c r="B4244" s="4"/>
      <c r="C4244" s="4"/>
      <c r="D4244" s="82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17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</row>
    <row r="4245" spans="1:38" x14ac:dyDescent="0.3">
      <c r="A4245" s="5"/>
      <c r="B4245" s="4"/>
      <c r="C4245" s="4"/>
      <c r="D4245" s="82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17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</row>
    <row r="4246" spans="1:38" x14ac:dyDescent="0.3">
      <c r="A4246" s="5"/>
      <c r="B4246" s="4"/>
      <c r="C4246" s="4"/>
      <c r="D4246" s="82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17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</row>
    <row r="4247" spans="1:38" x14ac:dyDescent="0.3">
      <c r="A4247" s="5"/>
      <c r="B4247" s="4"/>
      <c r="C4247" s="4"/>
      <c r="D4247" s="82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17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</row>
    <row r="4248" spans="1:38" x14ac:dyDescent="0.3">
      <c r="A4248" s="5"/>
      <c r="B4248" s="4"/>
      <c r="C4248" s="4"/>
      <c r="D4248" s="82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17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</row>
    <row r="4249" spans="1:38" x14ac:dyDescent="0.3">
      <c r="A4249" s="5"/>
      <c r="B4249" s="4"/>
      <c r="C4249" s="4"/>
      <c r="D4249" s="82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17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</row>
    <row r="4250" spans="1:38" x14ac:dyDescent="0.3">
      <c r="A4250" s="5"/>
      <c r="B4250" s="4"/>
      <c r="C4250" s="4"/>
      <c r="D4250" s="82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17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</row>
    <row r="4251" spans="1:38" x14ac:dyDescent="0.3">
      <c r="A4251" s="5"/>
      <c r="B4251" s="4"/>
      <c r="C4251" s="4"/>
      <c r="D4251" s="82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17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</row>
    <row r="4252" spans="1:38" x14ac:dyDescent="0.3">
      <c r="A4252" s="5"/>
      <c r="B4252" s="4"/>
      <c r="C4252" s="4"/>
      <c r="D4252" s="82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17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</row>
    <row r="4253" spans="1:38" x14ac:dyDescent="0.3">
      <c r="A4253" s="5"/>
      <c r="B4253" s="4"/>
      <c r="C4253" s="4"/>
      <c r="D4253" s="82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17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</row>
    <row r="4254" spans="1:38" x14ac:dyDescent="0.3">
      <c r="A4254" s="5"/>
      <c r="B4254" s="4"/>
      <c r="C4254" s="4"/>
      <c r="D4254" s="82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17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</row>
    <row r="4255" spans="1:38" x14ac:dyDescent="0.3">
      <c r="A4255" s="5"/>
      <c r="B4255" s="4"/>
      <c r="C4255" s="4"/>
      <c r="D4255" s="82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17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</row>
    <row r="4256" spans="1:38" x14ac:dyDescent="0.3">
      <c r="A4256" s="5"/>
      <c r="B4256" s="4"/>
      <c r="C4256" s="4"/>
      <c r="D4256" s="82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17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</row>
    <row r="4257" spans="1:38" x14ac:dyDescent="0.3">
      <c r="A4257" s="5"/>
      <c r="B4257" s="4"/>
      <c r="C4257" s="4"/>
      <c r="D4257" s="82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17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</row>
    <row r="4258" spans="1:38" x14ac:dyDescent="0.3">
      <c r="A4258" s="5"/>
      <c r="B4258" s="4"/>
      <c r="C4258" s="4"/>
      <c r="D4258" s="82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17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</row>
    <row r="4259" spans="1:38" x14ac:dyDescent="0.3">
      <c r="A4259" s="5"/>
      <c r="B4259" s="4"/>
      <c r="C4259" s="4"/>
      <c r="D4259" s="82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17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</row>
    <row r="4260" spans="1:38" x14ac:dyDescent="0.3">
      <c r="A4260" s="5"/>
      <c r="B4260" s="4"/>
      <c r="C4260" s="4"/>
      <c r="D4260" s="82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17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</row>
    <row r="4261" spans="1:38" x14ac:dyDescent="0.3">
      <c r="A4261" s="5"/>
      <c r="B4261" s="4"/>
      <c r="C4261" s="4"/>
      <c r="D4261" s="82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17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</row>
    <row r="4262" spans="1:38" x14ac:dyDescent="0.3">
      <c r="A4262" s="5"/>
      <c r="B4262" s="4"/>
      <c r="C4262" s="4"/>
      <c r="D4262" s="82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17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</row>
    <row r="4263" spans="1:38" x14ac:dyDescent="0.3">
      <c r="A4263" s="5"/>
      <c r="B4263" s="4"/>
      <c r="C4263" s="4"/>
      <c r="D4263" s="82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17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</row>
    <row r="4264" spans="1:38" x14ac:dyDescent="0.3">
      <c r="A4264" s="5"/>
      <c r="B4264" s="4"/>
      <c r="C4264" s="4"/>
      <c r="D4264" s="82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17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</row>
    <row r="4265" spans="1:38" x14ac:dyDescent="0.3">
      <c r="A4265" s="5"/>
      <c r="B4265" s="4"/>
      <c r="C4265" s="4"/>
      <c r="D4265" s="82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17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</row>
    <row r="4266" spans="1:38" x14ac:dyDescent="0.3">
      <c r="A4266" s="5"/>
      <c r="B4266" s="4"/>
      <c r="C4266" s="4"/>
      <c r="D4266" s="82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17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</row>
    <row r="4267" spans="1:38" x14ac:dyDescent="0.3">
      <c r="A4267" s="5"/>
      <c r="B4267" s="4"/>
      <c r="C4267" s="4"/>
      <c r="D4267" s="82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17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</row>
    <row r="4268" spans="1:38" x14ac:dyDescent="0.3">
      <c r="A4268" s="5"/>
      <c r="B4268" s="4"/>
      <c r="C4268" s="4"/>
      <c r="D4268" s="82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17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</row>
    <row r="4269" spans="1:38" x14ac:dyDescent="0.3">
      <c r="A4269" s="5"/>
      <c r="B4269" s="4"/>
      <c r="C4269" s="4"/>
      <c r="D4269" s="82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17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</row>
    <row r="4270" spans="1:38" x14ac:dyDescent="0.3">
      <c r="A4270" s="5"/>
      <c r="B4270" s="4"/>
      <c r="C4270" s="4"/>
      <c r="D4270" s="82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17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</row>
    <row r="4271" spans="1:38" x14ac:dyDescent="0.3">
      <c r="A4271" s="5"/>
      <c r="B4271" s="4"/>
      <c r="C4271" s="4"/>
      <c r="D4271" s="82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17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</row>
    <row r="4272" spans="1:38" x14ac:dyDescent="0.3">
      <c r="A4272" s="5"/>
      <c r="B4272" s="4"/>
      <c r="C4272" s="4"/>
      <c r="D4272" s="82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17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</row>
    <row r="4273" spans="1:38" x14ac:dyDescent="0.3">
      <c r="A4273" s="5"/>
      <c r="B4273" s="4"/>
      <c r="C4273" s="4"/>
      <c r="D4273" s="82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17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</row>
    <row r="4274" spans="1:38" x14ac:dyDescent="0.3">
      <c r="A4274" s="5"/>
      <c r="B4274" s="4"/>
      <c r="C4274" s="4"/>
      <c r="D4274" s="82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17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</row>
    <row r="4275" spans="1:38" x14ac:dyDescent="0.3">
      <c r="A4275" s="5"/>
      <c r="B4275" s="4"/>
      <c r="C4275" s="4"/>
      <c r="D4275" s="82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17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</row>
    <row r="4276" spans="1:38" x14ac:dyDescent="0.3">
      <c r="A4276" s="5"/>
      <c r="B4276" s="4"/>
      <c r="C4276" s="4"/>
      <c r="D4276" s="82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17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</row>
    <row r="4277" spans="1:38" x14ac:dyDescent="0.3">
      <c r="A4277" s="5"/>
      <c r="B4277" s="4"/>
      <c r="C4277" s="4"/>
      <c r="D4277" s="82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17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</row>
    <row r="4278" spans="1:38" x14ac:dyDescent="0.3">
      <c r="A4278" s="5"/>
      <c r="B4278" s="4"/>
      <c r="C4278" s="4"/>
      <c r="D4278" s="82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17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</row>
    <row r="4279" spans="1:38" x14ac:dyDescent="0.3">
      <c r="A4279" s="5"/>
      <c r="B4279" s="4"/>
      <c r="C4279" s="4"/>
      <c r="D4279" s="82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17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</row>
    <row r="4280" spans="1:38" x14ac:dyDescent="0.3">
      <c r="A4280" s="5"/>
      <c r="B4280" s="4"/>
      <c r="C4280" s="4"/>
      <c r="D4280" s="82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17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</row>
    <row r="4281" spans="1:38" x14ac:dyDescent="0.3">
      <c r="A4281" s="5"/>
      <c r="B4281" s="4"/>
      <c r="C4281" s="4"/>
      <c r="D4281" s="82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17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</row>
    <row r="4282" spans="1:38" x14ac:dyDescent="0.3">
      <c r="A4282" s="5"/>
      <c r="B4282" s="4"/>
      <c r="C4282" s="4"/>
      <c r="D4282" s="82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17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</row>
    <row r="4283" spans="1:38" x14ac:dyDescent="0.3">
      <c r="A4283" s="5"/>
      <c r="B4283" s="4"/>
      <c r="C4283" s="4"/>
      <c r="D4283" s="82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17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</row>
    <row r="4284" spans="1:38" x14ac:dyDescent="0.3">
      <c r="A4284" s="5"/>
      <c r="B4284" s="4"/>
      <c r="C4284" s="4"/>
      <c r="D4284" s="82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17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</row>
    <row r="4285" spans="1:38" x14ac:dyDescent="0.3">
      <c r="A4285" s="5"/>
      <c r="B4285" s="4"/>
      <c r="C4285" s="4"/>
      <c r="D4285" s="82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17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</row>
    <row r="4286" spans="1:38" x14ac:dyDescent="0.3">
      <c r="A4286" s="5"/>
      <c r="B4286" s="4"/>
      <c r="C4286" s="4"/>
      <c r="D4286" s="82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17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</row>
    <row r="4287" spans="1:38" x14ac:dyDescent="0.3">
      <c r="A4287" s="5"/>
      <c r="B4287" s="4"/>
      <c r="C4287" s="4"/>
      <c r="D4287" s="82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17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</row>
    <row r="4288" spans="1:38" x14ac:dyDescent="0.3">
      <c r="A4288" s="5"/>
      <c r="B4288" s="4"/>
      <c r="C4288" s="4"/>
      <c r="D4288" s="82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17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</row>
    <row r="4289" spans="1:38" x14ac:dyDescent="0.3">
      <c r="A4289" s="5"/>
      <c r="B4289" s="4"/>
      <c r="C4289" s="4"/>
      <c r="D4289" s="82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17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</row>
    <row r="4290" spans="1:38" x14ac:dyDescent="0.3">
      <c r="A4290" s="5"/>
      <c r="B4290" s="4"/>
      <c r="C4290" s="4"/>
      <c r="D4290" s="82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17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</row>
    <row r="4291" spans="1:38" x14ac:dyDescent="0.3">
      <c r="A4291" s="5"/>
      <c r="B4291" s="4"/>
      <c r="C4291" s="4"/>
      <c r="D4291" s="82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17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</row>
    <row r="4292" spans="1:38" x14ac:dyDescent="0.3">
      <c r="A4292" s="5"/>
      <c r="B4292" s="4"/>
      <c r="C4292" s="4"/>
      <c r="D4292" s="82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17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</row>
    <row r="4293" spans="1:38" x14ac:dyDescent="0.3">
      <c r="A4293" s="5"/>
      <c r="B4293" s="4"/>
      <c r="C4293" s="4"/>
      <c r="D4293" s="82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17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</row>
    <row r="4294" spans="1:38" x14ac:dyDescent="0.3">
      <c r="A4294" s="5"/>
      <c r="B4294" s="4"/>
      <c r="C4294" s="4"/>
      <c r="D4294" s="82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17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</row>
    <row r="4295" spans="1:38" x14ac:dyDescent="0.3">
      <c r="A4295" s="5"/>
      <c r="B4295" s="4"/>
      <c r="C4295" s="4"/>
      <c r="D4295" s="82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17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</row>
    <row r="4296" spans="1:38" x14ac:dyDescent="0.3">
      <c r="A4296" s="5"/>
      <c r="B4296" s="4"/>
      <c r="C4296" s="4"/>
      <c r="D4296" s="82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17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</row>
    <row r="4297" spans="1:38" x14ac:dyDescent="0.3">
      <c r="A4297" s="5"/>
      <c r="B4297" s="4"/>
      <c r="C4297" s="4"/>
      <c r="D4297" s="82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17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</row>
    <row r="4298" spans="1:38" x14ac:dyDescent="0.3">
      <c r="A4298" s="5"/>
      <c r="B4298" s="4"/>
      <c r="C4298" s="4"/>
      <c r="D4298" s="82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17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</row>
    <row r="4299" spans="1:38" x14ac:dyDescent="0.3">
      <c r="A4299" s="5"/>
      <c r="B4299" s="4"/>
      <c r="C4299" s="4"/>
      <c r="D4299" s="82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17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</row>
    <row r="4300" spans="1:38" x14ac:dyDescent="0.3">
      <c r="A4300" s="5"/>
      <c r="B4300" s="4"/>
      <c r="C4300" s="4"/>
      <c r="D4300" s="82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17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</row>
    <row r="4301" spans="1:38" x14ac:dyDescent="0.3">
      <c r="A4301" s="5"/>
      <c r="B4301" s="4"/>
      <c r="C4301" s="4"/>
      <c r="D4301" s="82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17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</row>
    <row r="4302" spans="1:38" x14ac:dyDescent="0.3">
      <c r="A4302" s="5"/>
      <c r="B4302" s="4"/>
      <c r="C4302" s="4"/>
      <c r="D4302" s="82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17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</row>
    <row r="4303" spans="1:38" x14ac:dyDescent="0.3">
      <c r="A4303" s="5"/>
      <c r="B4303" s="4"/>
      <c r="C4303" s="4"/>
      <c r="D4303" s="82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17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</row>
    <row r="4304" spans="1:38" x14ac:dyDescent="0.3">
      <c r="A4304" s="5"/>
      <c r="B4304" s="4"/>
      <c r="C4304" s="4"/>
      <c r="D4304" s="82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17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</row>
    <row r="4305" spans="1:38" x14ac:dyDescent="0.3">
      <c r="A4305" s="5"/>
      <c r="B4305" s="4"/>
      <c r="C4305" s="4"/>
      <c r="D4305" s="82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17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</row>
    <row r="4306" spans="1:38" x14ac:dyDescent="0.3">
      <c r="A4306" s="5"/>
      <c r="B4306" s="4"/>
      <c r="C4306" s="4"/>
      <c r="D4306" s="82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17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</row>
    <row r="4307" spans="1:38" x14ac:dyDescent="0.3">
      <c r="A4307" s="5"/>
      <c r="B4307" s="4"/>
      <c r="C4307" s="4"/>
      <c r="D4307" s="82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17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</row>
    <row r="4308" spans="1:38" x14ac:dyDescent="0.3">
      <c r="A4308" s="5"/>
      <c r="B4308" s="4"/>
      <c r="C4308" s="4"/>
      <c r="D4308" s="82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17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</row>
    <row r="4309" spans="1:38" x14ac:dyDescent="0.3">
      <c r="A4309" s="5"/>
      <c r="B4309" s="4"/>
      <c r="C4309" s="4"/>
      <c r="D4309" s="82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17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</row>
    <row r="4310" spans="1:38" x14ac:dyDescent="0.3">
      <c r="A4310" s="5"/>
      <c r="B4310" s="4"/>
      <c r="C4310" s="4"/>
      <c r="D4310" s="82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17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</row>
    <row r="4311" spans="1:38" x14ac:dyDescent="0.3">
      <c r="A4311" s="5"/>
      <c r="B4311" s="4"/>
      <c r="C4311" s="4"/>
      <c r="D4311" s="82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17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</row>
    <row r="4312" spans="1:38" x14ac:dyDescent="0.3">
      <c r="A4312" s="5"/>
      <c r="B4312" s="4"/>
      <c r="C4312" s="4"/>
      <c r="D4312" s="82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17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</row>
    <row r="4313" spans="1:38" x14ac:dyDescent="0.3">
      <c r="A4313" s="5"/>
      <c r="B4313" s="4"/>
      <c r="C4313" s="4"/>
      <c r="D4313" s="82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17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</row>
    <row r="4314" spans="1:38" x14ac:dyDescent="0.3">
      <c r="A4314" s="5"/>
      <c r="B4314" s="4"/>
      <c r="C4314" s="4"/>
      <c r="D4314" s="82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17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</row>
    <row r="4315" spans="1:38" x14ac:dyDescent="0.3">
      <c r="A4315" s="5"/>
      <c r="B4315" s="4"/>
      <c r="C4315" s="4"/>
      <c r="D4315" s="82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17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</row>
    <row r="4316" spans="1:38" x14ac:dyDescent="0.3">
      <c r="A4316" s="5"/>
      <c r="B4316" s="4"/>
      <c r="C4316" s="4"/>
      <c r="D4316" s="82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17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</row>
    <row r="4317" spans="1:38" x14ac:dyDescent="0.3">
      <c r="A4317" s="5"/>
      <c r="B4317" s="4"/>
      <c r="C4317" s="4"/>
      <c r="D4317" s="82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17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</row>
    <row r="4318" spans="1:38" x14ac:dyDescent="0.3">
      <c r="A4318" s="5"/>
      <c r="B4318" s="4"/>
      <c r="C4318" s="4"/>
      <c r="D4318" s="82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17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</row>
    <row r="4319" spans="1:38" x14ac:dyDescent="0.3">
      <c r="A4319" s="5"/>
      <c r="B4319" s="4"/>
      <c r="C4319" s="4"/>
      <c r="D4319" s="82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17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</row>
    <row r="4320" spans="1:38" x14ac:dyDescent="0.3">
      <c r="A4320" s="5"/>
      <c r="B4320" s="4"/>
      <c r="C4320" s="4"/>
      <c r="D4320" s="82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17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</row>
    <row r="4321" spans="1:38" x14ac:dyDescent="0.3">
      <c r="A4321" s="5"/>
      <c r="B4321" s="4"/>
      <c r="C4321" s="4"/>
      <c r="D4321" s="82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17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</row>
    <row r="4322" spans="1:38" x14ac:dyDescent="0.3">
      <c r="A4322" s="5"/>
      <c r="B4322" s="4"/>
      <c r="C4322" s="4"/>
      <c r="D4322" s="82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17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</row>
    <row r="4323" spans="1:38" x14ac:dyDescent="0.3">
      <c r="A4323" s="5"/>
      <c r="B4323" s="4"/>
      <c r="C4323" s="4"/>
      <c r="D4323" s="82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17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</row>
    <row r="4324" spans="1:38" x14ac:dyDescent="0.3">
      <c r="A4324" s="5"/>
      <c r="B4324" s="4"/>
      <c r="C4324" s="4"/>
      <c r="D4324" s="82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17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</row>
    <row r="4325" spans="1:38" x14ac:dyDescent="0.3">
      <c r="A4325" s="5"/>
      <c r="B4325" s="4"/>
      <c r="C4325" s="4"/>
      <c r="D4325" s="82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17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</row>
    <row r="4326" spans="1:38" x14ac:dyDescent="0.3">
      <c r="A4326" s="5"/>
      <c r="B4326" s="4"/>
      <c r="C4326" s="4"/>
      <c r="D4326" s="82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17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</row>
    <row r="4327" spans="1:38" x14ac:dyDescent="0.3">
      <c r="A4327" s="5"/>
      <c r="B4327" s="4"/>
      <c r="C4327" s="4"/>
      <c r="D4327" s="82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17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</row>
    <row r="4328" spans="1:38" x14ac:dyDescent="0.3">
      <c r="A4328" s="5"/>
      <c r="B4328" s="4"/>
      <c r="C4328" s="4"/>
      <c r="D4328" s="82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17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</row>
    <row r="4329" spans="1:38" x14ac:dyDescent="0.3">
      <c r="A4329" s="5"/>
      <c r="B4329" s="4"/>
      <c r="C4329" s="4"/>
      <c r="D4329" s="82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17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</row>
    <row r="4330" spans="1:38" x14ac:dyDescent="0.3">
      <c r="A4330" s="5"/>
      <c r="B4330" s="4"/>
      <c r="C4330" s="4"/>
      <c r="D4330" s="82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17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</row>
    <row r="4331" spans="1:38" x14ac:dyDescent="0.3">
      <c r="A4331" s="5"/>
      <c r="B4331" s="4"/>
      <c r="C4331" s="4"/>
      <c r="D4331" s="82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17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</row>
    <row r="4332" spans="1:38" x14ac:dyDescent="0.3">
      <c r="A4332" s="5"/>
      <c r="B4332" s="4"/>
      <c r="C4332" s="4"/>
      <c r="D4332" s="82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17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</row>
    <row r="4333" spans="1:38" x14ac:dyDescent="0.3">
      <c r="A4333" s="5"/>
      <c r="B4333" s="4"/>
      <c r="C4333" s="4"/>
      <c r="D4333" s="82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17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</row>
    <row r="4334" spans="1:38" x14ac:dyDescent="0.3">
      <c r="A4334" s="5"/>
      <c r="B4334" s="4"/>
      <c r="C4334" s="4"/>
      <c r="D4334" s="82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17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</row>
    <row r="4335" spans="1:38" x14ac:dyDescent="0.3">
      <c r="A4335" s="5"/>
      <c r="B4335" s="4"/>
      <c r="C4335" s="4"/>
      <c r="D4335" s="82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17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</row>
    <row r="4336" spans="1:38" x14ac:dyDescent="0.3">
      <c r="A4336" s="5"/>
      <c r="B4336" s="4"/>
      <c r="C4336" s="4"/>
      <c r="D4336" s="82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17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</row>
    <row r="4337" spans="1:38" x14ac:dyDescent="0.3">
      <c r="A4337" s="5"/>
      <c r="B4337" s="4"/>
      <c r="C4337" s="4"/>
      <c r="D4337" s="82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17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</row>
    <row r="4338" spans="1:38" x14ac:dyDescent="0.3">
      <c r="A4338" s="5"/>
      <c r="B4338" s="4"/>
      <c r="C4338" s="4"/>
      <c r="D4338" s="82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17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</row>
    <row r="4339" spans="1:38" x14ac:dyDescent="0.3">
      <c r="A4339" s="5"/>
      <c r="B4339" s="4"/>
      <c r="C4339" s="4"/>
      <c r="D4339" s="82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17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</row>
    <row r="4340" spans="1:38" x14ac:dyDescent="0.3">
      <c r="A4340" s="5"/>
      <c r="B4340" s="4"/>
      <c r="C4340" s="4"/>
      <c r="D4340" s="82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17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</row>
    <row r="4341" spans="1:38" x14ac:dyDescent="0.3">
      <c r="A4341" s="5"/>
      <c r="B4341" s="4"/>
      <c r="C4341" s="4"/>
      <c r="D4341" s="82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17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</row>
    <row r="4342" spans="1:38" x14ac:dyDescent="0.3">
      <c r="A4342" s="5"/>
      <c r="B4342" s="4"/>
      <c r="C4342" s="4"/>
      <c r="D4342" s="82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17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</row>
    <row r="4343" spans="1:38" x14ac:dyDescent="0.3">
      <c r="A4343" s="5"/>
      <c r="B4343" s="4"/>
      <c r="C4343" s="4"/>
      <c r="D4343" s="82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17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</row>
    <row r="4344" spans="1:38" x14ac:dyDescent="0.3">
      <c r="A4344" s="5"/>
      <c r="B4344" s="4"/>
      <c r="C4344" s="4"/>
      <c r="D4344" s="82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17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</row>
    <row r="4345" spans="1:38" x14ac:dyDescent="0.3">
      <c r="A4345" s="5"/>
      <c r="B4345" s="4"/>
      <c r="C4345" s="4"/>
      <c r="D4345" s="82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17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</row>
    <row r="4346" spans="1:38" x14ac:dyDescent="0.3">
      <c r="A4346" s="5"/>
      <c r="B4346" s="4"/>
      <c r="C4346" s="4"/>
      <c r="D4346" s="82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17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</row>
    <row r="4347" spans="1:38" x14ac:dyDescent="0.3">
      <c r="A4347" s="5"/>
      <c r="B4347" s="4"/>
      <c r="C4347" s="4"/>
      <c r="D4347" s="82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17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</row>
    <row r="4348" spans="1:38" x14ac:dyDescent="0.3">
      <c r="A4348" s="5"/>
      <c r="B4348" s="4"/>
      <c r="C4348" s="4"/>
      <c r="D4348" s="82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17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</row>
    <row r="4349" spans="1:38" x14ac:dyDescent="0.3">
      <c r="A4349" s="5"/>
      <c r="B4349" s="4"/>
      <c r="C4349" s="4"/>
      <c r="D4349" s="82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17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</row>
    <row r="4350" spans="1:38" x14ac:dyDescent="0.3">
      <c r="A4350" s="5"/>
      <c r="B4350" s="4"/>
      <c r="C4350" s="4"/>
      <c r="D4350" s="82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17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</row>
    <row r="4351" spans="1:38" x14ac:dyDescent="0.3">
      <c r="A4351" s="5"/>
      <c r="B4351" s="4"/>
      <c r="C4351" s="4"/>
      <c r="D4351" s="82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17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</row>
    <row r="4352" spans="1:38" x14ac:dyDescent="0.3">
      <c r="A4352" s="5"/>
      <c r="B4352" s="4"/>
      <c r="C4352" s="4"/>
      <c r="D4352" s="82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17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</row>
    <row r="4353" spans="1:38" x14ac:dyDescent="0.3">
      <c r="A4353" s="5"/>
      <c r="B4353" s="4"/>
      <c r="C4353" s="4"/>
      <c r="D4353" s="82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17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</row>
    <row r="4354" spans="1:38" x14ac:dyDescent="0.3">
      <c r="A4354" s="5"/>
      <c r="B4354" s="4"/>
      <c r="C4354" s="4"/>
      <c r="D4354" s="82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17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</row>
    <row r="4355" spans="1:38" x14ac:dyDescent="0.3">
      <c r="A4355" s="5"/>
      <c r="B4355" s="4"/>
      <c r="C4355" s="4"/>
      <c r="D4355" s="82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17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</row>
    <row r="4356" spans="1:38" x14ac:dyDescent="0.3">
      <c r="A4356" s="5"/>
      <c r="B4356" s="4"/>
      <c r="C4356" s="4"/>
      <c r="D4356" s="82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17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</row>
    <row r="4357" spans="1:38" x14ac:dyDescent="0.3">
      <c r="A4357" s="5"/>
      <c r="B4357" s="4"/>
      <c r="C4357" s="4"/>
      <c r="D4357" s="82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17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</row>
    <row r="4358" spans="1:38" x14ac:dyDescent="0.3">
      <c r="A4358" s="5"/>
      <c r="B4358" s="4"/>
      <c r="C4358" s="4"/>
      <c r="D4358" s="82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17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</row>
    <row r="4359" spans="1:38" x14ac:dyDescent="0.3">
      <c r="A4359" s="5"/>
      <c r="B4359" s="4"/>
      <c r="C4359" s="4"/>
      <c r="D4359" s="82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17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</row>
    <row r="4360" spans="1:38" x14ac:dyDescent="0.3">
      <c r="A4360" s="5"/>
      <c r="B4360" s="4"/>
      <c r="C4360" s="4"/>
      <c r="D4360" s="82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17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</row>
    <row r="4361" spans="1:38" x14ac:dyDescent="0.3">
      <c r="A4361" s="5"/>
      <c r="B4361" s="4"/>
      <c r="C4361" s="4"/>
      <c r="D4361" s="82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17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</row>
    <row r="4362" spans="1:38" x14ac:dyDescent="0.3">
      <c r="A4362" s="5"/>
      <c r="B4362" s="4"/>
      <c r="C4362" s="4"/>
      <c r="D4362" s="82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17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</row>
    <row r="4363" spans="1:38" x14ac:dyDescent="0.3">
      <c r="A4363" s="5"/>
      <c r="B4363" s="4"/>
      <c r="C4363" s="4"/>
      <c r="D4363" s="82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17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</row>
    <row r="4364" spans="1:38" x14ac:dyDescent="0.3">
      <c r="A4364" s="5"/>
      <c r="B4364" s="4"/>
      <c r="C4364" s="4"/>
      <c r="D4364" s="82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17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</row>
    <row r="4365" spans="1:38" x14ac:dyDescent="0.3">
      <c r="A4365" s="5"/>
      <c r="B4365" s="4"/>
      <c r="C4365" s="4"/>
      <c r="D4365" s="82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17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</row>
    <row r="4366" spans="1:38" x14ac:dyDescent="0.3">
      <c r="A4366" s="5"/>
      <c r="B4366" s="4"/>
      <c r="C4366" s="4"/>
      <c r="D4366" s="82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17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</row>
    <row r="4367" spans="1:38" x14ac:dyDescent="0.3">
      <c r="A4367" s="5"/>
      <c r="B4367" s="4"/>
      <c r="C4367" s="4"/>
      <c r="D4367" s="82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17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</row>
    <row r="4368" spans="1:38" x14ac:dyDescent="0.3">
      <c r="A4368" s="5"/>
      <c r="B4368" s="4"/>
      <c r="C4368" s="4"/>
      <c r="D4368" s="82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17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</row>
    <row r="4369" spans="1:38" x14ac:dyDescent="0.3">
      <c r="A4369" s="5"/>
      <c r="B4369" s="4"/>
      <c r="C4369" s="4"/>
      <c r="D4369" s="82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17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</row>
    <row r="4370" spans="1:38" x14ac:dyDescent="0.3">
      <c r="A4370" s="5"/>
      <c r="B4370" s="4"/>
      <c r="C4370" s="4"/>
      <c r="D4370" s="82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17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</row>
    <row r="4371" spans="1:38" x14ac:dyDescent="0.3">
      <c r="A4371" s="5"/>
      <c r="B4371" s="4"/>
      <c r="C4371" s="4"/>
      <c r="D4371" s="82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17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</row>
    <row r="4372" spans="1:38" x14ac:dyDescent="0.3">
      <c r="A4372" s="5"/>
      <c r="B4372" s="4"/>
      <c r="C4372" s="4"/>
      <c r="D4372" s="82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17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</row>
    <row r="4373" spans="1:38" x14ac:dyDescent="0.3">
      <c r="A4373" s="5"/>
      <c r="B4373" s="4"/>
      <c r="C4373" s="4"/>
      <c r="D4373" s="82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17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</row>
    <row r="4374" spans="1:38" x14ac:dyDescent="0.3">
      <c r="A4374" s="5"/>
      <c r="B4374" s="4"/>
      <c r="C4374" s="4"/>
      <c r="D4374" s="82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17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</row>
    <row r="4375" spans="1:38" x14ac:dyDescent="0.3">
      <c r="A4375" s="5"/>
      <c r="B4375" s="4"/>
      <c r="C4375" s="4"/>
      <c r="D4375" s="82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17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</row>
    <row r="4376" spans="1:38" x14ac:dyDescent="0.3">
      <c r="A4376" s="5"/>
      <c r="B4376" s="4"/>
      <c r="C4376" s="4"/>
      <c r="D4376" s="82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17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</row>
    <row r="4377" spans="1:38" x14ac:dyDescent="0.3">
      <c r="A4377" s="5"/>
      <c r="B4377" s="4"/>
      <c r="C4377" s="4"/>
      <c r="D4377" s="82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17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</row>
    <row r="4378" spans="1:38" x14ac:dyDescent="0.3">
      <c r="A4378" s="5"/>
      <c r="B4378" s="4"/>
      <c r="C4378" s="4"/>
      <c r="D4378" s="82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17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</row>
    <row r="4379" spans="1:38" x14ac:dyDescent="0.3">
      <c r="A4379" s="5"/>
      <c r="B4379" s="4"/>
      <c r="C4379" s="4"/>
      <c r="D4379" s="82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17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</row>
    <row r="4380" spans="1:38" x14ac:dyDescent="0.3">
      <c r="A4380" s="5"/>
      <c r="B4380" s="4"/>
      <c r="C4380" s="4"/>
      <c r="D4380" s="82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17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</row>
    <row r="4381" spans="1:38" x14ac:dyDescent="0.3">
      <c r="A4381" s="5"/>
      <c r="B4381" s="4"/>
      <c r="C4381" s="4"/>
      <c r="D4381" s="82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17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</row>
    <row r="4382" spans="1:38" x14ac:dyDescent="0.3">
      <c r="A4382" s="5"/>
      <c r="B4382" s="4"/>
      <c r="C4382" s="4"/>
      <c r="D4382" s="82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17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</row>
    <row r="4383" spans="1:38" x14ac:dyDescent="0.3">
      <c r="A4383" s="5"/>
      <c r="B4383" s="4"/>
      <c r="C4383" s="4"/>
      <c r="D4383" s="82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17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</row>
    <row r="4384" spans="1:38" x14ac:dyDescent="0.3">
      <c r="A4384" s="5"/>
      <c r="B4384" s="4"/>
      <c r="C4384" s="4"/>
      <c r="D4384" s="82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17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</row>
    <row r="4385" spans="1:38" x14ac:dyDescent="0.3">
      <c r="A4385" s="5"/>
      <c r="B4385" s="4"/>
      <c r="C4385" s="4"/>
      <c r="D4385" s="82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17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</row>
    <row r="4386" spans="1:38" x14ac:dyDescent="0.3">
      <c r="A4386" s="5"/>
      <c r="B4386" s="4"/>
      <c r="C4386" s="4"/>
      <c r="D4386" s="82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17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</row>
    <row r="4387" spans="1:38" x14ac:dyDescent="0.3">
      <c r="A4387" s="5"/>
      <c r="B4387" s="4"/>
      <c r="C4387" s="4"/>
      <c r="D4387" s="82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17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</row>
    <row r="4388" spans="1:38" x14ac:dyDescent="0.3">
      <c r="A4388" s="5"/>
      <c r="B4388" s="4"/>
      <c r="C4388" s="4"/>
      <c r="D4388" s="82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17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</row>
    <row r="4389" spans="1:38" x14ac:dyDescent="0.3">
      <c r="A4389" s="5"/>
      <c r="B4389" s="4"/>
      <c r="C4389" s="4"/>
      <c r="D4389" s="82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17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</row>
    <row r="4390" spans="1:38" x14ac:dyDescent="0.3">
      <c r="A4390" s="5"/>
      <c r="B4390" s="4"/>
      <c r="C4390" s="4"/>
      <c r="D4390" s="82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17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</row>
    <row r="4391" spans="1:38" x14ac:dyDescent="0.3">
      <c r="A4391" s="5"/>
      <c r="B4391" s="4"/>
      <c r="C4391" s="4"/>
      <c r="D4391" s="82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17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</row>
    <row r="4392" spans="1:38" x14ac:dyDescent="0.3">
      <c r="A4392" s="5"/>
      <c r="B4392" s="4"/>
      <c r="C4392" s="4"/>
      <c r="D4392" s="82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17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</row>
    <row r="4393" spans="1:38" x14ac:dyDescent="0.3">
      <c r="A4393" s="5"/>
      <c r="B4393" s="4"/>
      <c r="C4393" s="4"/>
      <c r="D4393" s="82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17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</row>
    <row r="4394" spans="1:38" x14ac:dyDescent="0.3">
      <c r="A4394" s="5"/>
      <c r="B4394" s="4"/>
      <c r="C4394" s="4"/>
      <c r="D4394" s="82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17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</row>
    <row r="4395" spans="1:38" x14ac:dyDescent="0.3">
      <c r="A4395" s="5"/>
      <c r="B4395" s="4"/>
      <c r="C4395" s="4"/>
      <c r="D4395" s="82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17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</row>
    <row r="4396" spans="1:38" x14ac:dyDescent="0.3">
      <c r="A4396" s="5"/>
      <c r="B4396" s="4"/>
      <c r="C4396" s="4"/>
      <c r="D4396" s="82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17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</row>
    <row r="4397" spans="1:38" x14ac:dyDescent="0.3">
      <c r="A4397" s="5"/>
      <c r="B4397" s="4"/>
      <c r="C4397" s="4"/>
      <c r="D4397" s="82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17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</row>
    <row r="4398" spans="1:38" x14ac:dyDescent="0.3">
      <c r="A4398" s="5"/>
      <c r="B4398" s="4"/>
      <c r="C4398" s="4"/>
      <c r="D4398" s="82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17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</row>
    <row r="4399" spans="1:38" x14ac:dyDescent="0.3">
      <c r="A4399" s="5"/>
      <c r="B4399" s="4"/>
      <c r="C4399" s="4"/>
      <c r="D4399" s="82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17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</row>
    <row r="4400" spans="1:38" x14ac:dyDescent="0.3">
      <c r="A4400" s="5"/>
      <c r="B4400" s="4"/>
      <c r="C4400" s="4"/>
      <c r="D4400" s="82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17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</row>
    <row r="4401" spans="1:38" x14ac:dyDescent="0.3">
      <c r="A4401" s="5"/>
      <c r="B4401" s="4"/>
      <c r="C4401" s="4"/>
      <c r="D4401" s="82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17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</row>
    <row r="4402" spans="1:38" x14ac:dyDescent="0.3">
      <c r="A4402" s="5"/>
      <c r="B4402" s="4"/>
      <c r="C4402" s="4"/>
      <c r="D4402" s="82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17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</row>
    <row r="4403" spans="1:38" x14ac:dyDescent="0.3">
      <c r="A4403" s="5"/>
      <c r="B4403" s="4"/>
      <c r="C4403" s="4"/>
      <c r="D4403" s="82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17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</row>
    <row r="4404" spans="1:38" x14ac:dyDescent="0.3">
      <c r="A4404" s="5"/>
      <c r="B4404" s="4"/>
      <c r="C4404" s="4"/>
      <c r="D4404" s="82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17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</row>
    <row r="4405" spans="1:38" x14ac:dyDescent="0.3">
      <c r="A4405" s="5"/>
      <c r="B4405" s="4"/>
      <c r="C4405" s="4"/>
      <c r="D4405" s="82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17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</row>
    <row r="4406" spans="1:38" x14ac:dyDescent="0.3">
      <c r="A4406" s="5"/>
      <c r="B4406" s="4"/>
      <c r="C4406" s="4"/>
      <c r="D4406" s="82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17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</row>
    <row r="4407" spans="1:38" x14ac:dyDescent="0.3">
      <c r="A4407" s="5"/>
      <c r="B4407" s="4"/>
      <c r="C4407" s="4"/>
      <c r="D4407" s="82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17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</row>
    <row r="4408" spans="1:38" x14ac:dyDescent="0.3">
      <c r="A4408" s="5"/>
      <c r="B4408" s="4"/>
      <c r="C4408" s="4"/>
      <c r="D4408" s="82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17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</row>
    <row r="4409" spans="1:38" x14ac:dyDescent="0.3">
      <c r="A4409" s="5"/>
      <c r="B4409" s="4"/>
      <c r="C4409" s="4"/>
      <c r="D4409" s="82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17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</row>
    <row r="4410" spans="1:38" x14ac:dyDescent="0.3">
      <c r="A4410" s="5"/>
      <c r="B4410" s="4"/>
      <c r="C4410" s="4"/>
      <c r="D4410" s="82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17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</row>
    <row r="4411" spans="1:38" x14ac:dyDescent="0.3">
      <c r="A4411" s="5"/>
      <c r="B4411" s="4"/>
      <c r="C4411" s="4"/>
      <c r="D4411" s="82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17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</row>
    <row r="4412" spans="1:38" x14ac:dyDescent="0.3">
      <c r="A4412" s="5"/>
      <c r="B4412" s="4"/>
      <c r="C4412" s="4"/>
      <c r="D4412" s="82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17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</row>
    <row r="4413" spans="1:38" x14ac:dyDescent="0.3">
      <c r="A4413" s="5"/>
      <c r="B4413" s="4"/>
      <c r="C4413" s="4"/>
      <c r="D4413" s="82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17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</row>
    <row r="4414" spans="1:38" x14ac:dyDescent="0.3">
      <c r="A4414" s="5"/>
      <c r="B4414" s="4"/>
      <c r="C4414" s="4"/>
      <c r="D4414" s="82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17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</row>
    <row r="4415" spans="1:38" x14ac:dyDescent="0.3">
      <c r="A4415" s="5"/>
      <c r="B4415" s="4"/>
      <c r="C4415" s="4"/>
      <c r="D4415" s="82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17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</row>
    <row r="4416" spans="1:38" x14ac:dyDescent="0.3">
      <c r="A4416" s="5"/>
      <c r="B4416" s="4"/>
      <c r="C4416" s="4"/>
      <c r="D4416" s="82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17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</row>
    <row r="4417" spans="1:38" x14ac:dyDescent="0.3">
      <c r="A4417" s="5"/>
      <c r="B4417" s="4"/>
      <c r="C4417" s="4"/>
      <c r="D4417" s="82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17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</row>
    <row r="4418" spans="1:38" x14ac:dyDescent="0.3">
      <c r="A4418" s="5"/>
      <c r="B4418" s="4"/>
      <c r="C4418" s="4"/>
      <c r="D4418" s="82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17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</row>
    <row r="4419" spans="1:38" x14ac:dyDescent="0.3">
      <c r="A4419" s="5"/>
      <c r="B4419" s="4"/>
      <c r="C4419" s="4"/>
      <c r="D4419" s="82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17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</row>
    <row r="4420" spans="1:38" x14ac:dyDescent="0.3">
      <c r="A4420" s="5"/>
      <c r="B4420" s="4"/>
      <c r="C4420" s="4"/>
      <c r="D4420" s="82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17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</row>
    <row r="4421" spans="1:38" x14ac:dyDescent="0.3">
      <c r="A4421" s="5"/>
      <c r="B4421" s="4"/>
      <c r="C4421" s="4"/>
      <c r="D4421" s="82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17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</row>
    <row r="4422" spans="1:38" x14ac:dyDescent="0.3">
      <c r="A4422" s="5"/>
      <c r="B4422" s="4"/>
      <c r="C4422" s="4"/>
      <c r="D4422" s="82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17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</row>
    <row r="4423" spans="1:38" x14ac:dyDescent="0.3">
      <c r="A4423" s="5"/>
      <c r="B4423" s="4"/>
      <c r="C4423" s="4"/>
      <c r="D4423" s="82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17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</row>
    <row r="4424" spans="1:38" x14ac:dyDescent="0.3">
      <c r="A4424" s="5"/>
      <c r="B4424" s="4"/>
      <c r="C4424" s="4"/>
      <c r="D4424" s="82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17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</row>
    <row r="4425" spans="1:38" x14ac:dyDescent="0.3">
      <c r="A4425" s="5"/>
      <c r="B4425" s="4"/>
      <c r="C4425" s="4"/>
      <c r="D4425" s="82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17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</row>
    <row r="4426" spans="1:38" x14ac:dyDescent="0.3">
      <c r="A4426" s="5"/>
      <c r="B4426" s="4"/>
      <c r="C4426" s="4"/>
      <c r="D4426" s="82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17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</row>
    <row r="4427" spans="1:38" x14ac:dyDescent="0.3">
      <c r="A4427" s="5"/>
      <c r="B4427" s="4"/>
      <c r="C4427" s="4"/>
      <c r="D4427" s="82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17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</row>
    <row r="4428" spans="1:38" x14ac:dyDescent="0.3">
      <c r="A4428" s="5"/>
      <c r="B4428" s="4"/>
      <c r="C4428" s="4"/>
      <c r="D4428" s="82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17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</row>
    <row r="4429" spans="1:38" x14ac:dyDescent="0.3">
      <c r="A4429" s="5"/>
      <c r="B4429" s="4"/>
      <c r="C4429" s="4"/>
      <c r="D4429" s="82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17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</row>
    <row r="4430" spans="1:38" x14ac:dyDescent="0.3">
      <c r="A4430" s="5"/>
      <c r="B4430" s="4"/>
      <c r="C4430" s="4"/>
      <c r="D4430" s="82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17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</row>
    <row r="4431" spans="1:38" x14ac:dyDescent="0.3">
      <c r="A4431" s="5"/>
      <c r="B4431" s="4"/>
      <c r="C4431" s="4"/>
      <c r="D4431" s="82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17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</row>
    <row r="4432" spans="1:38" x14ac:dyDescent="0.3">
      <c r="A4432" s="5"/>
      <c r="B4432" s="4"/>
      <c r="C4432" s="4"/>
      <c r="D4432" s="82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17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</row>
    <row r="4433" spans="1:38" x14ac:dyDescent="0.3">
      <c r="A4433" s="5"/>
      <c r="B4433" s="4"/>
      <c r="C4433" s="4"/>
      <c r="D4433" s="82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17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</row>
    <row r="4434" spans="1:38" x14ac:dyDescent="0.3">
      <c r="A4434" s="5"/>
      <c r="B4434" s="4"/>
      <c r="C4434" s="4"/>
      <c r="D4434" s="82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17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</row>
    <row r="4435" spans="1:38" x14ac:dyDescent="0.3">
      <c r="A4435" s="5"/>
      <c r="B4435" s="4"/>
      <c r="C4435" s="4"/>
      <c r="D4435" s="82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17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</row>
    <row r="4436" spans="1:38" x14ac:dyDescent="0.3">
      <c r="A4436" s="5"/>
      <c r="B4436" s="4"/>
      <c r="C4436" s="4"/>
      <c r="D4436" s="82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17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</row>
    <row r="4437" spans="1:38" x14ac:dyDescent="0.3">
      <c r="A4437" s="5"/>
      <c r="B4437" s="4"/>
      <c r="C4437" s="4"/>
      <c r="D4437" s="82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17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</row>
    <row r="4438" spans="1:38" x14ac:dyDescent="0.3">
      <c r="A4438" s="5"/>
      <c r="B4438" s="4"/>
      <c r="C4438" s="4"/>
      <c r="D4438" s="82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17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</row>
    <row r="4439" spans="1:38" x14ac:dyDescent="0.3">
      <c r="A4439" s="5"/>
      <c r="B4439" s="4"/>
      <c r="C4439" s="4"/>
      <c r="D4439" s="82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17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</row>
    <row r="4440" spans="1:38" x14ac:dyDescent="0.3">
      <c r="A4440" s="5"/>
      <c r="B4440" s="4"/>
      <c r="C4440" s="4"/>
      <c r="D4440" s="82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17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</row>
    <row r="4441" spans="1:38" x14ac:dyDescent="0.3">
      <c r="A4441" s="5"/>
      <c r="B4441" s="4"/>
      <c r="C4441" s="4"/>
      <c r="D4441" s="82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17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</row>
    <row r="4442" spans="1:38" x14ac:dyDescent="0.3">
      <c r="A4442" s="5"/>
      <c r="B4442" s="4"/>
      <c r="C4442" s="4"/>
      <c r="D4442" s="82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17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</row>
    <row r="4443" spans="1:38" x14ac:dyDescent="0.3">
      <c r="A4443" s="5"/>
      <c r="B4443" s="4"/>
      <c r="C4443" s="4"/>
      <c r="D4443" s="82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17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</row>
    <row r="4444" spans="1:38" x14ac:dyDescent="0.3">
      <c r="A4444" s="5"/>
      <c r="B4444" s="4"/>
      <c r="C4444" s="4"/>
      <c r="D4444" s="82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17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</row>
    <row r="4445" spans="1:38" x14ac:dyDescent="0.3">
      <c r="A4445" s="5"/>
      <c r="B4445" s="4"/>
      <c r="C4445" s="4"/>
      <c r="D4445" s="82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17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</row>
    <row r="4446" spans="1:38" x14ac:dyDescent="0.3">
      <c r="A4446" s="5"/>
      <c r="B4446" s="4"/>
      <c r="C4446" s="4"/>
      <c r="D4446" s="82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17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</row>
    <row r="4447" spans="1:38" x14ac:dyDescent="0.3">
      <c r="A4447" s="5"/>
      <c r="B4447" s="4"/>
      <c r="C4447" s="4"/>
      <c r="D4447" s="82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17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</row>
    <row r="4448" spans="1:38" x14ac:dyDescent="0.3">
      <c r="A4448" s="5"/>
      <c r="B4448" s="4"/>
      <c r="C4448" s="4"/>
      <c r="D4448" s="82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17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</row>
    <row r="4449" spans="1:38" x14ac:dyDescent="0.3">
      <c r="A4449" s="5"/>
      <c r="B4449" s="4"/>
      <c r="C4449" s="4"/>
      <c r="D4449" s="82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17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</row>
    <row r="4450" spans="1:38" x14ac:dyDescent="0.3">
      <c r="A4450" s="5"/>
      <c r="B4450" s="4"/>
      <c r="C4450" s="4"/>
      <c r="D4450" s="82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17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</row>
    <row r="4451" spans="1:38" x14ac:dyDescent="0.3">
      <c r="A4451" s="5"/>
      <c r="B4451" s="4"/>
      <c r="C4451" s="4"/>
      <c r="D4451" s="82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17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</row>
    <row r="4452" spans="1:38" x14ac:dyDescent="0.3">
      <c r="A4452" s="5"/>
      <c r="B4452" s="4"/>
      <c r="C4452" s="4"/>
      <c r="D4452" s="82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17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</row>
    <row r="4453" spans="1:38" x14ac:dyDescent="0.3">
      <c r="A4453" s="5"/>
      <c r="B4453" s="4"/>
      <c r="C4453" s="4"/>
      <c r="D4453" s="82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17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</row>
    <row r="4454" spans="1:38" x14ac:dyDescent="0.3">
      <c r="A4454" s="5"/>
      <c r="B4454" s="4"/>
      <c r="C4454" s="4"/>
      <c r="D4454" s="82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17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</row>
    <row r="4455" spans="1:38" x14ac:dyDescent="0.3">
      <c r="A4455" s="5"/>
      <c r="B4455" s="4"/>
      <c r="C4455" s="4"/>
      <c r="D4455" s="82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17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</row>
    <row r="4456" spans="1:38" x14ac:dyDescent="0.3">
      <c r="A4456" s="5"/>
      <c r="B4456" s="4"/>
      <c r="C4456" s="4"/>
      <c r="D4456" s="82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17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</row>
    <row r="4457" spans="1:38" x14ac:dyDescent="0.3">
      <c r="A4457" s="5"/>
      <c r="B4457" s="4"/>
      <c r="C4457" s="4"/>
      <c r="D4457" s="82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17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</row>
    <row r="4458" spans="1:38" x14ac:dyDescent="0.3">
      <c r="A4458" s="5"/>
      <c r="B4458" s="4"/>
      <c r="C4458" s="4"/>
      <c r="D4458" s="82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17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</row>
    <row r="4459" spans="1:38" x14ac:dyDescent="0.3">
      <c r="A4459" s="5"/>
      <c r="B4459" s="4"/>
      <c r="C4459" s="4"/>
      <c r="D4459" s="82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17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</row>
    <row r="4460" spans="1:38" x14ac:dyDescent="0.3">
      <c r="A4460" s="5"/>
      <c r="B4460" s="4"/>
      <c r="C4460" s="4"/>
      <c r="D4460" s="82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17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</row>
    <row r="4461" spans="1:38" x14ac:dyDescent="0.3">
      <c r="A4461" s="5"/>
      <c r="B4461" s="4"/>
      <c r="C4461" s="4"/>
      <c r="D4461" s="82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17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</row>
    <row r="4462" spans="1:38" x14ac:dyDescent="0.3">
      <c r="A4462" s="5"/>
      <c r="B4462" s="4"/>
      <c r="C4462" s="4"/>
      <c r="D4462" s="82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17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</row>
    <row r="4463" spans="1:38" x14ac:dyDescent="0.3">
      <c r="A4463" s="5"/>
      <c r="B4463" s="4"/>
      <c r="C4463" s="4"/>
      <c r="D4463" s="82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17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</row>
    <row r="4464" spans="1:38" x14ac:dyDescent="0.3">
      <c r="A4464" s="5"/>
      <c r="B4464" s="4"/>
      <c r="C4464" s="4"/>
      <c r="D4464" s="82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17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</row>
    <row r="4465" spans="1:38" x14ac:dyDescent="0.3">
      <c r="A4465" s="5"/>
      <c r="B4465" s="4"/>
      <c r="C4465" s="4"/>
      <c r="D4465" s="82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17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</row>
    <row r="4466" spans="1:38" x14ac:dyDescent="0.3">
      <c r="A4466" s="5"/>
      <c r="B4466" s="4"/>
      <c r="C4466" s="4"/>
      <c r="D4466" s="82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17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</row>
    <row r="4467" spans="1:38" x14ac:dyDescent="0.3">
      <c r="A4467" s="5"/>
      <c r="B4467" s="4"/>
      <c r="C4467" s="4"/>
      <c r="D4467" s="82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17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</row>
    <row r="4468" spans="1:38" x14ac:dyDescent="0.3">
      <c r="A4468" s="5"/>
      <c r="B4468" s="4"/>
      <c r="C4468" s="4"/>
      <c r="D4468" s="82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17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</row>
    <row r="4469" spans="1:38" x14ac:dyDescent="0.3">
      <c r="A4469" s="5"/>
      <c r="B4469" s="4"/>
      <c r="C4469" s="4"/>
      <c r="D4469" s="82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17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</row>
    <row r="4470" spans="1:38" x14ac:dyDescent="0.3">
      <c r="A4470" s="5"/>
      <c r="B4470" s="4"/>
      <c r="C4470" s="4"/>
      <c r="D4470" s="82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17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</row>
    <row r="4471" spans="1:38" x14ac:dyDescent="0.3">
      <c r="A4471" s="5"/>
      <c r="B4471" s="4"/>
      <c r="C4471" s="4"/>
      <c r="D4471" s="82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17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</row>
    <row r="4472" spans="1:38" x14ac:dyDescent="0.3">
      <c r="A4472" s="5"/>
      <c r="B4472" s="4"/>
      <c r="C4472" s="4"/>
      <c r="D4472" s="82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17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</row>
    <row r="4473" spans="1:38" x14ac:dyDescent="0.3">
      <c r="A4473" s="5"/>
      <c r="B4473" s="4"/>
      <c r="C4473" s="4"/>
      <c r="D4473" s="82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17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</row>
    <row r="4474" spans="1:38" x14ac:dyDescent="0.3">
      <c r="A4474" s="5"/>
      <c r="B4474" s="4"/>
      <c r="C4474" s="4"/>
      <c r="D4474" s="82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17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</row>
    <row r="4475" spans="1:38" x14ac:dyDescent="0.3">
      <c r="A4475" s="5"/>
      <c r="B4475" s="4"/>
      <c r="C4475" s="4"/>
      <c r="D4475" s="82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17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</row>
    <row r="4476" spans="1:38" x14ac:dyDescent="0.3">
      <c r="A4476" s="5"/>
      <c r="B4476" s="4"/>
      <c r="C4476" s="4"/>
      <c r="D4476" s="82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17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</row>
    <row r="4477" spans="1:38" x14ac:dyDescent="0.3">
      <c r="A4477" s="5"/>
      <c r="B4477" s="4"/>
      <c r="C4477" s="4"/>
      <c r="D4477" s="82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17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</row>
    <row r="4478" spans="1:38" x14ac:dyDescent="0.3">
      <c r="A4478" s="5"/>
      <c r="B4478" s="4"/>
      <c r="C4478" s="4"/>
      <c r="D4478" s="82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17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</row>
    <row r="4479" spans="1:38" x14ac:dyDescent="0.3">
      <c r="A4479" s="5"/>
      <c r="B4479" s="4"/>
      <c r="C4479" s="4"/>
      <c r="D4479" s="82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17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</row>
    <row r="4480" spans="1:38" x14ac:dyDescent="0.3">
      <c r="A4480" s="5"/>
      <c r="B4480" s="4"/>
      <c r="C4480" s="4"/>
      <c r="D4480" s="82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17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</row>
    <row r="4481" spans="1:38" x14ac:dyDescent="0.3">
      <c r="A4481" s="5"/>
      <c r="B4481" s="4"/>
      <c r="C4481" s="4"/>
      <c r="D4481" s="82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17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</row>
    <row r="4482" spans="1:38" x14ac:dyDescent="0.3">
      <c r="A4482" s="5"/>
      <c r="B4482" s="4"/>
      <c r="C4482" s="4"/>
      <c r="D4482" s="82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17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</row>
    <row r="4483" spans="1:38" x14ac:dyDescent="0.3">
      <c r="A4483" s="5"/>
      <c r="B4483" s="4"/>
      <c r="C4483" s="4"/>
      <c r="D4483" s="82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17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</row>
    <row r="4484" spans="1:38" x14ac:dyDescent="0.3">
      <c r="A4484" s="5"/>
      <c r="B4484" s="4"/>
      <c r="C4484" s="4"/>
      <c r="D4484" s="82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17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</row>
    <row r="4485" spans="1:38" x14ac:dyDescent="0.3">
      <c r="A4485" s="5"/>
      <c r="B4485" s="4"/>
      <c r="C4485" s="4"/>
      <c r="D4485" s="82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17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</row>
    <row r="4486" spans="1:38" x14ac:dyDescent="0.3">
      <c r="A4486" s="5"/>
      <c r="B4486" s="4"/>
      <c r="C4486" s="4"/>
      <c r="D4486" s="82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17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</row>
    <row r="4487" spans="1:38" x14ac:dyDescent="0.3">
      <c r="A4487" s="5"/>
      <c r="B4487" s="4"/>
      <c r="C4487" s="4"/>
      <c r="D4487" s="82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17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</row>
    <row r="4488" spans="1:38" x14ac:dyDescent="0.3">
      <c r="A4488" s="5"/>
      <c r="B4488" s="4"/>
      <c r="C4488" s="4"/>
      <c r="D4488" s="82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17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</row>
    <row r="4489" spans="1:38" x14ac:dyDescent="0.3">
      <c r="A4489" s="5"/>
      <c r="B4489" s="4"/>
      <c r="C4489" s="4"/>
      <c r="D4489" s="82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17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</row>
    <row r="4490" spans="1:38" x14ac:dyDescent="0.3">
      <c r="A4490" s="5"/>
      <c r="B4490" s="4"/>
      <c r="C4490" s="4"/>
      <c r="D4490" s="82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17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</row>
    <row r="4491" spans="1:38" x14ac:dyDescent="0.3">
      <c r="A4491" s="5"/>
      <c r="B4491" s="4"/>
      <c r="C4491" s="4"/>
      <c r="D4491" s="82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17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</row>
    <row r="4492" spans="1:38" x14ac:dyDescent="0.3">
      <c r="A4492" s="5"/>
      <c r="B4492" s="4"/>
      <c r="C4492" s="4"/>
      <c r="D4492" s="82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17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</row>
    <row r="4493" spans="1:38" x14ac:dyDescent="0.3">
      <c r="A4493" s="5"/>
      <c r="B4493" s="4"/>
      <c r="C4493" s="4"/>
      <c r="D4493" s="82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17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</row>
    <row r="4494" spans="1:38" x14ac:dyDescent="0.3">
      <c r="A4494" s="5"/>
      <c r="B4494" s="4"/>
      <c r="C4494" s="4"/>
      <c r="D4494" s="82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17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</row>
    <row r="4495" spans="1:38" x14ac:dyDescent="0.3">
      <c r="A4495" s="5"/>
      <c r="B4495" s="4"/>
      <c r="C4495" s="4"/>
      <c r="D4495" s="82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17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</row>
    <row r="4496" spans="1:38" x14ac:dyDescent="0.3">
      <c r="A4496" s="5"/>
      <c r="B4496" s="4"/>
      <c r="C4496" s="4"/>
      <c r="D4496" s="82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17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</row>
    <row r="4497" spans="1:38" x14ac:dyDescent="0.3">
      <c r="A4497" s="5"/>
      <c r="B4497" s="4"/>
      <c r="C4497" s="4"/>
      <c r="D4497" s="82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17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</row>
    <row r="4498" spans="1:38" x14ac:dyDescent="0.3">
      <c r="A4498" s="5"/>
      <c r="B4498" s="4"/>
      <c r="C4498" s="4"/>
      <c r="D4498" s="82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17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</row>
    <row r="4499" spans="1:38" x14ac:dyDescent="0.3">
      <c r="A4499" s="5"/>
      <c r="B4499" s="4"/>
      <c r="C4499" s="4"/>
      <c r="D4499" s="82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17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</row>
    <row r="4500" spans="1:38" x14ac:dyDescent="0.3">
      <c r="A4500" s="5"/>
      <c r="B4500" s="4"/>
      <c r="C4500" s="4"/>
      <c r="D4500" s="82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17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</row>
    <row r="4501" spans="1:38" x14ac:dyDescent="0.3">
      <c r="A4501" s="5"/>
      <c r="B4501" s="4"/>
      <c r="C4501" s="4"/>
      <c r="D4501" s="82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17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</row>
    <row r="4502" spans="1:38" x14ac:dyDescent="0.3">
      <c r="A4502" s="5"/>
      <c r="B4502" s="4"/>
      <c r="C4502" s="4"/>
      <c r="D4502" s="82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17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</row>
    <row r="4503" spans="1:38" x14ac:dyDescent="0.3">
      <c r="A4503" s="5"/>
      <c r="B4503" s="4"/>
      <c r="C4503" s="4"/>
      <c r="D4503" s="82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17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</row>
    <row r="4504" spans="1:38" x14ac:dyDescent="0.3">
      <c r="A4504" s="5"/>
      <c r="B4504" s="4"/>
      <c r="C4504" s="4"/>
      <c r="D4504" s="82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17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</row>
    <row r="4505" spans="1:38" x14ac:dyDescent="0.3">
      <c r="A4505" s="5"/>
      <c r="B4505" s="4"/>
      <c r="C4505" s="4"/>
      <c r="D4505" s="82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17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</row>
    <row r="4506" spans="1:38" x14ac:dyDescent="0.3">
      <c r="A4506" s="5"/>
      <c r="B4506" s="4"/>
      <c r="C4506" s="4"/>
      <c r="D4506" s="82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17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</row>
    <row r="4507" spans="1:38" x14ac:dyDescent="0.3">
      <c r="A4507" s="5"/>
      <c r="B4507" s="4"/>
      <c r="C4507" s="4"/>
      <c r="D4507" s="82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17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</row>
    <row r="4508" spans="1:38" x14ac:dyDescent="0.3">
      <c r="A4508" s="5"/>
      <c r="B4508" s="4"/>
      <c r="C4508" s="4"/>
      <c r="D4508" s="82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17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</row>
    <row r="4509" spans="1:38" x14ac:dyDescent="0.3">
      <c r="A4509" s="5"/>
      <c r="B4509" s="4"/>
      <c r="C4509" s="4"/>
      <c r="D4509" s="82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17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</row>
    <row r="4510" spans="1:38" x14ac:dyDescent="0.3">
      <c r="A4510" s="5"/>
      <c r="B4510" s="4"/>
      <c r="C4510" s="4"/>
      <c r="D4510" s="82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17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</row>
    <row r="4511" spans="1:38" x14ac:dyDescent="0.3">
      <c r="A4511" s="5"/>
      <c r="B4511" s="4"/>
      <c r="C4511" s="4"/>
      <c r="D4511" s="82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17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</row>
    <row r="4512" spans="1:38" x14ac:dyDescent="0.3">
      <c r="A4512" s="5"/>
      <c r="B4512" s="4"/>
      <c r="C4512" s="4"/>
      <c r="D4512" s="82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17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</row>
    <row r="4513" spans="1:38" x14ac:dyDescent="0.3">
      <c r="A4513" s="5"/>
      <c r="B4513" s="4"/>
      <c r="C4513" s="4"/>
      <c r="D4513" s="82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17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</row>
    <row r="4514" spans="1:38" x14ac:dyDescent="0.3">
      <c r="A4514" s="5"/>
      <c r="B4514" s="4"/>
      <c r="C4514" s="4"/>
      <c r="D4514" s="82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17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</row>
    <row r="4515" spans="1:38" x14ac:dyDescent="0.3">
      <c r="A4515" s="5"/>
      <c r="B4515" s="4"/>
      <c r="C4515" s="4"/>
      <c r="D4515" s="82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17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</row>
    <row r="4516" spans="1:38" x14ac:dyDescent="0.3">
      <c r="A4516" s="5"/>
      <c r="B4516" s="4"/>
      <c r="C4516" s="4"/>
      <c r="D4516" s="82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17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</row>
    <row r="4517" spans="1:38" x14ac:dyDescent="0.3">
      <c r="A4517" s="5"/>
      <c r="B4517" s="4"/>
      <c r="C4517" s="4"/>
      <c r="D4517" s="82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17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</row>
    <row r="4518" spans="1:38" x14ac:dyDescent="0.3">
      <c r="A4518" s="5"/>
      <c r="B4518" s="4"/>
      <c r="C4518" s="4"/>
      <c r="D4518" s="82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17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</row>
    <row r="4519" spans="1:38" x14ac:dyDescent="0.3">
      <c r="A4519" s="5"/>
      <c r="B4519" s="4"/>
      <c r="C4519" s="4"/>
      <c r="D4519" s="82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17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</row>
    <row r="4520" spans="1:38" x14ac:dyDescent="0.3">
      <c r="A4520" s="5"/>
      <c r="B4520" s="4"/>
      <c r="C4520" s="4"/>
      <c r="D4520" s="82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17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</row>
    <row r="4521" spans="1:38" x14ac:dyDescent="0.3">
      <c r="A4521" s="5"/>
      <c r="B4521" s="4"/>
      <c r="C4521" s="4"/>
      <c r="D4521" s="82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17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</row>
    <row r="4522" spans="1:38" x14ac:dyDescent="0.3">
      <c r="A4522" s="5"/>
      <c r="B4522" s="4"/>
      <c r="C4522" s="4"/>
      <c r="D4522" s="82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17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</row>
    <row r="4523" spans="1:38" x14ac:dyDescent="0.3">
      <c r="A4523" s="5"/>
      <c r="B4523" s="4"/>
      <c r="C4523" s="4"/>
      <c r="D4523" s="82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17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</row>
    <row r="4524" spans="1:38" x14ac:dyDescent="0.3">
      <c r="A4524" s="5"/>
      <c r="B4524" s="4"/>
      <c r="C4524" s="4"/>
      <c r="D4524" s="82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17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</row>
    <row r="4525" spans="1:38" x14ac:dyDescent="0.3">
      <c r="A4525" s="5"/>
      <c r="B4525" s="4"/>
      <c r="C4525" s="4"/>
      <c r="D4525" s="82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17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</row>
    <row r="4526" spans="1:38" x14ac:dyDescent="0.3">
      <c r="A4526" s="5"/>
      <c r="B4526" s="4"/>
      <c r="C4526" s="4"/>
      <c r="D4526" s="82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17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</row>
    <row r="4527" spans="1:38" x14ac:dyDescent="0.3">
      <c r="A4527" s="5"/>
      <c r="B4527" s="4"/>
      <c r="C4527" s="4"/>
      <c r="D4527" s="82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17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</row>
    <row r="4528" spans="1:38" x14ac:dyDescent="0.3">
      <c r="A4528" s="5"/>
      <c r="B4528" s="4"/>
      <c r="C4528" s="4"/>
      <c r="D4528" s="82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17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</row>
    <row r="4529" spans="1:38" x14ac:dyDescent="0.3">
      <c r="A4529" s="5"/>
      <c r="B4529" s="4"/>
      <c r="C4529" s="4"/>
      <c r="D4529" s="82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17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</row>
    <row r="4530" spans="1:38" x14ac:dyDescent="0.3">
      <c r="A4530" s="5"/>
      <c r="B4530" s="4"/>
      <c r="C4530" s="4"/>
      <c r="D4530" s="82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17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</row>
    <row r="4531" spans="1:38" x14ac:dyDescent="0.3">
      <c r="A4531" s="5"/>
      <c r="B4531" s="4"/>
      <c r="C4531" s="4"/>
      <c r="D4531" s="82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17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</row>
    <row r="4532" spans="1:38" x14ac:dyDescent="0.3">
      <c r="A4532" s="5"/>
      <c r="B4532" s="4"/>
      <c r="C4532" s="4"/>
      <c r="D4532" s="82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17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</row>
    <row r="4533" spans="1:38" x14ac:dyDescent="0.3">
      <c r="A4533" s="5"/>
      <c r="B4533" s="4"/>
      <c r="C4533" s="4"/>
      <c r="D4533" s="82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17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</row>
    <row r="4534" spans="1:38" x14ac:dyDescent="0.3">
      <c r="A4534" s="5"/>
      <c r="B4534" s="4"/>
      <c r="C4534" s="4"/>
      <c r="D4534" s="82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17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</row>
    <row r="4535" spans="1:38" x14ac:dyDescent="0.3">
      <c r="A4535" s="5"/>
      <c r="B4535" s="4"/>
      <c r="C4535" s="4"/>
      <c r="D4535" s="82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17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</row>
    <row r="4536" spans="1:38" x14ac:dyDescent="0.3">
      <c r="A4536" s="5"/>
      <c r="B4536" s="4"/>
      <c r="C4536" s="4"/>
      <c r="D4536" s="82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17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</row>
    <row r="4537" spans="1:38" x14ac:dyDescent="0.3">
      <c r="A4537" s="5"/>
      <c r="B4537" s="4"/>
      <c r="C4537" s="4"/>
      <c r="D4537" s="82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17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</row>
    <row r="4538" spans="1:38" x14ac:dyDescent="0.3">
      <c r="A4538" s="5"/>
      <c r="B4538" s="4"/>
      <c r="C4538" s="4"/>
      <c r="D4538" s="82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17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</row>
    <row r="4539" spans="1:38" x14ac:dyDescent="0.3">
      <c r="A4539" s="5"/>
      <c r="B4539" s="4"/>
      <c r="C4539" s="4"/>
      <c r="D4539" s="82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17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</row>
    <row r="4540" spans="1:38" x14ac:dyDescent="0.3">
      <c r="A4540" s="5"/>
      <c r="B4540" s="4"/>
      <c r="C4540" s="4"/>
      <c r="D4540" s="82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17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</row>
    <row r="4541" spans="1:38" x14ac:dyDescent="0.3">
      <c r="A4541" s="5"/>
      <c r="B4541" s="4"/>
      <c r="C4541" s="4"/>
      <c r="D4541" s="82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17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</row>
    <row r="4542" spans="1:38" x14ac:dyDescent="0.3">
      <c r="A4542" s="5"/>
      <c r="B4542" s="4"/>
      <c r="C4542" s="4"/>
      <c r="D4542" s="82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17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</row>
    <row r="4543" spans="1:38" x14ac:dyDescent="0.3">
      <c r="A4543" s="5"/>
      <c r="B4543" s="4"/>
      <c r="C4543" s="4"/>
      <c r="D4543" s="82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17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</row>
    <row r="4544" spans="1:38" x14ac:dyDescent="0.3">
      <c r="A4544" s="5"/>
      <c r="B4544" s="4"/>
      <c r="C4544" s="4"/>
      <c r="D4544" s="82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17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</row>
    <row r="4545" spans="1:38" x14ac:dyDescent="0.3">
      <c r="A4545" s="5"/>
      <c r="B4545" s="4"/>
      <c r="C4545" s="4"/>
      <c r="D4545" s="82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17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</row>
    <row r="4546" spans="1:38" x14ac:dyDescent="0.3">
      <c r="A4546" s="5"/>
      <c r="B4546" s="4"/>
      <c r="C4546" s="4"/>
      <c r="D4546" s="82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17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</row>
    <row r="4547" spans="1:38" x14ac:dyDescent="0.3">
      <c r="A4547" s="5"/>
      <c r="B4547" s="4"/>
      <c r="C4547" s="4"/>
      <c r="D4547" s="82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17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</row>
    <row r="4548" spans="1:38" x14ac:dyDescent="0.3">
      <c r="A4548" s="5"/>
      <c r="B4548" s="4"/>
      <c r="C4548" s="4"/>
      <c r="D4548" s="82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17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</row>
    <row r="4549" spans="1:38" x14ac:dyDescent="0.3">
      <c r="A4549" s="5"/>
      <c r="B4549" s="4"/>
      <c r="C4549" s="4"/>
      <c r="D4549" s="82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17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</row>
    <row r="4550" spans="1:38" x14ac:dyDescent="0.3">
      <c r="A4550" s="5"/>
      <c r="B4550" s="4"/>
      <c r="C4550" s="4"/>
      <c r="D4550" s="82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17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</row>
    <row r="4551" spans="1:38" x14ac:dyDescent="0.3">
      <c r="A4551" s="5"/>
      <c r="B4551" s="4"/>
      <c r="C4551" s="4"/>
      <c r="D4551" s="82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17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</row>
    <row r="4552" spans="1:38" x14ac:dyDescent="0.3">
      <c r="A4552" s="5"/>
      <c r="B4552" s="4"/>
      <c r="C4552" s="4"/>
      <c r="D4552" s="82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17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</row>
    <row r="4553" spans="1:38" x14ac:dyDescent="0.3">
      <c r="A4553" s="5"/>
      <c r="B4553" s="4"/>
      <c r="C4553" s="4"/>
      <c r="D4553" s="82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17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</row>
    <row r="4554" spans="1:38" x14ac:dyDescent="0.3">
      <c r="A4554" s="5"/>
      <c r="B4554" s="4"/>
      <c r="C4554" s="4"/>
      <c r="D4554" s="82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17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</row>
    <row r="4555" spans="1:38" x14ac:dyDescent="0.3">
      <c r="A4555" s="5"/>
      <c r="B4555" s="4"/>
      <c r="C4555" s="4"/>
      <c r="D4555" s="82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17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</row>
    <row r="4556" spans="1:38" x14ac:dyDescent="0.3">
      <c r="A4556" s="5"/>
      <c r="B4556" s="4"/>
      <c r="C4556" s="4"/>
      <c r="D4556" s="82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17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</row>
    <row r="4557" spans="1:38" x14ac:dyDescent="0.3">
      <c r="A4557" s="5"/>
      <c r="B4557" s="4"/>
      <c r="C4557" s="4"/>
      <c r="D4557" s="82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17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</row>
    <row r="4558" spans="1:38" x14ac:dyDescent="0.3">
      <c r="A4558" s="5"/>
      <c r="B4558" s="4"/>
      <c r="C4558" s="4"/>
      <c r="D4558" s="82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17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</row>
    <row r="4559" spans="1:38" x14ac:dyDescent="0.3">
      <c r="A4559" s="5"/>
      <c r="B4559" s="4"/>
      <c r="C4559" s="4"/>
      <c r="D4559" s="82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17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</row>
    <row r="4560" spans="1:38" x14ac:dyDescent="0.3">
      <c r="A4560" s="5"/>
      <c r="B4560" s="4"/>
      <c r="C4560" s="4"/>
      <c r="D4560" s="82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17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</row>
    <row r="4561" spans="1:38" x14ac:dyDescent="0.3">
      <c r="A4561" s="5"/>
      <c r="B4561" s="4"/>
      <c r="C4561" s="4"/>
      <c r="D4561" s="82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17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</row>
    <row r="4562" spans="1:38" x14ac:dyDescent="0.3">
      <c r="A4562" s="5"/>
      <c r="B4562" s="4"/>
      <c r="C4562" s="4"/>
      <c r="D4562" s="82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17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</row>
    <row r="4563" spans="1:38" x14ac:dyDescent="0.3">
      <c r="A4563" s="5"/>
      <c r="B4563" s="4"/>
      <c r="C4563" s="4"/>
      <c r="D4563" s="82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17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</row>
    <row r="4564" spans="1:38" x14ac:dyDescent="0.3">
      <c r="A4564" s="5"/>
      <c r="B4564" s="4"/>
      <c r="C4564" s="4"/>
      <c r="D4564" s="82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17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</row>
    <row r="4565" spans="1:38" x14ac:dyDescent="0.3">
      <c r="A4565" s="5"/>
      <c r="B4565" s="4"/>
      <c r="C4565" s="4"/>
      <c r="D4565" s="82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17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</row>
    <row r="4566" spans="1:38" x14ac:dyDescent="0.3">
      <c r="A4566" s="5"/>
      <c r="B4566" s="4"/>
      <c r="C4566" s="4"/>
      <c r="D4566" s="82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17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</row>
    <row r="4567" spans="1:38" x14ac:dyDescent="0.3">
      <c r="A4567" s="5"/>
      <c r="B4567" s="4"/>
      <c r="C4567" s="4"/>
      <c r="D4567" s="82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17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</row>
    <row r="4568" spans="1:38" x14ac:dyDescent="0.3">
      <c r="A4568" s="5"/>
      <c r="B4568" s="4"/>
      <c r="C4568" s="4"/>
      <c r="D4568" s="82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17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</row>
    <row r="4569" spans="1:38" x14ac:dyDescent="0.3">
      <c r="A4569" s="5"/>
      <c r="B4569" s="4"/>
      <c r="C4569" s="4"/>
      <c r="D4569" s="82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17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</row>
    <row r="4570" spans="1:38" x14ac:dyDescent="0.3">
      <c r="A4570" s="5"/>
      <c r="B4570" s="4"/>
      <c r="C4570" s="4"/>
      <c r="D4570" s="82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17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</row>
    <row r="4571" spans="1:38" x14ac:dyDescent="0.3">
      <c r="A4571" s="5"/>
      <c r="B4571" s="4"/>
      <c r="C4571" s="4"/>
      <c r="D4571" s="82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17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</row>
    <row r="4572" spans="1:38" x14ac:dyDescent="0.3">
      <c r="A4572" s="5"/>
      <c r="B4572" s="4"/>
      <c r="C4572" s="4"/>
      <c r="D4572" s="82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17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</row>
    <row r="4573" spans="1:38" x14ac:dyDescent="0.3">
      <c r="A4573" s="5"/>
      <c r="B4573" s="4"/>
      <c r="C4573" s="4"/>
      <c r="D4573" s="82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17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</row>
    <row r="4574" spans="1:38" x14ac:dyDescent="0.3">
      <c r="A4574" s="5"/>
      <c r="B4574" s="4"/>
      <c r="C4574" s="4"/>
      <c r="D4574" s="82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17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</row>
    <row r="4575" spans="1:38" x14ac:dyDescent="0.3">
      <c r="A4575" s="5"/>
      <c r="B4575" s="4"/>
      <c r="C4575" s="4"/>
      <c r="D4575" s="82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17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</row>
    <row r="4576" spans="1:38" x14ac:dyDescent="0.3">
      <c r="A4576" s="5"/>
      <c r="B4576" s="4"/>
      <c r="C4576" s="4"/>
      <c r="D4576" s="82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17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</row>
    <row r="4577" spans="1:38" x14ac:dyDescent="0.3">
      <c r="A4577" s="5"/>
      <c r="B4577" s="4"/>
      <c r="C4577" s="4"/>
      <c r="D4577" s="82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17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</row>
    <row r="4578" spans="1:38" x14ac:dyDescent="0.3">
      <c r="A4578" s="5"/>
      <c r="B4578" s="4"/>
      <c r="C4578" s="4"/>
      <c r="D4578" s="82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17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</row>
    <row r="4579" spans="1:38" x14ac:dyDescent="0.3">
      <c r="A4579" s="5"/>
      <c r="B4579" s="4"/>
      <c r="C4579" s="4"/>
      <c r="D4579" s="82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17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</row>
    <row r="4580" spans="1:38" x14ac:dyDescent="0.3">
      <c r="A4580" s="5"/>
      <c r="B4580" s="4"/>
      <c r="C4580" s="4"/>
      <c r="D4580" s="82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17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</row>
    <row r="4581" spans="1:38" x14ac:dyDescent="0.3">
      <c r="A4581" s="5"/>
      <c r="B4581" s="4"/>
      <c r="C4581" s="4"/>
      <c r="D4581" s="82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17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</row>
    <row r="4582" spans="1:38" x14ac:dyDescent="0.3">
      <c r="A4582" s="5"/>
      <c r="B4582" s="4"/>
      <c r="C4582" s="4"/>
      <c r="D4582" s="82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17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</row>
    <row r="4583" spans="1:38" x14ac:dyDescent="0.3">
      <c r="A4583" s="5"/>
      <c r="B4583" s="4"/>
      <c r="C4583" s="4"/>
      <c r="D4583" s="82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17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</row>
    <row r="4584" spans="1:38" x14ac:dyDescent="0.3">
      <c r="A4584" s="5"/>
      <c r="B4584" s="4"/>
      <c r="C4584" s="4"/>
      <c r="D4584" s="82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17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</row>
    <row r="4585" spans="1:38" x14ac:dyDescent="0.3">
      <c r="A4585" s="5"/>
      <c r="B4585" s="4"/>
      <c r="C4585" s="4"/>
      <c r="D4585" s="82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17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</row>
    <row r="4586" spans="1:38" x14ac:dyDescent="0.3">
      <c r="A4586" s="5"/>
      <c r="B4586" s="4"/>
      <c r="C4586" s="4"/>
      <c r="D4586" s="82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17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</row>
    <row r="4587" spans="1:38" x14ac:dyDescent="0.3">
      <c r="A4587" s="5"/>
      <c r="B4587" s="4"/>
      <c r="C4587" s="4"/>
      <c r="D4587" s="82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17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</row>
    <row r="4588" spans="1:38" x14ac:dyDescent="0.3">
      <c r="A4588" s="5"/>
      <c r="B4588" s="4"/>
      <c r="C4588" s="4"/>
      <c r="D4588" s="82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17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</row>
    <row r="4589" spans="1:38" x14ac:dyDescent="0.3">
      <c r="A4589" s="5"/>
      <c r="B4589" s="4"/>
      <c r="C4589" s="4"/>
      <c r="D4589" s="82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17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</row>
    <row r="4590" spans="1:38" x14ac:dyDescent="0.3">
      <c r="A4590" s="5"/>
      <c r="B4590" s="4"/>
      <c r="C4590" s="4"/>
      <c r="D4590" s="82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17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</row>
    <row r="4591" spans="1:38" x14ac:dyDescent="0.3">
      <c r="A4591" s="5"/>
      <c r="B4591" s="4"/>
      <c r="C4591" s="4"/>
      <c r="D4591" s="82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17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</row>
    <row r="4592" spans="1:38" x14ac:dyDescent="0.3">
      <c r="A4592" s="5"/>
      <c r="B4592" s="4"/>
      <c r="C4592" s="4"/>
      <c r="D4592" s="82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17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</row>
    <row r="4593" spans="1:38" x14ac:dyDescent="0.3">
      <c r="A4593" s="5"/>
      <c r="B4593" s="4"/>
      <c r="C4593" s="4"/>
      <c r="D4593" s="82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17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</row>
    <row r="4594" spans="1:38" x14ac:dyDescent="0.3">
      <c r="A4594" s="5"/>
      <c r="B4594" s="4"/>
      <c r="C4594" s="4"/>
      <c r="D4594" s="82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17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</row>
    <row r="4595" spans="1:38" x14ac:dyDescent="0.3">
      <c r="A4595" s="5"/>
      <c r="B4595" s="4"/>
      <c r="C4595" s="4"/>
      <c r="D4595" s="82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17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</row>
    <row r="4596" spans="1:38" x14ac:dyDescent="0.3">
      <c r="A4596" s="5"/>
      <c r="B4596" s="4"/>
      <c r="C4596" s="4"/>
      <c r="D4596" s="82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17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</row>
    <row r="4597" spans="1:38" x14ac:dyDescent="0.3">
      <c r="A4597" s="5"/>
      <c r="B4597" s="4"/>
      <c r="C4597" s="4"/>
      <c r="D4597" s="82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17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</row>
    <row r="4598" spans="1:38" x14ac:dyDescent="0.3">
      <c r="A4598" s="5"/>
      <c r="B4598" s="4"/>
      <c r="C4598" s="4"/>
      <c r="D4598" s="82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17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</row>
    <row r="4599" spans="1:38" x14ac:dyDescent="0.3">
      <c r="A4599" s="5"/>
      <c r="B4599" s="4"/>
      <c r="C4599" s="4"/>
      <c r="D4599" s="82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17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</row>
    <row r="4600" spans="1:38" x14ac:dyDescent="0.3">
      <c r="A4600" s="5"/>
      <c r="B4600" s="4"/>
      <c r="C4600" s="4"/>
      <c r="D4600" s="82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17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</row>
    <row r="4601" spans="1:38" x14ac:dyDescent="0.3">
      <c r="A4601" s="5"/>
      <c r="B4601" s="4"/>
      <c r="C4601" s="4"/>
      <c r="D4601" s="82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17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</row>
    <row r="4602" spans="1:38" x14ac:dyDescent="0.3">
      <c r="A4602" s="5"/>
      <c r="B4602" s="4"/>
      <c r="C4602" s="4"/>
      <c r="D4602" s="82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17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</row>
    <row r="4603" spans="1:38" x14ac:dyDescent="0.3">
      <c r="A4603" s="5"/>
      <c r="B4603" s="4"/>
      <c r="C4603" s="4"/>
      <c r="D4603" s="82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17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</row>
    <row r="4604" spans="1:38" x14ac:dyDescent="0.3">
      <c r="A4604" s="5"/>
      <c r="B4604" s="4"/>
      <c r="C4604" s="4"/>
      <c r="D4604" s="82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17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</row>
    <row r="4605" spans="1:38" x14ac:dyDescent="0.3">
      <c r="A4605" s="5"/>
      <c r="B4605" s="4"/>
      <c r="C4605" s="4"/>
      <c r="D4605" s="82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17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</row>
    <row r="4606" spans="1:38" x14ac:dyDescent="0.3">
      <c r="A4606" s="5"/>
      <c r="B4606" s="4"/>
      <c r="C4606" s="4"/>
      <c r="D4606" s="82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17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</row>
    <row r="4607" spans="1:38" x14ac:dyDescent="0.3">
      <c r="A4607" s="5"/>
      <c r="B4607" s="4"/>
      <c r="C4607" s="4"/>
      <c r="D4607" s="82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17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</row>
    <row r="4608" spans="1:38" x14ac:dyDescent="0.3">
      <c r="A4608" s="5"/>
      <c r="B4608" s="4"/>
      <c r="C4608" s="4"/>
      <c r="D4608" s="82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17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</row>
    <row r="4609" spans="1:38" x14ac:dyDescent="0.3">
      <c r="A4609" s="5"/>
      <c r="B4609" s="4"/>
      <c r="C4609" s="4"/>
      <c r="D4609" s="82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17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</row>
    <row r="4610" spans="1:38" x14ac:dyDescent="0.3">
      <c r="A4610" s="5"/>
      <c r="B4610" s="4"/>
      <c r="C4610" s="4"/>
      <c r="D4610" s="82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17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</row>
    <row r="4611" spans="1:38" x14ac:dyDescent="0.3">
      <c r="A4611" s="5"/>
      <c r="B4611" s="4"/>
      <c r="C4611" s="4"/>
      <c r="D4611" s="82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17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</row>
    <row r="4612" spans="1:38" x14ac:dyDescent="0.3">
      <c r="A4612" s="5"/>
      <c r="B4612" s="4"/>
      <c r="C4612" s="4"/>
      <c r="D4612" s="82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17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</row>
    <row r="4613" spans="1:38" x14ac:dyDescent="0.3">
      <c r="A4613" s="5"/>
      <c r="B4613" s="4"/>
      <c r="C4613" s="4"/>
      <c r="D4613" s="82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17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</row>
    <row r="4614" spans="1:38" x14ac:dyDescent="0.3">
      <c r="A4614" s="5"/>
      <c r="B4614" s="4"/>
      <c r="C4614" s="4"/>
      <c r="D4614" s="82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17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</row>
    <row r="4615" spans="1:38" x14ac:dyDescent="0.3">
      <c r="A4615" s="5"/>
      <c r="B4615" s="4"/>
      <c r="C4615" s="4"/>
      <c r="D4615" s="82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17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</row>
    <row r="4616" spans="1:38" x14ac:dyDescent="0.3">
      <c r="A4616" s="5"/>
      <c r="B4616" s="4"/>
      <c r="C4616" s="4"/>
      <c r="D4616" s="82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17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</row>
    <row r="4617" spans="1:38" x14ac:dyDescent="0.3">
      <c r="A4617" s="5"/>
      <c r="B4617" s="4"/>
      <c r="C4617" s="4"/>
      <c r="D4617" s="82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17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</row>
    <row r="4618" spans="1:38" x14ac:dyDescent="0.3">
      <c r="A4618" s="5"/>
      <c r="B4618" s="4"/>
      <c r="C4618" s="4"/>
      <c r="D4618" s="82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17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</row>
    <row r="4619" spans="1:38" x14ac:dyDescent="0.3">
      <c r="A4619" s="5"/>
      <c r="B4619" s="4"/>
      <c r="C4619" s="4"/>
      <c r="D4619" s="82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17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</row>
    <row r="4620" spans="1:38" x14ac:dyDescent="0.3">
      <c r="A4620" s="5"/>
      <c r="B4620" s="4"/>
      <c r="C4620" s="4"/>
      <c r="D4620" s="82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17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</row>
    <row r="4621" spans="1:38" x14ac:dyDescent="0.3">
      <c r="A4621" s="5"/>
      <c r="B4621" s="4"/>
      <c r="C4621" s="4"/>
      <c r="D4621" s="82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17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</row>
    <row r="4622" spans="1:38" x14ac:dyDescent="0.3">
      <c r="A4622" s="5"/>
      <c r="B4622" s="4"/>
      <c r="C4622" s="4"/>
      <c r="D4622" s="82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17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</row>
    <row r="4623" spans="1:38" x14ac:dyDescent="0.3">
      <c r="A4623" s="5"/>
      <c r="B4623" s="4"/>
      <c r="C4623" s="4"/>
      <c r="D4623" s="82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17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</row>
    <row r="4624" spans="1:38" x14ac:dyDescent="0.3">
      <c r="A4624" s="5"/>
      <c r="B4624" s="4"/>
      <c r="C4624" s="4"/>
      <c r="D4624" s="82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17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</row>
    <row r="4625" spans="1:38" x14ac:dyDescent="0.3">
      <c r="A4625" s="5"/>
      <c r="B4625" s="4"/>
      <c r="C4625" s="4"/>
      <c r="D4625" s="82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17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</row>
    <row r="4626" spans="1:38" x14ac:dyDescent="0.3">
      <c r="A4626" s="5"/>
      <c r="B4626" s="4"/>
      <c r="C4626" s="4"/>
      <c r="D4626" s="82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17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</row>
    <row r="4627" spans="1:38" x14ac:dyDescent="0.3">
      <c r="A4627" s="5"/>
      <c r="B4627" s="4"/>
      <c r="C4627" s="4"/>
      <c r="D4627" s="82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17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</row>
    <row r="4628" spans="1:38" x14ac:dyDescent="0.3">
      <c r="A4628" s="5"/>
      <c r="B4628" s="4"/>
      <c r="C4628" s="4"/>
      <c r="D4628" s="82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17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</row>
    <row r="4629" spans="1:38" x14ac:dyDescent="0.3">
      <c r="A4629" s="5"/>
      <c r="B4629" s="4"/>
      <c r="C4629" s="4"/>
      <c r="D4629" s="82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17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</row>
    <row r="4630" spans="1:38" x14ac:dyDescent="0.3">
      <c r="A4630" s="5"/>
      <c r="B4630" s="4"/>
      <c r="C4630" s="4"/>
      <c r="D4630" s="82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17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</row>
    <row r="4631" spans="1:38" x14ac:dyDescent="0.3">
      <c r="A4631" s="5"/>
      <c r="B4631" s="4"/>
      <c r="C4631" s="4"/>
      <c r="D4631" s="82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17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</row>
    <row r="4632" spans="1:38" x14ac:dyDescent="0.3">
      <c r="A4632" s="5"/>
      <c r="B4632" s="4"/>
      <c r="C4632" s="4"/>
      <c r="D4632" s="82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17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</row>
    <row r="4633" spans="1:38" x14ac:dyDescent="0.3">
      <c r="A4633" s="5"/>
      <c r="B4633" s="4"/>
      <c r="C4633" s="4"/>
      <c r="D4633" s="82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17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</row>
    <row r="4634" spans="1:38" x14ac:dyDescent="0.3">
      <c r="A4634" s="5"/>
      <c r="B4634" s="4"/>
      <c r="C4634" s="4"/>
      <c r="D4634" s="82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17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</row>
    <row r="4635" spans="1:38" x14ac:dyDescent="0.3">
      <c r="A4635" s="5"/>
      <c r="B4635" s="4"/>
      <c r="C4635" s="4"/>
      <c r="D4635" s="82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17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</row>
    <row r="4636" spans="1:38" x14ac:dyDescent="0.3">
      <c r="A4636" s="5"/>
      <c r="B4636" s="4"/>
      <c r="C4636" s="4"/>
      <c r="D4636" s="82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17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</row>
    <row r="4637" spans="1:38" x14ac:dyDescent="0.3">
      <c r="A4637" s="5"/>
      <c r="B4637" s="4"/>
      <c r="C4637" s="4"/>
      <c r="D4637" s="82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17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</row>
    <row r="4638" spans="1:38" x14ac:dyDescent="0.3">
      <c r="A4638" s="5"/>
      <c r="B4638" s="4"/>
      <c r="C4638" s="4"/>
      <c r="D4638" s="82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17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</row>
    <row r="4639" spans="1:38" x14ac:dyDescent="0.3">
      <c r="A4639" s="5"/>
      <c r="B4639" s="4"/>
      <c r="C4639" s="4"/>
      <c r="D4639" s="82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17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</row>
    <row r="4640" spans="1:38" x14ac:dyDescent="0.3">
      <c r="A4640" s="5"/>
      <c r="B4640" s="4"/>
      <c r="C4640" s="4"/>
      <c r="D4640" s="82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17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</row>
    <row r="4641" spans="1:38" x14ac:dyDescent="0.3">
      <c r="A4641" s="5"/>
      <c r="B4641" s="4"/>
      <c r="C4641" s="4"/>
      <c r="D4641" s="82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17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</row>
    <row r="4642" spans="1:38" x14ac:dyDescent="0.3">
      <c r="A4642" s="5"/>
      <c r="B4642" s="4"/>
      <c r="C4642" s="4"/>
      <c r="D4642" s="82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17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</row>
    <row r="4643" spans="1:38" x14ac:dyDescent="0.3">
      <c r="A4643" s="5"/>
      <c r="B4643" s="4"/>
      <c r="C4643" s="4"/>
      <c r="D4643" s="82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17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</row>
    <row r="4644" spans="1:38" x14ac:dyDescent="0.3">
      <c r="A4644" s="5"/>
      <c r="B4644" s="4"/>
      <c r="C4644" s="4"/>
      <c r="D4644" s="82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17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</row>
    <row r="4645" spans="1:38" x14ac:dyDescent="0.3">
      <c r="A4645" s="5"/>
      <c r="B4645" s="4"/>
      <c r="C4645" s="4"/>
      <c r="D4645" s="82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17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</row>
    <row r="4646" spans="1:38" x14ac:dyDescent="0.3">
      <c r="A4646" s="5"/>
      <c r="B4646" s="4"/>
      <c r="C4646" s="4"/>
      <c r="D4646" s="82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17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</row>
    <row r="4647" spans="1:38" x14ac:dyDescent="0.3">
      <c r="A4647" s="5"/>
      <c r="B4647" s="4"/>
      <c r="C4647" s="4"/>
      <c r="D4647" s="82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17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</row>
    <row r="4648" spans="1:38" x14ac:dyDescent="0.3">
      <c r="A4648" s="5"/>
      <c r="B4648" s="4"/>
      <c r="C4648" s="4"/>
      <c r="D4648" s="82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17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</row>
    <row r="4649" spans="1:38" x14ac:dyDescent="0.3">
      <c r="A4649" s="5"/>
      <c r="B4649" s="4"/>
      <c r="C4649" s="4"/>
      <c r="D4649" s="82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17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</row>
    <row r="4650" spans="1:38" x14ac:dyDescent="0.3">
      <c r="A4650" s="5"/>
      <c r="B4650" s="4"/>
      <c r="C4650" s="4"/>
      <c r="D4650" s="82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17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</row>
    <row r="4651" spans="1:38" x14ac:dyDescent="0.3">
      <c r="A4651" s="5"/>
      <c r="B4651" s="4"/>
      <c r="C4651" s="4"/>
      <c r="D4651" s="82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17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</row>
    <row r="4652" spans="1:38" x14ac:dyDescent="0.3">
      <c r="A4652" s="5"/>
      <c r="B4652" s="4"/>
      <c r="C4652" s="4"/>
      <c r="D4652" s="82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17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</row>
    <row r="4653" spans="1:38" x14ac:dyDescent="0.3">
      <c r="A4653" s="5"/>
      <c r="B4653" s="4"/>
      <c r="C4653" s="4"/>
      <c r="D4653" s="82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17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</row>
    <row r="4654" spans="1:38" x14ac:dyDescent="0.3">
      <c r="A4654" s="5"/>
      <c r="B4654" s="4"/>
      <c r="C4654" s="4"/>
      <c r="D4654" s="82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17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</row>
    <row r="4655" spans="1:38" x14ac:dyDescent="0.3">
      <c r="A4655" s="5"/>
      <c r="B4655" s="4"/>
      <c r="C4655" s="4"/>
      <c r="D4655" s="82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17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</row>
    <row r="4656" spans="1:38" x14ac:dyDescent="0.3">
      <c r="A4656" s="5"/>
      <c r="B4656" s="4"/>
      <c r="C4656" s="4"/>
      <c r="D4656" s="82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17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</row>
    <row r="4657" spans="1:38" x14ac:dyDescent="0.3">
      <c r="A4657" s="5"/>
      <c r="B4657" s="4"/>
      <c r="C4657" s="4"/>
      <c r="D4657" s="82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17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</row>
    <row r="4658" spans="1:38" x14ac:dyDescent="0.3">
      <c r="A4658" s="5"/>
      <c r="B4658" s="4"/>
      <c r="C4658" s="4"/>
      <c r="D4658" s="82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17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</row>
    <row r="4659" spans="1:38" x14ac:dyDescent="0.3">
      <c r="A4659" s="5"/>
      <c r="B4659" s="4"/>
      <c r="C4659" s="4"/>
      <c r="D4659" s="82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17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</row>
    <row r="4660" spans="1:38" x14ac:dyDescent="0.3">
      <c r="A4660" s="5"/>
      <c r="B4660" s="4"/>
      <c r="C4660" s="4"/>
      <c r="D4660" s="82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17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</row>
    <row r="4661" spans="1:38" x14ac:dyDescent="0.3">
      <c r="A4661" s="5"/>
      <c r="B4661" s="4"/>
      <c r="C4661" s="4"/>
      <c r="D4661" s="82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17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</row>
    <row r="4662" spans="1:38" x14ac:dyDescent="0.3">
      <c r="A4662" s="5"/>
      <c r="B4662" s="4"/>
      <c r="C4662" s="4"/>
      <c r="D4662" s="82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17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</row>
    <row r="4663" spans="1:38" x14ac:dyDescent="0.3">
      <c r="A4663" s="5"/>
      <c r="B4663" s="4"/>
      <c r="C4663" s="4"/>
      <c r="D4663" s="82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17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</row>
    <row r="4664" spans="1:38" x14ac:dyDescent="0.3">
      <c r="A4664" s="5"/>
      <c r="B4664" s="4"/>
      <c r="C4664" s="4"/>
      <c r="D4664" s="82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17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</row>
    <row r="4665" spans="1:38" x14ac:dyDescent="0.3">
      <c r="A4665" s="5"/>
      <c r="B4665" s="4"/>
      <c r="C4665" s="4"/>
      <c r="D4665" s="82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17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</row>
    <row r="4666" spans="1:38" x14ac:dyDescent="0.3">
      <c r="A4666" s="5"/>
      <c r="B4666" s="4"/>
      <c r="C4666" s="4"/>
      <c r="D4666" s="82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17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</row>
    <row r="4667" spans="1:38" x14ac:dyDescent="0.3">
      <c r="A4667" s="5"/>
      <c r="B4667" s="4"/>
      <c r="C4667" s="4"/>
      <c r="D4667" s="82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17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</row>
    <row r="4668" spans="1:38" x14ac:dyDescent="0.3">
      <c r="A4668" s="5"/>
      <c r="B4668" s="4"/>
      <c r="C4668" s="4"/>
      <c r="D4668" s="82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17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</row>
    <row r="4669" spans="1:38" x14ac:dyDescent="0.3">
      <c r="A4669" s="5"/>
      <c r="B4669" s="4"/>
      <c r="C4669" s="4"/>
      <c r="D4669" s="82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17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</row>
    <row r="4670" spans="1:38" x14ac:dyDescent="0.3">
      <c r="A4670" s="5"/>
      <c r="B4670" s="4"/>
      <c r="C4670" s="4"/>
      <c r="D4670" s="82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17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</row>
    <row r="4671" spans="1:38" x14ac:dyDescent="0.3">
      <c r="A4671" s="5"/>
      <c r="B4671" s="4"/>
      <c r="C4671" s="4"/>
      <c r="D4671" s="82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17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</row>
    <row r="4672" spans="1:38" x14ac:dyDescent="0.3">
      <c r="A4672" s="5"/>
      <c r="B4672" s="4"/>
      <c r="C4672" s="4"/>
      <c r="D4672" s="82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17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</row>
    <row r="4673" spans="1:38" x14ac:dyDescent="0.3">
      <c r="A4673" s="5"/>
      <c r="B4673" s="4"/>
      <c r="C4673" s="4"/>
      <c r="D4673" s="82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17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</row>
    <row r="4674" spans="1:38" x14ac:dyDescent="0.3">
      <c r="A4674" s="5"/>
      <c r="B4674" s="4"/>
      <c r="C4674" s="4"/>
      <c r="D4674" s="82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17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</row>
    <row r="4675" spans="1:38" x14ac:dyDescent="0.3">
      <c r="A4675" s="5"/>
      <c r="B4675" s="4"/>
      <c r="C4675" s="4"/>
      <c r="D4675" s="82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17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</row>
    <row r="4676" spans="1:38" x14ac:dyDescent="0.3">
      <c r="A4676" s="5"/>
      <c r="B4676" s="4"/>
      <c r="C4676" s="4"/>
      <c r="D4676" s="82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17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</row>
    <row r="4677" spans="1:38" x14ac:dyDescent="0.3">
      <c r="A4677" s="5"/>
      <c r="B4677" s="4"/>
      <c r="C4677" s="4"/>
      <c r="D4677" s="82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17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</row>
    <row r="4678" spans="1:38" x14ac:dyDescent="0.3">
      <c r="A4678" s="5"/>
      <c r="B4678" s="4"/>
      <c r="C4678" s="4"/>
      <c r="D4678" s="82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17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</row>
    <row r="4679" spans="1:38" x14ac:dyDescent="0.3">
      <c r="A4679" s="5"/>
      <c r="B4679" s="4"/>
      <c r="C4679" s="4"/>
      <c r="D4679" s="82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17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</row>
    <row r="4680" spans="1:38" x14ac:dyDescent="0.3">
      <c r="A4680" s="5"/>
      <c r="B4680" s="4"/>
      <c r="C4680" s="4"/>
      <c r="D4680" s="82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17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</row>
    <row r="4681" spans="1:38" x14ac:dyDescent="0.3">
      <c r="A4681" s="5"/>
      <c r="B4681" s="4"/>
      <c r="C4681" s="4"/>
      <c r="D4681" s="82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17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</row>
    <row r="4682" spans="1:38" x14ac:dyDescent="0.3">
      <c r="A4682" s="5"/>
      <c r="B4682" s="4"/>
      <c r="C4682" s="4"/>
      <c r="D4682" s="82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17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</row>
    <row r="4683" spans="1:38" x14ac:dyDescent="0.3">
      <c r="A4683" s="5"/>
      <c r="B4683" s="4"/>
      <c r="C4683" s="4"/>
      <c r="D4683" s="82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17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</row>
    <row r="4684" spans="1:38" x14ac:dyDescent="0.3">
      <c r="A4684" s="5"/>
      <c r="B4684" s="4"/>
      <c r="C4684" s="4"/>
      <c r="D4684" s="82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17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</row>
    <row r="4685" spans="1:38" x14ac:dyDescent="0.3">
      <c r="A4685" s="5"/>
      <c r="B4685" s="4"/>
      <c r="C4685" s="4"/>
      <c r="D4685" s="82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17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</row>
    <row r="4686" spans="1:38" x14ac:dyDescent="0.3">
      <c r="A4686" s="5"/>
      <c r="B4686" s="4"/>
      <c r="C4686" s="4"/>
      <c r="D4686" s="82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17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</row>
    <row r="4687" spans="1:38" x14ac:dyDescent="0.3">
      <c r="A4687" s="5"/>
      <c r="B4687" s="4"/>
      <c r="C4687" s="4"/>
      <c r="D4687" s="82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17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</row>
    <row r="4688" spans="1:38" x14ac:dyDescent="0.3">
      <c r="A4688" s="5"/>
      <c r="B4688" s="4"/>
      <c r="C4688" s="4"/>
      <c r="D4688" s="82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17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</row>
    <row r="4689" spans="1:38" x14ac:dyDescent="0.3">
      <c r="A4689" s="5"/>
      <c r="B4689" s="4"/>
      <c r="C4689" s="4"/>
      <c r="D4689" s="82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17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</row>
    <row r="4690" spans="1:38" x14ac:dyDescent="0.3">
      <c r="A4690" s="5"/>
      <c r="B4690" s="4"/>
      <c r="C4690" s="4"/>
      <c r="D4690" s="82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17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</row>
    <row r="4691" spans="1:38" x14ac:dyDescent="0.3">
      <c r="A4691" s="5"/>
      <c r="B4691" s="4"/>
      <c r="C4691" s="4"/>
      <c r="D4691" s="82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17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</row>
    <row r="4692" spans="1:38" x14ac:dyDescent="0.3">
      <c r="A4692" s="5"/>
      <c r="B4692" s="4"/>
      <c r="C4692" s="4"/>
      <c r="D4692" s="82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17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</row>
    <row r="4693" spans="1:38" x14ac:dyDescent="0.3">
      <c r="A4693" s="5"/>
      <c r="B4693" s="4"/>
      <c r="C4693" s="4"/>
      <c r="D4693" s="82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17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</row>
    <row r="4694" spans="1:38" x14ac:dyDescent="0.3">
      <c r="A4694" s="5"/>
      <c r="B4694" s="4"/>
      <c r="C4694" s="4"/>
      <c r="D4694" s="82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17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</row>
    <row r="4695" spans="1:38" x14ac:dyDescent="0.3">
      <c r="A4695" s="5"/>
      <c r="B4695" s="4"/>
      <c r="C4695" s="4"/>
      <c r="D4695" s="82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17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</row>
    <row r="4696" spans="1:38" x14ac:dyDescent="0.3">
      <c r="A4696" s="5"/>
      <c r="B4696" s="4"/>
      <c r="C4696" s="4"/>
      <c r="D4696" s="82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17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</row>
    <row r="4697" spans="1:38" x14ac:dyDescent="0.3">
      <c r="A4697" s="5"/>
      <c r="B4697" s="4"/>
      <c r="C4697" s="4"/>
      <c r="D4697" s="82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17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</row>
    <row r="4698" spans="1:38" x14ac:dyDescent="0.3">
      <c r="A4698" s="5"/>
      <c r="B4698" s="4"/>
      <c r="C4698" s="4"/>
      <c r="D4698" s="82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17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</row>
    <row r="4699" spans="1:38" x14ac:dyDescent="0.3">
      <c r="A4699" s="5"/>
      <c r="B4699" s="4"/>
      <c r="C4699" s="4"/>
      <c r="D4699" s="82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17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</row>
    <row r="4700" spans="1:38" x14ac:dyDescent="0.3">
      <c r="A4700" s="5"/>
      <c r="B4700" s="4"/>
      <c r="C4700" s="4"/>
      <c r="D4700" s="82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17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</row>
    <row r="4701" spans="1:38" x14ac:dyDescent="0.3">
      <c r="A4701" s="5"/>
      <c r="B4701" s="4"/>
      <c r="C4701" s="4"/>
      <c r="D4701" s="82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17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</row>
    <row r="4702" spans="1:38" x14ac:dyDescent="0.3">
      <c r="A4702" s="5"/>
      <c r="B4702" s="4"/>
      <c r="C4702" s="4"/>
      <c r="D4702" s="82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17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</row>
    <row r="4703" spans="1:38" x14ac:dyDescent="0.3">
      <c r="A4703" s="5"/>
      <c r="B4703" s="4"/>
      <c r="C4703" s="4"/>
      <c r="D4703" s="82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17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</row>
    <row r="4704" spans="1:38" x14ac:dyDescent="0.3">
      <c r="A4704" s="5"/>
      <c r="B4704" s="4"/>
      <c r="C4704" s="4"/>
      <c r="D4704" s="82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17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</row>
    <row r="4705" spans="1:38" x14ac:dyDescent="0.3">
      <c r="A4705" s="5"/>
      <c r="B4705" s="4"/>
      <c r="C4705" s="4"/>
      <c r="D4705" s="82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17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</row>
    <row r="4706" spans="1:38" x14ac:dyDescent="0.3">
      <c r="A4706" s="5"/>
      <c r="B4706" s="4"/>
      <c r="C4706" s="4"/>
      <c r="D4706" s="82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17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</row>
    <row r="4707" spans="1:38" x14ac:dyDescent="0.3">
      <c r="A4707" s="5"/>
      <c r="B4707" s="4"/>
      <c r="C4707" s="4"/>
      <c r="D4707" s="82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17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</row>
    <row r="4708" spans="1:38" x14ac:dyDescent="0.3">
      <c r="A4708" s="5"/>
      <c r="B4708" s="4"/>
      <c r="C4708" s="4"/>
      <c r="D4708" s="82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17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</row>
    <row r="4709" spans="1:38" x14ac:dyDescent="0.3">
      <c r="A4709" s="5"/>
      <c r="B4709" s="4"/>
      <c r="C4709" s="4"/>
      <c r="D4709" s="82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17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</row>
    <row r="4710" spans="1:38" x14ac:dyDescent="0.3">
      <c r="A4710" s="5"/>
      <c r="B4710" s="4"/>
      <c r="C4710" s="4"/>
      <c r="D4710" s="82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17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</row>
    <row r="4711" spans="1:38" x14ac:dyDescent="0.3">
      <c r="A4711" s="5"/>
      <c r="B4711" s="4"/>
      <c r="C4711" s="4"/>
      <c r="D4711" s="82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17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</row>
    <row r="4712" spans="1:38" x14ac:dyDescent="0.3">
      <c r="A4712" s="5"/>
      <c r="B4712" s="4"/>
      <c r="C4712" s="4"/>
      <c r="D4712" s="82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17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</row>
    <row r="4713" spans="1:38" x14ac:dyDescent="0.3">
      <c r="A4713" s="5"/>
      <c r="B4713" s="4"/>
      <c r="C4713" s="4"/>
      <c r="D4713" s="82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17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</row>
    <row r="4714" spans="1:38" x14ac:dyDescent="0.3">
      <c r="A4714" s="5"/>
      <c r="B4714" s="4"/>
      <c r="C4714" s="4"/>
      <c r="D4714" s="82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17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</row>
    <row r="4715" spans="1:38" x14ac:dyDescent="0.3">
      <c r="A4715" s="5"/>
      <c r="B4715" s="4"/>
      <c r="C4715" s="4"/>
      <c r="D4715" s="82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17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</row>
    <row r="4716" spans="1:38" x14ac:dyDescent="0.3">
      <c r="A4716" s="5"/>
      <c r="B4716" s="4"/>
      <c r="C4716" s="4"/>
      <c r="D4716" s="82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17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</row>
    <row r="4717" spans="1:38" x14ac:dyDescent="0.3">
      <c r="A4717" s="5"/>
      <c r="B4717" s="4"/>
      <c r="C4717" s="4"/>
      <c r="D4717" s="82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17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</row>
    <row r="4718" spans="1:38" x14ac:dyDescent="0.3">
      <c r="A4718" s="5"/>
      <c r="B4718" s="4"/>
      <c r="C4718" s="4"/>
      <c r="D4718" s="82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17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</row>
    <row r="4719" spans="1:38" x14ac:dyDescent="0.3">
      <c r="A4719" s="5"/>
      <c r="B4719" s="4"/>
      <c r="C4719" s="4"/>
      <c r="D4719" s="82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17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</row>
    <row r="4720" spans="1:38" x14ac:dyDescent="0.3">
      <c r="A4720" s="5"/>
      <c r="B4720" s="4"/>
      <c r="C4720" s="4"/>
      <c r="D4720" s="82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17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</row>
    <row r="4721" spans="1:38" x14ac:dyDescent="0.3">
      <c r="A4721" s="5"/>
      <c r="B4721" s="4"/>
      <c r="C4721" s="4"/>
      <c r="D4721" s="82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17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</row>
    <row r="4722" spans="1:38" x14ac:dyDescent="0.3">
      <c r="A4722" s="5"/>
      <c r="B4722" s="4"/>
      <c r="C4722" s="4"/>
      <c r="D4722" s="82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17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</row>
    <row r="4723" spans="1:38" x14ac:dyDescent="0.3">
      <c r="A4723" s="5"/>
      <c r="B4723" s="4"/>
      <c r="C4723" s="4"/>
      <c r="D4723" s="82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17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</row>
    <row r="4724" spans="1:38" x14ac:dyDescent="0.3">
      <c r="A4724" s="5"/>
      <c r="B4724" s="4"/>
      <c r="C4724" s="4"/>
      <c r="D4724" s="82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17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</row>
    <row r="4725" spans="1:38" x14ac:dyDescent="0.3">
      <c r="A4725" s="5"/>
      <c r="B4725" s="4"/>
      <c r="C4725" s="4"/>
      <c r="D4725" s="82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17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</row>
    <row r="4726" spans="1:38" x14ac:dyDescent="0.3">
      <c r="A4726" s="5"/>
      <c r="B4726" s="4"/>
      <c r="C4726" s="4"/>
      <c r="D4726" s="82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17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</row>
    <row r="4727" spans="1:38" x14ac:dyDescent="0.3">
      <c r="A4727" s="5"/>
      <c r="B4727" s="4"/>
      <c r="C4727" s="4"/>
      <c r="D4727" s="82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17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</row>
    <row r="4728" spans="1:38" x14ac:dyDescent="0.3">
      <c r="A4728" s="5"/>
      <c r="B4728" s="4"/>
      <c r="C4728" s="4"/>
      <c r="D4728" s="82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17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</row>
    <row r="4729" spans="1:38" x14ac:dyDescent="0.3">
      <c r="A4729" s="5"/>
      <c r="B4729" s="4"/>
      <c r="C4729" s="4"/>
      <c r="D4729" s="82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17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</row>
    <row r="4730" spans="1:38" x14ac:dyDescent="0.3">
      <c r="A4730" s="5"/>
      <c r="B4730" s="4"/>
      <c r="C4730" s="4"/>
      <c r="D4730" s="82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17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</row>
    <row r="4731" spans="1:38" x14ac:dyDescent="0.3">
      <c r="A4731" s="5"/>
      <c r="B4731" s="4"/>
      <c r="C4731" s="4"/>
      <c r="D4731" s="82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17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</row>
    <row r="4732" spans="1:38" x14ac:dyDescent="0.3">
      <c r="A4732" s="5"/>
      <c r="B4732" s="4"/>
      <c r="C4732" s="4"/>
      <c r="D4732" s="82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17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</row>
    <row r="4733" spans="1:38" x14ac:dyDescent="0.3">
      <c r="A4733" s="5"/>
      <c r="B4733" s="4"/>
      <c r="C4733" s="4"/>
      <c r="D4733" s="82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17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</row>
    <row r="4734" spans="1:38" x14ac:dyDescent="0.3">
      <c r="A4734" s="5"/>
      <c r="B4734" s="4"/>
      <c r="C4734" s="4"/>
      <c r="D4734" s="82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17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</row>
    <row r="4735" spans="1:38" x14ac:dyDescent="0.3">
      <c r="A4735" s="5"/>
      <c r="B4735" s="4"/>
      <c r="C4735" s="4"/>
      <c r="D4735" s="82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17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</row>
    <row r="4736" spans="1:38" x14ac:dyDescent="0.3">
      <c r="A4736" s="5"/>
      <c r="B4736" s="4"/>
      <c r="C4736" s="4"/>
      <c r="D4736" s="82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17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</row>
    <row r="4737" spans="1:38" x14ac:dyDescent="0.3">
      <c r="A4737" s="5"/>
      <c r="B4737" s="4"/>
      <c r="C4737" s="4"/>
      <c r="D4737" s="82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17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</row>
    <row r="4738" spans="1:38" x14ac:dyDescent="0.3">
      <c r="A4738" s="5"/>
      <c r="B4738" s="4"/>
      <c r="C4738" s="4"/>
      <c r="D4738" s="82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17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</row>
    <row r="4739" spans="1:38" x14ac:dyDescent="0.3">
      <c r="A4739" s="5"/>
      <c r="B4739" s="4"/>
      <c r="C4739" s="4"/>
      <c r="D4739" s="82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17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</row>
    <row r="4740" spans="1:38" x14ac:dyDescent="0.3">
      <c r="A4740" s="5"/>
      <c r="B4740" s="4"/>
      <c r="C4740" s="4"/>
      <c r="D4740" s="82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17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</row>
    <row r="4741" spans="1:38" x14ac:dyDescent="0.3">
      <c r="A4741" s="5"/>
      <c r="B4741" s="4"/>
      <c r="C4741" s="4"/>
      <c r="D4741" s="82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17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</row>
    <row r="4742" spans="1:38" x14ac:dyDescent="0.3">
      <c r="A4742" s="5"/>
      <c r="B4742" s="4"/>
      <c r="C4742" s="4"/>
      <c r="D4742" s="82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17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</row>
    <row r="4743" spans="1:38" x14ac:dyDescent="0.3">
      <c r="A4743" s="5"/>
      <c r="B4743" s="4"/>
      <c r="C4743" s="4"/>
      <c r="D4743" s="82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17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</row>
    <row r="4744" spans="1:38" x14ac:dyDescent="0.3">
      <c r="A4744" s="5"/>
      <c r="B4744" s="4"/>
      <c r="C4744" s="4"/>
      <c r="D4744" s="82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17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</row>
    <row r="4745" spans="1:38" x14ac:dyDescent="0.3">
      <c r="A4745" s="5"/>
      <c r="B4745" s="4"/>
      <c r="C4745" s="4"/>
      <c r="D4745" s="82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17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</row>
    <row r="4746" spans="1:38" x14ac:dyDescent="0.3">
      <c r="A4746" s="5"/>
      <c r="B4746" s="4"/>
      <c r="C4746" s="4"/>
      <c r="D4746" s="82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17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</row>
    <row r="4747" spans="1:38" x14ac:dyDescent="0.3">
      <c r="A4747" s="5"/>
      <c r="B4747" s="4"/>
      <c r="C4747" s="4"/>
      <c r="D4747" s="82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17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</row>
    <row r="4748" spans="1:38" x14ac:dyDescent="0.3">
      <c r="A4748" s="5"/>
      <c r="B4748" s="4"/>
      <c r="C4748" s="4"/>
      <c r="D4748" s="82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17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</row>
    <row r="4749" spans="1:38" x14ac:dyDescent="0.3">
      <c r="A4749" s="5"/>
      <c r="B4749" s="4"/>
      <c r="C4749" s="4"/>
      <c r="D4749" s="82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17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</row>
    <row r="4750" spans="1:38" x14ac:dyDescent="0.3">
      <c r="A4750" s="5"/>
      <c r="B4750" s="4"/>
      <c r="C4750" s="4"/>
      <c r="D4750" s="82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17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</row>
    <row r="4751" spans="1:38" x14ac:dyDescent="0.3">
      <c r="A4751" s="5"/>
      <c r="B4751" s="4"/>
      <c r="C4751" s="4"/>
      <c r="D4751" s="82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17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</row>
    <row r="4752" spans="1:38" x14ac:dyDescent="0.3">
      <c r="A4752" s="5"/>
      <c r="B4752" s="4"/>
      <c r="C4752" s="4"/>
      <c r="D4752" s="82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17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</row>
    <row r="4753" spans="1:38" x14ac:dyDescent="0.3">
      <c r="A4753" s="5"/>
      <c r="B4753" s="4"/>
      <c r="C4753" s="4"/>
      <c r="D4753" s="82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17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</row>
    <row r="4754" spans="1:38" x14ac:dyDescent="0.3">
      <c r="A4754" s="5"/>
      <c r="B4754" s="4"/>
      <c r="C4754" s="4"/>
      <c r="D4754" s="82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17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</row>
    <row r="4755" spans="1:38" x14ac:dyDescent="0.3">
      <c r="A4755" s="5"/>
      <c r="B4755" s="4"/>
      <c r="C4755" s="4"/>
      <c r="D4755" s="82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17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</row>
    <row r="4756" spans="1:38" x14ac:dyDescent="0.3">
      <c r="A4756" s="5"/>
      <c r="B4756" s="4"/>
      <c r="C4756" s="4"/>
      <c r="D4756" s="82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17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</row>
    <row r="4757" spans="1:38" x14ac:dyDescent="0.3">
      <c r="A4757" s="5"/>
      <c r="B4757" s="4"/>
      <c r="C4757" s="4"/>
      <c r="D4757" s="82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17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</row>
    <row r="4758" spans="1:38" x14ac:dyDescent="0.3">
      <c r="A4758" s="5"/>
      <c r="B4758" s="4"/>
      <c r="C4758" s="4"/>
      <c r="D4758" s="82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17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</row>
    <row r="4759" spans="1:38" x14ac:dyDescent="0.3">
      <c r="A4759" s="5"/>
      <c r="B4759" s="4"/>
      <c r="C4759" s="4"/>
      <c r="D4759" s="82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17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</row>
    <row r="4760" spans="1:38" x14ac:dyDescent="0.3">
      <c r="A4760" s="5"/>
      <c r="B4760" s="4"/>
      <c r="C4760" s="4"/>
      <c r="D4760" s="82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17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</row>
    <row r="4761" spans="1:38" x14ac:dyDescent="0.3">
      <c r="A4761" s="5"/>
      <c r="B4761" s="4"/>
      <c r="C4761" s="4"/>
      <c r="D4761" s="82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17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</row>
    <row r="4762" spans="1:38" x14ac:dyDescent="0.3">
      <c r="A4762" s="5"/>
      <c r="B4762" s="4"/>
      <c r="C4762" s="4"/>
      <c r="D4762" s="82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17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</row>
    <row r="4763" spans="1:38" x14ac:dyDescent="0.3">
      <c r="A4763" s="5"/>
      <c r="B4763" s="4"/>
      <c r="C4763" s="4"/>
      <c r="D4763" s="82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17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</row>
    <row r="4764" spans="1:38" x14ac:dyDescent="0.3">
      <c r="A4764" s="5"/>
      <c r="B4764" s="4"/>
      <c r="C4764" s="4"/>
      <c r="D4764" s="82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17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</row>
    <row r="4765" spans="1:38" x14ac:dyDescent="0.3">
      <c r="A4765" s="5"/>
      <c r="B4765" s="4"/>
      <c r="C4765" s="4"/>
      <c r="D4765" s="82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17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</row>
    <row r="4766" spans="1:38" x14ac:dyDescent="0.3">
      <c r="A4766" s="5"/>
      <c r="B4766" s="4"/>
      <c r="C4766" s="4"/>
      <c r="D4766" s="82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17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</row>
    <row r="4767" spans="1:38" x14ac:dyDescent="0.3">
      <c r="A4767" s="5"/>
      <c r="B4767" s="4"/>
      <c r="C4767" s="4"/>
      <c r="D4767" s="82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17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</row>
    <row r="4768" spans="1:38" x14ac:dyDescent="0.3">
      <c r="A4768" s="5"/>
      <c r="B4768" s="4"/>
      <c r="C4768" s="4"/>
      <c r="D4768" s="82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17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</row>
    <row r="4769" spans="1:38" x14ac:dyDescent="0.3">
      <c r="A4769" s="5"/>
      <c r="B4769" s="4"/>
      <c r="C4769" s="4"/>
      <c r="D4769" s="82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17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</row>
    <row r="4770" spans="1:38" x14ac:dyDescent="0.3">
      <c r="A4770" s="5"/>
      <c r="B4770" s="4"/>
      <c r="C4770" s="4"/>
      <c r="D4770" s="82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17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</row>
    <row r="4771" spans="1:38" x14ac:dyDescent="0.3">
      <c r="A4771" s="5"/>
      <c r="B4771" s="4"/>
      <c r="C4771" s="4"/>
      <c r="D4771" s="82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17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</row>
    <row r="4772" spans="1:38" x14ac:dyDescent="0.3">
      <c r="A4772" s="5"/>
      <c r="B4772" s="4"/>
      <c r="C4772" s="4"/>
      <c r="D4772" s="82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17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</row>
    <row r="4773" spans="1:38" x14ac:dyDescent="0.3">
      <c r="A4773" s="5"/>
      <c r="B4773" s="4"/>
      <c r="C4773" s="4"/>
      <c r="D4773" s="82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17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</row>
    <row r="4774" spans="1:38" x14ac:dyDescent="0.3">
      <c r="A4774" s="5"/>
      <c r="B4774" s="4"/>
      <c r="C4774" s="4"/>
      <c r="D4774" s="82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17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</row>
    <row r="4775" spans="1:38" x14ac:dyDescent="0.3">
      <c r="A4775" s="5"/>
      <c r="B4775" s="4"/>
      <c r="C4775" s="4"/>
      <c r="D4775" s="82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17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</row>
    <row r="4776" spans="1:38" x14ac:dyDescent="0.3">
      <c r="A4776" s="5"/>
      <c r="B4776" s="4"/>
      <c r="C4776" s="4"/>
      <c r="D4776" s="82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17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</row>
    <row r="4777" spans="1:38" x14ac:dyDescent="0.3">
      <c r="A4777" s="5"/>
      <c r="B4777" s="4"/>
      <c r="C4777" s="4"/>
      <c r="D4777" s="82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17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</row>
    <row r="4778" spans="1:38" x14ac:dyDescent="0.3">
      <c r="A4778" s="5"/>
      <c r="B4778" s="4"/>
      <c r="C4778" s="4"/>
      <c r="D4778" s="82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17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</row>
    <row r="4779" spans="1:38" x14ac:dyDescent="0.3">
      <c r="A4779" s="5"/>
      <c r="B4779" s="4"/>
      <c r="C4779" s="4"/>
      <c r="D4779" s="82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17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</row>
    <row r="4780" spans="1:38" x14ac:dyDescent="0.3">
      <c r="A4780" s="5"/>
      <c r="B4780" s="4"/>
      <c r="C4780" s="4"/>
      <c r="D4780" s="82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17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</row>
    <row r="4781" spans="1:38" x14ac:dyDescent="0.3">
      <c r="A4781" s="5"/>
      <c r="B4781" s="4"/>
      <c r="C4781" s="4"/>
      <c r="D4781" s="82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17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</row>
    <row r="4782" spans="1:38" x14ac:dyDescent="0.3">
      <c r="A4782" s="5"/>
      <c r="B4782" s="4"/>
      <c r="C4782" s="4"/>
      <c r="D4782" s="82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17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</row>
    <row r="4783" spans="1:38" x14ac:dyDescent="0.3">
      <c r="A4783" s="5"/>
      <c r="B4783" s="4"/>
      <c r="C4783" s="4"/>
      <c r="D4783" s="82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17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</row>
    <row r="4784" spans="1:38" x14ac:dyDescent="0.3">
      <c r="A4784" s="5"/>
      <c r="B4784" s="4"/>
      <c r="C4784" s="4"/>
      <c r="D4784" s="82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17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</row>
    <row r="4785" spans="1:38" x14ac:dyDescent="0.3">
      <c r="A4785" s="5"/>
      <c r="B4785" s="4"/>
      <c r="C4785" s="4"/>
      <c r="D4785" s="82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17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</row>
    <row r="4786" spans="1:38" x14ac:dyDescent="0.3">
      <c r="A4786" s="5"/>
      <c r="B4786" s="4"/>
      <c r="C4786" s="4"/>
      <c r="D4786" s="82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17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</row>
    <row r="4787" spans="1:38" x14ac:dyDescent="0.3">
      <c r="A4787" s="5"/>
      <c r="B4787" s="4"/>
      <c r="C4787" s="4"/>
      <c r="D4787" s="82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17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</row>
    <row r="4788" spans="1:38" x14ac:dyDescent="0.3">
      <c r="A4788" s="5"/>
      <c r="B4788" s="4"/>
      <c r="C4788" s="4"/>
      <c r="D4788" s="82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17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</row>
    <row r="4789" spans="1:38" x14ac:dyDescent="0.3">
      <c r="A4789" s="5"/>
      <c r="B4789" s="4"/>
      <c r="C4789" s="4"/>
      <c r="D4789" s="82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17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</row>
    <row r="4790" spans="1:38" x14ac:dyDescent="0.3">
      <c r="A4790" s="5"/>
      <c r="B4790" s="4"/>
      <c r="C4790" s="4"/>
      <c r="D4790" s="82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17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</row>
    <row r="4791" spans="1:38" x14ac:dyDescent="0.3">
      <c r="A4791" s="5"/>
      <c r="B4791" s="4"/>
      <c r="C4791" s="4"/>
      <c r="D4791" s="82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17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</row>
    <row r="4792" spans="1:38" x14ac:dyDescent="0.3">
      <c r="A4792" s="5"/>
      <c r="B4792" s="4"/>
      <c r="C4792" s="4"/>
      <c r="D4792" s="82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17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</row>
    <row r="4793" spans="1:38" x14ac:dyDescent="0.3">
      <c r="A4793" s="5"/>
      <c r="B4793" s="4"/>
      <c r="C4793" s="4"/>
      <c r="D4793" s="82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17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</row>
    <row r="4794" spans="1:38" x14ac:dyDescent="0.3">
      <c r="A4794" s="5"/>
      <c r="B4794" s="4"/>
      <c r="C4794" s="4"/>
      <c r="D4794" s="82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17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</row>
    <row r="4795" spans="1:38" x14ac:dyDescent="0.3">
      <c r="A4795" s="5"/>
      <c r="B4795" s="4"/>
      <c r="C4795" s="4"/>
      <c r="D4795" s="82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17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</row>
    <row r="4796" spans="1:38" x14ac:dyDescent="0.3">
      <c r="A4796" s="5"/>
      <c r="B4796" s="4"/>
      <c r="C4796" s="4"/>
      <c r="D4796" s="82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17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</row>
    <row r="4797" spans="1:38" x14ac:dyDescent="0.3">
      <c r="A4797" s="5"/>
      <c r="B4797" s="4"/>
      <c r="C4797" s="4"/>
      <c r="D4797" s="82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17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</row>
    <row r="4798" spans="1:38" x14ac:dyDescent="0.3">
      <c r="A4798" s="5"/>
      <c r="B4798" s="4"/>
      <c r="C4798" s="4"/>
      <c r="D4798" s="82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17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</row>
    <row r="4799" spans="1:38" x14ac:dyDescent="0.3">
      <c r="A4799" s="5"/>
      <c r="B4799" s="4"/>
      <c r="C4799" s="4"/>
      <c r="D4799" s="82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17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</row>
    <row r="4800" spans="1:38" x14ac:dyDescent="0.3">
      <c r="A4800" s="5"/>
      <c r="B4800" s="4"/>
      <c r="C4800" s="4"/>
      <c r="D4800" s="82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17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</row>
    <row r="4801" spans="1:38" x14ac:dyDescent="0.3">
      <c r="A4801" s="5"/>
      <c r="B4801" s="4"/>
      <c r="C4801" s="4"/>
      <c r="D4801" s="82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17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</row>
    <row r="4802" spans="1:38" x14ac:dyDescent="0.3">
      <c r="A4802" s="5"/>
      <c r="B4802" s="4"/>
      <c r="C4802" s="4"/>
      <c r="D4802" s="82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17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</row>
    <row r="4803" spans="1:38" x14ac:dyDescent="0.3">
      <c r="A4803" s="5"/>
      <c r="B4803" s="4"/>
      <c r="C4803" s="4"/>
      <c r="D4803" s="82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17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</row>
    <row r="4804" spans="1:38" x14ac:dyDescent="0.3">
      <c r="A4804" s="5"/>
      <c r="B4804" s="4"/>
      <c r="C4804" s="4"/>
      <c r="D4804" s="82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17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</row>
    <row r="4805" spans="1:38" x14ac:dyDescent="0.3">
      <c r="A4805" s="5"/>
      <c r="B4805" s="4"/>
      <c r="C4805" s="4"/>
      <c r="D4805" s="82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17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</row>
    <row r="4806" spans="1:38" x14ac:dyDescent="0.3">
      <c r="A4806" s="5"/>
      <c r="B4806" s="4"/>
      <c r="C4806" s="4"/>
      <c r="D4806" s="82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17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</row>
    <row r="4807" spans="1:38" x14ac:dyDescent="0.3">
      <c r="A4807" s="5"/>
      <c r="B4807" s="4"/>
      <c r="C4807" s="4"/>
      <c r="D4807" s="82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17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</row>
    <row r="4808" spans="1:38" x14ac:dyDescent="0.3">
      <c r="A4808" s="5"/>
      <c r="B4808" s="4"/>
      <c r="C4808" s="4"/>
      <c r="D4808" s="82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17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</row>
    <row r="4809" spans="1:38" x14ac:dyDescent="0.3">
      <c r="A4809" s="5"/>
      <c r="B4809" s="4"/>
      <c r="C4809" s="4"/>
      <c r="D4809" s="82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17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</row>
    <row r="4810" spans="1:38" x14ac:dyDescent="0.3">
      <c r="A4810" s="5"/>
      <c r="B4810" s="4"/>
      <c r="C4810" s="4"/>
      <c r="D4810" s="82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17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</row>
    <row r="4811" spans="1:38" x14ac:dyDescent="0.3">
      <c r="A4811" s="5"/>
      <c r="B4811" s="4"/>
      <c r="C4811" s="4"/>
      <c r="D4811" s="82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17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</row>
    <row r="4812" spans="1:38" x14ac:dyDescent="0.3">
      <c r="A4812" s="5"/>
      <c r="B4812" s="4"/>
      <c r="C4812" s="4"/>
      <c r="D4812" s="82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17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</row>
    <row r="4813" spans="1:38" x14ac:dyDescent="0.3">
      <c r="A4813" s="5"/>
      <c r="B4813" s="4"/>
      <c r="C4813" s="4"/>
      <c r="D4813" s="82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17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</row>
    <row r="4814" spans="1:38" x14ac:dyDescent="0.3">
      <c r="A4814" s="5"/>
      <c r="B4814" s="4"/>
      <c r="C4814" s="4"/>
      <c r="D4814" s="82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17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</row>
    <row r="4815" spans="1:38" x14ac:dyDescent="0.3">
      <c r="A4815" s="5"/>
      <c r="B4815" s="4"/>
      <c r="C4815" s="4"/>
      <c r="D4815" s="82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17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</row>
    <row r="4816" spans="1:38" x14ac:dyDescent="0.3">
      <c r="A4816" s="5"/>
      <c r="B4816" s="4"/>
      <c r="C4816" s="4"/>
      <c r="D4816" s="82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17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</row>
    <row r="4817" spans="1:38" x14ac:dyDescent="0.3">
      <c r="A4817" s="5"/>
      <c r="B4817" s="4"/>
      <c r="C4817" s="4"/>
      <c r="D4817" s="82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17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</row>
    <row r="4818" spans="1:38" x14ac:dyDescent="0.3">
      <c r="A4818" s="5"/>
      <c r="B4818" s="4"/>
      <c r="C4818" s="4"/>
      <c r="D4818" s="82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17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</row>
    <row r="4819" spans="1:38" x14ac:dyDescent="0.3">
      <c r="A4819" s="5"/>
      <c r="B4819" s="4"/>
      <c r="C4819" s="4"/>
      <c r="D4819" s="82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17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</row>
    <row r="4820" spans="1:38" x14ac:dyDescent="0.3">
      <c r="A4820" s="5"/>
      <c r="B4820" s="4"/>
      <c r="C4820" s="4"/>
      <c r="D4820" s="82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17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</row>
    <row r="4821" spans="1:38" x14ac:dyDescent="0.3">
      <c r="A4821" s="5"/>
      <c r="B4821" s="4"/>
      <c r="C4821" s="4"/>
      <c r="D4821" s="82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17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</row>
    <row r="4822" spans="1:38" x14ac:dyDescent="0.3">
      <c r="A4822" s="5"/>
      <c r="B4822" s="4"/>
      <c r="C4822" s="4"/>
      <c r="D4822" s="82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17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</row>
    <row r="4823" spans="1:38" x14ac:dyDescent="0.3">
      <c r="A4823" s="5"/>
      <c r="B4823" s="4"/>
      <c r="C4823" s="4"/>
      <c r="D4823" s="82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17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</row>
    <row r="4824" spans="1:38" x14ac:dyDescent="0.3">
      <c r="A4824" s="5"/>
      <c r="B4824" s="4"/>
      <c r="C4824" s="4"/>
      <c r="D4824" s="82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17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</row>
    <row r="4825" spans="1:38" x14ac:dyDescent="0.3">
      <c r="A4825" s="5"/>
      <c r="B4825" s="4"/>
      <c r="C4825" s="4"/>
      <c r="D4825" s="82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17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</row>
    <row r="4826" spans="1:38" x14ac:dyDescent="0.3">
      <c r="A4826" s="5"/>
      <c r="B4826" s="4"/>
      <c r="C4826" s="4"/>
      <c r="D4826" s="82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17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</row>
    <row r="4827" spans="1:38" x14ac:dyDescent="0.3">
      <c r="A4827" s="5"/>
      <c r="B4827" s="4"/>
      <c r="C4827" s="4"/>
      <c r="D4827" s="82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17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</row>
    <row r="4828" spans="1:38" x14ac:dyDescent="0.3">
      <c r="A4828" s="5"/>
      <c r="B4828" s="4"/>
      <c r="C4828" s="4"/>
      <c r="D4828" s="82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17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</row>
    <row r="4829" spans="1:38" x14ac:dyDescent="0.3">
      <c r="A4829" s="5"/>
      <c r="B4829" s="4"/>
      <c r="C4829" s="4"/>
      <c r="D4829" s="82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17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</row>
    <row r="4830" spans="1:38" x14ac:dyDescent="0.3">
      <c r="A4830" s="5"/>
      <c r="B4830" s="4"/>
      <c r="C4830" s="4"/>
      <c r="D4830" s="82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17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</row>
    <row r="4831" spans="1:38" x14ac:dyDescent="0.3">
      <c r="A4831" s="5"/>
      <c r="B4831" s="4"/>
      <c r="C4831" s="4"/>
      <c r="D4831" s="82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17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</row>
    <row r="4832" spans="1:38" x14ac:dyDescent="0.3">
      <c r="A4832" s="5"/>
      <c r="B4832" s="4"/>
      <c r="C4832" s="4"/>
      <c r="D4832" s="82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17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</row>
    <row r="4833" spans="1:38" x14ac:dyDescent="0.3">
      <c r="A4833" s="5"/>
      <c r="B4833" s="4"/>
      <c r="C4833" s="4"/>
      <c r="D4833" s="82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17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</row>
    <row r="4834" spans="1:38" x14ac:dyDescent="0.3">
      <c r="A4834" s="5"/>
      <c r="B4834" s="4"/>
      <c r="C4834" s="4"/>
      <c r="D4834" s="82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17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</row>
    <row r="4835" spans="1:38" x14ac:dyDescent="0.3">
      <c r="A4835" s="5"/>
      <c r="B4835" s="4"/>
      <c r="C4835" s="4"/>
      <c r="D4835" s="82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17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</row>
    <row r="4836" spans="1:38" x14ac:dyDescent="0.3">
      <c r="A4836" s="5"/>
      <c r="B4836" s="4"/>
      <c r="C4836" s="4"/>
      <c r="D4836" s="82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17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</row>
    <row r="4837" spans="1:38" x14ac:dyDescent="0.3">
      <c r="A4837" s="5"/>
      <c r="B4837" s="4"/>
      <c r="C4837" s="4"/>
      <c r="D4837" s="82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17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</row>
    <row r="4838" spans="1:38" x14ac:dyDescent="0.3">
      <c r="A4838" s="5"/>
      <c r="B4838" s="4"/>
      <c r="C4838" s="4"/>
      <c r="D4838" s="82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17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</row>
    <row r="4839" spans="1:38" x14ac:dyDescent="0.3">
      <c r="A4839" s="5"/>
      <c r="B4839" s="4"/>
      <c r="C4839" s="4"/>
      <c r="D4839" s="82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17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</row>
    <row r="4840" spans="1:38" x14ac:dyDescent="0.3">
      <c r="A4840" s="5"/>
      <c r="B4840" s="4"/>
      <c r="C4840" s="4"/>
      <c r="D4840" s="82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17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</row>
    <row r="4841" spans="1:38" x14ac:dyDescent="0.3">
      <c r="A4841" s="5"/>
      <c r="B4841" s="4"/>
      <c r="C4841" s="4"/>
      <c r="D4841" s="82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17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</row>
    <row r="4842" spans="1:38" x14ac:dyDescent="0.3">
      <c r="A4842" s="5"/>
      <c r="B4842" s="4"/>
      <c r="C4842" s="4"/>
      <c r="D4842" s="82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17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</row>
    <row r="4843" spans="1:38" x14ac:dyDescent="0.3">
      <c r="A4843" s="5"/>
      <c r="B4843" s="4"/>
      <c r="C4843" s="4"/>
      <c r="D4843" s="82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17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</row>
    <row r="4844" spans="1:38" x14ac:dyDescent="0.3">
      <c r="A4844" s="5"/>
      <c r="B4844" s="4"/>
      <c r="C4844" s="4"/>
      <c r="D4844" s="82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17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</row>
    <row r="4845" spans="1:38" x14ac:dyDescent="0.3">
      <c r="A4845" s="5"/>
      <c r="B4845" s="4"/>
      <c r="C4845" s="4"/>
      <c r="D4845" s="82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17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</row>
    <row r="4846" spans="1:38" x14ac:dyDescent="0.3">
      <c r="A4846" s="5"/>
      <c r="B4846" s="4"/>
      <c r="C4846" s="4"/>
      <c r="D4846" s="82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17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</row>
    <row r="4847" spans="1:38" x14ac:dyDescent="0.3">
      <c r="A4847" s="5"/>
      <c r="B4847" s="4"/>
      <c r="C4847" s="4"/>
      <c r="D4847" s="82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17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</row>
    <row r="4848" spans="1:38" x14ac:dyDescent="0.3">
      <c r="A4848" s="5"/>
      <c r="B4848" s="4"/>
      <c r="C4848" s="4"/>
      <c r="D4848" s="82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17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</row>
    <row r="4849" spans="1:38" x14ac:dyDescent="0.3">
      <c r="A4849" s="5"/>
      <c r="B4849" s="4"/>
      <c r="C4849" s="4"/>
      <c r="D4849" s="82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17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</row>
    <row r="4850" spans="1:38" x14ac:dyDescent="0.3">
      <c r="A4850" s="5"/>
      <c r="B4850" s="4"/>
      <c r="C4850" s="4"/>
      <c r="D4850" s="82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17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</row>
    <row r="4851" spans="1:38" x14ac:dyDescent="0.3">
      <c r="A4851" s="5"/>
      <c r="B4851" s="4"/>
      <c r="C4851" s="4"/>
      <c r="D4851" s="82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17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</row>
    <row r="4852" spans="1:38" x14ac:dyDescent="0.3">
      <c r="A4852" s="5"/>
      <c r="B4852" s="4"/>
      <c r="C4852" s="4"/>
      <c r="D4852" s="82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17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</row>
    <row r="4853" spans="1:38" x14ac:dyDescent="0.3">
      <c r="A4853" s="5"/>
      <c r="B4853" s="4"/>
      <c r="C4853" s="4"/>
      <c r="D4853" s="82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17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</row>
    <row r="4854" spans="1:38" x14ac:dyDescent="0.3">
      <c r="A4854" s="5"/>
      <c r="B4854" s="4"/>
      <c r="C4854" s="4"/>
      <c r="D4854" s="82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17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</row>
    <row r="4855" spans="1:38" x14ac:dyDescent="0.3">
      <c r="A4855" s="5"/>
      <c r="B4855" s="4"/>
      <c r="C4855" s="4"/>
      <c r="D4855" s="82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17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</row>
    <row r="4856" spans="1:38" x14ac:dyDescent="0.3">
      <c r="A4856" s="5"/>
      <c r="B4856" s="4"/>
      <c r="C4856" s="4"/>
      <c r="D4856" s="82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17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</row>
    <row r="4857" spans="1:38" x14ac:dyDescent="0.3">
      <c r="A4857" s="5"/>
      <c r="B4857" s="4"/>
      <c r="C4857" s="4"/>
      <c r="D4857" s="82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17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</row>
    <row r="4858" spans="1:38" x14ac:dyDescent="0.3">
      <c r="A4858" s="5"/>
      <c r="B4858" s="4"/>
      <c r="C4858" s="4"/>
      <c r="D4858" s="82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17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</row>
    <row r="4859" spans="1:38" x14ac:dyDescent="0.3">
      <c r="A4859" s="5"/>
      <c r="B4859" s="4"/>
      <c r="C4859" s="4"/>
      <c r="D4859" s="82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17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</row>
    <row r="4860" spans="1:38" x14ac:dyDescent="0.3">
      <c r="A4860" s="5"/>
      <c r="B4860" s="4"/>
      <c r="C4860" s="4"/>
      <c r="D4860" s="82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17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</row>
    <row r="4861" spans="1:38" x14ac:dyDescent="0.3">
      <c r="A4861" s="5"/>
      <c r="B4861" s="4"/>
      <c r="C4861" s="4"/>
      <c r="D4861" s="82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17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</row>
    <row r="4862" spans="1:38" x14ac:dyDescent="0.3">
      <c r="A4862" s="5"/>
      <c r="B4862" s="4"/>
      <c r="C4862" s="4"/>
      <c r="D4862" s="82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17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</row>
    <row r="4863" spans="1:38" x14ac:dyDescent="0.3">
      <c r="A4863" s="5"/>
      <c r="B4863" s="4"/>
      <c r="C4863" s="4"/>
      <c r="D4863" s="82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17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</row>
    <row r="4864" spans="1:38" x14ac:dyDescent="0.3">
      <c r="A4864" s="5"/>
      <c r="B4864" s="4"/>
      <c r="C4864" s="4"/>
      <c r="D4864" s="82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17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</row>
    <row r="4865" spans="1:38" x14ac:dyDescent="0.3">
      <c r="A4865" s="5"/>
      <c r="B4865" s="4"/>
      <c r="C4865" s="4"/>
      <c r="D4865" s="82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17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</row>
    <row r="4866" spans="1:38" x14ac:dyDescent="0.3">
      <c r="A4866" s="5"/>
      <c r="B4866" s="4"/>
      <c r="C4866" s="4"/>
      <c r="D4866" s="82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17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</row>
    <row r="4867" spans="1:38" x14ac:dyDescent="0.3">
      <c r="A4867" s="5"/>
      <c r="B4867" s="4"/>
      <c r="C4867" s="4"/>
      <c r="D4867" s="82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17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</row>
    <row r="4868" spans="1:38" x14ac:dyDescent="0.3">
      <c r="A4868" s="5"/>
      <c r="B4868" s="4"/>
      <c r="C4868" s="4"/>
      <c r="D4868" s="82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17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</row>
    <row r="4869" spans="1:38" x14ac:dyDescent="0.3">
      <c r="A4869" s="5"/>
      <c r="B4869" s="4"/>
      <c r="C4869" s="4"/>
      <c r="D4869" s="82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17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</row>
    <row r="4870" spans="1:38" x14ac:dyDescent="0.3">
      <c r="A4870" s="5"/>
      <c r="B4870" s="4"/>
      <c r="C4870" s="4"/>
      <c r="D4870" s="82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17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</row>
    <row r="4871" spans="1:38" x14ac:dyDescent="0.3">
      <c r="A4871" s="5"/>
      <c r="B4871" s="4"/>
      <c r="C4871" s="4"/>
      <c r="D4871" s="82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17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</row>
    <row r="4872" spans="1:38" x14ac:dyDescent="0.3">
      <c r="A4872" s="5"/>
      <c r="B4872" s="4"/>
      <c r="C4872" s="4"/>
      <c r="D4872" s="82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17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</row>
    <row r="4873" spans="1:38" x14ac:dyDescent="0.3">
      <c r="A4873" s="5"/>
      <c r="B4873" s="4"/>
      <c r="C4873" s="4"/>
      <c r="D4873" s="82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17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</row>
    <row r="4874" spans="1:38" x14ac:dyDescent="0.3">
      <c r="A4874" s="5"/>
      <c r="B4874" s="4"/>
      <c r="C4874" s="4"/>
      <c r="D4874" s="82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17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</row>
    <row r="4875" spans="1:38" x14ac:dyDescent="0.3">
      <c r="A4875" s="5"/>
      <c r="B4875" s="4"/>
      <c r="C4875" s="4"/>
      <c r="D4875" s="82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17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</row>
    <row r="4876" spans="1:38" x14ac:dyDescent="0.3">
      <c r="A4876" s="5"/>
      <c r="B4876" s="4"/>
      <c r="C4876" s="4"/>
      <c r="D4876" s="82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17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</row>
    <row r="4877" spans="1:38" x14ac:dyDescent="0.3">
      <c r="A4877" s="5"/>
      <c r="B4877" s="4"/>
      <c r="C4877" s="4"/>
      <c r="D4877" s="82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17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</row>
    <row r="4878" spans="1:38" x14ac:dyDescent="0.3">
      <c r="A4878" s="5"/>
      <c r="B4878" s="4"/>
      <c r="C4878" s="4"/>
      <c r="D4878" s="82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17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</row>
    <row r="4879" spans="1:38" x14ac:dyDescent="0.3">
      <c r="A4879" s="5"/>
      <c r="B4879" s="4"/>
      <c r="C4879" s="4"/>
      <c r="D4879" s="82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17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</row>
    <row r="4880" spans="1:38" x14ac:dyDescent="0.3">
      <c r="A4880" s="5"/>
      <c r="B4880" s="4"/>
      <c r="C4880" s="4"/>
      <c r="D4880" s="82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17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</row>
    <row r="4881" spans="1:38" x14ac:dyDescent="0.3">
      <c r="A4881" s="5"/>
      <c r="B4881" s="4"/>
      <c r="C4881" s="4"/>
      <c r="D4881" s="82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17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</row>
    <row r="4882" spans="1:38" x14ac:dyDescent="0.3">
      <c r="A4882" s="5"/>
      <c r="B4882" s="4"/>
      <c r="C4882" s="4"/>
      <c r="D4882" s="82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17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</row>
    <row r="4883" spans="1:38" x14ac:dyDescent="0.3">
      <c r="A4883" s="5"/>
      <c r="B4883" s="4"/>
      <c r="C4883" s="4"/>
      <c r="D4883" s="82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17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</row>
    <row r="4884" spans="1:38" x14ac:dyDescent="0.3">
      <c r="A4884" s="5"/>
      <c r="B4884" s="4"/>
      <c r="C4884" s="4"/>
      <c r="D4884" s="82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17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</row>
    <row r="4885" spans="1:38" x14ac:dyDescent="0.3">
      <c r="A4885" s="5"/>
      <c r="B4885" s="4"/>
      <c r="C4885" s="4"/>
      <c r="D4885" s="82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17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</row>
    <row r="4886" spans="1:38" x14ac:dyDescent="0.3">
      <c r="A4886" s="5"/>
      <c r="B4886" s="4"/>
      <c r="C4886" s="4"/>
      <c r="D4886" s="82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17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</row>
    <row r="4887" spans="1:38" x14ac:dyDescent="0.3">
      <c r="A4887" s="5"/>
      <c r="B4887" s="4"/>
      <c r="C4887" s="4"/>
      <c r="D4887" s="82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17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</row>
    <row r="4888" spans="1:38" x14ac:dyDescent="0.3">
      <c r="A4888" s="5"/>
      <c r="B4888" s="4"/>
      <c r="C4888" s="4"/>
      <c r="D4888" s="82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17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</row>
    <row r="4889" spans="1:38" x14ac:dyDescent="0.3">
      <c r="A4889" s="5"/>
      <c r="B4889" s="4"/>
      <c r="C4889" s="4"/>
      <c r="D4889" s="82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17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</row>
    <row r="4890" spans="1:38" x14ac:dyDescent="0.3">
      <c r="A4890" s="5"/>
      <c r="B4890" s="4"/>
      <c r="C4890" s="4"/>
      <c r="D4890" s="82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17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</row>
    <row r="4891" spans="1:38" x14ac:dyDescent="0.3">
      <c r="A4891" s="5"/>
      <c r="B4891" s="4"/>
      <c r="C4891" s="4"/>
      <c r="D4891" s="82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17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</row>
    <row r="4892" spans="1:38" x14ac:dyDescent="0.3">
      <c r="A4892" s="5"/>
      <c r="B4892" s="4"/>
      <c r="C4892" s="4"/>
      <c r="D4892" s="82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17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</row>
    <row r="4893" spans="1:38" x14ac:dyDescent="0.3">
      <c r="A4893" s="5"/>
      <c r="B4893" s="4"/>
      <c r="C4893" s="4"/>
      <c r="D4893" s="82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17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</row>
    <row r="4894" spans="1:38" x14ac:dyDescent="0.3">
      <c r="A4894" s="5"/>
      <c r="B4894" s="4"/>
      <c r="C4894" s="4"/>
      <c r="D4894" s="82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17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</row>
    <row r="4895" spans="1:38" x14ac:dyDescent="0.3">
      <c r="A4895" s="5"/>
      <c r="B4895" s="4"/>
      <c r="C4895" s="4"/>
      <c r="D4895" s="82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17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</row>
    <row r="4896" spans="1:38" x14ac:dyDescent="0.3">
      <c r="A4896" s="5"/>
      <c r="B4896" s="4"/>
      <c r="C4896" s="4"/>
      <c r="D4896" s="82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17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</row>
    <row r="4897" spans="1:38" x14ac:dyDescent="0.3">
      <c r="A4897" s="5"/>
      <c r="B4897" s="4"/>
      <c r="C4897" s="4"/>
      <c r="D4897" s="82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17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</row>
    <row r="4898" spans="1:38" x14ac:dyDescent="0.3">
      <c r="A4898" s="5"/>
      <c r="B4898" s="4"/>
      <c r="C4898" s="4"/>
      <c r="D4898" s="82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17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</row>
    <row r="4899" spans="1:38" x14ac:dyDescent="0.3">
      <c r="A4899" s="5"/>
      <c r="B4899" s="4"/>
      <c r="C4899" s="4"/>
      <c r="D4899" s="82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17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</row>
    <row r="4900" spans="1:38" x14ac:dyDescent="0.3">
      <c r="A4900" s="5"/>
      <c r="B4900" s="4"/>
      <c r="C4900" s="4"/>
      <c r="D4900" s="82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17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</row>
    <row r="4901" spans="1:38" x14ac:dyDescent="0.3">
      <c r="A4901" s="5"/>
      <c r="B4901" s="4"/>
      <c r="C4901" s="4"/>
      <c r="D4901" s="82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17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</row>
    <row r="4902" spans="1:38" x14ac:dyDescent="0.3">
      <c r="A4902" s="5"/>
      <c r="B4902" s="4"/>
      <c r="C4902" s="4"/>
      <c r="D4902" s="82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17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</row>
    <row r="4903" spans="1:38" x14ac:dyDescent="0.3">
      <c r="A4903" s="5"/>
      <c r="B4903" s="4"/>
      <c r="C4903" s="4"/>
      <c r="D4903" s="82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17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</row>
    <row r="4904" spans="1:38" x14ac:dyDescent="0.3">
      <c r="A4904" s="5"/>
      <c r="B4904" s="4"/>
      <c r="C4904" s="4"/>
      <c r="D4904" s="82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17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</row>
    <row r="4905" spans="1:38" x14ac:dyDescent="0.3">
      <c r="A4905" s="5"/>
      <c r="B4905" s="4"/>
      <c r="C4905" s="4"/>
      <c r="D4905" s="82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17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</row>
    <row r="4906" spans="1:38" x14ac:dyDescent="0.3">
      <c r="A4906" s="5"/>
      <c r="B4906" s="4"/>
      <c r="C4906" s="4"/>
      <c r="D4906" s="82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17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</row>
    <row r="4907" spans="1:38" x14ac:dyDescent="0.3">
      <c r="A4907" s="5"/>
      <c r="B4907" s="4"/>
      <c r="C4907" s="4"/>
      <c r="D4907" s="82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17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</row>
    <row r="4908" spans="1:38" x14ac:dyDescent="0.3">
      <c r="A4908" s="5"/>
      <c r="B4908" s="4"/>
      <c r="C4908" s="4"/>
      <c r="D4908" s="82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17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</row>
    <row r="4909" spans="1:38" x14ac:dyDescent="0.3">
      <c r="A4909" s="5"/>
      <c r="B4909" s="4"/>
      <c r="C4909" s="4"/>
      <c r="D4909" s="82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17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</row>
    <row r="4910" spans="1:38" x14ac:dyDescent="0.3">
      <c r="A4910" s="5"/>
      <c r="B4910" s="4"/>
      <c r="C4910" s="4"/>
      <c r="D4910" s="82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17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</row>
    <row r="4911" spans="1:38" x14ac:dyDescent="0.3">
      <c r="A4911" s="5"/>
      <c r="B4911" s="4"/>
      <c r="C4911" s="4"/>
      <c r="D4911" s="82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17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</row>
    <row r="4912" spans="1:38" x14ac:dyDescent="0.3">
      <c r="A4912" s="5"/>
      <c r="B4912" s="4"/>
      <c r="C4912" s="4"/>
      <c r="D4912" s="82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17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</row>
    <row r="4913" spans="1:38" x14ac:dyDescent="0.3">
      <c r="A4913" s="5"/>
      <c r="B4913" s="4"/>
      <c r="C4913" s="4"/>
      <c r="D4913" s="82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17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</row>
    <row r="4914" spans="1:38" x14ac:dyDescent="0.3">
      <c r="A4914" s="5"/>
      <c r="B4914" s="4"/>
      <c r="C4914" s="4"/>
      <c r="D4914" s="82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17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</row>
    <row r="4915" spans="1:38" x14ac:dyDescent="0.3">
      <c r="A4915" s="5"/>
      <c r="B4915" s="4"/>
      <c r="C4915" s="4"/>
      <c r="D4915" s="82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17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</row>
    <row r="4916" spans="1:38" x14ac:dyDescent="0.3">
      <c r="A4916" s="5"/>
      <c r="B4916" s="4"/>
      <c r="C4916" s="4"/>
      <c r="D4916" s="82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17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</row>
    <row r="4917" spans="1:38" x14ac:dyDescent="0.3">
      <c r="A4917" s="5"/>
      <c r="B4917" s="4"/>
      <c r="C4917" s="4"/>
      <c r="D4917" s="82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17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</row>
    <row r="4918" spans="1:38" x14ac:dyDescent="0.3">
      <c r="A4918" s="5"/>
      <c r="B4918" s="4"/>
      <c r="C4918" s="4"/>
      <c r="D4918" s="82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17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</row>
    <row r="4919" spans="1:38" x14ac:dyDescent="0.3">
      <c r="A4919" s="5"/>
      <c r="B4919" s="4"/>
      <c r="C4919" s="4"/>
      <c r="D4919" s="82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17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</row>
    <row r="4920" spans="1:38" x14ac:dyDescent="0.3">
      <c r="A4920" s="5"/>
      <c r="B4920" s="4"/>
      <c r="C4920" s="4"/>
      <c r="D4920" s="82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17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</row>
    <row r="4921" spans="1:38" x14ac:dyDescent="0.3">
      <c r="A4921" s="5"/>
      <c r="B4921" s="4"/>
      <c r="C4921" s="4"/>
      <c r="D4921" s="82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17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</row>
    <row r="4922" spans="1:38" x14ac:dyDescent="0.3">
      <c r="A4922" s="5"/>
      <c r="B4922" s="4"/>
      <c r="C4922" s="4"/>
      <c r="D4922" s="82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17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</row>
    <row r="4923" spans="1:38" x14ac:dyDescent="0.3">
      <c r="A4923" s="5"/>
      <c r="B4923" s="4"/>
      <c r="C4923" s="4"/>
      <c r="D4923" s="82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17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</row>
    <row r="4924" spans="1:38" x14ac:dyDescent="0.3">
      <c r="A4924" s="5"/>
      <c r="B4924" s="4"/>
      <c r="C4924" s="4"/>
      <c r="D4924" s="82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17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</row>
    <row r="4925" spans="1:38" x14ac:dyDescent="0.3">
      <c r="A4925" s="5"/>
      <c r="B4925" s="4"/>
      <c r="C4925" s="4"/>
      <c r="D4925" s="82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17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</row>
    <row r="4926" spans="1:38" x14ac:dyDescent="0.3">
      <c r="A4926" s="5"/>
      <c r="B4926" s="4"/>
      <c r="C4926" s="4"/>
      <c r="D4926" s="82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17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</row>
    <row r="4927" spans="1:38" x14ac:dyDescent="0.3">
      <c r="A4927" s="5"/>
      <c r="B4927" s="4"/>
      <c r="C4927" s="4"/>
      <c r="D4927" s="82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17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</row>
    <row r="4928" spans="1:38" x14ac:dyDescent="0.3">
      <c r="A4928" s="5"/>
      <c r="B4928" s="4"/>
      <c r="C4928" s="4"/>
      <c r="D4928" s="82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17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</row>
    <row r="4929" spans="1:38" x14ac:dyDescent="0.3">
      <c r="A4929" s="5"/>
      <c r="B4929" s="4"/>
      <c r="C4929" s="4"/>
      <c r="D4929" s="82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17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</row>
    <row r="4930" spans="1:38" x14ac:dyDescent="0.3">
      <c r="A4930" s="5"/>
      <c r="B4930" s="4"/>
      <c r="C4930" s="4"/>
      <c r="D4930" s="82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17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</row>
    <row r="4931" spans="1:38" x14ac:dyDescent="0.3">
      <c r="A4931" s="5"/>
      <c r="B4931" s="4"/>
      <c r="C4931" s="4"/>
      <c r="D4931" s="82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17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</row>
    <row r="4932" spans="1:38" x14ac:dyDescent="0.3">
      <c r="A4932" s="5"/>
      <c r="B4932" s="4"/>
      <c r="C4932" s="4"/>
      <c r="D4932" s="82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17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</row>
    <row r="4933" spans="1:38" x14ac:dyDescent="0.3">
      <c r="A4933" s="5"/>
      <c r="B4933" s="4"/>
      <c r="C4933" s="4"/>
      <c r="D4933" s="82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17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</row>
    <row r="4934" spans="1:38" x14ac:dyDescent="0.3">
      <c r="A4934" s="5"/>
      <c r="B4934" s="4"/>
      <c r="C4934" s="4"/>
      <c r="D4934" s="82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17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</row>
    <row r="4935" spans="1:38" x14ac:dyDescent="0.3">
      <c r="A4935" s="5"/>
      <c r="B4935" s="4"/>
      <c r="C4935" s="4"/>
      <c r="D4935" s="82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17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</row>
    <row r="4936" spans="1:38" x14ac:dyDescent="0.3">
      <c r="A4936" s="5"/>
      <c r="B4936" s="4"/>
      <c r="C4936" s="4"/>
      <c r="D4936" s="82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17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</row>
    <row r="4937" spans="1:38" x14ac:dyDescent="0.3">
      <c r="A4937" s="5"/>
      <c r="B4937" s="4"/>
      <c r="C4937" s="4"/>
      <c r="D4937" s="82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17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</row>
    <row r="4938" spans="1:38" x14ac:dyDescent="0.3">
      <c r="A4938" s="5"/>
      <c r="B4938" s="4"/>
      <c r="C4938" s="4"/>
      <c r="D4938" s="82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17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</row>
    <row r="4939" spans="1:38" x14ac:dyDescent="0.3">
      <c r="A4939" s="5"/>
      <c r="B4939" s="4"/>
      <c r="C4939" s="4"/>
      <c r="D4939" s="82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17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</row>
    <row r="4940" spans="1:38" x14ac:dyDescent="0.3">
      <c r="A4940" s="5"/>
      <c r="B4940" s="4"/>
      <c r="C4940" s="4"/>
      <c r="D4940" s="82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17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</row>
    <row r="4941" spans="1:38" x14ac:dyDescent="0.3">
      <c r="A4941" s="5"/>
      <c r="B4941" s="4"/>
      <c r="C4941" s="4"/>
      <c r="D4941" s="82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17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</row>
    <row r="4942" spans="1:38" x14ac:dyDescent="0.3">
      <c r="A4942" s="5"/>
      <c r="B4942" s="4"/>
      <c r="C4942" s="4"/>
      <c r="D4942" s="82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17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</row>
    <row r="4943" spans="1:38" x14ac:dyDescent="0.3">
      <c r="A4943" s="5"/>
      <c r="B4943" s="4"/>
      <c r="C4943" s="4"/>
      <c r="D4943" s="82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17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</row>
    <row r="4944" spans="1:38" x14ac:dyDescent="0.3">
      <c r="A4944" s="5"/>
      <c r="B4944" s="4"/>
      <c r="C4944" s="4"/>
      <c r="D4944" s="82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17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</row>
    <row r="4945" spans="1:38" x14ac:dyDescent="0.3">
      <c r="A4945" s="5"/>
      <c r="B4945" s="4"/>
      <c r="C4945" s="4"/>
      <c r="D4945" s="82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17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</row>
    <row r="4946" spans="1:38" x14ac:dyDescent="0.3">
      <c r="A4946" s="5"/>
      <c r="B4946" s="4"/>
      <c r="C4946" s="4"/>
      <c r="D4946" s="82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17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</row>
    <row r="4947" spans="1:38" x14ac:dyDescent="0.3">
      <c r="A4947" s="5"/>
      <c r="B4947" s="4"/>
      <c r="C4947" s="4"/>
      <c r="D4947" s="82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17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</row>
    <row r="4948" spans="1:38" x14ac:dyDescent="0.3">
      <c r="A4948" s="5"/>
      <c r="B4948" s="4"/>
      <c r="C4948" s="4"/>
      <c r="D4948" s="82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17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</row>
    <row r="4949" spans="1:38" x14ac:dyDescent="0.3">
      <c r="A4949" s="5"/>
      <c r="B4949" s="4"/>
      <c r="C4949" s="4"/>
      <c r="D4949" s="82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17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</row>
    <row r="4950" spans="1:38" x14ac:dyDescent="0.3">
      <c r="A4950" s="5"/>
      <c r="B4950" s="4"/>
      <c r="C4950" s="4"/>
      <c r="D4950" s="82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17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</row>
    <row r="4951" spans="1:38" x14ac:dyDescent="0.3">
      <c r="A4951" s="5"/>
      <c r="B4951" s="4"/>
      <c r="C4951" s="4"/>
      <c r="D4951" s="82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17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</row>
    <row r="4952" spans="1:38" x14ac:dyDescent="0.3">
      <c r="A4952" s="5"/>
      <c r="B4952" s="4"/>
      <c r="C4952" s="4"/>
      <c r="D4952" s="82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17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</row>
    <row r="4953" spans="1:38" x14ac:dyDescent="0.3">
      <c r="A4953" s="5"/>
      <c r="B4953" s="4"/>
      <c r="C4953" s="4"/>
      <c r="D4953" s="82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17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</row>
    <row r="4954" spans="1:38" x14ac:dyDescent="0.3">
      <c r="A4954" s="5"/>
      <c r="B4954" s="4"/>
      <c r="C4954" s="4"/>
      <c r="D4954" s="82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17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</row>
    <row r="4955" spans="1:38" x14ac:dyDescent="0.3">
      <c r="A4955" s="5"/>
      <c r="B4955" s="4"/>
      <c r="C4955" s="4"/>
      <c r="D4955" s="82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17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</row>
    <row r="4956" spans="1:38" x14ac:dyDescent="0.3">
      <c r="A4956" s="5"/>
      <c r="B4956" s="4"/>
      <c r="C4956" s="4"/>
      <c r="D4956" s="82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17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</row>
    <row r="4957" spans="1:38" x14ac:dyDescent="0.3">
      <c r="A4957" s="5"/>
      <c r="B4957" s="4"/>
      <c r="C4957" s="4"/>
      <c r="D4957" s="82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17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</row>
    <row r="4958" spans="1:38" x14ac:dyDescent="0.3">
      <c r="A4958" s="5"/>
      <c r="B4958" s="4"/>
      <c r="C4958" s="4"/>
      <c r="D4958" s="82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17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</row>
    <row r="4959" spans="1:38" x14ac:dyDescent="0.3">
      <c r="A4959" s="5"/>
      <c r="B4959" s="4"/>
      <c r="C4959" s="4"/>
      <c r="D4959" s="82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17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</row>
    <row r="4960" spans="1:38" x14ac:dyDescent="0.3">
      <c r="A4960" s="5"/>
      <c r="B4960" s="4"/>
      <c r="C4960" s="4"/>
      <c r="D4960" s="82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17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</row>
    <row r="4961" spans="1:38" x14ac:dyDescent="0.3">
      <c r="A4961" s="5"/>
      <c r="B4961" s="4"/>
      <c r="C4961" s="4"/>
      <c r="D4961" s="82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17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</row>
    <row r="4962" spans="1:38" x14ac:dyDescent="0.3">
      <c r="A4962" s="5"/>
      <c r="B4962" s="4"/>
      <c r="C4962" s="4"/>
      <c r="D4962" s="82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17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</row>
    <row r="4963" spans="1:38" x14ac:dyDescent="0.3">
      <c r="A4963" s="5"/>
      <c r="B4963" s="4"/>
      <c r="C4963" s="4"/>
      <c r="D4963" s="82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17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</row>
    <row r="4964" spans="1:38" x14ac:dyDescent="0.3">
      <c r="A4964" s="5"/>
      <c r="B4964" s="4"/>
      <c r="C4964" s="4"/>
      <c r="D4964" s="82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17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</row>
    <row r="4965" spans="1:38" x14ac:dyDescent="0.3">
      <c r="A4965" s="5"/>
      <c r="B4965" s="4"/>
      <c r="C4965" s="4"/>
      <c r="D4965" s="82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17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</row>
    <row r="4966" spans="1:38" x14ac:dyDescent="0.3">
      <c r="A4966" s="5"/>
      <c r="B4966" s="4"/>
      <c r="C4966" s="4"/>
      <c r="D4966" s="82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17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</row>
    <row r="4967" spans="1:38" x14ac:dyDescent="0.3">
      <c r="A4967" s="5"/>
      <c r="B4967" s="4"/>
      <c r="C4967" s="4"/>
      <c r="D4967" s="82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17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</row>
    <row r="4968" spans="1:38" x14ac:dyDescent="0.3">
      <c r="A4968" s="5"/>
      <c r="B4968" s="4"/>
      <c r="C4968" s="4"/>
      <c r="D4968" s="82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17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</row>
    <row r="4969" spans="1:38" x14ac:dyDescent="0.3">
      <c r="A4969" s="5"/>
      <c r="B4969" s="4"/>
      <c r="C4969" s="4"/>
      <c r="D4969" s="82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17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</row>
    <row r="4970" spans="1:38" x14ac:dyDescent="0.3">
      <c r="A4970" s="5"/>
      <c r="B4970" s="4"/>
      <c r="C4970" s="4"/>
      <c r="D4970" s="82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17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</row>
    <row r="4971" spans="1:38" x14ac:dyDescent="0.3">
      <c r="A4971" s="5"/>
      <c r="B4971" s="4"/>
      <c r="C4971" s="4"/>
      <c r="D4971" s="82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17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</row>
    <row r="4972" spans="1:38" x14ac:dyDescent="0.3">
      <c r="A4972" s="5"/>
      <c r="B4972" s="4"/>
      <c r="C4972" s="4"/>
      <c r="D4972" s="82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17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</row>
    <row r="4973" spans="1:38" x14ac:dyDescent="0.3">
      <c r="A4973" s="5"/>
      <c r="B4973" s="4"/>
      <c r="C4973" s="4"/>
      <c r="D4973" s="82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17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</row>
    <row r="4974" spans="1:38" x14ac:dyDescent="0.3">
      <c r="A4974" s="5"/>
      <c r="B4974" s="4"/>
      <c r="C4974" s="4"/>
      <c r="D4974" s="82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17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</row>
    <row r="4975" spans="1:38" x14ac:dyDescent="0.3">
      <c r="A4975" s="5"/>
      <c r="B4975" s="4"/>
      <c r="C4975" s="4"/>
      <c r="D4975" s="82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17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</row>
    <row r="4976" spans="1:38" x14ac:dyDescent="0.3">
      <c r="A4976" s="5"/>
      <c r="B4976" s="4"/>
      <c r="C4976" s="4"/>
      <c r="D4976" s="82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17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</row>
    <row r="4977" spans="1:38" x14ac:dyDescent="0.3">
      <c r="A4977" s="5"/>
      <c r="B4977" s="4"/>
      <c r="C4977" s="4"/>
      <c r="D4977" s="82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17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</row>
    <row r="4978" spans="1:38" x14ac:dyDescent="0.3">
      <c r="A4978" s="5"/>
      <c r="B4978" s="4"/>
      <c r="C4978" s="4"/>
      <c r="D4978" s="82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17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</row>
    <row r="4979" spans="1:38" x14ac:dyDescent="0.3">
      <c r="A4979" s="5"/>
      <c r="B4979" s="4"/>
      <c r="C4979" s="4"/>
      <c r="D4979" s="82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17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</row>
    <row r="4980" spans="1:38" x14ac:dyDescent="0.3">
      <c r="A4980" s="5"/>
      <c r="B4980" s="4"/>
      <c r="C4980" s="4"/>
      <c r="D4980" s="82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17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</row>
    <row r="4981" spans="1:38" x14ac:dyDescent="0.3">
      <c r="A4981" s="5"/>
      <c r="B4981" s="4"/>
      <c r="C4981" s="4"/>
      <c r="D4981" s="82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17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</row>
    <row r="4982" spans="1:38" x14ac:dyDescent="0.3">
      <c r="A4982" s="5"/>
      <c r="B4982" s="4"/>
      <c r="C4982" s="4"/>
      <c r="D4982" s="82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17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</row>
    <row r="4983" spans="1:38" x14ac:dyDescent="0.3">
      <c r="A4983" s="5"/>
      <c r="B4983" s="4"/>
      <c r="C4983" s="4"/>
      <c r="D4983" s="82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17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</row>
    <row r="4984" spans="1:38" x14ac:dyDescent="0.3">
      <c r="A4984" s="5"/>
      <c r="B4984" s="4"/>
      <c r="C4984" s="4"/>
      <c r="D4984" s="82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17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</row>
    <row r="4985" spans="1:38" x14ac:dyDescent="0.3">
      <c r="A4985" s="5"/>
      <c r="B4985" s="4"/>
      <c r="C4985" s="4"/>
      <c r="D4985" s="82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17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</row>
    <row r="4986" spans="1:38" x14ac:dyDescent="0.3">
      <c r="A4986" s="5"/>
      <c r="B4986" s="4"/>
      <c r="C4986" s="4"/>
      <c r="D4986" s="82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17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</row>
    <row r="4987" spans="1:38" x14ac:dyDescent="0.3">
      <c r="A4987" s="5"/>
      <c r="B4987" s="4"/>
      <c r="C4987" s="4"/>
      <c r="D4987" s="82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17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</row>
    <row r="4988" spans="1:38" x14ac:dyDescent="0.3">
      <c r="A4988" s="5"/>
      <c r="B4988" s="4"/>
      <c r="C4988" s="4"/>
      <c r="D4988" s="82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17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</row>
    <row r="4989" spans="1:38" x14ac:dyDescent="0.3">
      <c r="A4989" s="5"/>
      <c r="B4989" s="4"/>
      <c r="C4989" s="4"/>
      <c r="D4989" s="82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17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</row>
    <row r="4990" spans="1:38" x14ac:dyDescent="0.3">
      <c r="A4990" s="5"/>
      <c r="B4990" s="4"/>
      <c r="C4990" s="4"/>
      <c r="D4990" s="82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17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</row>
    <row r="4991" spans="1:38" x14ac:dyDescent="0.3">
      <c r="A4991" s="5"/>
      <c r="B4991" s="4"/>
      <c r="C4991" s="4"/>
      <c r="D4991" s="82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17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</row>
    <row r="4992" spans="1:38" x14ac:dyDescent="0.3">
      <c r="A4992" s="5"/>
      <c r="B4992" s="4"/>
      <c r="C4992" s="4"/>
      <c r="D4992" s="82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17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</row>
    <row r="4993" spans="1:38" x14ac:dyDescent="0.3">
      <c r="A4993" s="5"/>
      <c r="B4993" s="4"/>
      <c r="C4993" s="4"/>
      <c r="D4993" s="82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17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</row>
    <row r="4994" spans="1:38" x14ac:dyDescent="0.3">
      <c r="A4994" s="5"/>
      <c r="B4994" s="4"/>
      <c r="C4994" s="4"/>
      <c r="D4994" s="82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17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</row>
    <row r="4995" spans="1:38" x14ac:dyDescent="0.3">
      <c r="A4995" s="5"/>
      <c r="B4995" s="4"/>
      <c r="C4995" s="4"/>
      <c r="D4995" s="82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17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</row>
    <row r="4996" spans="1:38" x14ac:dyDescent="0.3">
      <c r="A4996" s="5"/>
      <c r="B4996" s="4"/>
      <c r="C4996" s="4"/>
      <c r="D4996" s="82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17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</row>
    <row r="4997" spans="1:38" x14ac:dyDescent="0.3">
      <c r="A4997" s="5"/>
      <c r="B4997" s="4"/>
      <c r="C4997" s="4"/>
      <c r="D4997" s="82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17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</row>
    <row r="4998" spans="1:38" x14ac:dyDescent="0.3">
      <c r="A4998" s="5"/>
      <c r="B4998" s="4"/>
      <c r="C4998" s="4"/>
      <c r="D4998" s="82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17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</row>
    <row r="4999" spans="1:38" x14ac:dyDescent="0.3">
      <c r="A4999" s="5"/>
      <c r="B4999" s="4"/>
      <c r="C4999" s="4"/>
      <c r="D4999" s="82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17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</row>
    <row r="5000" spans="1:38" x14ac:dyDescent="0.3">
      <c r="A5000" s="5"/>
      <c r="B5000" s="4"/>
      <c r="C5000" s="4"/>
      <c r="D5000" s="82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17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</row>
    <row r="5001" spans="1:38" x14ac:dyDescent="0.3">
      <c r="A5001" s="5"/>
      <c r="B5001" s="4"/>
      <c r="C5001" s="4"/>
      <c r="D5001" s="82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17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</row>
    <row r="5002" spans="1:38" x14ac:dyDescent="0.3">
      <c r="A5002" s="5"/>
      <c r="B5002" s="4"/>
      <c r="C5002" s="4"/>
      <c r="D5002" s="82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17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</row>
    <row r="5003" spans="1:38" x14ac:dyDescent="0.3">
      <c r="A5003" s="5"/>
      <c r="B5003" s="4"/>
      <c r="C5003" s="4"/>
      <c r="D5003" s="82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17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</row>
    <row r="5004" spans="1:38" x14ac:dyDescent="0.3">
      <c r="A5004" s="5"/>
      <c r="B5004" s="4"/>
      <c r="C5004" s="4"/>
      <c r="D5004" s="82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17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</row>
    <row r="5005" spans="1:38" x14ac:dyDescent="0.3">
      <c r="A5005" s="5"/>
      <c r="B5005" s="4"/>
      <c r="C5005" s="4"/>
      <c r="D5005" s="82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17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</row>
    <row r="5006" spans="1:38" x14ac:dyDescent="0.3">
      <c r="A5006" s="5"/>
      <c r="B5006" s="4"/>
      <c r="C5006" s="4"/>
      <c r="D5006" s="82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17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</row>
    <row r="5007" spans="1:38" x14ac:dyDescent="0.3">
      <c r="A5007" s="5"/>
      <c r="B5007" s="4"/>
      <c r="C5007" s="4"/>
      <c r="D5007" s="82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17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</row>
    <row r="5008" spans="1:38" x14ac:dyDescent="0.3">
      <c r="A5008" s="5"/>
      <c r="B5008" s="4"/>
      <c r="C5008" s="4"/>
      <c r="D5008" s="82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17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</row>
    <row r="5009" spans="1:38" x14ac:dyDescent="0.3">
      <c r="A5009" s="5"/>
      <c r="B5009" s="4"/>
      <c r="C5009" s="4"/>
      <c r="D5009" s="82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17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</row>
    <row r="5010" spans="1:38" x14ac:dyDescent="0.3">
      <c r="A5010" s="5"/>
      <c r="B5010" s="4"/>
      <c r="C5010" s="4"/>
      <c r="D5010" s="82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17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</row>
    <row r="5011" spans="1:38" x14ac:dyDescent="0.3">
      <c r="A5011" s="5"/>
      <c r="B5011" s="4"/>
      <c r="C5011" s="4"/>
      <c r="D5011" s="82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17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</row>
    <row r="5012" spans="1:38" x14ac:dyDescent="0.3">
      <c r="A5012" s="5"/>
      <c r="B5012" s="4"/>
      <c r="C5012" s="4"/>
      <c r="D5012" s="82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17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</row>
    <row r="5013" spans="1:38" x14ac:dyDescent="0.3">
      <c r="A5013" s="5"/>
      <c r="B5013" s="4"/>
      <c r="C5013" s="4"/>
      <c r="D5013" s="82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17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</row>
    <row r="5014" spans="1:38" x14ac:dyDescent="0.3">
      <c r="A5014" s="5"/>
      <c r="B5014" s="4"/>
      <c r="C5014" s="4"/>
      <c r="D5014" s="82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17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</row>
    <row r="5015" spans="1:38" x14ac:dyDescent="0.3">
      <c r="A5015" s="5"/>
      <c r="B5015" s="4"/>
      <c r="C5015" s="4"/>
      <c r="D5015" s="82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17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</row>
    <row r="5016" spans="1:38" x14ac:dyDescent="0.3">
      <c r="A5016" s="5"/>
      <c r="B5016" s="4"/>
      <c r="C5016" s="4"/>
      <c r="D5016" s="82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17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</row>
    <row r="5017" spans="1:38" x14ac:dyDescent="0.3">
      <c r="A5017" s="5"/>
      <c r="B5017" s="4"/>
      <c r="C5017" s="4"/>
      <c r="D5017" s="82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17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</row>
    <row r="5018" spans="1:38" x14ac:dyDescent="0.3">
      <c r="A5018" s="5"/>
      <c r="B5018" s="4"/>
      <c r="C5018" s="4"/>
      <c r="D5018" s="82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17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</row>
    <row r="5019" spans="1:38" x14ac:dyDescent="0.3">
      <c r="A5019" s="5"/>
      <c r="B5019" s="4"/>
      <c r="C5019" s="4"/>
      <c r="D5019" s="82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17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</row>
    <row r="5020" spans="1:38" x14ac:dyDescent="0.3">
      <c r="A5020" s="5"/>
      <c r="B5020" s="4"/>
      <c r="C5020" s="4"/>
      <c r="D5020" s="82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17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</row>
    <row r="5021" spans="1:38" x14ac:dyDescent="0.3">
      <c r="A5021" s="5"/>
      <c r="B5021" s="4"/>
      <c r="C5021" s="4"/>
      <c r="D5021" s="82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17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</row>
    <row r="5022" spans="1:38" x14ac:dyDescent="0.3">
      <c r="A5022" s="5"/>
      <c r="B5022" s="4"/>
      <c r="C5022" s="4"/>
      <c r="D5022" s="82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17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</row>
    <row r="5023" spans="1:38" x14ac:dyDescent="0.3">
      <c r="A5023" s="5"/>
      <c r="B5023" s="4"/>
      <c r="C5023" s="4"/>
      <c r="D5023" s="82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17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</row>
    <row r="5024" spans="1:38" x14ac:dyDescent="0.3">
      <c r="A5024" s="5"/>
      <c r="B5024" s="4"/>
      <c r="C5024" s="4"/>
      <c r="D5024" s="82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17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</row>
    <row r="5025" spans="1:38" x14ac:dyDescent="0.3">
      <c r="A5025" s="5"/>
      <c r="B5025" s="4"/>
      <c r="C5025" s="4"/>
      <c r="D5025" s="82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17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</row>
    <row r="5026" spans="1:38" x14ac:dyDescent="0.3">
      <c r="A5026" s="5"/>
      <c r="B5026" s="4"/>
      <c r="C5026" s="4"/>
      <c r="D5026" s="82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17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</row>
    <row r="5027" spans="1:38" x14ac:dyDescent="0.3">
      <c r="A5027" s="5"/>
      <c r="B5027" s="4"/>
      <c r="C5027" s="4"/>
      <c r="D5027" s="82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17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</row>
    <row r="5028" spans="1:38" x14ac:dyDescent="0.3">
      <c r="A5028" s="5"/>
      <c r="B5028" s="4"/>
      <c r="C5028" s="4"/>
      <c r="D5028" s="82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17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</row>
    <row r="5029" spans="1:38" x14ac:dyDescent="0.3">
      <c r="A5029" s="5"/>
      <c r="B5029" s="4"/>
      <c r="C5029" s="4"/>
      <c r="D5029" s="82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17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</row>
    <row r="5030" spans="1:38" x14ac:dyDescent="0.3">
      <c r="A5030" s="5"/>
      <c r="B5030" s="4"/>
      <c r="C5030" s="4"/>
      <c r="D5030" s="82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17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</row>
    <row r="5031" spans="1:38" x14ac:dyDescent="0.3">
      <c r="A5031" s="5"/>
      <c r="B5031" s="4"/>
      <c r="C5031" s="4"/>
      <c r="D5031" s="82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17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</row>
    <row r="5032" spans="1:38" x14ac:dyDescent="0.3">
      <c r="A5032" s="5"/>
      <c r="B5032" s="4"/>
      <c r="C5032" s="4"/>
      <c r="D5032" s="82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17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</row>
    <row r="5033" spans="1:38" x14ac:dyDescent="0.3">
      <c r="A5033" s="5"/>
      <c r="B5033" s="4"/>
      <c r="C5033" s="4"/>
      <c r="D5033" s="82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17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</row>
    <row r="5034" spans="1:38" x14ac:dyDescent="0.3">
      <c r="A5034" s="5"/>
      <c r="B5034" s="4"/>
      <c r="C5034" s="4"/>
      <c r="D5034" s="82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17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</row>
    <row r="5035" spans="1:38" x14ac:dyDescent="0.3">
      <c r="A5035" s="5"/>
      <c r="B5035" s="4"/>
      <c r="C5035" s="4"/>
      <c r="D5035" s="82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17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</row>
    <row r="5036" spans="1:38" x14ac:dyDescent="0.3">
      <c r="A5036" s="5"/>
      <c r="B5036" s="4"/>
      <c r="C5036" s="4"/>
      <c r="D5036" s="82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17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</row>
    <row r="5037" spans="1:38" x14ac:dyDescent="0.3">
      <c r="A5037" s="5"/>
      <c r="B5037" s="4"/>
      <c r="C5037" s="4"/>
      <c r="D5037" s="82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17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</row>
    <row r="5038" spans="1:38" x14ac:dyDescent="0.3">
      <c r="A5038" s="5"/>
      <c r="B5038" s="4"/>
      <c r="C5038" s="4"/>
      <c r="D5038" s="82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17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</row>
    <row r="5039" spans="1:38" x14ac:dyDescent="0.3">
      <c r="A5039" s="5"/>
      <c r="B5039" s="4"/>
      <c r="C5039" s="4"/>
      <c r="D5039" s="82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17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</row>
    <row r="5040" spans="1:38" x14ac:dyDescent="0.3">
      <c r="A5040" s="5"/>
      <c r="B5040" s="4"/>
      <c r="C5040" s="4"/>
      <c r="D5040" s="82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17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</row>
    <row r="5041" spans="1:38" x14ac:dyDescent="0.3">
      <c r="A5041" s="5"/>
      <c r="B5041" s="4"/>
      <c r="C5041" s="4"/>
      <c r="D5041" s="82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17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</row>
    <row r="5042" spans="1:38" x14ac:dyDescent="0.3">
      <c r="A5042" s="5"/>
      <c r="B5042" s="4"/>
      <c r="C5042" s="4"/>
      <c r="D5042" s="82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17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</row>
    <row r="5043" spans="1:38" x14ac:dyDescent="0.3">
      <c r="A5043" s="5"/>
      <c r="B5043" s="4"/>
      <c r="C5043" s="4"/>
      <c r="D5043" s="82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17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</row>
    <row r="5044" spans="1:38" x14ac:dyDescent="0.3">
      <c r="A5044" s="5"/>
      <c r="B5044" s="4"/>
      <c r="C5044" s="4"/>
      <c r="D5044" s="82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17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</row>
    <row r="5045" spans="1:38" x14ac:dyDescent="0.3">
      <c r="A5045" s="5"/>
      <c r="B5045" s="4"/>
      <c r="C5045" s="4"/>
      <c r="D5045" s="82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17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</row>
    <row r="5046" spans="1:38" x14ac:dyDescent="0.3">
      <c r="A5046" s="5"/>
      <c r="B5046" s="4"/>
      <c r="C5046" s="4"/>
      <c r="D5046" s="82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17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</row>
    <row r="5047" spans="1:38" x14ac:dyDescent="0.3">
      <c r="A5047" s="5"/>
      <c r="B5047" s="4"/>
      <c r="C5047" s="4"/>
      <c r="D5047" s="82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17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</row>
    <row r="5048" spans="1:38" x14ac:dyDescent="0.3">
      <c r="A5048" s="5"/>
      <c r="B5048" s="4"/>
      <c r="C5048" s="4"/>
      <c r="D5048" s="82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17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</row>
    <row r="5049" spans="1:38" x14ac:dyDescent="0.3">
      <c r="A5049" s="5"/>
      <c r="B5049" s="4"/>
      <c r="C5049" s="4"/>
      <c r="D5049" s="82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17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</row>
    <row r="5050" spans="1:38" x14ac:dyDescent="0.3">
      <c r="A5050" s="5"/>
      <c r="B5050" s="4"/>
      <c r="C5050" s="4"/>
      <c r="D5050" s="82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17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</row>
    <row r="5051" spans="1:38" x14ac:dyDescent="0.3">
      <c r="A5051" s="5"/>
      <c r="B5051" s="4"/>
      <c r="C5051" s="4"/>
      <c r="D5051" s="82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17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</row>
    <row r="5052" spans="1:38" x14ac:dyDescent="0.3">
      <c r="A5052" s="5"/>
      <c r="B5052" s="4"/>
      <c r="C5052" s="4"/>
      <c r="D5052" s="82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17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</row>
    <row r="5053" spans="1:38" x14ac:dyDescent="0.3">
      <c r="A5053" s="5"/>
      <c r="B5053" s="4"/>
      <c r="C5053" s="4"/>
      <c r="D5053" s="82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17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</row>
    <row r="5054" spans="1:38" x14ac:dyDescent="0.3">
      <c r="A5054" s="5"/>
      <c r="B5054" s="4"/>
      <c r="C5054" s="4"/>
      <c r="D5054" s="82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17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</row>
    <row r="5055" spans="1:38" x14ac:dyDescent="0.3">
      <c r="A5055" s="5"/>
      <c r="B5055" s="4"/>
      <c r="C5055" s="4"/>
      <c r="D5055" s="82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17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</row>
    <row r="5056" spans="1:38" x14ac:dyDescent="0.3">
      <c r="A5056" s="5"/>
      <c r="B5056" s="4"/>
      <c r="C5056" s="4"/>
      <c r="D5056" s="82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17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</row>
    <row r="5057" spans="1:38" x14ac:dyDescent="0.3">
      <c r="A5057" s="5"/>
      <c r="B5057" s="4"/>
      <c r="C5057" s="4"/>
      <c r="D5057" s="82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17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</row>
    <row r="5058" spans="1:38" x14ac:dyDescent="0.3">
      <c r="A5058" s="5"/>
      <c r="B5058" s="4"/>
      <c r="C5058" s="4"/>
      <c r="D5058" s="82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17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</row>
    <row r="5059" spans="1:38" x14ac:dyDescent="0.3">
      <c r="A5059" s="5"/>
      <c r="B5059" s="4"/>
      <c r="C5059" s="4"/>
      <c r="D5059" s="82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17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</row>
    <row r="5060" spans="1:38" x14ac:dyDescent="0.3">
      <c r="A5060" s="5"/>
      <c r="B5060" s="4"/>
      <c r="C5060" s="4"/>
      <c r="D5060" s="82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17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</row>
    <row r="5061" spans="1:38" x14ac:dyDescent="0.3">
      <c r="A5061" s="5"/>
      <c r="B5061" s="4"/>
      <c r="C5061" s="4"/>
      <c r="D5061" s="82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17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</row>
    <row r="5062" spans="1:38" x14ac:dyDescent="0.3">
      <c r="A5062" s="5"/>
      <c r="B5062" s="4"/>
      <c r="C5062" s="4"/>
      <c r="D5062" s="82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17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</row>
    <row r="5063" spans="1:38" x14ac:dyDescent="0.3">
      <c r="A5063" s="5"/>
      <c r="B5063" s="4"/>
      <c r="C5063" s="4"/>
      <c r="D5063" s="82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17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</row>
    <row r="5064" spans="1:38" x14ac:dyDescent="0.3">
      <c r="A5064" s="5"/>
      <c r="B5064" s="4"/>
      <c r="C5064" s="4"/>
      <c r="D5064" s="82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17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</row>
    <row r="5065" spans="1:38" x14ac:dyDescent="0.3">
      <c r="A5065" s="5"/>
      <c r="B5065" s="4"/>
      <c r="C5065" s="4"/>
      <c r="D5065" s="82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17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</row>
    <row r="5066" spans="1:38" x14ac:dyDescent="0.3">
      <c r="A5066" s="5"/>
      <c r="B5066" s="4"/>
      <c r="C5066" s="4"/>
      <c r="D5066" s="82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17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</row>
    <row r="5067" spans="1:38" x14ac:dyDescent="0.3">
      <c r="A5067" s="5"/>
      <c r="B5067" s="4"/>
      <c r="C5067" s="4"/>
      <c r="D5067" s="82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17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</row>
    <row r="5068" spans="1:38" x14ac:dyDescent="0.3">
      <c r="A5068" s="5"/>
      <c r="B5068" s="4"/>
      <c r="C5068" s="4"/>
      <c r="D5068" s="82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17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</row>
    <row r="5069" spans="1:38" x14ac:dyDescent="0.3">
      <c r="A5069" s="5"/>
      <c r="B5069" s="4"/>
      <c r="C5069" s="4"/>
      <c r="D5069" s="82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17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</row>
    <row r="5070" spans="1:38" x14ac:dyDescent="0.3">
      <c r="A5070" s="5"/>
      <c r="B5070" s="4"/>
      <c r="C5070" s="4"/>
      <c r="D5070" s="82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17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</row>
    <row r="5071" spans="1:38" x14ac:dyDescent="0.3">
      <c r="A5071" s="5"/>
      <c r="B5071" s="4"/>
      <c r="C5071" s="4"/>
      <c r="D5071" s="82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17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</row>
    <row r="5072" spans="1:38" x14ac:dyDescent="0.3">
      <c r="A5072" s="5"/>
      <c r="B5072" s="4"/>
      <c r="C5072" s="4"/>
      <c r="D5072" s="82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17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</row>
    <row r="5073" spans="1:38" x14ac:dyDescent="0.3">
      <c r="A5073" s="5"/>
      <c r="B5073" s="4"/>
      <c r="C5073" s="4"/>
      <c r="D5073" s="82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17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</row>
    <row r="5074" spans="1:38" x14ac:dyDescent="0.3">
      <c r="A5074" s="5"/>
      <c r="B5074" s="4"/>
      <c r="C5074" s="4"/>
      <c r="D5074" s="82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17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</row>
    <row r="5075" spans="1:38" x14ac:dyDescent="0.3">
      <c r="A5075" s="5"/>
      <c r="B5075" s="4"/>
      <c r="C5075" s="4"/>
      <c r="D5075" s="82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17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</row>
    <row r="5076" spans="1:38" x14ac:dyDescent="0.3">
      <c r="A5076" s="5"/>
      <c r="B5076" s="4"/>
      <c r="C5076" s="4"/>
      <c r="D5076" s="82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17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</row>
    <row r="5077" spans="1:38" x14ac:dyDescent="0.3">
      <c r="A5077" s="5"/>
      <c r="B5077" s="4"/>
      <c r="C5077" s="4"/>
      <c r="D5077" s="82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17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</row>
    <row r="5078" spans="1:38" x14ac:dyDescent="0.3">
      <c r="A5078" s="5"/>
      <c r="B5078" s="4"/>
      <c r="C5078" s="4"/>
      <c r="D5078" s="82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17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</row>
    <row r="5079" spans="1:38" x14ac:dyDescent="0.3">
      <c r="A5079" s="5"/>
      <c r="B5079" s="4"/>
      <c r="C5079" s="4"/>
      <c r="D5079" s="82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17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</row>
    <row r="5080" spans="1:38" x14ac:dyDescent="0.3">
      <c r="A5080" s="5"/>
      <c r="B5080" s="4"/>
      <c r="C5080" s="4"/>
      <c r="D5080" s="82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17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</row>
    <row r="5081" spans="1:38" x14ac:dyDescent="0.3">
      <c r="A5081" s="5"/>
      <c r="B5081" s="4"/>
      <c r="C5081" s="4"/>
      <c r="D5081" s="82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17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</row>
    <row r="5082" spans="1:38" x14ac:dyDescent="0.3">
      <c r="A5082" s="5"/>
      <c r="B5082" s="4"/>
      <c r="C5082" s="4"/>
      <c r="D5082" s="82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17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</row>
    <row r="5083" spans="1:38" x14ac:dyDescent="0.3">
      <c r="A5083" s="5"/>
      <c r="B5083" s="4"/>
      <c r="C5083" s="4"/>
      <c r="D5083" s="82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17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</row>
    <row r="5084" spans="1:38" x14ac:dyDescent="0.3">
      <c r="A5084" s="5"/>
      <c r="B5084" s="4"/>
      <c r="C5084" s="4"/>
      <c r="D5084" s="82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17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</row>
    <row r="5085" spans="1:38" x14ac:dyDescent="0.3">
      <c r="A5085" s="5"/>
      <c r="B5085" s="4"/>
      <c r="C5085" s="4"/>
      <c r="D5085" s="82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17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</row>
    <row r="5086" spans="1:38" x14ac:dyDescent="0.3">
      <c r="A5086" s="5"/>
      <c r="B5086" s="4"/>
      <c r="C5086" s="4"/>
      <c r="D5086" s="82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17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</row>
    <row r="5087" spans="1:38" x14ac:dyDescent="0.3">
      <c r="A5087" s="5"/>
      <c r="B5087" s="4"/>
      <c r="C5087" s="4"/>
      <c r="D5087" s="82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17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</row>
    <row r="5088" spans="1:38" x14ac:dyDescent="0.3">
      <c r="A5088" s="5"/>
      <c r="B5088" s="4"/>
      <c r="C5088" s="4"/>
      <c r="D5088" s="82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17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</row>
    <row r="5089" spans="1:38" x14ac:dyDescent="0.3">
      <c r="A5089" s="5"/>
      <c r="B5089" s="4"/>
      <c r="C5089" s="4"/>
      <c r="D5089" s="82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17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</row>
    <row r="5090" spans="1:38" x14ac:dyDescent="0.3">
      <c r="A5090" s="5"/>
      <c r="B5090" s="4"/>
      <c r="C5090" s="4"/>
      <c r="D5090" s="82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17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</row>
    <row r="5091" spans="1:38" x14ac:dyDescent="0.3">
      <c r="A5091" s="5"/>
      <c r="B5091" s="4"/>
      <c r="C5091" s="4"/>
      <c r="D5091" s="82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17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</row>
    <row r="5092" spans="1:38" x14ac:dyDescent="0.3">
      <c r="A5092" s="5"/>
      <c r="B5092" s="4"/>
      <c r="C5092" s="4"/>
      <c r="D5092" s="82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17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</row>
    <row r="5093" spans="1:38" x14ac:dyDescent="0.3">
      <c r="A5093" s="5"/>
      <c r="B5093" s="4"/>
      <c r="C5093" s="4"/>
      <c r="D5093" s="82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17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</row>
    <row r="5094" spans="1:38" x14ac:dyDescent="0.3">
      <c r="A5094" s="5"/>
      <c r="B5094" s="4"/>
      <c r="C5094" s="4"/>
      <c r="D5094" s="82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17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</row>
    <row r="5095" spans="1:38" x14ac:dyDescent="0.3">
      <c r="A5095" s="5"/>
      <c r="B5095" s="4"/>
      <c r="C5095" s="4"/>
      <c r="D5095" s="82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17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</row>
    <row r="5096" spans="1:38" x14ac:dyDescent="0.3">
      <c r="A5096" s="5"/>
      <c r="B5096" s="4"/>
      <c r="C5096" s="4"/>
      <c r="D5096" s="82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17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</row>
    <row r="5097" spans="1:38" x14ac:dyDescent="0.3">
      <c r="A5097" s="5"/>
      <c r="B5097" s="4"/>
      <c r="C5097" s="4"/>
      <c r="D5097" s="82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17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</row>
    <row r="5098" spans="1:38" x14ac:dyDescent="0.3">
      <c r="A5098" s="5"/>
      <c r="B5098" s="4"/>
      <c r="C5098" s="4"/>
      <c r="D5098" s="82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17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</row>
    <row r="5099" spans="1:38" x14ac:dyDescent="0.3">
      <c r="A5099" s="5"/>
      <c r="B5099" s="4"/>
      <c r="C5099" s="4"/>
      <c r="D5099" s="82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17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</row>
    <row r="5100" spans="1:38" x14ac:dyDescent="0.3">
      <c r="A5100" s="5"/>
      <c r="B5100" s="4"/>
      <c r="C5100" s="4"/>
      <c r="D5100" s="82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17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</row>
    <row r="5101" spans="1:38" x14ac:dyDescent="0.3">
      <c r="A5101" s="5"/>
      <c r="B5101" s="4"/>
      <c r="C5101" s="4"/>
      <c r="D5101" s="82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17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</row>
    <row r="5102" spans="1:38" x14ac:dyDescent="0.3">
      <c r="A5102" s="5"/>
      <c r="B5102" s="4"/>
      <c r="C5102" s="4"/>
      <c r="D5102" s="82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17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</row>
    <row r="5103" spans="1:38" x14ac:dyDescent="0.3">
      <c r="A5103" s="5"/>
      <c r="B5103" s="4"/>
      <c r="C5103" s="4"/>
      <c r="D5103" s="82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17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</row>
    <row r="5104" spans="1:38" x14ac:dyDescent="0.3">
      <c r="A5104" s="5"/>
      <c r="B5104" s="4"/>
      <c r="C5104" s="4"/>
      <c r="D5104" s="82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17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</row>
    <row r="5105" spans="1:38" x14ac:dyDescent="0.3">
      <c r="A5105" s="5"/>
      <c r="B5105" s="4"/>
      <c r="C5105" s="4"/>
      <c r="D5105" s="82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17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</row>
    <row r="5106" spans="1:38" x14ac:dyDescent="0.3">
      <c r="A5106" s="5"/>
      <c r="B5106" s="4"/>
      <c r="C5106" s="4"/>
      <c r="D5106" s="82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17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</row>
    <row r="5107" spans="1:38" x14ac:dyDescent="0.3">
      <c r="A5107" s="5"/>
      <c r="B5107" s="4"/>
      <c r="C5107" s="4"/>
      <c r="D5107" s="82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17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</row>
    <row r="5108" spans="1:38" x14ac:dyDescent="0.3">
      <c r="A5108" s="5"/>
      <c r="B5108" s="4"/>
      <c r="C5108" s="4"/>
      <c r="D5108" s="82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17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</row>
    <row r="5109" spans="1:38" x14ac:dyDescent="0.3">
      <c r="A5109" s="5"/>
      <c r="B5109" s="4"/>
      <c r="C5109" s="4"/>
      <c r="D5109" s="82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17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</row>
    <row r="5110" spans="1:38" x14ac:dyDescent="0.3">
      <c r="A5110" s="5"/>
      <c r="B5110" s="4"/>
      <c r="C5110" s="4"/>
      <c r="D5110" s="82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17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</row>
    <row r="5111" spans="1:38" x14ac:dyDescent="0.3">
      <c r="A5111" s="5"/>
      <c r="B5111" s="4"/>
      <c r="C5111" s="4"/>
      <c r="D5111" s="82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17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</row>
    <row r="5112" spans="1:38" x14ac:dyDescent="0.3">
      <c r="A5112" s="5"/>
      <c r="B5112" s="4"/>
      <c r="C5112" s="4"/>
      <c r="D5112" s="82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17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</row>
    <row r="5113" spans="1:38" x14ac:dyDescent="0.3">
      <c r="A5113" s="5"/>
      <c r="B5113" s="4"/>
      <c r="C5113" s="4"/>
      <c r="D5113" s="82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17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</row>
    <row r="5114" spans="1:38" x14ac:dyDescent="0.3">
      <c r="A5114" s="5"/>
      <c r="B5114" s="4"/>
      <c r="C5114" s="4"/>
      <c r="D5114" s="82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17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</row>
    <row r="5115" spans="1:38" x14ac:dyDescent="0.3">
      <c r="A5115" s="5"/>
      <c r="B5115" s="4"/>
      <c r="C5115" s="4"/>
      <c r="D5115" s="82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17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</row>
    <row r="5116" spans="1:38" x14ac:dyDescent="0.3">
      <c r="A5116" s="5"/>
      <c r="B5116" s="4"/>
      <c r="C5116" s="4"/>
      <c r="D5116" s="82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17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</row>
    <row r="5117" spans="1:38" x14ac:dyDescent="0.3">
      <c r="A5117" s="5"/>
      <c r="B5117" s="4"/>
      <c r="C5117" s="4"/>
      <c r="D5117" s="82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17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</row>
    <row r="5118" spans="1:38" x14ac:dyDescent="0.3">
      <c r="A5118" s="5"/>
      <c r="B5118" s="4"/>
      <c r="C5118" s="4"/>
      <c r="D5118" s="82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17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</row>
    <row r="5119" spans="1:38" x14ac:dyDescent="0.3">
      <c r="A5119" s="5"/>
      <c r="B5119" s="4"/>
      <c r="C5119" s="4"/>
      <c r="D5119" s="82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17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</row>
    <row r="5120" spans="1:38" x14ac:dyDescent="0.3">
      <c r="A5120" s="5"/>
      <c r="B5120" s="4"/>
      <c r="C5120" s="4"/>
      <c r="D5120" s="82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17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</row>
    <row r="5121" spans="1:38" x14ac:dyDescent="0.3">
      <c r="A5121" s="5"/>
      <c r="B5121" s="4"/>
      <c r="C5121" s="4"/>
      <c r="D5121" s="82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17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</row>
    <row r="5122" spans="1:38" x14ac:dyDescent="0.3">
      <c r="A5122" s="5"/>
      <c r="B5122" s="4"/>
      <c r="C5122" s="4"/>
      <c r="D5122" s="82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17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</row>
    <row r="5123" spans="1:38" x14ac:dyDescent="0.3">
      <c r="A5123" s="5"/>
      <c r="B5123" s="4"/>
      <c r="C5123" s="4"/>
      <c r="D5123" s="82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17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</row>
    <row r="5124" spans="1:38" x14ac:dyDescent="0.3">
      <c r="A5124" s="5"/>
      <c r="B5124" s="4"/>
      <c r="C5124" s="4"/>
      <c r="D5124" s="82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17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</row>
    <row r="5125" spans="1:38" x14ac:dyDescent="0.3">
      <c r="A5125" s="5"/>
      <c r="B5125" s="4"/>
      <c r="C5125" s="4"/>
      <c r="D5125" s="82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17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</row>
    <row r="5126" spans="1:38" x14ac:dyDescent="0.3">
      <c r="A5126" s="5"/>
      <c r="B5126" s="4"/>
      <c r="C5126" s="4"/>
      <c r="D5126" s="82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17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</row>
    <row r="5127" spans="1:38" x14ac:dyDescent="0.3">
      <c r="A5127" s="5"/>
      <c r="B5127" s="4"/>
      <c r="C5127" s="4"/>
      <c r="D5127" s="82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17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</row>
    <row r="5128" spans="1:38" x14ac:dyDescent="0.3">
      <c r="A5128" s="5"/>
      <c r="B5128" s="4"/>
      <c r="C5128" s="4"/>
      <c r="D5128" s="82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17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</row>
    <row r="5129" spans="1:38" x14ac:dyDescent="0.3">
      <c r="A5129" s="5"/>
      <c r="B5129" s="4"/>
      <c r="C5129" s="4"/>
      <c r="D5129" s="82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17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</row>
    <row r="5130" spans="1:38" x14ac:dyDescent="0.3">
      <c r="A5130" s="5"/>
      <c r="B5130" s="4"/>
      <c r="C5130" s="4"/>
      <c r="D5130" s="82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17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</row>
    <row r="5131" spans="1:38" x14ac:dyDescent="0.3">
      <c r="A5131" s="5"/>
      <c r="B5131" s="4"/>
      <c r="C5131" s="4"/>
      <c r="D5131" s="82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17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</row>
    <row r="5132" spans="1:38" x14ac:dyDescent="0.3">
      <c r="A5132" s="5"/>
      <c r="B5132" s="4"/>
      <c r="C5132" s="4"/>
      <c r="D5132" s="82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17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</row>
    <row r="5133" spans="1:38" x14ac:dyDescent="0.3">
      <c r="A5133" s="5"/>
      <c r="B5133" s="4"/>
      <c r="C5133" s="4"/>
      <c r="D5133" s="82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17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</row>
    <row r="5134" spans="1:38" x14ac:dyDescent="0.3">
      <c r="A5134" s="5"/>
      <c r="B5134" s="4"/>
      <c r="C5134" s="4"/>
      <c r="D5134" s="82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17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</row>
    <row r="5135" spans="1:38" x14ac:dyDescent="0.3">
      <c r="A5135" s="5"/>
      <c r="B5135" s="4"/>
      <c r="C5135" s="4"/>
      <c r="D5135" s="82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17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</row>
    <row r="5136" spans="1:38" x14ac:dyDescent="0.3">
      <c r="A5136" s="5"/>
      <c r="B5136" s="4"/>
      <c r="C5136" s="4"/>
      <c r="D5136" s="82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17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</row>
    <row r="5137" spans="1:38" x14ac:dyDescent="0.3">
      <c r="A5137" s="5"/>
      <c r="B5137" s="4"/>
      <c r="C5137" s="4"/>
      <c r="D5137" s="82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17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</row>
    <row r="5138" spans="1:38" x14ac:dyDescent="0.3">
      <c r="A5138" s="5"/>
      <c r="B5138" s="4"/>
      <c r="C5138" s="4"/>
      <c r="D5138" s="82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17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</row>
    <row r="5139" spans="1:38" x14ac:dyDescent="0.3">
      <c r="A5139" s="5"/>
      <c r="B5139" s="4"/>
      <c r="C5139" s="4"/>
      <c r="D5139" s="82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17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</row>
    <row r="5140" spans="1:38" x14ac:dyDescent="0.3">
      <c r="A5140" s="5"/>
      <c r="B5140" s="4"/>
      <c r="C5140" s="4"/>
      <c r="D5140" s="82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17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</row>
    <row r="5141" spans="1:38" x14ac:dyDescent="0.3">
      <c r="A5141" s="5"/>
      <c r="B5141" s="4"/>
      <c r="C5141" s="4"/>
      <c r="D5141" s="82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17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</row>
    <row r="5142" spans="1:38" x14ac:dyDescent="0.3">
      <c r="A5142" s="5"/>
      <c r="B5142" s="4"/>
      <c r="C5142" s="4"/>
      <c r="D5142" s="82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17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</row>
    <row r="5143" spans="1:38" x14ac:dyDescent="0.3">
      <c r="A5143" s="5"/>
      <c r="B5143" s="4"/>
      <c r="C5143" s="4"/>
      <c r="D5143" s="82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17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</row>
    <row r="5144" spans="1:38" x14ac:dyDescent="0.3">
      <c r="A5144" s="5"/>
      <c r="B5144" s="4"/>
      <c r="C5144" s="4"/>
      <c r="D5144" s="82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17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</row>
    <row r="5145" spans="1:38" x14ac:dyDescent="0.3">
      <c r="A5145" s="5"/>
      <c r="B5145" s="4"/>
      <c r="C5145" s="4"/>
      <c r="D5145" s="82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17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</row>
    <row r="5146" spans="1:38" x14ac:dyDescent="0.3">
      <c r="A5146" s="5"/>
      <c r="B5146" s="4"/>
      <c r="C5146" s="4"/>
      <c r="D5146" s="82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17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</row>
    <row r="5147" spans="1:38" x14ac:dyDescent="0.3">
      <c r="A5147" s="5"/>
      <c r="B5147" s="4"/>
      <c r="C5147" s="4"/>
      <c r="D5147" s="82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17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</row>
    <row r="5148" spans="1:38" x14ac:dyDescent="0.3">
      <c r="A5148" s="5"/>
      <c r="B5148" s="4"/>
      <c r="C5148" s="4"/>
      <c r="D5148" s="82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17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</row>
    <row r="5149" spans="1:38" x14ac:dyDescent="0.3">
      <c r="A5149" s="5"/>
      <c r="B5149" s="4"/>
      <c r="C5149" s="4"/>
      <c r="D5149" s="82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17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</row>
    <row r="5150" spans="1:38" x14ac:dyDescent="0.3">
      <c r="A5150" s="5"/>
      <c r="B5150" s="4"/>
      <c r="C5150" s="4"/>
      <c r="D5150" s="82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17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</row>
    <row r="5151" spans="1:38" x14ac:dyDescent="0.3">
      <c r="A5151" s="5"/>
      <c r="B5151" s="4"/>
      <c r="C5151" s="4"/>
      <c r="D5151" s="82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17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</row>
    <row r="5152" spans="1:38" x14ac:dyDescent="0.3">
      <c r="A5152" s="5"/>
      <c r="B5152" s="4"/>
      <c r="C5152" s="4"/>
      <c r="D5152" s="82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17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</row>
    <row r="5153" spans="1:38" x14ac:dyDescent="0.3">
      <c r="A5153" s="5"/>
      <c r="B5153" s="4"/>
      <c r="C5153" s="4"/>
      <c r="D5153" s="82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17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</row>
    <row r="5154" spans="1:38" x14ac:dyDescent="0.3">
      <c r="A5154" s="5"/>
      <c r="B5154" s="4"/>
      <c r="C5154" s="4"/>
      <c r="D5154" s="82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17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</row>
    <row r="5155" spans="1:38" x14ac:dyDescent="0.3">
      <c r="A5155" s="5"/>
      <c r="B5155" s="4"/>
      <c r="C5155" s="4"/>
      <c r="D5155" s="82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17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</row>
    <row r="5156" spans="1:38" x14ac:dyDescent="0.3">
      <c r="A5156" s="5"/>
      <c r="B5156" s="4"/>
      <c r="C5156" s="4"/>
      <c r="D5156" s="82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17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</row>
    <row r="5157" spans="1:38" x14ac:dyDescent="0.3">
      <c r="A5157" s="5"/>
      <c r="B5157" s="4"/>
      <c r="C5157" s="4"/>
      <c r="D5157" s="82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17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</row>
    <row r="5158" spans="1:38" x14ac:dyDescent="0.3">
      <c r="A5158" s="5"/>
      <c r="B5158" s="4"/>
      <c r="C5158" s="4"/>
      <c r="D5158" s="82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17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</row>
    <row r="5159" spans="1:38" x14ac:dyDescent="0.3">
      <c r="A5159" s="5"/>
      <c r="B5159" s="4"/>
      <c r="C5159" s="4"/>
      <c r="D5159" s="82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17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</row>
    <row r="5160" spans="1:38" x14ac:dyDescent="0.3">
      <c r="A5160" s="5"/>
      <c r="B5160" s="4"/>
      <c r="C5160" s="4"/>
      <c r="D5160" s="82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17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</row>
    <row r="5161" spans="1:38" x14ac:dyDescent="0.3">
      <c r="A5161" s="5"/>
      <c r="B5161" s="4"/>
      <c r="C5161" s="4"/>
      <c r="D5161" s="82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17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</row>
    <row r="5162" spans="1:38" x14ac:dyDescent="0.3">
      <c r="A5162" s="5"/>
      <c r="B5162" s="4"/>
      <c r="C5162" s="4"/>
      <c r="D5162" s="82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17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</row>
    <row r="5163" spans="1:38" x14ac:dyDescent="0.3">
      <c r="A5163" s="5"/>
      <c r="B5163" s="4"/>
      <c r="C5163" s="4"/>
      <c r="D5163" s="82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17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</row>
    <row r="5164" spans="1:38" x14ac:dyDescent="0.3">
      <c r="A5164" s="5"/>
      <c r="B5164" s="4"/>
      <c r="C5164" s="4"/>
      <c r="D5164" s="82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17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</row>
    <row r="5165" spans="1:38" x14ac:dyDescent="0.3">
      <c r="A5165" s="5"/>
      <c r="B5165" s="4"/>
      <c r="C5165" s="4"/>
      <c r="D5165" s="82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17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</row>
    <row r="5166" spans="1:38" x14ac:dyDescent="0.3">
      <c r="A5166" s="5"/>
      <c r="B5166" s="4"/>
      <c r="C5166" s="4"/>
      <c r="D5166" s="82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17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</row>
    <row r="5167" spans="1:38" x14ac:dyDescent="0.3">
      <c r="A5167" s="5"/>
      <c r="B5167" s="4"/>
      <c r="C5167" s="4"/>
      <c r="D5167" s="82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17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</row>
    <row r="5168" spans="1:38" x14ac:dyDescent="0.3">
      <c r="A5168" s="5"/>
      <c r="B5168" s="4"/>
      <c r="C5168" s="4"/>
      <c r="D5168" s="82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17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</row>
    <row r="5169" spans="1:38" x14ac:dyDescent="0.3">
      <c r="A5169" s="5"/>
      <c r="B5169" s="4"/>
      <c r="C5169" s="4"/>
      <c r="D5169" s="82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17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</row>
    <row r="5170" spans="1:38" x14ac:dyDescent="0.3">
      <c r="A5170" s="5"/>
      <c r="B5170" s="4"/>
      <c r="C5170" s="4"/>
      <c r="D5170" s="82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17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</row>
    <row r="5171" spans="1:38" x14ac:dyDescent="0.3">
      <c r="A5171" s="5"/>
      <c r="B5171" s="4"/>
      <c r="C5171" s="4"/>
      <c r="D5171" s="82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17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</row>
    <row r="5172" spans="1:38" x14ac:dyDescent="0.3">
      <c r="A5172" s="5"/>
      <c r="B5172" s="4"/>
      <c r="C5172" s="4"/>
      <c r="D5172" s="82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17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</row>
    <row r="5173" spans="1:38" x14ac:dyDescent="0.3">
      <c r="A5173" s="5"/>
      <c r="B5173" s="4"/>
      <c r="C5173" s="4"/>
      <c r="D5173" s="82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17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</row>
    <row r="5174" spans="1:38" x14ac:dyDescent="0.3">
      <c r="A5174" s="5"/>
      <c r="B5174" s="4"/>
      <c r="C5174" s="4"/>
      <c r="D5174" s="82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17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</row>
    <row r="5175" spans="1:38" x14ac:dyDescent="0.3">
      <c r="A5175" s="5"/>
      <c r="B5175" s="4"/>
      <c r="C5175" s="4"/>
      <c r="D5175" s="82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17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</row>
    <row r="5176" spans="1:38" x14ac:dyDescent="0.3">
      <c r="A5176" s="5"/>
      <c r="B5176" s="4"/>
      <c r="C5176" s="4"/>
      <c r="D5176" s="82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17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</row>
    <row r="5177" spans="1:38" x14ac:dyDescent="0.3">
      <c r="A5177" s="5"/>
      <c r="B5177" s="4"/>
      <c r="C5177" s="4"/>
      <c r="D5177" s="82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17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</row>
    <row r="5178" spans="1:38" x14ac:dyDescent="0.3">
      <c r="A5178" s="5"/>
      <c r="B5178" s="4"/>
      <c r="C5178" s="4"/>
      <c r="D5178" s="82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17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</row>
    <row r="5179" spans="1:38" x14ac:dyDescent="0.3">
      <c r="A5179" s="5"/>
      <c r="B5179" s="4"/>
      <c r="C5179" s="4"/>
      <c r="D5179" s="82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17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</row>
    <row r="5180" spans="1:38" x14ac:dyDescent="0.3">
      <c r="A5180" s="5"/>
      <c r="B5180" s="4"/>
      <c r="C5180" s="4"/>
      <c r="D5180" s="82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17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</row>
    <row r="5181" spans="1:38" x14ac:dyDescent="0.3">
      <c r="A5181" s="5"/>
      <c r="B5181" s="4"/>
      <c r="C5181" s="4"/>
      <c r="D5181" s="82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17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</row>
    <row r="5182" spans="1:38" x14ac:dyDescent="0.3">
      <c r="A5182" s="5"/>
      <c r="B5182" s="4"/>
      <c r="C5182" s="4"/>
      <c r="D5182" s="82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17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</row>
    <row r="5183" spans="1:38" x14ac:dyDescent="0.3">
      <c r="A5183" s="5"/>
      <c r="B5183" s="4"/>
      <c r="C5183" s="4"/>
      <c r="D5183" s="82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17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</row>
    <row r="5184" spans="1:38" x14ac:dyDescent="0.3">
      <c r="A5184" s="5"/>
      <c r="B5184" s="4"/>
      <c r="C5184" s="4"/>
      <c r="D5184" s="82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17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</row>
    <row r="5185" spans="1:38" x14ac:dyDescent="0.3">
      <c r="A5185" s="5"/>
      <c r="B5185" s="4"/>
      <c r="C5185" s="4"/>
      <c r="D5185" s="82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17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</row>
    <row r="5186" spans="1:38" x14ac:dyDescent="0.3">
      <c r="A5186" s="5"/>
      <c r="B5186" s="4"/>
      <c r="C5186" s="4"/>
      <c r="D5186" s="82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17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</row>
    <row r="5187" spans="1:38" x14ac:dyDescent="0.3">
      <c r="A5187" s="5"/>
      <c r="B5187" s="4"/>
      <c r="C5187" s="4"/>
      <c r="D5187" s="82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17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</row>
    <row r="5188" spans="1:38" x14ac:dyDescent="0.3">
      <c r="A5188" s="5"/>
      <c r="B5188" s="4"/>
      <c r="C5188" s="4"/>
      <c r="D5188" s="82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17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</row>
    <row r="5189" spans="1:38" x14ac:dyDescent="0.3">
      <c r="A5189" s="5"/>
      <c r="B5189" s="4"/>
      <c r="C5189" s="4"/>
      <c r="D5189" s="82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17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</row>
    <row r="5190" spans="1:38" x14ac:dyDescent="0.3">
      <c r="A5190" s="5"/>
      <c r="B5190" s="4"/>
      <c r="C5190" s="4"/>
      <c r="D5190" s="82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17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</row>
    <row r="5191" spans="1:38" x14ac:dyDescent="0.3">
      <c r="A5191" s="5"/>
      <c r="B5191" s="4"/>
      <c r="C5191" s="4"/>
      <c r="D5191" s="82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17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</row>
    <row r="5192" spans="1:38" x14ac:dyDescent="0.3">
      <c r="A5192" s="5"/>
      <c r="B5192" s="4"/>
      <c r="C5192" s="4"/>
      <c r="D5192" s="82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17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</row>
    <row r="5193" spans="1:38" x14ac:dyDescent="0.3">
      <c r="A5193" s="5"/>
      <c r="B5193" s="4"/>
      <c r="C5193" s="4"/>
      <c r="D5193" s="82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17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</row>
    <row r="5194" spans="1:38" x14ac:dyDescent="0.3">
      <c r="A5194" s="5"/>
      <c r="B5194" s="4"/>
      <c r="C5194" s="4"/>
      <c r="D5194" s="82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17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</row>
    <row r="5195" spans="1:38" x14ac:dyDescent="0.3">
      <c r="A5195" s="5"/>
      <c r="B5195" s="4"/>
      <c r="C5195" s="4"/>
      <c r="D5195" s="82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17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</row>
    <row r="5196" spans="1:38" x14ac:dyDescent="0.3">
      <c r="A5196" s="5"/>
      <c r="B5196" s="4"/>
      <c r="C5196" s="4"/>
      <c r="D5196" s="82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17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</row>
    <row r="5197" spans="1:38" x14ac:dyDescent="0.3">
      <c r="A5197" s="5"/>
      <c r="B5197" s="4"/>
      <c r="C5197" s="4"/>
      <c r="D5197" s="82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17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</row>
    <row r="5198" spans="1:38" x14ac:dyDescent="0.3">
      <c r="A5198" s="5"/>
      <c r="B5198" s="4"/>
      <c r="C5198" s="4"/>
      <c r="D5198" s="82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17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</row>
    <row r="5199" spans="1:38" x14ac:dyDescent="0.3">
      <c r="A5199" s="5"/>
      <c r="B5199" s="4"/>
      <c r="C5199" s="4"/>
      <c r="D5199" s="82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17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</row>
    <row r="5200" spans="1:38" x14ac:dyDescent="0.3">
      <c r="A5200" s="5"/>
      <c r="B5200" s="4"/>
      <c r="C5200" s="4"/>
      <c r="D5200" s="82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17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</row>
    <row r="5201" spans="1:38" x14ac:dyDescent="0.3">
      <c r="A5201" s="5"/>
      <c r="B5201" s="4"/>
      <c r="C5201" s="4"/>
      <c r="D5201" s="82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17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</row>
    <row r="5202" spans="1:38" x14ac:dyDescent="0.3">
      <c r="A5202" s="5"/>
      <c r="B5202" s="4"/>
      <c r="C5202" s="4"/>
      <c r="D5202" s="82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17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</row>
    <row r="5203" spans="1:38" x14ac:dyDescent="0.3">
      <c r="A5203" s="5"/>
      <c r="B5203" s="4"/>
      <c r="C5203" s="4"/>
      <c r="D5203" s="82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17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</row>
    <row r="5204" spans="1:38" x14ac:dyDescent="0.3">
      <c r="A5204" s="5"/>
      <c r="B5204" s="4"/>
      <c r="C5204" s="4"/>
      <c r="D5204" s="82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17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</row>
    <row r="5205" spans="1:38" x14ac:dyDescent="0.3">
      <c r="A5205" s="5"/>
      <c r="B5205" s="4"/>
      <c r="C5205" s="4"/>
      <c r="D5205" s="82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17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</row>
    <row r="5206" spans="1:38" x14ac:dyDescent="0.3">
      <c r="A5206" s="5"/>
      <c r="B5206" s="4"/>
      <c r="C5206" s="4"/>
      <c r="D5206" s="82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17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</row>
    <row r="5207" spans="1:38" x14ac:dyDescent="0.3">
      <c r="A5207" s="5"/>
      <c r="B5207" s="4"/>
      <c r="C5207" s="4"/>
      <c r="D5207" s="82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17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</row>
    <row r="5208" spans="1:38" x14ac:dyDescent="0.3">
      <c r="A5208" s="5"/>
      <c r="B5208" s="4"/>
      <c r="C5208" s="4"/>
      <c r="D5208" s="82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17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</row>
    <row r="5209" spans="1:38" x14ac:dyDescent="0.3">
      <c r="A5209" s="5"/>
      <c r="B5209" s="4"/>
      <c r="C5209" s="4"/>
      <c r="D5209" s="82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17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</row>
    <row r="5210" spans="1:38" x14ac:dyDescent="0.3">
      <c r="A5210" s="5"/>
      <c r="B5210" s="4"/>
      <c r="C5210" s="4"/>
      <c r="D5210" s="82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17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</row>
    <row r="5211" spans="1:38" x14ac:dyDescent="0.3">
      <c r="A5211" s="5"/>
      <c r="B5211" s="4"/>
      <c r="C5211" s="4"/>
      <c r="D5211" s="82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17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</row>
    <row r="5212" spans="1:38" x14ac:dyDescent="0.3">
      <c r="A5212" s="5"/>
      <c r="B5212" s="4"/>
      <c r="C5212" s="4"/>
      <c r="D5212" s="82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17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</row>
    <row r="5213" spans="1:38" x14ac:dyDescent="0.3">
      <c r="A5213" s="5"/>
      <c r="B5213" s="4"/>
      <c r="C5213" s="4"/>
      <c r="D5213" s="82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17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</row>
    <row r="5214" spans="1:38" x14ac:dyDescent="0.3">
      <c r="A5214" s="5"/>
      <c r="B5214" s="4"/>
      <c r="C5214" s="4"/>
      <c r="D5214" s="82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17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</row>
    <row r="5215" spans="1:38" x14ac:dyDescent="0.3">
      <c r="A5215" s="5"/>
      <c r="B5215" s="4"/>
      <c r="C5215" s="4"/>
      <c r="D5215" s="82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17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</row>
    <row r="5216" spans="1:38" x14ac:dyDescent="0.3">
      <c r="A5216" s="5"/>
      <c r="B5216" s="4"/>
      <c r="C5216" s="4"/>
      <c r="D5216" s="82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17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</row>
    <row r="5217" spans="1:38" x14ac:dyDescent="0.3">
      <c r="A5217" s="5"/>
      <c r="B5217" s="4"/>
      <c r="C5217" s="4"/>
      <c r="D5217" s="82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17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</row>
    <row r="5218" spans="1:38" x14ac:dyDescent="0.3">
      <c r="A5218" s="5"/>
      <c r="B5218" s="4"/>
      <c r="C5218" s="4"/>
      <c r="D5218" s="82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17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</row>
    <row r="5219" spans="1:38" x14ac:dyDescent="0.3">
      <c r="A5219" s="5"/>
      <c r="B5219" s="4"/>
      <c r="C5219" s="4"/>
      <c r="D5219" s="82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17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</row>
    <row r="5220" spans="1:38" x14ac:dyDescent="0.3">
      <c r="A5220" s="5"/>
      <c r="B5220" s="4"/>
      <c r="C5220" s="4"/>
      <c r="D5220" s="82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17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</row>
    <row r="5221" spans="1:38" x14ac:dyDescent="0.3">
      <c r="A5221" s="5"/>
      <c r="B5221" s="4"/>
      <c r="C5221" s="4"/>
      <c r="D5221" s="82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17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</row>
    <row r="5222" spans="1:38" x14ac:dyDescent="0.3">
      <c r="A5222" s="5"/>
      <c r="B5222" s="4"/>
      <c r="C5222" s="4"/>
      <c r="D5222" s="82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17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</row>
    <row r="5223" spans="1:38" x14ac:dyDescent="0.3">
      <c r="A5223" s="5"/>
      <c r="B5223" s="4"/>
      <c r="C5223" s="4"/>
      <c r="D5223" s="82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17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</row>
    <row r="5224" spans="1:38" x14ac:dyDescent="0.3">
      <c r="A5224" s="5"/>
      <c r="B5224" s="4"/>
      <c r="C5224" s="4"/>
      <c r="D5224" s="82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17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</row>
    <row r="5225" spans="1:38" x14ac:dyDescent="0.3">
      <c r="A5225" s="5"/>
      <c r="B5225" s="4"/>
      <c r="C5225" s="4"/>
      <c r="D5225" s="82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17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</row>
    <row r="5226" spans="1:38" x14ac:dyDescent="0.3">
      <c r="A5226" s="5"/>
      <c r="B5226" s="4"/>
      <c r="C5226" s="4"/>
      <c r="D5226" s="82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17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</row>
    <row r="5227" spans="1:38" x14ac:dyDescent="0.3">
      <c r="A5227" s="5"/>
      <c r="B5227" s="4"/>
      <c r="C5227" s="4"/>
      <c r="D5227" s="82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17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</row>
    <row r="5228" spans="1:38" x14ac:dyDescent="0.3">
      <c r="A5228" s="5"/>
      <c r="B5228" s="4"/>
      <c r="C5228" s="4"/>
      <c r="D5228" s="82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17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</row>
    <row r="5229" spans="1:38" x14ac:dyDescent="0.3">
      <c r="A5229" s="5"/>
      <c r="B5229" s="4"/>
      <c r="C5229" s="4"/>
      <c r="D5229" s="82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17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</row>
    <row r="5230" spans="1:38" x14ac:dyDescent="0.3">
      <c r="A5230" s="5"/>
      <c r="B5230" s="4"/>
      <c r="C5230" s="4"/>
      <c r="D5230" s="82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17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</row>
    <row r="5231" spans="1:38" x14ac:dyDescent="0.3">
      <c r="A5231" s="5"/>
      <c r="B5231" s="4"/>
      <c r="C5231" s="4"/>
      <c r="D5231" s="82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17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</row>
    <row r="5232" spans="1:38" x14ac:dyDescent="0.3">
      <c r="A5232" s="5"/>
      <c r="B5232" s="4"/>
      <c r="C5232" s="4"/>
      <c r="D5232" s="82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17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</row>
    <row r="5233" spans="1:38" x14ac:dyDescent="0.3">
      <c r="A5233" s="5"/>
      <c r="B5233" s="4"/>
      <c r="C5233" s="4"/>
      <c r="D5233" s="82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17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</row>
    <row r="5234" spans="1:38" x14ac:dyDescent="0.3">
      <c r="A5234" s="5"/>
      <c r="B5234" s="4"/>
      <c r="C5234" s="4"/>
      <c r="D5234" s="82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17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</row>
    <row r="5235" spans="1:38" x14ac:dyDescent="0.3">
      <c r="A5235" s="5"/>
      <c r="B5235" s="4"/>
      <c r="C5235" s="4"/>
      <c r="D5235" s="82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17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</row>
    <row r="5236" spans="1:38" x14ac:dyDescent="0.3">
      <c r="A5236" s="5"/>
      <c r="B5236" s="4"/>
      <c r="C5236" s="4"/>
      <c r="D5236" s="82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17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</row>
    <row r="5237" spans="1:38" x14ac:dyDescent="0.3">
      <c r="A5237" s="5"/>
      <c r="B5237" s="4"/>
      <c r="C5237" s="4"/>
      <c r="D5237" s="82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17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</row>
    <row r="5238" spans="1:38" x14ac:dyDescent="0.3">
      <c r="A5238" s="5"/>
      <c r="B5238" s="4"/>
      <c r="C5238" s="4"/>
      <c r="D5238" s="82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17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</row>
    <row r="5239" spans="1:38" x14ac:dyDescent="0.3">
      <c r="A5239" s="5"/>
      <c r="B5239" s="4"/>
      <c r="C5239" s="4"/>
      <c r="D5239" s="82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17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</row>
    <row r="5240" spans="1:38" x14ac:dyDescent="0.3">
      <c r="A5240" s="5"/>
      <c r="B5240" s="4"/>
      <c r="C5240" s="4"/>
      <c r="D5240" s="82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17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</row>
    <row r="5241" spans="1:38" x14ac:dyDescent="0.3">
      <c r="A5241" s="5"/>
      <c r="B5241" s="4"/>
      <c r="C5241" s="4"/>
      <c r="D5241" s="82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17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</row>
    <row r="5242" spans="1:38" x14ac:dyDescent="0.3">
      <c r="A5242" s="5"/>
      <c r="B5242" s="4"/>
      <c r="C5242" s="4"/>
      <c r="D5242" s="82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17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</row>
    <row r="5243" spans="1:38" x14ac:dyDescent="0.3">
      <c r="A5243" s="5"/>
      <c r="B5243" s="4"/>
      <c r="C5243" s="4"/>
      <c r="D5243" s="82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17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</row>
    <row r="5244" spans="1:38" x14ac:dyDescent="0.3">
      <c r="A5244" s="5"/>
      <c r="B5244" s="4"/>
      <c r="C5244" s="4"/>
      <c r="D5244" s="82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17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</row>
    <row r="5245" spans="1:38" x14ac:dyDescent="0.3">
      <c r="A5245" s="5"/>
      <c r="B5245" s="4"/>
      <c r="C5245" s="4"/>
      <c r="D5245" s="82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17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</row>
    <row r="5246" spans="1:38" x14ac:dyDescent="0.3">
      <c r="A5246" s="5"/>
      <c r="B5246" s="4"/>
      <c r="C5246" s="4"/>
      <c r="D5246" s="82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17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</row>
    <row r="5247" spans="1:38" x14ac:dyDescent="0.3">
      <c r="A5247" s="5"/>
      <c r="B5247" s="4"/>
      <c r="C5247" s="4"/>
      <c r="D5247" s="82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17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</row>
    <row r="5248" spans="1:38" x14ac:dyDescent="0.3">
      <c r="A5248" s="5"/>
      <c r="B5248" s="4"/>
      <c r="C5248" s="4"/>
      <c r="D5248" s="82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17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</row>
    <row r="5249" spans="1:38" x14ac:dyDescent="0.3">
      <c r="A5249" s="5"/>
      <c r="B5249" s="4"/>
      <c r="C5249" s="4"/>
      <c r="D5249" s="82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17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</row>
    <row r="5250" spans="1:38" x14ac:dyDescent="0.3">
      <c r="A5250" s="5"/>
      <c r="B5250" s="4"/>
      <c r="C5250" s="4"/>
      <c r="D5250" s="82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17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</row>
    <row r="5251" spans="1:38" x14ac:dyDescent="0.3">
      <c r="A5251" s="5"/>
      <c r="B5251" s="4"/>
      <c r="C5251" s="4"/>
      <c r="D5251" s="82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17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</row>
    <row r="5252" spans="1:38" x14ac:dyDescent="0.3">
      <c r="A5252" s="5"/>
      <c r="B5252" s="4"/>
      <c r="C5252" s="4"/>
      <c r="D5252" s="82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17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</row>
    <row r="5253" spans="1:38" x14ac:dyDescent="0.3">
      <c r="A5253" s="5"/>
      <c r="B5253" s="4"/>
      <c r="C5253" s="4"/>
      <c r="D5253" s="82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17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</row>
    <row r="5254" spans="1:38" x14ac:dyDescent="0.3">
      <c r="A5254" s="5"/>
      <c r="B5254" s="4"/>
      <c r="C5254" s="4"/>
      <c r="D5254" s="82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17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</row>
    <row r="5255" spans="1:38" x14ac:dyDescent="0.3">
      <c r="A5255" s="5"/>
      <c r="B5255" s="4"/>
      <c r="C5255" s="4"/>
      <c r="D5255" s="82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17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</row>
    <row r="5256" spans="1:38" x14ac:dyDescent="0.3">
      <c r="A5256" s="5"/>
      <c r="B5256" s="4"/>
      <c r="C5256" s="4"/>
      <c r="D5256" s="82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17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</row>
    <row r="5257" spans="1:38" x14ac:dyDescent="0.3">
      <c r="A5257" s="5"/>
      <c r="B5257" s="4"/>
      <c r="C5257" s="4"/>
      <c r="D5257" s="82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17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</row>
    <row r="5258" spans="1:38" x14ac:dyDescent="0.3">
      <c r="A5258" s="5"/>
      <c r="B5258" s="4"/>
      <c r="C5258" s="4"/>
      <c r="D5258" s="82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17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</row>
    <row r="5259" spans="1:38" x14ac:dyDescent="0.3">
      <c r="A5259" s="5"/>
      <c r="B5259" s="4"/>
      <c r="C5259" s="4"/>
      <c r="D5259" s="82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17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</row>
    <row r="5260" spans="1:38" x14ac:dyDescent="0.3">
      <c r="A5260" s="5"/>
      <c r="B5260" s="4"/>
      <c r="C5260" s="4"/>
      <c r="D5260" s="82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17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</row>
    <row r="5261" spans="1:38" x14ac:dyDescent="0.3">
      <c r="A5261" s="5"/>
      <c r="B5261" s="4"/>
      <c r="C5261" s="4"/>
      <c r="D5261" s="82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17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</row>
    <row r="5262" spans="1:38" x14ac:dyDescent="0.3">
      <c r="A5262" s="5"/>
      <c r="B5262" s="4"/>
      <c r="C5262" s="4"/>
      <c r="D5262" s="82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17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</row>
    <row r="5263" spans="1:38" x14ac:dyDescent="0.3">
      <c r="A5263" s="5"/>
      <c r="B5263" s="4"/>
      <c r="C5263" s="4"/>
      <c r="D5263" s="82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17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</row>
    <row r="5264" spans="1:38" x14ac:dyDescent="0.3">
      <c r="A5264" s="5"/>
      <c r="B5264" s="4"/>
      <c r="C5264" s="4"/>
      <c r="D5264" s="82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17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</row>
    <row r="5265" spans="1:38" x14ac:dyDescent="0.3">
      <c r="A5265" s="5"/>
      <c r="B5265" s="4"/>
      <c r="C5265" s="4"/>
      <c r="D5265" s="82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17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</row>
    <row r="5266" spans="1:38" x14ac:dyDescent="0.3">
      <c r="A5266" s="5"/>
      <c r="B5266" s="4"/>
      <c r="C5266" s="4"/>
      <c r="D5266" s="82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17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</row>
    <row r="5267" spans="1:38" x14ac:dyDescent="0.3">
      <c r="A5267" s="5"/>
      <c r="B5267" s="4"/>
      <c r="C5267" s="4"/>
      <c r="D5267" s="82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17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</row>
    <row r="5268" spans="1:38" x14ac:dyDescent="0.3">
      <c r="A5268" s="5"/>
      <c r="B5268" s="4"/>
      <c r="C5268" s="4"/>
      <c r="D5268" s="82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17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</row>
    <row r="5269" spans="1:38" x14ac:dyDescent="0.3">
      <c r="A5269" s="5"/>
      <c r="B5269" s="4"/>
      <c r="C5269" s="4"/>
      <c r="D5269" s="82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17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</row>
    <row r="5270" spans="1:38" x14ac:dyDescent="0.3">
      <c r="A5270" s="5"/>
      <c r="B5270" s="4"/>
      <c r="C5270" s="4"/>
      <c r="D5270" s="82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17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</row>
    <row r="5271" spans="1:38" x14ac:dyDescent="0.3">
      <c r="A5271" s="5"/>
      <c r="B5271" s="4"/>
      <c r="C5271" s="4"/>
      <c r="D5271" s="82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17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</row>
    <row r="5272" spans="1:38" x14ac:dyDescent="0.3">
      <c r="A5272" s="5"/>
      <c r="B5272" s="4"/>
      <c r="C5272" s="4"/>
      <c r="D5272" s="82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17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</row>
    <row r="5273" spans="1:38" x14ac:dyDescent="0.3">
      <c r="A5273" s="5"/>
      <c r="B5273" s="4"/>
      <c r="C5273" s="4"/>
      <c r="D5273" s="82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17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</row>
    <row r="5274" spans="1:38" x14ac:dyDescent="0.3">
      <c r="A5274" s="5"/>
      <c r="B5274" s="4"/>
      <c r="C5274" s="4"/>
      <c r="D5274" s="82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17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</row>
    <row r="5275" spans="1:38" x14ac:dyDescent="0.3">
      <c r="A5275" s="5"/>
      <c r="B5275" s="4"/>
      <c r="C5275" s="4"/>
      <c r="D5275" s="82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17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</row>
    <row r="5276" spans="1:38" x14ac:dyDescent="0.3">
      <c r="A5276" s="5"/>
      <c r="B5276" s="4"/>
      <c r="C5276" s="4"/>
      <c r="D5276" s="82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17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</row>
    <row r="5277" spans="1:38" x14ac:dyDescent="0.3">
      <c r="A5277" s="5"/>
      <c r="B5277" s="4"/>
      <c r="C5277" s="4"/>
      <c r="D5277" s="82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17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</row>
    <row r="5278" spans="1:38" x14ac:dyDescent="0.3">
      <c r="A5278" s="5"/>
      <c r="B5278" s="4"/>
      <c r="C5278" s="4"/>
      <c r="D5278" s="82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17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</row>
    <row r="5279" spans="1:38" x14ac:dyDescent="0.3">
      <c r="A5279" s="5"/>
      <c r="B5279" s="4"/>
      <c r="C5279" s="4"/>
      <c r="D5279" s="82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17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</row>
    <row r="5280" spans="1:38" x14ac:dyDescent="0.3">
      <c r="A5280" s="5"/>
      <c r="B5280" s="4"/>
      <c r="C5280" s="4"/>
      <c r="D5280" s="82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17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</row>
    <row r="5281" spans="1:38" x14ac:dyDescent="0.3">
      <c r="A5281" s="5"/>
      <c r="B5281" s="4"/>
      <c r="C5281" s="4"/>
      <c r="D5281" s="82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17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</row>
    <row r="5282" spans="1:38" x14ac:dyDescent="0.3">
      <c r="A5282" s="5"/>
      <c r="B5282" s="4"/>
      <c r="C5282" s="4"/>
      <c r="D5282" s="82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17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</row>
    <row r="5283" spans="1:38" x14ac:dyDescent="0.3">
      <c r="A5283" s="5"/>
      <c r="B5283" s="4"/>
      <c r="C5283" s="4"/>
      <c r="D5283" s="82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17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</row>
    <row r="5284" spans="1:38" x14ac:dyDescent="0.3">
      <c r="A5284" s="5"/>
      <c r="B5284" s="4"/>
      <c r="C5284" s="4"/>
      <c r="D5284" s="82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17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</row>
    <row r="5285" spans="1:38" x14ac:dyDescent="0.3">
      <c r="A5285" s="5"/>
      <c r="B5285" s="4"/>
      <c r="C5285" s="4"/>
      <c r="D5285" s="82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17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</row>
    <row r="5286" spans="1:38" x14ac:dyDescent="0.3">
      <c r="A5286" s="5"/>
      <c r="B5286" s="4"/>
      <c r="C5286" s="4"/>
      <c r="D5286" s="82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17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</row>
    <row r="5287" spans="1:38" x14ac:dyDescent="0.3">
      <c r="A5287" s="5"/>
      <c r="B5287" s="4"/>
      <c r="C5287" s="4"/>
      <c r="D5287" s="82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17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</row>
    <row r="5288" spans="1:38" x14ac:dyDescent="0.3">
      <c r="A5288" s="5"/>
      <c r="B5288" s="4"/>
      <c r="C5288" s="4"/>
      <c r="D5288" s="82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17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</row>
    <row r="5289" spans="1:38" x14ac:dyDescent="0.3">
      <c r="A5289" s="5"/>
      <c r="B5289" s="4"/>
      <c r="C5289" s="4"/>
      <c r="D5289" s="82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17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</row>
    <row r="5290" spans="1:38" x14ac:dyDescent="0.3">
      <c r="A5290" s="5"/>
      <c r="B5290" s="4"/>
      <c r="C5290" s="4"/>
      <c r="D5290" s="82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17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</row>
    <row r="5291" spans="1:38" x14ac:dyDescent="0.3">
      <c r="A5291" s="5"/>
      <c r="B5291" s="4"/>
      <c r="C5291" s="4"/>
      <c r="D5291" s="82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17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</row>
    <row r="5292" spans="1:38" x14ac:dyDescent="0.3">
      <c r="A5292" s="5"/>
      <c r="B5292" s="4"/>
      <c r="C5292" s="4"/>
      <c r="D5292" s="82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17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</row>
    <row r="5293" spans="1:38" x14ac:dyDescent="0.3">
      <c r="A5293" s="5"/>
      <c r="B5293" s="4"/>
      <c r="C5293" s="4"/>
      <c r="D5293" s="82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17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</row>
    <row r="5294" spans="1:38" x14ac:dyDescent="0.3">
      <c r="A5294" s="5"/>
      <c r="B5294" s="4"/>
      <c r="C5294" s="4"/>
      <c r="D5294" s="82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17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</row>
    <row r="5295" spans="1:38" x14ac:dyDescent="0.3">
      <c r="A5295" s="5"/>
      <c r="B5295" s="4"/>
      <c r="C5295" s="4"/>
      <c r="D5295" s="82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17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</row>
    <row r="5296" spans="1:38" x14ac:dyDescent="0.3">
      <c r="A5296" s="5"/>
      <c r="B5296" s="4"/>
      <c r="C5296" s="4"/>
      <c r="D5296" s="82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17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</row>
    <row r="5297" spans="1:38" x14ac:dyDescent="0.3">
      <c r="A5297" s="5"/>
      <c r="B5297" s="4"/>
      <c r="C5297" s="4"/>
      <c r="D5297" s="82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17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</row>
    <row r="5298" spans="1:38" x14ac:dyDescent="0.3">
      <c r="A5298" s="5"/>
      <c r="B5298" s="4"/>
      <c r="C5298" s="4"/>
      <c r="D5298" s="82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17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</row>
    <row r="5299" spans="1:38" x14ac:dyDescent="0.3">
      <c r="A5299" s="5"/>
      <c r="B5299" s="4"/>
      <c r="C5299" s="4"/>
      <c r="D5299" s="82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17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</row>
    <row r="5300" spans="1:38" x14ac:dyDescent="0.3">
      <c r="A5300" s="5"/>
      <c r="B5300" s="4"/>
      <c r="C5300" s="4"/>
      <c r="D5300" s="82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17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</row>
    <row r="5301" spans="1:38" x14ac:dyDescent="0.3">
      <c r="A5301" s="5"/>
      <c r="B5301" s="4"/>
      <c r="C5301" s="4"/>
      <c r="D5301" s="82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17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</row>
    <row r="5302" spans="1:38" x14ac:dyDescent="0.3">
      <c r="A5302" s="5"/>
      <c r="B5302" s="4"/>
      <c r="C5302" s="4"/>
      <c r="D5302" s="82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17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</row>
    <row r="5303" spans="1:38" x14ac:dyDescent="0.3">
      <c r="A5303" s="5"/>
      <c r="B5303" s="4"/>
      <c r="C5303" s="4"/>
      <c r="D5303" s="82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17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</row>
    <row r="5304" spans="1:38" x14ac:dyDescent="0.3">
      <c r="A5304" s="5"/>
      <c r="B5304" s="4"/>
      <c r="C5304" s="4"/>
      <c r="D5304" s="82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17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</row>
    <row r="5305" spans="1:38" x14ac:dyDescent="0.3">
      <c r="A5305" s="5"/>
      <c r="B5305" s="4"/>
      <c r="C5305" s="4"/>
      <c r="D5305" s="82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17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</row>
    <row r="5306" spans="1:38" x14ac:dyDescent="0.3">
      <c r="A5306" s="5"/>
      <c r="B5306" s="4"/>
      <c r="C5306" s="4"/>
      <c r="D5306" s="82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17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</row>
    <row r="5307" spans="1:38" x14ac:dyDescent="0.3">
      <c r="A5307" s="5"/>
      <c r="B5307" s="4"/>
      <c r="C5307" s="4"/>
      <c r="D5307" s="82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17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</row>
    <row r="5308" spans="1:38" x14ac:dyDescent="0.3">
      <c r="A5308" s="5"/>
      <c r="B5308" s="4"/>
      <c r="C5308" s="4"/>
      <c r="D5308" s="82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17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</row>
    <row r="5309" spans="1:38" x14ac:dyDescent="0.3">
      <c r="A5309" s="5"/>
      <c r="B5309" s="4"/>
      <c r="C5309" s="4"/>
      <c r="D5309" s="82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17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</row>
    <row r="5310" spans="1:38" x14ac:dyDescent="0.3">
      <c r="A5310" s="5"/>
      <c r="B5310" s="4"/>
      <c r="C5310" s="4"/>
      <c r="D5310" s="82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17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</row>
    <row r="5311" spans="1:38" x14ac:dyDescent="0.3">
      <c r="A5311" s="5"/>
      <c r="B5311" s="4"/>
      <c r="C5311" s="4"/>
      <c r="D5311" s="82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17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</row>
    <row r="5312" spans="1:38" x14ac:dyDescent="0.3">
      <c r="A5312" s="5"/>
      <c r="B5312" s="4"/>
      <c r="C5312" s="4"/>
      <c r="D5312" s="82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17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</row>
    <row r="5313" spans="1:38" x14ac:dyDescent="0.3">
      <c r="A5313" s="5"/>
      <c r="B5313" s="4"/>
      <c r="C5313" s="4"/>
      <c r="D5313" s="82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17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</row>
    <row r="5314" spans="1:38" x14ac:dyDescent="0.3">
      <c r="A5314" s="5"/>
      <c r="B5314" s="4"/>
      <c r="C5314" s="4"/>
      <c r="D5314" s="82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17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</row>
    <row r="5315" spans="1:38" x14ac:dyDescent="0.3">
      <c r="A5315" s="5"/>
      <c r="B5315" s="4"/>
      <c r="C5315" s="4"/>
      <c r="D5315" s="82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17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</row>
    <row r="5316" spans="1:38" x14ac:dyDescent="0.3">
      <c r="A5316" s="5"/>
      <c r="B5316" s="4"/>
      <c r="C5316" s="4"/>
      <c r="D5316" s="82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17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</row>
    <row r="5317" spans="1:38" x14ac:dyDescent="0.3">
      <c r="A5317" s="5"/>
      <c r="B5317" s="4"/>
      <c r="C5317" s="4"/>
      <c r="D5317" s="82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17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</row>
    <row r="5318" spans="1:38" x14ac:dyDescent="0.3">
      <c r="A5318" s="5"/>
      <c r="B5318" s="4"/>
      <c r="C5318" s="4"/>
      <c r="D5318" s="82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17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</row>
    <row r="5319" spans="1:38" x14ac:dyDescent="0.3">
      <c r="A5319" s="5"/>
      <c r="B5319" s="4"/>
      <c r="C5319" s="4"/>
      <c r="D5319" s="82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17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</row>
    <row r="5320" spans="1:38" x14ac:dyDescent="0.3">
      <c r="A5320" s="5"/>
      <c r="B5320" s="4"/>
      <c r="C5320" s="4"/>
      <c r="D5320" s="82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17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</row>
    <row r="5321" spans="1:38" x14ac:dyDescent="0.3">
      <c r="A5321" s="5"/>
      <c r="B5321" s="4"/>
      <c r="C5321" s="4"/>
      <c r="D5321" s="82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17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</row>
    <row r="5322" spans="1:38" x14ac:dyDescent="0.3">
      <c r="A5322" s="5"/>
      <c r="B5322" s="4"/>
      <c r="C5322" s="4"/>
      <c r="D5322" s="82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17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</row>
    <row r="5323" spans="1:38" x14ac:dyDescent="0.3">
      <c r="A5323" s="5"/>
      <c r="B5323" s="4"/>
      <c r="C5323" s="4"/>
      <c r="D5323" s="82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17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</row>
    <row r="5324" spans="1:38" x14ac:dyDescent="0.3">
      <c r="A5324" s="5"/>
      <c r="B5324" s="4"/>
      <c r="C5324" s="4"/>
      <c r="D5324" s="82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17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</row>
    <row r="5325" spans="1:38" x14ac:dyDescent="0.3">
      <c r="A5325" s="5"/>
      <c r="B5325" s="4"/>
      <c r="C5325" s="4"/>
      <c r="D5325" s="82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17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</row>
    <row r="5326" spans="1:38" x14ac:dyDescent="0.3">
      <c r="A5326" s="5"/>
      <c r="B5326" s="4"/>
      <c r="C5326" s="4"/>
      <c r="D5326" s="82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17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</row>
    <row r="5327" spans="1:38" x14ac:dyDescent="0.3">
      <c r="A5327" s="5"/>
      <c r="B5327" s="4"/>
      <c r="C5327" s="4"/>
      <c r="D5327" s="82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17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</row>
    <row r="5328" spans="1:38" x14ac:dyDescent="0.3">
      <c r="A5328" s="5"/>
      <c r="B5328" s="4"/>
      <c r="C5328" s="4"/>
      <c r="D5328" s="82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17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</row>
    <row r="5329" spans="1:38" x14ac:dyDescent="0.3">
      <c r="A5329" s="5"/>
      <c r="B5329" s="4"/>
      <c r="C5329" s="4"/>
      <c r="D5329" s="82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17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</row>
    <row r="5330" spans="1:38" x14ac:dyDescent="0.3">
      <c r="A5330" s="5"/>
      <c r="B5330" s="4"/>
      <c r="C5330" s="4"/>
      <c r="D5330" s="82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17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</row>
    <row r="5331" spans="1:38" x14ac:dyDescent="0.3">
      <c r="A5331" s="5"/>
      <c r="B5331" s="4"/>
      <c r="C5331" s="4"/>
      <c r="D5331" s="82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17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</row>
    <row r="5332" spans="1:38" x14ac:dyDescent="0.3">
      <c r="A5332" s="5"/>
      <c r="B5332" s="4"/>
      <c r="C5332" s="4"/>
      <c r="D5332" s="82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17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</row>
    <row r="5333" spans="1:38" x14ac:dyDescent="0.3">
      <c r="A5333" s="5"/>
      <c r="B5333" s="4"/>
      <c r="C5333" s="4"/>
      <c r="D5333" s="82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17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</row>
    <row r="5334" spans="1:38" x14ac:dyDescent="0.3">
      <c r="A5334" s="5"/>
      <c r="B5334" s="4"/>
      <c r="C5334" s="4"/>
      <c r="D5334" s="82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17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</row>
    <row r="5335" spans="1:38" x14ac:dyDescent="0.3">
      <c r="A5335" s="5"/>
      <c r="B5335" s="4"/>
      <c r="C5335" s="4"/>
      <c r="D5335" s="82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17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</row>
    <row r="5336" spans="1:38" x14ac:dyDescent="0.3">
      <c r="A5336" s="5"/>
      <c r="B5336" s="4"/>
      <c r="C5336" s="4"/>
      <c r="D5336" s="82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17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</row>
    <row r="5337" spans="1:38" x14ac:dyDescent="0.3">
      <c r="A5337" s="5"/>
      <c r="B5337" s="4"/>
      <c r="C5337" s="4"/>
      <c r="D5337" s="82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17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</row>
    <row r="5338" spans="1:38" x14ac:dyDescent="0.3">
      <c r="A5338" s="5"/>
      <c r="B5338" s="4"/>
      <c r="C5338" s="4"/>
      <c r="D5338" s="82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17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</row>
    <row r="5339" spans="1:38" x14ac:dyDescent="0.3">
      <c r="A5339" s="5"/>
      <c r="B5339" s="4"/>
      <c r="C5339" s="4"/>
      <c r="D5339" s="82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17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</row>
    <row r="5340" spans="1:38" x14ac:dyDescent="0.3">
      <c r="A5340" s="5"/>
      <c r="B5340" s="4"/>
      <c r="C5340" s="4"/>
      <c r="D5340" s="82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17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</row>
    <row r="5341" spans="1:38" x14ac:dyDescent="0.3">
      <c r="A5341" s="5"/>
      <c r="B5341" s="4"/>
      <c r="C5341" s="4"/>
      <c r="D5341" s="82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17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</row>
    <row r="5342" spans="1:38" x14ac:dyDescent="0.3">
      <c r="A5342" s="5"/>
      <c r="B5342" s="4"/>
      <c r="C5342" s="4"/>
      <c r="D5342" s="82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17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</row>
    <row r="5343" spans="1:38" x14ac:dyDescent="0.3">
      <c r="A5343" s="5"/>
      <c r="B5343" s="4"/>
      <c r="C5343" s="4"/>
      <c r="D5343" s="82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17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</row>
    <row r="5344" spans="1:38" x14ac:dyDescent="0.3">
      <c r="A5344" s="5"/>
      <c r="B5344" s="4"/>
      <c r="C5344" s="4"/>
      <c r="D5344" s="82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17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</row>
    <row r="5345" spans="1:38" x14ac:dyDescent="0.3">
      <c r="A5345" s="5"/>
      <c r="B5345" s="4"/>
      <c r="C5345" s="4"/>
      <c r="D5345" s="82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17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</row>
    <row r="5346" spans="1:38" x14ac:dyDescent="0.3">
      <c r="A5346" s="5"/>
      <c r="B5346" s="4"/>
      <c r="C5346" s="4"/>
      <c r="D5346" s="82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17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</row>
    <row r="5347" spans="1:38" x14ac:dyDescent="0.3">
      <c r="A5347" s="5"/>
      <c r="B5347" s="4"/>
      <c r="C5347" s="4"/>
      <c r="D5347" s="82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17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</row>
    <row r="5348" spans="1:38" x14ac:dyDescent="0.3">
      <c r="A5348" s="5"/>
      <c r="B5348" s="4"/>
      <c r="C5348" s="4"/>
      <c r="D5348" s="82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17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</row>
    <row r="5349" spans="1:38" x14ac:dyDescent="0.3">
      <c r="A5349" s="5"/>
      <c r="B5349" s="4"/>
      <c r="C5349" s="4"/>
      <c r="D5349" s="82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17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</row>
    <row r="5350" spans="1:38" x14ac:dyDescent="0.3">
      <c r="A5350" s="5"/>
      <c r="B5350" s="4"/>
      <c r="C5350" s="4"/>
      <c r="D5350" s="82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17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</row>
    <row r="5351" spans="1:38" x14ac:dyDescent="0.3">
      <c r="A5351" s="5"/>
      <c r="B5351" s="4"/>
      <c r="C5351" s="4"/>
      <c r="D5351" s="82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17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</row>
    <row r="5352" spans="1:38" x14ac:dyDescent="0.3">
      <c r="A5352" s="5"/>
      <c r="B5352" s="4"/>
      <c r="C5352" s="4"/>
      <c r="D5352" s="82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17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</row>
    <row r="5353" spans="1:38" x14ac:dyDescent="0.3">
      <c r="A5353" s="5"/>
      <c r="B5353" s="4"/>
      <c r="C5353" s="4"/>
      <c r="D5353" s="82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17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</row>
    <row r="5354" spans="1:38" x14ac:dyDescent="0.3">
      <c r="A5354" s="5"/>
      <c r="B5354" s="4"/>
      <c r="C5354" s="4"/>
      <c r="D5354" s="82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17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</row>
    <row r="5355" spans="1:38" x14ac:dyDescent="0.3">
      <c r="A5355" s="5"/>
      <c r="B5355" s="4"/>
      <c r="C5355" s="4"/>
      <c r="D5355" s="82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17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</row>
    <row r="5356" spans="1:38" x14ac:dyDescent="0.3">
      <c r="A5356" s="5"/>
      <c r="B5356" s="4"/>
      <c r="C5356" s="4"/>
      <c r="D5356" s="82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17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</row>
    <row r="5357" spans="1:38" x14ac:dyDescent="0.3">
      <c r="A5357" s="5"/>
      <c r="B5357" s="4"/>
      <c r="C5357" s="4"/>
      <c r="D5357" s="82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17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</row>
    <row r="5358" spans="1:38" x14ac:dyDescent="0.3">
      <c r="A5358" s="5"/>
      <c r="B5358" s="4"/>
      <c r="C5358" s="4"/>
      <c r="D5358" s="82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17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</row>
    <row r="5359" spans="1:38" x14ac:dyDescent="0.3">
      <c r="A5359" s="5"/>
      <c r="B5359" s="4"/>
      <c r="C5359" s="4"/>
      <c r="D5359" s="82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17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</row>
    <row r="5360" spans="1:38" x14ac:dyDescent="0.3">
      <c r="A5360" s="5"/>
      <c r="B5360" s="4"/>
      <c r="C5360" s="4"/>
      <c r="D5360" s="82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17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</row>
    <row r="5361" spans="1:38" x14ac:dyDescent="0.3">
      <c r="A5361" s="5"/>
      <c r="B5361" s="4"/>
      <c r="C5361" s="4"/>
      <c r="D5361" s="82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17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</row>
    <row r="5362" spans="1:38" x14ac:dyDescent="0.3">
      <c r="A5362" s="5"/>
      <c r="B5362" s="4"/>
      <c r="C5362" s="4"/>
      <c r="D5362" s="82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17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</row>
    <row r="5363" spans="1:38" x14ac:dyDescent="0.3">
      <c r="A5363" s="5"/>
      <c r="B5363" s="4"/>
      <c r="C5363" s="4"/>
      <c r="D5363" s="82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17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</row>
    <row r="5364" spans="1:38" x14ac:dyDescent="0.3">
      <c r="A5364" s="5"/>
      <c r="B5364" s="4"/>
      <c r="C5364" s="4"/>
      <c r="D5364" s="82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17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</row>
    <row r="5365" spans="1:38" x14ac:dyDescent="0.3">
      <c r="A5365" s="5"/>
      <c r="B5365" s="4"/>
      <c r="C5365" s="4"/>
      <c r="D5365" s="82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17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</row>
    <row r="5366" spans="1:38" x14ac:dyDescent="0.3">
      <c r="A5366" s="5"/>
      <c r="B5366" s="4"/>
      <c r="C5366" s="4"/>
      <c r="D5366" s="82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17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</row>
    <row r="5367" spans="1:38" x14ac:dyDescent="0.3">
      <c r="A5367" s="5"/>
      <c r="B5367" s="4"/>
      <c r="C5367" s="4"/>
      <c r="D5367" s="82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17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</row>
    <row r="5368" spans="1:38" x14ac:dyDescent="0.3">
      <c r="A5368" s="5"/>
      <c r="B5368" s="4"/>
      <c r="C5368" s="4"/>
      <c r="D5368" s="82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17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</row>
    <row r="5369" spans="1:38" x14ac:dyDescent="0.3">
      <c r="A5369" s="5"/>
      <c r="B5369" s="4"/>
      <c r="C5369" s="4"/>
      <c r="D5369" s="82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17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</row>
    <row r="5370" spans="1:38" x14ac:dyDescent="0.3">
      <c r="A5370" s="5"/>
      <c r="B5370" s="4"/>
      <c r="C5370" s="4"/>
      <c r="D5370" s="82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17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</row>
    <row r="5371" spans="1:38" x14ac:dyDescent="0.3">
      <c r="A5371" s="5"/>
      <c r="B5371" s="4"/>
      <c r="C5371" s="4"/>
      <c r="D5371" s="82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17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</row>
    <row r="5372" spans="1:38" x14ac:dyDescent="0.3">
      <c r="A5372" s="5"/>
      <c r="B5372" s="4"/>
      <c r="C5372" s="4"/>
      <c r="D5372" s="82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17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</row>
    <row r="5373" spans="1:38" x14ac:dyDescent="0.3">
      <c r="A5373" s="5"/>
      <c r="B5373" s="4"/>
      <c r="C5373" s="4"/>
      <c r="D5373" s="82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17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</row>
    <row r="5374" spans="1:38" x14ac:dyDescent="0.3">
      <c r="A5374" s="5"/>
      <c r="B5374" s="4"/>
      <c r="C5374" s="4"/>
      <c r="D5374" s="82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17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</row>
    <row r="5375" spans="1:38" x14ac:dyDescent="0.3">
      <c r="A5375" s="5"/>
      <c r="B5375" s="4"/>
      <c r="C5375" s="4"/>
      <c r="D5375" s="82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17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</row>
    <row r="5376" spans="1:38" x14ac:dyDescent="0.3">
      <c r="A5376" s="5"/>
      <c r="B5376" s="4"/>
      <c r="C5376" s="4"/>
      <c r="D5376" s="82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17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</row>
    <row r="5377" spans="1:38" x14ac:dyDescent="0.3">
      <c r="A5377" s="5"/>
      <c r="B5377" s="4"/>
      <c r="C5377" s="4"/>
      <c r="D5377" s="82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17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</row>
    <row r="5378" spans="1:38" x14ac:dyDescent="0.3">
      <c r="A5378" s="5"/>
      <c r="B5378" s="4"/>
      <c r="C5378" s="4"/>
      <c r="D5378" s="82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17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</row>
    <row r="5379" spans="1:38" x14ac:dyDescent="0.3">
      <c r="A5379" s="5"/>
      <c r="B5379" s="4"/>
      <c r="C5379" s="4"/>
      <c r="D5379" s="82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17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</row>
    <row r="5380" spans="1:38" x14ac:dyDescent="0.3">
      <c r="A5380" s="5"/>
      <c r="B5380" s="4"/>
      <c r="C5380" s="4"/>
      <c r="D5380" s="82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17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</row>
    <row r="5381" spans="1:38" x14ac:dyDescent="0.3">
      <c r="A5381" s="5"/>
      <c r="B5381" s="4"/>
      <c r="C5381" s="4"/>
      <c r="D5381" s="82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17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</row>
    <row r="5382" spans="1:38" x14ac:dyDescent="0.3">
      <c r="A5382" s="5"/>
      <c r="B5382" s="4"/>
      <c r="C5382" s="4"/>
      <c r="D5382" s="82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17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</row>
    <row r="5383" spans="1:38" x14ac:dyDescent="0.3">
      <c r="A5383" s="5"/>
      <c r="B5383" s="4"/>
      <c r="C5383" s="4"/>
      <c r="D5383" s="82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17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</row>
    <row r="5384" spans="1:38" x14ac:dyDescent="0.3">
      <c r="A5384" s="5"/>
      <c r="B5384" s="4"/>
      <c r="C5384" s="4"/>
      <c r="D5384" s="82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17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</row>
    <row r="5385" spans="1:38" x14ac:dyDescent="0.3">
      <c r="A5385" s="5"/>
      <c r="B5385" s="4"/>
      <c r="C5385" s="4"/>
      <c r="D5385" s="82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17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</row>
    <row r="5386" spans="1:38" x14ac:dyDescent="0.3">
      <c r="A5386" s="5"/>
      <c r="B5386" s="4"/>
      <c r="C5386" s="4"/>
      <c r="D5386" s="82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17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</row>
    <row r="5387" spans="1:38" x14ac:dyDescent="0.3">
      <c r="A5387" s="5"/>
      <c r="B5387" s="4"/>
      <c r="C5387" s="4"/>
      <c r="D5387" s="82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17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</row>
    <row r="5388" spans="1:38" x14ac:dyDescent="0.3">
      <c r="A5388" s="5"/>
      <c r="B5388" s="4"/>
      <c r="C5388" s="4"/>
      <c r="D5388" s="82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17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</row>
    <row r="5389" spans="1:38" x14ac:dyDescent="0.3">
      <c r="A5389" s="5"/>
      <c r="B5389" s="4"/>
      <c r="C5389" s="4"/>
      <c r="D5389" s="82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17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</row>
    <row r="5390" spans="1:38" x14ac:dyDescent="0.3">
      <c r="A5390" s="5"/>
      <c r="B5390" s="4"/>
      <c r="C5390" s="4"/>
      <c r="D5390" s="82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17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</row>
    <row r="5391" spans="1:38" x14ac:dyDescent="0.3">
      <c r="A5391" s="5"/>
      <c r="B5391" s="4"/>
      <c r="C5391" s="4"/>
      <c r="D5391" s="82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17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</row>
    <row r="5392" spans="1:38" x14ac:dyDescent="0.3">
      <c r="A5392" s="5"/>
      <c r="B5392" s="4"/>
      <c r="C5392" s="4"/>
      <c r="D5392" s="82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17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</row>
    <row r="5393" spans="1:38" x14ac:dyDescent="0.3">
      <c r="A5393" s="5"/>
      <c r="B5393" s="4"/>
      <c r="C5393" s="4"/>
      <c r="D5393" s="82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17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</row>
    <row r="5394" spans="1:38" x14ac:dyDescent="0.3">
      <c r="A5394" s="5"/>
      <c r="B5394" s="4"/>
      <c r="C5394" s="4"/>
      <c r="D5394" s="82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17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</row>
    <row r="5395" spans="1:38" x14ac:dyDescent="0.3">
      <c r="A5395" s="5"/>
      <c r="B5395" s="4"/>
      <c r="C5395" s="4"/>
      <c r="D5395" s="82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17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</row>
    <row r="5396" spans="1:38" x14ac:dyDescent="0.3">
      <c r="A5396" s="5"/>
      <c r="B5396" s="4"/>
      <c r="C5396" s="4"/>
      <c r="D5396" s="82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17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</row>
    <row r="5397" spans="1:38" x14ac:dyDescent="0.3">
      <c r="A5397" s="5"/>
      <c r="B5397" s="4"/>
      <c r="C5397" s="4"/>
      <c r="D5397" s="82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17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</row>
    <row r="5398" spans="1:38" x14ac:dyDescent="0.3">
      <c r="A5398" s="5"/>
      <c r="B5398" s="4"/>
      <c r="C5398" s="4"/>
      <c r="D5398" s="82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17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</row>
    <row r="5399" spans="1:38" x14ac:dyDescent="0.3">
      <c r="A5399" s="5"/>
      <c r="B5399" s="4"/>
      <c r="C5399" s="4"/>
      <c r="D5399" s="82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17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</row>
    <row r="5400" spans="1:38" x14ac:dyDescent="0.3">
      <c r="A5400" s="5"/>
      <c r="B5400" s="4"/>
      <c r="C5400" s="4"/>
      <c r="D5400" s="82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17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</row>
    <row r="5401" spans="1:38" x14ac:dyDescent="0.3">
      <c r="A5401" s="5"/>
      <c r="B5401" s="4"/>
      <c r="C5401" s="4"/>
      <c r="D5401" s="82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17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</row>
    <row r="5402" spans="1:38" x14ac:dyDescent="0.3">
      <c r="A5402" s="5"/>
      <c r="B5402" s="4"/>
      <c r="C5402" s="4"/>
      <c r="D5402" s="82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17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</row>
    <row r="5403" spans="1:38" x14ac:dyDescent="0.3">
      <c r="A5403" s="5"/>
      <c r="B5403" s="4"/>
      <c r="C5403" s="4"/>
      <c r="D5403" s="82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17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</row>
    <row r="5404" spans="1:38" x14ac:dyDescent="0.3">
      <c r="A5404" s="5"/>
      <c r="B5404" s="4"/>
      <c r="C5404" s="4"/>
      <c r="D5404" s="82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17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</row>
    <row r="5405" spans="1:38" x14ac:dyDescent="0.3">
      <c r="A5405" s="5"/>
      <c r="B5405" s="4"/>
      <c r="C5405" s="4"/>
      <c r="D5405" s="82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17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</row>
    <row r="5406" spans="1:38" x14ac:dyDescent="0.3">
      <c r="A5406" s="5"/>
      <c r="B5406" s="4"/>
      <c r="C5406" s="4"/>
      <c r="D5406" s="82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17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</row>
    <row r="5407" spans="1:38" x14ac:dyDescent="0.3">
      <c r="A5407" s="5"/>
      <c r="B5407" s="4"/>
      <c r="C5407" s="4"/>
      <c r="D5407" s="82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17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</row>
    <row r="5408" spans="1:38" x14ac:dyDescent="0.3">
      <c r="A5408" s="5"/>
      <c r="B5408" s="4"/>
      <c r="C5408" s="4"/>
      <c r="D5408" s="82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17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</row>
    <row r="5409" spans="1:38" x14ac:dyDescent="0.3">
      <c r="A5409" s="5"/>
      <c r="B5409" s="4"/>
      <c r="C5409" s="4"/>
      <c r="D5409" s="82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17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</row>
    <row r="5410" spans="1:38" x14ac:dyDescent="0.3">
      <c r="A5410" s="5"/>
      <c r="B5410" s="4"/>
      <c r="C5410" s="4"/>
      <c r="D5410" s="82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17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</row>
    <row r="5411" spans="1:38" x14ac:dyDescent="0.3">
      <c r="A5411" s="5"/>
      <c r="B5411" s="4"/>
      <c r="C5411" s="4"/>
      <c r="D5411" s="82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17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</row>
    <row r="5412" spans="1:38" x14ac:dyDescent="0.3">
      <c r="A5412" s="5"/>
      <c r="B5412" s="4"/>
      <c r="C5412" s="4"/>
      <c r="D5412" s="82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17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</row>
    <row r="5413" spans="1:38" x14ac:dyDescent="0.3">
      <c r="A5413" s="5"/>
      <c r="B5413" s="4"/>
      <c r="C5413" s="4"/>
      <c r="D5413" s="82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17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</row>
    <row r="5414" spans="1:38" x14ac:dyDescent="0.3">
      <c r="A5414" s="5"/>
      <c r="B5414" s="4"/>
      <c r="C5414" s="4"/>
      <c r="D5414" s="82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17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</row>
    <row r="5415" spans="1:38" x14ac:dyDescent="0.3">
      <c r="A5415" s="5"/>
      <c r="B5415" s="4"/>
      <c r="C5415" s="4"/>
      <c r="D5415" s="82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17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</row>
    <row r="5416" spans="1:38" x14ac:dyDescent="0.3">
      <c r="A5416" s="5"/>
      <c r="B5416" s="4"/>
      <c r="C5416" s="4"/>
      <c r="D5416" s="82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17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</row>
    <row r="5417" spans="1:38" x14ac:dyDescent="0.3">
      <c r="A5417" s="5"/>
      <c r="B5417" s="4"/>
      <c r="C5417" s="4"/>
      <c r="D5417" s="82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17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</row>
    <row r="5418" spans="1:38" x14ac:dyDescent="0.3">
      <c r="A5418" s="5"/>
      <c r="B5418" s="4"/>
      <c r="C5418" s="4"/>
      <c r="D5418" s="82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17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</row>
    <row r="5419" spans="1:38" x14ac:dyDescent="0.3">
      <c r="A5419" s="5"/>
      <c r="B5419" s="4"/>
      <c r="C5419" s="4"/>
      <c r="D5419" s="82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17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</row>
    <row r="5420" spans="1:38" x14ac:dyDescent="0.3">
      <c r="A5420" s="5"/>
      <c r="B5420" s="4"/>
      <c r="C5420" s="4"/>
      <c r="D5420" s="82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17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</row>
    <row r="5421" spans="1:38" x14ac:dyDescent="0.3">
      <c r="A5421" s="5"/>
      <c r="B5421" s="4"/>
      <c r="C5421" s="4"/>
      <c r="D5421" s="82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17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</row>
    <row r="5422" spans="1:38" x14ac:dyDescent="0.3">
      <c r="A5422" s="5"/>
      <c r="B5422" s="4"/>
      <c r="C5422" s="4"/>
      <c r="D5422" s="82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17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</row>
    <row r="5423" spans="1:38" x14ac:dyDescent="0.3">
      <c r="A5423" s="5"/>
      <c r="B5423" s="4"/>
      <c r="C5423" s="4"/>
      <c r="D5423" s="82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17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</row>
    <row r="5424" spans="1:38" x14ac:dyDescent="0.3">
      <c r="A5424" s="5"/>
      <c r="B5424" s="4"/>
      <c r="C5424" s="4"/>
      <c r="D5424" s="82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17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</row>
    <row r="5425" spans="1:38" x14ac:dyDescent="0.3">
      <c r="A5425" s="5"/>
      <c r="B5425" s="4"/>
      <c r="C5425" s="4"/>
      <c r="D5425" s="82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17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</row>
    <row r="5426" spans="1:38" x14ac:dyDescent="0.3">
      <c r="A5426" s="5"/>
      <c r="B5426" s="4"/>
      <c r="C5426" s="4"/>
      <c r="D5426" s="82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17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</row>
    <row r="5427" spans="1:38" x14ac:dyDescent="0.3">
      <c r="A5427" s="5"/>
      <c r="B5427" s="4"/>
      <c r="C5427" s="4"/>
      <c r="D5427" s="82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17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</row>
    <row r="5428" spans="1:38" x14ac:dyDescent="0.3">
      <c r="A5428" s="5"/>
      <c r="B5428" s="4"/>
      <c r="C5428" s="4"/>
      <c r="D5428" s="82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17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</row>
    <row r="5429" spans="1:38" x14ac:dyDescent="0.3">
      <c r="A5429" s="5"/>
      <c r="B5429" s="4"/>
      <c r="C5429" s="4"/>
      <c r="D5429" s="82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17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</row>
    <row r="5430" spans="1:38" x14ac:dyDescent="0.3">
      <c r="A5430" s="5"/>
      <c r="B5430" s="4"/>
      <c r="C5430" s="4"/>
      <c r="D5430" s="82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17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</row>
    <row r="5431" spans="1:38" x14ac:dyDescent="0.3">
      <c r="A5431" s="5"/>
      <c r="B5431" s="4"/>
      <c r="C5431" s="4"/>
      <c r="D5431" s="82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17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</row>
    <row r="5432" spans="1:38" x14ac:dyDescent="0.3">
      <c r="A5432" s="5"/>
      <c r="B5432" s="4"/>
      <c r="C5432" s="4"/>
      <c r="D5432" s="82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17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</row>
    <row r="5433" spans="1:38" x14ac:dyDescent="0.3">
      <c r="A5433" s="5"/>
      <c r="B5433" s="4"/>
      <c r="C5433" s="4"/>
      <c r="D5433" s="82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17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</row>
    <row r="5434" spans="1:38" x14ac:dyDescent="0.3">
      <c r="A5434" s="5"/>
      <c r="B5434" s="4"/>
      <c r="C5434" s="4"/>
      <c r="D5434" s="82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17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</row>
    <row r="5435" spans="1:38" x14ac:dyDescent="0.3">
      <c r="A5435" s="5"/>
      <c r="B5435" s="4"/>
      <c r="C5435" s="4"/>
      <c r="D5435" s="82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17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</row>
    <row r="5436" spans="1:38" x14ac:dyDescent="0.3">
      <c r="A5436" s="5"/>
      <c r="B5436" s="4"/>
      <c r="C5436" s="4"/>
      <c r="D5436" s="82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17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</row>
    <row r="5437" spans="1:38" x14ac:dyDescent="0.3">
      <c r="A5437" s="5"/>
      <c r="B5437" s="4"/>
      <c r="C5437" s="4"/>
      <c r="D5437" s="82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17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</row>
    <row r="5438" spans="1:38" x14ac:dyDescent="0.3">
      <c r="A5438" s="5"/>
      <c r="B5438" s="4"/>
      <c r="C5438" s="4"/>
      <c r="D5438" s="82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17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</row>
    <row r="5439" spans="1:38" x14ac:dyDescent="0.3">
      <c r="A5439" s="5"/>
      <c r="B5439" s="4"/>
      <c r="C5439" s="4"/>
      <c r="D5439" s="82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17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</row>
    <row r="5440" spans="1:38" x14ac:dyDescent="0.3">
      <c r="A5440" s="5"/>
      <c r="B5440" s="4"/>
      <c r="C5440" s="4"/>
      <c r="D5440" s="82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17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</row>
    <row r="5441" spans="1:38" x14ac:dyDescent="0.3">
      <c r="A5441" s="5"/>
      <c r="B5441" s="4"/>
      <c r="C5441" s="4"/>
      <c r="D5441" s="82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17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</row>
    <row r="5442" spans="1:38" x14ac:dyDescent="0.3">
      <c r="A5442" s="5"/>
      <c r="B5442" s="4"/>
      <c r="C5442" s="4"/>
      <c r="D5442" s="82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17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</row>
    <row r="5443" spans="1:38" x14ac:dyDescent="0.3">
      <c r="A5443" s="5"/>
      <c r="B5443" s="4"/>
      <c r="C5443" s="4"/>
      <c r="D5443" s="82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17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</row>
    <row r="5444" spans="1:38" x14ac:dyDescent="0.3">
      <c r="A5444" s="5"/>
      <c r="B5444" s="4"/>
      <c r="C5444" s="4"/>
      <c r="D5444" s="82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17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</row>
    <row r="5445" spans="1:38" x14ac:dyDescent="0.3">
      <c r="A5445" s="5"/>
      <c r="B5445" s="4"/>
      <c r="C5445" s="4"/>
      <c r="D5445" s="82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17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</row>
    <row r="5446" spans="1:38" x14ac:dyDescent="0.3">
      <c r="A5446" s="5"/>
      <c r="B5446" s="4"/>
      <c r="C5446" s="4"/>
      <c r="D5446" s="82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17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</row>
    <row r="5447" spans="1:38" x14ac:dyDescent="0.3">
      <c r="A5447" s="5"/>
      <c r="B5447" s="4"/>
      <c r="C5447" s="4"/>
      <c r="D5447" s="82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17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</row>
    <row r="5448" spans="1:38" x14ac:dyDescent="0.3">
      <c r="A5448" s="5"/>
      <c r="B5448" s="4"/>
      <c r="C5448" s="4"/>
      <c r="D5448" s="82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17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</row>
    <row r="5449" spans="1:38" x14ac:dyDescent="0.3">
      <c r="A5449" s="5"/>
      <c r="B5449" s="4"/>
      <c r="C5449" s="4"/>
      <c r="D5449" s="82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17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</row>
    <row r="5450" spans="1:38" x14ac:dyDescent="0.3">
      <c r="A5450" s="5"/>
      <c r="B5450" s="4"/>
      <c r="C5450" s="4"/>
      <c r="D5450" s="82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17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</row>
    <row r="5451" spans="1:38" x14ac:dyDescent="0.3">
      <c r="A5451" s="5"/>
      <c r="B5451" s="4"/>
      <c r="C5451" s="4"/>
      <c r="D5451" s="82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17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</row>
    <row r="5452" spans="1:38" x14ac:dyDescent="0.3">
      <c r="A5452" s="5"/>
      <c r="B5452" s="4"/>
      <c r="C5452" s="4"/>
      <c r="D5452" s="82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17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</row>
    <row r="5453" spans="1:38" x14ac:dyDescent="0.3">
      <c r="A5453" s="5"/>
      <c r="B5453" s="4"/>
      <c r="C5453" s="4"/>
      <c r="D5453" s="82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17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</row>
    <row r="5454" spans="1:38" x14ac:dyDescent="0.3">
      <c r="A5454" s="5"/>
      <c r="B5454" s="4"/>
      <c r="C5454" s="4"/>
      <c r="D5454" s="82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17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</row>
    <row r="5455" spans="1:38" x14ac:dyDescent="0.3">
      <c r="A5455" s="5"/>
      <c r="B5455" s="4"/>
      <c r="C5455" s="4"/>
      <c r="D5455" s="82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17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</row>
    <row r="5456" spans="1:38" x14ac:dyDescent="0.3">
      <c r="A5456" s="5"/>
      <c r="B5456" s="4"/>
      <c r="C5456" s="4"/>
      <c r="D5456" s="82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17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</row>
    <row r="5457" spans="1:38" x14ac:dyDescent="0.3">
      <c r="A5457" s="5"/>
      <c r="B5457" s="4"/>
      <c r="C5457" s="4"/>
      <c r="D5457" s="82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17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</row>
    <row r="5458" spans="1:38" x14ac:dyDescent="0.3">
      <c r="A5458" s="5"/>
      <c r="B5458" s="4"/>
      <c r="C5458" s="4"/>
      <c r="D5458" s="82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17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</row>
    <row r="5459" spans="1:38" x14ac:dyDescent="0.3">
      <c r="A5459" s="5"/>
      <c r="B5459" s="4"/>
      <c r="C5459" s="4"/>
      <c r="D5459" s="82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17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</row>
    <row r="5460" spans="1:38" x14ac:dyDescent="0.3">
      <c r="A5460" s="5"/>
      <c r="B5460" s="4"/>
      <c r="C5460" s="4"/>
      <c r="D5460" s="82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17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</row>
    <row r="5461" spans="1:38" x14ac:dyDescent="0.3">
      <c r="A5461" s="5"/>
      <c r="B5461" s="4"/>
      <c r="C5461" s="4"/>
      <c r="D5461" s="82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17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</row>
    <row r="5462" spans="1:38" x14ac:dyDescent="0.3">
      <c r="A5462" s="5"/>
      <c r="B5462" s="4"/>
      <c r="C5462" s="4"/>
      <c r="D5462" s="82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17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</row>
    <row r="5463" spans="1:38" x14ac:dyDescent="0.3">
      <c r="A5463" s="5"/>
      <c r="B5463" s="4"/>
      <c r="C5463" s="4"/>
      <c r="D5463" s="82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17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</row>
    <row r="5464" spans="1:38" x14ac:dyDescent="0.3">
      <c r="A5464" s="5"/>
      <c r="B5464" s="4"/>
      <c r="C5464" s="4"/>
      <c r="D5464" s="82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17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</row>
    <row r="5465" spans="1:38" x14ac:dyDescent="0.3">
      <c r="A5465" s="5"/>
      <c r="B5465" s="4"/>
      <c r="C5465" s="4"/>
      <c r="D5465" s="82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17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</row>
    <row r="5466" spans="1:38" x14ac:dyDescent="0.3">
      <c r="A5466" s="5"/>
      <c r="B5466" s="4"/>
      <c r="C5466" s="4"/>
      <c r="D5466" s="82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17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</row>
    <row r="5467" spans="1:38" x14ac:dyDescent="0.3">
      <c r="A5467" s="5"/>
      <c r="B5467" s="4"/>
      <c r="C5467" s="4"/>
      <c r="D5467" s="82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17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</row>
    <row r="5468" spans="1:38" x14ac:dyDescent="0.3">
      <c r="A5468" s="5"/>
      <c r="B5468" s="4"/>
      <c r="C5468" s="4"/>
      <c r="D5468" s="82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17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</row>
    <row r="5469" spans="1:38" x14ac:dyDescent="0.3">
      <c r="A5469" s="5"/>
      <c r="B5469" s="4"/>
      <c r="C5469" s="4"/>
      <c r="D5469" s="82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17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</row>
    <row r="5470" spans="1:38" x14ac:dyDescent="0.3">
      <c r="A5470" s="5"/>
      <c r="B5470" s="4"/>
      <c r="C5470" s="4"/>
      <c r="D5470" s="82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17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</row>
    <row r="5471" spans="1:38" x14ac:dyDescent="0.3">
      <c r="A5471" s="5"/>
      <c r="B5471" s="4"/>
      <c r="C5471" s="4"/>
      <c r="D5471" s="82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17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</row>
    <row r="5472" spans="1:38" x14ac:dyDescent="0.3">
      <c r="A5472" s="5"/>
      <c r="B5472" s="4"/>
      <c r="C5472" s="4"/>
      <c r="D5472" s="82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17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</row>
    <row r="5473" spans="1:38" x14ac:dyDescent="0.3">
      <c r="A5473" s="5"/>
      <c r="B5473" s="4"/>
      <c r="C5473" s="4"/>
      <c r="D5473" s="82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17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</row>
    <row r="5474" spans="1:38" x14ac:dyDescent="0.3">
      <c r="A5474" s="5"/>
      <c r="B5474" s="4"/>
      <c r="C5474" s="4"/>
      <c r="D5474" s="82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17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</row>
    <row r="5475" spans="1:38" x14ac:dyDescent="0.3">
      <c r="A5475" s="5"/>
      <c r="B5475" s="4"/>
      <c r="C5475" s="4"/>
      <c r="D5475" s="82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17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</row>
    <row r="5476" spans="1:38" x14ac:dyDescent="0.3">
      <c r="A5476" s="5"/>
      <c r="B5476" s="4"/>
      <c r="C5476" s="4"/>
      <c r="D5476" s="82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17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</row>
    <row r="5477" spans="1:38" x14ac:dyDescent="0.3">
      <c r="A5477" s="5"/>
      <c r="B5477" s="4"/>
      <c r="C5477" s="4"/>
      <c r="D5477" s="82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17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</row>
    <row r="5478" spans="1:38" x14ac:dyDescent="0.3">
      <c r="A5478" s="5"/>
      <c r="B5478" s="4"/>
      <c r="C5478" s="4"/>
      <c r="D5478" s="82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17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</row>
    <row r="5479" spans="1:38" x14ac:dyDescent="0.3">
      <c r="A5479" s="5"/>
      <c r="B5479" s="4"/>
      <c r="C5479" s="4"/>
      <c r="D5479" s="82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17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</row>
    <row r="5480" spans="1:38" x14ac:dyDescent="0.3">
      <c r="A5480" s="5"/>
      <c r="B5480" s="4"/>
      <c r="C5480" s="4"/>
      <c r="D5480" s="82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17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</row>
    <row r="5481" spans="1:38" x14ac:dyDescent="0.3">
      <c r="A5481" s="5"/>
      <c r="B5481" s="4"/>
      <c r="C5481" s="4"/>
      <c r="D5481" s="82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17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</row>
    <row r="5482" spans="1:38" x14ac:dyDescent="0.3">
      <c r="A5482" s="5"/>
      <c r="B5482" s="4"/>
      <c r="C5482" s="4"/>
      <c r="D5482" s="82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17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</row>
    <row r="5483" spans="1:38" x14ac:dyDescent="0.3">
      <c r="A5483" s="5"/>
      <c r="B5483" s="4"/>
      <c r="C5483" s="4"/>
      <c r="D5483" s="82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17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</row>
    <row r="5484" spans="1:38" x14ac:dyDescent="0.3">
      <c r="A5484" s="5"/>
      <c r="B5484" s="4"/>
      <c r="C5484" s="4"/>
      <c r="D5484" s="82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17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</row>
    <row r="5485" spans="1:38" x14ac:dyDescent="0.3">
      <c r="A5485" s="5"/>
      <c r="B5485" s="4"/>
      <c r="C5485" s="4"/>
      <c r="D5485" s="82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17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</row>
    <row r="5486" spans="1:38" x14ac:dyDescent="0.3">
      <c r="A5486" s="5"/>
      <c r="B5486" s="4"/>
      <c r="C5486" s="4"/>
      <c r="D5486" s="82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17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</row>
    <row r="5487" spans="1:38" x14ac:dyDescent="0.3">
      <c r="A5487" s="5"/>
      <c r="B5487" s="4"/>
      <c r="C5487" s="4"/>
      <c r="D5487" s="82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17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</row>
    <row r="5488" spans="1:38" x14ac:dyDescent="0.3">
      <c r="A5488" s="5"/>
      <c r="B5488" s="4"/>
      <c r="C5488" s="4"/>
      <c r="D5488" s="82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17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</row>
    <row r="5489" spans="1:38" x14ac:dyDescent="0.3">
      <c r="A5489" s="5"/>
      <c r="B5489" s="4"/>
      <c r="C5489" s="4"/>
      <c r="D5489" s="82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17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</row>
    <row r="5490" spans="1:38" x14ac:dyDescent="0.3">
      <c r="A5490" s="5"/>
      <c r="B5490" s="4"/>
      <c r="C5490" s="4"/>
      <c r="D5490" s="82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17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</row>
    <row r="5491" spans="1:38" x14ac:dyDescent="0.3">
      <c r="A5491" s="5"/>
      <c r="B5491" s="4"/>
      <c r="C5491" s="4"/>
      <c r="D5491" s="82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17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</row>
    <row r="5492" spans="1:38" x14ac:dyDescent="0.3">
      <c r="A5492" s="5"/>
      <c r="B5492" s="4"/>
      <c r="C5492" s="4"/>
      <c r="D5492" s="82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17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</row>
    <row r="5493" spans="1:38" x14ac:dyDescent="0.3">
      <c r="A5493" s="5"/>
      <c r="B5493" s="4"/>
      <c r="C5493" s="4"/>
      <c r="D5493" s="82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17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</row>
    <row r="5494" spans="1:38" x14ac:dyDescent="0.3">
      <c r="A5494" s="5"/>
      <c r="B5494" s="4"/>
      <c r="C5494" s="4"/>
      <c r="D5494" s="82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17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</row>
    <row r="5495" spans="1:38" x14ac:dyDescent="0.3">
      <c r="A5495" s="5"/>
      <c r="B5495" s="4"/>
      <c r="C5495" s="4"/>
      <c r="D5495" s="82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17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</row>
    <row r="5496" spans="1:38" x14ac:dyDescent="0.3">
      <c r="A5496" s="5"/>
      <c r="B5496" s="4"/>
      <c r="C5496" s="4"/>
      <c r="D5496" s="82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17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</row>
    <row r="5497" spans="1:38" x14ac:dyDescent="0.3">
      <c r="A5497" s="5"/>
      <c r="B5497" s="4"/>
      <c r="C5497" s="4"/>
      <c r="D5497" s="82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17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</row>
    <row r="5498" spans="1:38" x14ac:dyDescent="0.3">
      <c r="A5498" s="5"/>
      <c r="B5498" s="4"/>
      <c r="C5498" s="4"/>
      <c r="D5498" s="82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17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</row>
    <row r="5499" spans="1:38" x14ac:dyDescent="0.3">
      <c r="A5499" s="5"/>
      <c r="B5499" s="4"/>
      <c r="C5499" s="4"/>
      <c r="D5499" s="82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17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</row>
    <row r="5500" spans="1:38" x14ac:dyDescent="0.3">
      <c r="A5500" s="5"/>
      <c r="B5500" s="4"/>
      <c r="C5500" s="4"/>
      <c r="D5500" s="82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17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</row>
    <row r="5501" spans="1:38" x14ac:dyDescent="0.3">
      <c r="A5501" s="5"/>
      <c r="B5501" s="4"/>
      <c r="C5501" s="4"/>
      <c r="D5501" s="82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17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</row>
    <row r="5502" spans="1:38" x14ac:dyDescent="0.3">
      <c r="A5502" s="5"/>
      <c r="B5502" s="4"/>
      <c r="C5502" s="4"/>
      <c r="D5502" s="82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17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</row>
    <row r="5503" spans="1:38" x14ac:dyDescent="0.3">
      <c r="A5503" s="5"/>
      <c r="B5503" s="4"/>
      <c r="C5503" s="4"/>
      <c r="D5503" s="82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17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</row>
    <row r="5504" spans="1:38" x14ac:dyDescent="0.3">
      <c r="A5504" s="5"/>
      <c r="B5504" s="4"/>
      <c r="C5504" s="4"/>
      <c r="D5504" s="82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17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</row>
    <row r="5505" spans="1:38" x14ac:dyDescent="0.3">
      <c r="A5505" s="5"/>
      <c r="B5505" s="4"/>
      <c r="C5505" s="4"/>
      <c r="D5505" s="82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17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</row>
    <row r="5506" spans="1:38" x14ac:dyDescent="0.3">
      <c r="A5506" s="5"/>
      <c r="B5506" s="4"/>
      <c r="C5506" s="4"/>
      <c r="D5506" s="82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17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</row>
    <row r="5507" spans="1:38" x14ac:dyDescent="0.3">
      <c r="A5507" s="5"/>
      <c r="B5507" s="4"/>
      <c r="C5507" s="4"/>
      <c r="D5507" s="82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17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</row>
    <row r="5508" spans="1:38" x14ac:dyDescent="0.3">
      <c r="A5508" s="5"/>
      <c r="B5508" s="4"/>
      <c r="C5508" s="4"/>
      <c r="D5508" s="82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17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</row>
    <row r="5509" spans="1:38" x14ac:dyDescent="0.3">
      <c r="A5509" s="5"/>
      <c r="B5509" s="4"/>
      <c r="C5509" s="4"/>
      <c r="D5509" s="82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17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</row>
    <row r="5510" spans="1:38" x14ac:dyDescent="0.3">
      <c r="A5510" s="5"/>
      <c r="B5510" s="4"/>
      <c r="C5510" s="4"/>
      <c r="D5510" s="82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17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</row>
    <row r="5511" spans="1:38" x14ac:dyDescent="0.3">
      <c r="A5511" s="5"/>
      <c r="B5511" s="4"/>
      <c r="C5511" s="4"/>
      <c r="D5511" s="82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17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</row>
    <row r="5512" spans="1:38" x14ac:dyDescent="0.3">
      <c r="A5512" s="5"/>
      <c r="B5512" s="4"/>
      <c r="C5512" s="4"/>
      <c r="D5512" s="82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17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</row>
    <row r="5513" spans="1:38" x14ac:dyDescent="0.3">
      <c r="A5513" s="5"/>
      <c r="B5513" s="4"/>
      <c r="C5513" s="4"/>
      <c r="D5513" s="82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17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</row>
    <row r="5514" spans="1:38" x14ac:dyDescent="0.3">
      <c r="A5514" s="5"/>
      <c r="B5514" s="4"/>
      <c r="C5514" s="4"/>
      <c r="D5514" s="82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17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</row>
    <row r="5515" spans="1:38" x14ac:dyDescent="0.3">
      <c r="A5515" s="5"/>
      <c r="B5515" s="4"/>
      <c r="C5515" s="4"/>
      <c r="D5515" s="82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17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</row>
    <row r="5516" spans="1:38" x14ac:dyDescent="0.3">
      <c r="A5516" s="5"/>
      <c r="B5516" s="4"/>
      <c r="C5516" s="4"/>
      <c r="D5516" s="82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17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</row>
    <row r="5517" spans="1:38" x14ac:dyDescent="0.3">
      <c r="A5517" s="5"/>
      <c r="B5517" s="4"/>
      <c r="C5517" s="4"/>
      <c r="D5517" s="82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17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</row>
    <row r="5518" spans="1:38" x14ac:dyDescent="0.3">
      <c r="A5518" s="5"/>
      <c r="B5518" s="4"/>
      <c r="C5518" s="4"/>
      <c r="D5518" s="82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17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</row>
    <row r="5519" spans="1:38" x14ac:dyDescent="0.3">
      <c r="A5519" s="5"/>
      <c r="B5519" s="4"/>
      <c r="C5519" s="4"/>
      <c r="D5519" s="82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17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</row>
    <row r="5520" spans="1:38" x14ac:dyDescent="0.3">
      <c r="A5520" s="5"/>
      <c r="B5520" s="4"/>
      <c r="C5520" s="4"/>
      <c r="D5520" s="82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17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</row>
    <row r="5521" spans="1:38" x14ac:dyDescent="0.3">
      <c r="A5521" s="5"/>
      <c r="B5521" s="4"/>
      <c r="C5521" s="4"/>
      <c r="D5521" s="82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17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</row>
    <row r="5522" spans="1:38" x14ac:dyDescent="0.3">
      <c r="A5522" s="5"/>
      <c r="B5522" s="4"/>
      <c r="C5522" s="4"/>
      <c r="D5522" s="82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17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</row>
    <row r="5523" spans="1:38" x14ac:dyDescent="0.3">
      <c r="A5523" s="5"/>
      <c r="B5523" s="4"/>
      <c r="C5523" s="4"/>
      <c r="D5523" s="82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17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</row>
    <row r="5524" spans="1:38" x14ac:dyDescent="0.3">
      <c r="A5524" s="5"/>
      <c r="B5524" s="4"/>
      <c r="C5524" s="4"/>
      <c r="D5524" s="82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17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</row>
    <row r="5525" spans="1:38" x14ac:dyDescent="0.3">
      <c r="A5525" s="5"/>
      <c r="B5525" s="4"/>
      <c r="C5525" s="4"/>
      <c r="D5525" s="82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17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</row>
    <row r="5526" spans="1:38" x14ac:dyDescent="0.3">
      <c r="A5526" s="5"/>
      <c r="B5526" s="4"/>
      <c r="C5526" s="4"/>
      <c r="D5526" s="82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17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</row>
    <row r="5527" spans="1:38" x14ac:dyDescent="0.3">
      <c r="A5527" s="5"/>
      <c r="B5527" s="4"/>
      <c r="C5527" s="4"/>
      <c r="D5527" s="82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17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</row>
    <row r="5528" spans="1:38" x14ac:dyDescent="0.3">
      <c r="A5528" s="5"/>
      <c r="B5528" s="4"/>
      <c r="C5528" s="4"/>
      <c r="D5528" s="82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17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</row>
    <row r="5529" spans="1:38" x14ac:dyDescent="0.3">
      <c r="A5529" s="5"/>
      <c r="B5529" s="4"/>
      <c r="C5529" s="4"/>
      <c r="D5529" s="82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17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</row>
    <row r="5530" spans="1:38" x14ac:dyDescent="0.3">
      <c r="A5530" s="5"/>
      <c r="B5530" s="4"/>
      <c r="C5530" s="4"/>
      <c r="D5530" s="82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17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</row>
    <row r="5531" spans="1:38" x14ac:dyDescent="0.3">
      <c r="A5531" s="5"/>
      <c r="B5531" s="4"/>
      <c r="C5531" s="4"/>
      <c r="D5531" s="82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17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</row>
    <row r="5532" spans="1:38" x14ac:dyDescent="0.3">
      <c r="A5532" s="5"/>
      <c r="B5532" s="4"/>
      <c r="C5532" s="4"/>
      <c r="D5532" s="82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17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</row>
    <row r="5533" spans="1:38" x14ac:dyDescent="0.3">
      <c r="A5533" s="5"/>
      <c r="B5533" s="4"/>
      <c r="C5533" s="4"/>
      <c r="D5533" s="82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17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</row>
    <row r="5534" spans="1:38" x14ac:dyDescent="0.3">
      <c r="A5534" s="5"/>
      <c r="B5534" s="4"/>
      <c r="C5534" s="4"/>
      <c r="D5534" s="82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17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</row>
    <row r="5535" spans="1:38" x14ac:dyDescent="0.3">
      <c r="A5535" s="5"/>
      <c r="B5535" s="4"/>
      <c r="C5535" s="4"/>
      <c r="D5535" s="82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17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</row>
    <row r="5536" spans="1:38" x14ac:dyDescent="0.3">
      <c r="A5536" s="5"/>
      <c r="B5536" s="4"/>
      <c r="C5536" s="4"/>
      <c r="D5536" s="82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17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</row>
    <row r="5537" spans="1:38" x14ac:dyDescent="0.3">
      <c r="A5537" s="5"/>
      <c r="B5537" s="4"/>
      <c r="C5537" s="4"/>
      <c r="D5537" s="82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17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</row>
    <row r="5538" spans="1:38" x14ac:dyDescent="0.3">
      <c r="A5538" s="5"/>
      <c r="B5538" s="4"/>
      <c r="C5538" s="4"/>
      <c r="D5538" s="82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17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</row>
    <row r="5539" spans="1:38" x14ac:dyDescent="0.3">
      <c r="A5539" s="5"/>
      <c r="B5539" s="4"/>
      <c r="C5539" s="4"/>
      <c r="D5539" s="82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17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</row>
    <row r="5540" spans="1:38" x14ac:dyDescent="0.3">
      <c r="A5540" s="5"/>
      <c r="B5540" s="4"/>
      <c r="C5540" s="4"/>
      <c r="D5540" s="82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17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</row>
    <row r="5541" spans="1:38" x14ac:dyDescent="0.3">
      <c r="A5541" s="5"/>
      <c r="B5541" s="4"/>
      <c r="C5541" s="4"/>
      <c r="D5541" s="82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17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</row>
    <row r="5542" spans="1:38" x14ac:dyDescent="0.3">
      <c r="A5542" s="5"/>
      <c r="B5542" s="4"/>
      <c r="C5542" s="4"/>
      <c r="D5542" s="82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17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</row>
    <row r="5543" spans="1:38" x14ac:dyDescent="0.3">
      <c r="A5543" s="5"/>
      <c r="B5543" s="4"/>
      <c r="C5543" s="4"/>
      <c r="D5543" s="82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17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</row>
    <row r="5544" spans="1:38" x14ac:dyDescent="0.3">
      <c r="A5544" s="5"/>
      <c r="B5544" s="4"/>
      <c r="C5544" s="4"/>
      <c r="D5544" s="82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17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</row>
    <row r="5545" spans="1:38" x14ac:dyDescent="0.3">
      <c r="A5545" s="5"/>
      <c r="B5545" s="4"/>
      <c r="C5545" s="4"/>
      <c r="D5545" s="82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17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</row>
    <row r="5546" spans="1:38" x14ac:dyDescent="0.3">
      <c r="A5546" s="5"/>
      <c r="B5546" s="4"/>
      <c r="C5546" s="4"/>
      <c r="D5546" s="82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17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</row>
    <row r="5547" spans="1:38" x14ac:dyDescent="0.3">
      <c r="A5547" s="5"/>
      <c r="B5547" s="4"/>
      <c r="C5547" s="4"/>
      <c r="D5547" s="82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17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</row>
    <row r="5548" spans="1:38" x14ac:dyDescent="0.3">
      <c r="A5548" s="5"/>
      <c r="B5548" s="4"/>
      <c r="C5548" s="4"/>
      <c r="D5548" s="82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17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</row>
    <row r="5549" spans="1:38" x14ac:dyDescent="0.3">
      <c r="A5549" s="5"/>
      <c r="B5549" s="4"/>
      <c r="C5549" s="4"/>
      <c r="D5549" s="82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17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</row>
    <row r="5550" spans="1:38" x14ac:dyDescent="0.3">
      <c r="A5550" s="5"/>
      <c r="B5550" s="4"/>
      <c r="C5550" s="4"/>
      <c r="D5550" s="82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17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</row>
    <row r="5551" spans="1:38" x14ac:dyDescent="0.3">
      <c r="A5551" s="5"/>
      <c r="B5551" s="4"/>
      <c r="C5551" s="4"/>
      <c r="D5551" s="82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17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</row>
    <row r="5552" spans="1:38" x14ac:dyDescent="0.3">
      <c r="A5552" s="5"/>
      <c r="B5552" s="4"/>
      <c r="C5552" s="4"/>
      <c r="D5552" s="82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17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</row>
    <row r="5553" spans="1:38" x14ac:dyDescent="0.3">
      <c r="A5553" s="5"/>
      <c r="B5553" s="4"/>
      <c r="C5553" s="4"/>
      <c r="D5553" s="82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17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</row>
    <row r="5554" spans="1:38" x14ac:dyDescent="0.3">
      <c r="A5554" s="5"/>
      <c r="B5554" s="4"/>
      <c r="C5554" s="4"/>
      <c r="D5554" s="82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17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</row>
    <row r="5555" spans="1:38" x14ac:dyDescent="0.3">
      <c r="A5555" s="5"/>
      <c r="B5555" s="4"/>
      <c r="C5555" s="4"/>
      <c r="D5555" s="82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17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</row>
    <row r="5556" spans="1:38" x14ac:dyDescent="0.3">
      <c r="A5556" s="5"/>
      <c r="B5556" s="4"/>
      <c r="C5556" s="4"/>
      <c r="D5556" s="82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17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</row>
    <row r="5557" spans="1:38" x14ac:dyDescent="0.3">
      <c r="A5557" s="5"/>
      <c r="B5557" s="4"/>
      <c r="C5557" s="4"/>
      <c r="D5557" s="82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17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</row>
    <row r="5558" spans="1:38" x14ac:dyDescent="0.3">
      <c r="A5558" s="5"/>
      <c r="B5558" s="4"/>
      <c r="C5558" s="4"/>
      <c r="D5558" s="82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17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</row>
    <row r="5559" spans="1:38" x14ac:dyDescent="0.3">
      <c r="A5559" s="5"/>
      <c r="B5559" s="4"/>
      <c r="C5559" s="4"/>
      <c r="D5559" s="82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17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</row>
    <row r="5560" spans="1:38" x14ac:dyDescent="0.3">
      <c r="A5560" s="5"/>
      <c r="B5560" s="4"/>
      <c r="C5560" s="4"/>
      <c r="D5560" s="82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17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</row>
    <row r="5561" spans="1:38" x14ac:dyDescent="0.3">
      <c r="A5561" s="5"/>
      <c r="B5561" s="4"/>
      <c r="C5561" s="4"/>
      <c r="D5561" s="82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17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</row>
    <row r="5562" spans="1:38" x14ac:dyDescent="0.3">
      <c r="A5562" s="5"/>
      <c r="B5562" s="4"/>
      <c r="C5562" s="4"/>
      <c r="D5562" s="82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17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</row>
    <row r="5563" spans="1:38" x14ac:dyDescent="0.3">
      <c r="A5563" s="5"/>
      <c r="B5563" s="4"/>
      <c r="C5563" s="4"/>
      <c r="D5563" s="82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17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</row>
    <row r="5564" spans="1:38" x14ac:dyDescent="0.3">
      <c r="A5564" s="5"/>
      <c r="B5564" s="4"/>
      <c r="C5564" s="4"/>
      <c r="D5564" s="82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17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</row>
    <row r="5565" spans="1:38" x14ac:dyDescent="0.3">
      <c r="A5565" s="5"/>
      <c r="B5565" s="4"/>
      <c r="C5565" s="4"/>
      <c r="D5565" s="82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17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</row>
    <row r="5566" spans="1:38" x14ac:dyDescent="0.3">
      <c r="A5566" s="5"/>
      <c r="B5566" s="4"/>
      <c r="C5566" s="4"/>
      <c r="D5566" s="82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17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</row>
    <row r="5567" spans="1:38" x14ac:dyDescent="0.3">
      <c r="A5567" s="5"/>
      <c r="B5567" s="4"/>
      <c r="C5567" s="4"/>
      <c r="D5567" s="82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17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</row>
    <row r="5568" spans="1:38" x14ac:dyDescent="0.3">
      <c r="A5568" s="5"/>
      <c r="B5568" s="4"/>
      <c r="C5568" s="4"/>
      <c r="D5568" s="82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17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</row>
    <row r="5569" spans="1:38" x14ac:dyDescent="0.3">
      <c r="A5569" s="5"/>
      <c r="B5569" s="4"/>
      <c r="C5569" s="4"/>
      <c r="D5569" s="82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17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</row>
    <row r="5570" spans="1:38" x14ac:dyDescent="0.3">
      <c r="A5570" s="5"/>
      <c r="B5570" s="4"/>
      <c r="C5570" s="4"/>
      <c r="D5570" s="82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17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</row>
    <row r="5571" spans="1:38" x14ac:dyDescent="0.3">
      <c r="A5571" s="5"/>
      <c r="B5571" s="4"/>
      <c r="C5571" s="4"/>
      <c r="D5571" s="82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17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</row>
    <row r="5572" spans="1:38" x14ac:dyDescent="0.3">
      <c r="A5572" s="5"/>
      <c r="B5572" s="4"/>
      <c r="C5572" s="4"/>
      <c r="D5572" s="82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17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</row>
    <row r="5573" spans="1:38" x14ac:dyDescent="0.3">
      <c r="A5573" s="5"/>
      <c r="B5573" s="4"/>
      <c r="C5573" s="4"/>
      <c r="D5573" s="82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17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</row>
    <row r="5574" spans="1:38" x14ac:dyDescent="0.3">
      <c r="A5574" s="5"/>
      <c r="B5574" s="4"/>
      <c r="C5574" s="4"/>
      <c r="D5574" s="82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17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</row>
    <row r="5575" spans="1:38" x14ac:dyDescent="0.3">
      <c r="A5575" s="5"/>
      <c r="B5575" s="4"/>
      <c r="C5575" s="4"/>
      <c r="D5575" s="82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17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</row>
    <row r="5576" spans="1:38" x14ac:dyDescent="0.3">
      <c r="A5576" s="5"/>
      <c r="B5576" s="4"/>
      <c r="C5576" s="4"/>
      <c r="D5576" s="82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17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</row>
    <row r="5577" spans="1:38" x14ac:dyDescent="0.3">
      <c r="A5577" s="5"/>
      <c r="B5577" s="4"/>
      <c r="C5577" s="4"/>
      <c r="D5577" s="82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17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</row>
    <row r="5578" spans="1:38" x14ac:dyDescent="0.3">
      <c r="A5578" s="5"/>
      <c r="B5578" s="4"/>
      <c r="C5578" s="4"/>
      <c r="D5578" s="82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17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</row>
    <row r="5579" spans="1:38" x14ac:dyDescent="0.3">
      <c r="A5579" s="5"/>
      <c r="B5579" s="4"/>
      <c r="C5579" s="4"/>
      <c r="D5579" s="82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17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</row>
    <row r="5580" spans="1:38" x14ac:dyDescent="0.3">
      <c r="A5580" s="5"/>
      <c r="B5580" s="4"/>
      <c r="C5580" s="4"/>
      <c r="D5580" s="82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17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</row>
    <row r="5581" spans="1:38" x14ac:dyDescent="0.3">
      <c r="A5581" s="5"/>
      <c r="B5581" s="4"/>
      <c r="C5581" s="4"/>
      <c r="D5581" s="82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17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</row>
    <row r="5582" spans="1:38" x14ac:dyDescent="0.3">
      <c r="A5582" s="5"/>
      <c r="B5582" s="4"/>
      <c r="C5582" s="4"/>
      <c r="D5582" s="82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17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</row>
    <row r="5583" spans="1:38" x14ac:dyDescent="0.3">
      <c r="A5583" s="5"/>
      <c r="B5583" s="4"/>
      <c r="C5583" s="4"/>
      <c r="D5583" s="82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17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</row>
    <row r="5584" spans="1:38" x14ac:dyDescent="0.3">
      <c r="A5584" s="5"/>
      <c r="B5584" s="4"/>
      <c r="C5584" s="4"/>
      <c r="D5584" s="82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17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</row>
    <row r="5585" spans="1:38" x14ac:dyDescent="0.3">
      <c r="A5585" s="5"/>
      <c r="B5585" s="4"/>
      <c r="C5585" s="4"/>
      <c r="D5585" s="82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17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</row>
    <row r="5586" spans="1:38" x14ac:dyDescent="0.3">
      <c r="A5586" s="5"/>
      <c r="B5586" s="4"/>
      <c r="C5586" s="4"/>
      <c r="D5586" s="82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17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</row>
    <row r="5587" spans="1:38" x14ac:dyDescent="0.3">
      <c r="A5587" s="5"/>
      <c r="B5587" s="4"/>
      <c r="C5587" s="4"/>
      <c r="D5587" s="82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17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</row>
    <row r="5588" spans="1:38" x14ac:dyDescent="0.3">
      <c r="A5588" s="5"/>
      <c r="B5588" s="4"/>
      <c r="C5588" s="4"/>
      <c r="D5588" s="82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17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</row>
    <row r="5589" spans="1:38" x14ac:dyDescent="0.3">
      <c r="A5589" s="5"/>
      <c r="B5589" s="4"/>
      <c r="C5589" s="4"/>
      <c r="D5589" s="82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17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</row>
    <row r="5590" spans="1:38" x14ac:dyDescent="0.3">
      <c r="A5590" s="5"/>
      <c r="B5590" s="4"/>
      <c r="C5590" s="4"/>
      <c r="D5590" s="82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17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</row>
    <row r="5591" spans="1:38" x14ac:dyDescent="0.3">
      <c r="A5591" s="5"/>
      <c r="B5591" s="4"/>
      <c r="C5591" s="4"/>
      <c r="D5591" s="82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17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</row>
    <row r="5592" spans="1:38" x14ac:dyDescent="0.3">
      <c r="A5592" s="5"/>
      <c r="B5592" s="4"/>
      <c r="C5592" s="4"/>
      <c r="D5592" s="82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17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</row>
    <row r="5593" spans="1:38" x14ac:dyDescent="0.3">
      <c r="A5593" s="5"/>
      <c r="B5593" s="4"/>
      <c r="C5593" s="4"/>
      <c r="D5593" s="82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17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</row>
    <row r="5594" spans="1:38" x14ac:dyDescent="0.3">
      <c r="A5594" s="5"/>
      <c r="B5594" s="4"/>
      <c r="C5594" s="4"/>
      <c r="D5594" s="82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17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</row>
    <row r="5595" spans="1:38" x14ac:dyDescent="0.3">
      <c r="A5595" s="5"/>
      <c r="B5595" s="4"/>
      <c r="C5595" s="4"/>
      <c r="D5595" s="82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17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</row>
    <row r="5596" spans="1:38" x14ac:dyDescent="0.3">
      <c r="A5596" s="5"/>
      <c r="B5596" s="4"/>
      <c r="C5596" s="4"/>
      <c r="D5596" s="82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17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</row>
    <row r="5597" spans="1:38" x14ac:dyDescent="0.3">
      <c r="A5597" s="5"/>
      <c r="B5597" s="4"/>
      <c r="C5597" s="4"/>
      <c r="D5597" s="82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17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</row>
    <row r="5598" spans="1:38" x14ac:dyDescent="0.3">
      <c r="A5598" s="5"/>
      <c r="B5598" s="4"/>
      <c r="C5598" s="4"/>
      <c r="D5598" s="82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17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</row>
    <row r="5599" spans="1:38" x14ac:dyDescent="0.3">
      <c r="A5599" s="5"/>
      <c r="B5599" s="4"/>
      <c r="C5599" s="4"/>
      <c r="D5599" s="82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17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</row>
    <row r="5600" spans="1:38" x14ac:dyDescent="0.3">
      <c r="A5600" s="5"/>
      <c r="B5600" s="4"/>
      <c r="C5600" s="4"/>
      <c r="D5600" s="82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17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</row>
    <row r="5601" spans="1:38" x14ac:dyDescent="0.3">
      <c r="A5601" s="5"/>
      <c r="B5601" s="4"/>
      <c r="C5601" s="4"/>
      <c r="D5601" s="82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17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</row>
    <row r="5602" spans="1:38" x14ac:dyDescent="0.3">
      <c r="A5602" s="5"/>
      <c r="B5602" s="4"/>
      <c r="C5602" s="4"/>
      <c r="D5602" s="82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17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</row>
    <row r="5603" spans="1:38" x14ac:dyDescent="0.3">
      <c r="A5603" s="5"/>
      <c r="B5603" s="4"/>
      <c r="C5603" s="4"/>
      <c r="D5603" s="82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17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</row>
    <row r="5604" spans="1:38" x14ac:dyDescent="0.3">
      <c r="A5604" s="5"/>
      <c r="B5604" s="4"/>
      <c r="C5604" s="4"/>
      <c r="D5604" s="82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17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</row>
    <row r="5605" spans="1:38" x14ac:dyDescent="0.3">
      <c r="A5605" s="5"/>
      <c r="B5605" s="4"/>
      <c r="C5605" s="4"/>
      <c r="D5605" s="82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17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</row>
    <row r="5606" spans="1:38" x14ac:dyDescent="0.3">
      <c r="A5606" s="5"/>
      <c r="B5606" s="4"/>
      <c r="C5606" s="4"/>
      <c r="D5606" s="82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17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</row>
    <row r="5607" spans="1:38" x14ac:dyDescent="0.3">
      <c r="A5607" s="5"/>
      <c r="B5607" s="4"/>
      <c r="C5607" s="4"/>
      <c r="D5607" s="82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17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</row>
    <row r="5608" spans="1:38" x14ac:dyDescent="0.3">
      <c r="A5608" s="5"/>
      <c r="B5608" s="4"/>
      <c r="C5608" s="4"/>
      <c r="D5608" s="82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17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</row>
    <row r="5609" spans="1:38" x14ac:dyDescent="0.3">
      <c r="A5609" s="5"/>
      <c r="B5609" s="4"/>
      <c r="C5609" s="4"/>
      <c r="D5609" s="82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17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</row>
    <row r="5610" spans="1:38" x14ac:dyDescent="0.3">
      <c r="A5610" s="5"/>
      <c r="B5610" s="4"/>
      <c r="C5610" s="4"/>
      <c r="D5610" s="82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17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</row>
    <row r="5611" spans="1:38" x14ac:dyDescent="0.3">
      <c r="A5611" s="5"/>
      <c r="B5611" s="4"/>
      <c r="C5611" s="4"/>
      <c r="D5611" s="82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17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</row>
    <row r="5612" spans="1:38" x14ac:dyDescent="0.3">
      <c r="A5612" s="5"/>
      <c r="B5612" s="4"/>
      <c r="C5612" s="4"/>
      <c r="D5612" s="82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17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</row>
    <row r="5613" spans="1:38" x14ac:dyDescent="0.3">
      <c r="A5613" s="5"/>
      <c r="B5613" s="4"/>
      <c r="C5613" s="4"/>
      <c r="D5613" s="82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17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</row>
    <row r="5614" spans="1:38" x14ac:dyDescent="0.3">
      <c r="A5614" s="5"/>
      <c r="B5614" s="4"/>
      <c r="C5614" s="4"/>
      <c r="D5614" s="82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17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</row>
    <row r="5615" spans="1:38" x14ac:dyDescent="0.3">
      <c r="A5615" s="5"/>
      <c r="B5615" s="4"/>
      <c r="C5615" s="4"/>
      <c r="D5615" s="82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17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</row>
    <row r="5616" spans="1:38" x14ac:dyDescent="0.3">
      <c r="A5616" s="5"/>
      <c r="B5616" s="4"/>
      <c r="C5616" s="4"/>
      <c r="D5616" s="82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17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</row>
    <row r="5617" spans="1:38" x14ac:dyDescent="0.3">
      <c r="A5617" s="5"/>
      <c r="B5617" s="4"/>
      <c r="C5617" s="4"/>
      <c r="D5617" s="82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17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</row>
    <row r="5618" spans="1:38" x14ac:dyDescent="0.3">
      <c r="A5618" s="5"/>
      <c r="B5618" s="4"/>
      <c r="C5618" s="4"/>
      <c r="D5618" s="82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17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</row>
    <row r="5619" spans="1:38" x14ac:dyDescent="0.3">
      <c r="A5619" s="5"/>
      <c r="B5619" s="4"/>
      <c r="C5619" s="4"/>
      <c r="D5619" s="82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17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</row>
    <row r="5620" spans="1:38" x14ac:dyDescent="0.3">
      <c r="A5620" s="5"/>
      <c r="B5620" s="4"/>
      <c r="C5620" s="4"/>
      <c r="D5620" s="82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17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</row>
    <row r="5621" spans="1:38" x14ac:dyDescent="0.3">
      <c r="A5621" s="5"/>
      <c r="B5621" s="4"/>
      <c r="C5621" s="4"/>
      <c r="D5621" s="82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17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</row>
    <row r="5622" spans="1:38" x14ac:dyDescent="0.3">
      <c r="A5622" s="5"/>
      <c r="B5622" s="4"/>
      <c r="C5622" s="4"/>
      <c r="D5622" s="82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17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</row>
    <row r="5623" spans="1:38" x14ac:dyDescent="0.3">
      <c r="A5623" s="5"/>
      <c r="B5623" s="4"/>
      <c r="C5623" s="4"/>
      <c r="D5623" s="82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17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</row>
    <row r="5624" spans="1:38" x14ac:dyDescent="0.3">
      <c r="A5624" s="5"/>
      <c r="B5624" s="4"/>
      <c r="C5624" s="4"/>
      <c r="D5624" s="82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17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</row>
    <row r="5625" spans="1:38" x14ac:dyDescent="0.3">
      <c r="A5625" s="5"/>
      <c r="B5625" s="4"/>
      <c r="C5625" s="4"/>
      <c r="D5625" s="82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17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</row>
    <row r="5626" spans="1:38" x14ac:dyDescent="0.3">
      <c r="A5626" s="5"/>
      <c r="B5626" s="4"/>
      <c r="C5626" s="4"/>
      <c r="D5626" s="82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17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</row>
    <row r="5627" spans="1:38" x14ac:dyDescent="0.3">
      <c r="A5627" s="5"/>
      <c r="B5627" s="4"/>
      <c r="C5627" s="4"/>
      <c r="D5627" s="82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17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</row>
    <row r="5628" spans="1:38" x14ac:dyDescent="0.3">
      <c r="A5628" s="5"/>
      <c r="B5628" s="4"/>
      <c r="C5628" s="4"/>
      <c r="D5628" s="82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17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</row>
    <row r="5629" spans="1:38" x14ac:dyDescent="0.3">
      <c r="A5629" s="5"/>
      <c r="B5629" s="4"/>
      <c r="C5629" s="4"/>
      <c r="D5629" s="82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17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</row>
    <row r="5630" spans="1:38" x14ac:dyDescent="0.3">
      <c r="A5630" s="5"/>
      <c r="B5630" s="4"/>
      <c r="C5630" s="4"/>
      <c r="D5630" s="82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17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</row>
    <row r="5631" spans="1:38" x14ac:dyDescent="0.3">
      <c r="A5631" s="5"/>
      <c r="B5631" s="4"/>
      <c r="C5631" s="4"/>
      <c r="D5631" s="82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17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</row>
    <row r="5632" spans="1:38" x14ac:dyDescent="0.3">
      <c r="A5632" s="5"/>
      <c r="B5632" s="4"/>
      <c r="C5632" s="4"/>
      <c r="D5632" s="82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17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</row>
    <row r="5633" spans="1:38" x14ac:dyDescent="0.3">
      <c r="A5633" s="5"/>
      <c r="B5633" s="4"/>
      <c r="C5633" s="4"/>
      <c r="D5633" s="82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17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</row>
    <row r="5634" spans="1:38" x14ac:dyDescent="0.3">
      <c r="A5634" s="5"/>
      <c r="B5634" s="4"/>
      <c r="C5634" s="4"/>
      <c r="D5634" s="82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17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</row>
    <row r="5635" spans="1:38" x14ac:dyDescent="0.3">
      <c r="A5635" s="5"/>
      <c r="B5635" s="4"/>
      <c r="C5635" s="4"/>
      <c r="D5635" s="82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17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</row>
    <row r="5636" spans="1:38" x14ac:dyDescent="0.3">
      <c r="A5636" s="5"/>
      <c r="B5636" s="4"/>
      <c r="C5636" s="4"/>
      <c r="D5636" s="82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17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</row>
    <row r="5637" spans="1:38" x14ac:dyDescent="0.3">
      <c r="A5637" s="5"/>
      <c r="B5637" s="4"/>
      <c r="C5637" s="4"/>
      <c r="D5637" s="82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17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</row>
    <row r="5638" spans="1:38" x14ac:dyDescent="0.3">
      <c r="A5638" s="5"/>
      <c r="B5638" s="4"/>
      <c r="C5638" s="4"/>
      <c r="D5638" s="82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17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</row>
    <row r="5639" spans="1:38" x14ac:dyDescent="0.3">
      <c r="A5639" s="5"/>
      <c r="B5639" s="4"/>
      <c r="C5639" s="4"/>
      <c r="D5639" s="82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17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</row>
    <row r="5640" spans="1:38" x14ac:dyDescent="0.3">
      <c r="A5640" s="5"/>
      <c r="B5640" s="4"/>
      <c r="C5640" s="4"/>
      <c r="D5640" s="82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17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</row>
    <row r="5641" spans="1:38" x14ac:dyDescent="0.3">
      <c r="A5641" s="5"/>
      <c r="B5641" s="4"/>
      <c r="C5641" s="4"/>
      <c r="D5641" s="82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17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</row>
    <row r="5642" spans="1:38" x14ac:dyDescent="0.3">
      <c r="A5642" s="5"/>
      <c r="B5642" s="4"/>
      <c r="C5642" s="4"/>
      <c r="D5642" s="82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17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</row>
    <row r="5643" spans="1:38" x14ac:dyDescent="0.3">
      <c r="A5643" s="5"/>
      <c r="B5643" s="4"/>
      <c r="C5643" s="4"/>
      <c r="D5643" s="82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17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</row>
    <row r="5644" spans="1:38" x14ac:dyDescent="0.3">
      <c r="A5644" s="5"/>
      <c r="B5644" s="4"/>
      <c r="C5644" s="4"/>
      <c r="D5644" s="82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17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</row>
    <row r="5645" spans="1:38" x14ac:dyDescent="0.3">
      <c r="A5645" s="5"/>
      <c r="B5645" s="4"/>
      <c r="C5645" s="4"/>
      <c r="D5645" s="82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17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</row>
    <row r="5646" spans="1:38" x14ac:dyDescent="0.3">
      <c r="A5646" s="5"/>
      <c r="B5646" s="4"/>
      <c r="C5646" s="4"/>
      <c r="D5646" s="82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17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</row>
    <row r="5647" spans="1:38" x14ac:dyDescent="0.3">
      <c r="A5647" s="5"/>
      <c r="B5647" s="4"/>
      <c r="C5647" s="4"/>
      <c r="D5647" s="82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17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</row>
    <row r="5648" spans="1:38" x14ac:dyDescent="0.3">
      <c r="A5648" s="5"/>
      <c r="B5648" s="4"/>
      <c r="C5648" s="4"/>
      <c r="D5648" s="82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17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</row>
    <row r="5649" spans="1:38" x14ac:dyDescent="0.3">
      <c r="A5649" s="5"/>
      <c r="B5649" s="4"/>
      <c r="C5649" s="4"/>
      <c r="D5649" s="82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17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</row>
    <row r="5650" spans="1:38" x14ac:dyDescent="0.3">
      <c r="A5650" s="5"/>
      <c r="B5650" s="4"/>
      <c r="C5650" s="4"/>
      <c r="D5650" s="82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17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</row>
    <row r="5651" spans="1:38" x14ac:dyDescent="0.3">
      <c r="A5651" s="5"/>
      <c r="B5651" s="4"/>
      <c r="C5651" s="4"/>
      <c r="D5651" s="82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17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</row>
    <row r="5652" spans="1:38" x14ac:dyDescent="0.3">
      <c r="A5652" s="5"/>
      <c r="B5652" s="4"/>
      <c r="C5652" s="4"/>
      <c r="D5652" s="82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17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</row>
    <row r="5653" spans="1:38" x14ac:dyDescent="0.3">
      <c r="A5653" s="5"/>
      <c r="B5653" s="4"/>
      <c r="C5653" s="4"/>
      <c r="D5653" s="82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17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</row>
    <row r="5654" spans="1:38" x14ac:dyDescent="0.3">
      <c r="A5654" s="5"/>
      <c r="B5654" s="4"/>
      <c r="C5654" s="4"/>
      <c r="D5654" s="82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17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</row>
    <row r="5655" spans="1:38" x14ac:dyDescent="0.3">
      <c r="A5655" s="5"/>
      <c r="B5655" s="4"/>
      <c r="C5655" s="4"/>
      <c r="D5655" s="82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17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</row>
    <row r="5656" spans="1:38" x14ac:dyDescent="0.3">
      <c r="A5656" s="5"/>
      <c r="B5656" s="4"/>
      <c r="C5656" s="4"/>
      <c r="D5656" s="82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17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</row>
    <row r="5657" spans="1:38" x14ac:dyDescent="0.3">
      <c r="A5657" s="5"/>
      <c r="B5657" s="4"/>
      <c r="C5657" s="4"/>
      <c r="D5657" s="82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17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</row>
    <row r="5658" spans="1:38" x14ac:dyDescent="0.3">
      <c r="A5658" s="5"/>
      <c r="B5658" s="4"/>
      <c r="C5658" s="4"/>
      <c r="D5658" s="82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17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</row>
    <row r="5659" spans="1:38" x14ac:dyDescent="0.3">
      <c r="A5659" s="5"/>
      <c r="B5659" s="4"/>
      <c r="C5659" s="4"/>
      <c r="D5659" s="82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17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</row>
    <row r="5660" spans="1:38" x14ac:dyDescent="0.3">
      <c r="A5660" s="5"/>
      <c r="B5660" s="4"/>
      <c r="C5660" s="4"/>
      <c r="D5660" s="82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17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</row>
    <row r="5661" spans="1:38" x14ac:dyDescent="0.3">
      <c r="A5661" s="5"/>
      <c r="B5661" s="4"/>
      <c r="C5661" s="4"/>
      <c r="D5661" s="82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17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</row>
    <row r="5662" spans="1:38" x14ac:dyDescent="0.3">
      <c r="A5662" s="5"/>
      <c r="B5662" s="4"/>
      <c r="C5662" s="4"/>
      <c r="D5662" s="82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17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</row>
    <row r="5663" spans="1:38" x14ac:dyDescent="0.3">
      <c r="A5663" s="5"/>
      <c r="B5663" s="4"/>
      <c r="C5663" s="4"/>
      <c r="D5663" s="82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17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</row>
    <row r="5664" spans="1:38" x14ac:dyDescent="0.3">
      <c r="A5664" s="5"/>
      <c r="B5664" s="4"/>
      <c r="C5664" s="4"/>
      <c r="D5664" s="82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17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</row>
    <row r="5665" spans="1:38" x14ac:dyDescent="0.3">
      <c r="A5665" s="5"/>
      <c r="B5665" s="4"/>
      <c r="C5665" s="4"/>
      <c r="D5665" s="82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17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</row>
    <row r="5666" spans="1:38" x14ac:dyDescent="0.3">
      <c r="A5666" s="5"/>
      <c r="B5666" s="4"/>
      <c r="C5666" s="4"/>
      <c r="D5666" s="82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17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</row>
    <row r="5667" spans="1:38" x14ac:dyDescent="0.3">
      <c r="A5667" s="5"/>
      <c r="B5667" s="4"/>
      <c r="C5667" s="4"/>
      <c r="D5667" s="82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17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</row>
    <row r="5668" spans="1:38" x14ac:dyDescent="0.3">
      <c r="A5668" s="5"/>
      <c r="B5668" s="4"/>
      <c r="C5668" s="4"/>
      <c r="D5668" s="82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17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</row>
    <row r="5669" spans="1:38" x14ac:dyDescent="0.3">
      <c r="A5669" s="5"/>
      <c r="B5669" s="4"/>
      <c r="C5669" s="4"/>
      <c r="D5669" s="82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17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</row>
    <row r="5670" spans="1:38" x14ac:dyDescent="0.3">
      <c r="A5670" s="5"/>
      <c r="B5670" s="4"/>
      <c r="C5670" s="4"/>
      <c r="D5670" s="82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17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</row>
    <row r="5671" spans="1:38" x14ac:dyDescent="0.3">
      <c r="A5671" s="5"/>
      <c r="B5671" s="4"/>
      <c r="C5671" s="4"/>
      <c r="D5671" s="82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17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</row>
    <row r="5672" spans="1:38" x14ac:dyDescent="0.3">
      <c r="A5672" s="5"/>
      <c r="B5672" s="4"/>
      <c r="C5672" s="4"/>
      <c r="D5672" s="82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17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</row>
    <row r="5673" spans="1:38" x14ac:dyDescent="0.3">
      <c r="A5673" s="5"/>
      <c r="B5673" s="4"/>
      <c r="C5673" s="4"/>
      <c r="D5673" s="82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17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</row>
    <row r="5674" spans="1:38" x14ac:dyDescent="0.3">
      <c r="A5674" s="5"/>
      <c r="B5674" s="4"/>
      <c r="C5674" s="4"/>
      <c r="D5674" s="82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17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</row>
    <row r="5675" spans="1:38" x14ac:dyDescent="0.3">
      <c r="A5675" s="5"/>
      <c r="B5675" s="4"/>
      <c r="C5675" s="4"/>
      <c r="D5675" s="82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17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</row>
    <row r="5676" spans="1:38" x14ac:dyDescent="0.3">
      <c r="A5676" s="5"/>
      <c r="B5676" s="4"/>
      <c r="C5676" s="4"/>
      <c r="D5676" s="82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17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</row>
    <row r="5677" spans="1:38" x14ac:dyDescent="0.3">
      <c r="A5677" s="5"/>
      <c r="B5677" s="4"/>
      <c r="C5677" s="4"/>
      <c r="D5677" s="82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17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</row>
    <row r="5678" spans="1:38" x14ac:dyDescent="0.3">
      <c r="A5678" s="5"/>
      <c r="B5678" s="4"/>
      <c r="C5678" s="4"/>
      <c r="D5678" s="82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17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</row>
    <row r="5679" spans="1:38" x14ac:dyDescent="0.3">
      <c r="A5679" s="5"/>
      <c r="B5679" s="4"/>
      <c r="C5679" s="4"/>
      <c r="D5679" s="82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17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</row>
    <row r="5680" spans="1:38" x14ac:dyDescent="0.3">
      <c r="A5680" s="5"/>
      <c r="B5680" s="4"/>
      <c r="C5680" s="4"/>
      <c r="D5680" s="82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17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</row>
    <row r="5681" spans="1:38" x14ac:dyDescent="0.3">
      <c r="A5681" s="5"/>
      <c r="B5681" s="4"/>
      <c r="C5681" s="4"/>
      <c r="D5681" s="82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17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</row>
    <row r="5682" spans="1:38" x14ac:dyDescent="0.3">
      <c r="A5682" s="5"/>
      <c r="B5682" s="4"/>
      <c r="C5682" s="4"/>
      <c r="D5682" s="82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17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</row>
    <row r="5683" spans="1:38" x14ac:dyDescent="0.3">
      <c r="A5683" s="5"/>
      <c r="B5683" s="4"/>
      <c r="C5683" s="4"/>
      <c r="D5683" s="82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17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</row>
    <row r="5684" spans="1:38" x14ac:dyDescent="0.3">
      <c r="A5684" s="5"/>
      <c r="B5684" s="4"/>
      <c r="C5684" s="4"/>
      <c r="D5684" s="82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17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</row>
    <row r="5685" spans="1:38" x14ac:dyDescent="0.3">
      <c r="A5685" s="5"/>
      <c r="B5685" s="4"/>
      <c r="C5685" s="4"/>
      <c r="D5685" s="82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17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</row>
    <row r="5686" spans="1:38" x14ac:dyDescent="0.3">
      <c r="A5686" s="5"/>
      <c r="B5686" s="4"/>
      <c r="C5686" s="4"/>
      <c r="D5686" s="82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17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</row>
    <row r="5687" spans="1:38" x14ac:dyDescent="0.3">
      <c r="A5687" s="5"/>
      <c r="B5687" s="4"/>
      <c r="C5687" s="4"/>
      <c r="D5687" s="82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17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</row>
    <row r="5688" spans="1:38" x14ac:dyDescent="0.3">
      <c r="A5688" s="5"/>
      <c r="B5688" s="4"/>
      <c r="C5688" s="4"/>
      <c r="D5688" s="82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17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</row>
    <row r="5689" spans="1:38" x14ac:dyDescent="0.3">
      <c r="A5689" s="5"/>
      <c r="B5689" s="4"/>
      <c r="C5689" s="4"/>
      <c r="D5689" s="82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17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</row>
    <row r="5690" spans="1:38" x14ac:dyDescent="0.3">
      <c r="A5690" s="5"/>
      <c r="B5690" s="4"/>
      <c r="C5690" s="4"/>
      <c r="D5690" s="82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17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</row>
    <row r="5691" spans="1:38" x14ac:dyDescent="0.3">
      <c r="A5691" s="5"/>
      <c r="B5691" s="4"/>
      <c r="C5691" s="4"/>
      <c r="D5691" s="82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17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</row>
    <row r="5692" spans="1:38" x14ac:dyDescent="0.3">
      <c r="A5692" s="5"/>
      <c r="B5692" s="4"/>
      <c r="C5692" s="4"/>
      <c r="D5692" s="82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17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</row>
    <row r="5693" spans="1:38" x14ac:dyDescent="0.3">
      <c r="A5693" s="5"/>
      <c r="B5693" s="4"/>
      <c r="C5693" s="4"/>
      <c r="D5693" s="82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17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</row>
    <row r="5694" spans="1:38" x14ac:dyDescent="0.3">
      <c r="A5694" s="5"/>
      <c r="B5694" s="4"/>
      <c r="C5694" s="4"/>
      <c r="D5694" s="82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17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</row>
    <row r="5695" spans="1:38" x14ac:dyDescent="0.3">
      <c r="A5695" s="5"/>
      <c r="B5695" s="4"/>
      <c r="C5695" s="4"/>
      <c r="D5695" s="82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17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</row>
    <row r="5696" spans="1:38" x14ac:dyDescent="0.3">
      <c r="A5696" s="5"/>
      <c r="B5696" s="4"/>
      <c r="C5696" s="4"/>
      <c r="D5696" s="82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17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</row>
    <row r="5697" spans="1:38" x14ac:dyDescent="0.3">
      <c r="A5697" s="5"/>
      <c r="B5697" s="4"/>
      <c r="C5697" s="4"/>
      <c r="D5697" s="82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17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</row>
    <row r="5698" spans="1:38" x14ac:dyDescent="0.3">
      <c r="A5698" s="5"/>
      <c r="B5698" s="4"/>
      <c r="C5698" s="4"/>
      <c r="D5698" s="82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17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</row>
    <row r="5699" spans="1:38" x14ac:dyDescent="0.3">
      <c r="A5699" s="5"/>
      <c r="B5699" s="4"/>
      <c r="C5699" s="4"/>
      <c r="D5699" s="82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17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</row>
    <row r="5700" spans="1:38" x14ac:dyDescent="0.3">
      <c r="A5700" s="5"/>
      <c r="B5700" s="4"/>
      <c r="C5700" s="4"/>
      <c r="D5700" s="82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17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</row>
    <row r="5701" spans="1:38" x14ac:dyDescent="0.3">
      <c r="A5701" s="5"/>
      <c r="B5701" s="4"/>
      <c r="C5701" s="4"/>
      <c r="D5701" s="82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17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</row>
    <row r="5702" spans="1:38" x14ac:dyDescent="0.3">
      <c r="A5702" s="5"/>
      <c r="B5702" s="4"/>
      <c r="C5702" s="4"/>
      <c r="D5702" s="82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17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</row>
    <row r="5703" spans="1:38" x14ac:dyDescent="0.3">
      <c r="A5703" s="5"/>
      <c r="B5703" s="4"/>
      <c r="C5703" s="4"/>
      <c r="D5703" s="82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17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</row>
    <row r="5704" spans="1:38" x14ac:dyDescent="0.3">
      <c r="A5704" s="5"/>
      <c r="B5704" s="4"/>
      <c r="C5704" s="4"/>
      <c r="D5704" s="82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17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</row>
    <row r="5705" spans="1:38" x14ac:dyDescent="0.3">
      <c r="A5705" s="5"/>
      <c r="B5705" s="4"/>
      <c r="C5705" s="4"/>
      <c r="D5705" s="82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17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</row>
    <row r="5706" spans="1:38" x14ac:dyDescent="0.3">
      <c r="A5706" s="5"/>
      <c r="B5706" s="4"/>
      <c r="C5706" s="4"/>
      <c r="D5706" s="82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17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</row>
    <row r="5707" spans="1:38" x14ac:dyDescent="0.3">
      <c r="A5707" s="5"/>
      <c r="B5707" s="4"/>
      <c r="C5707" s="4"/>
      <c r="D5707" s="82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17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</row>
    <row r="5708" spans="1:38" x14ac:dyDescent="0.3">
      <c r="A5708" s="5"/>
      <c r="B5708" s="4"/>
      <c r="C5708" s="4"/>
      <c r="D5708" s="82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17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</row>
    <row r="5709" spans="1:38" x14ac:dyDescent="0.3">
      <c r="A5709" s="5"/>
      <c r="B5709" s="4"/>
      <c r="C5709" s="4"/>
      <c r="D5709" s="82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17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</row>
    <row r="5710" spans="1:38" x14ac:dyDescent="0.3">
      <c r="A5710" s="5"/>
      <c r="B5710" s="4"/>
      <c r="C5710" s="4"/>
      <c r="D5710" s="82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17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</row>
    <row r="5711" spans="1:38" x14ac:dyDescent="0.3">
      <c r="A5711" s="5"/>
      <c r="B5711" s="4"/>
      <c r="C5711" s="4"/>
      <c r="D5711" s="82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17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</row>
    <row r="5712" spans="1:38" x14ac:dyDescent="0.3">
      <c r="A5712" s="5"/>
      <c r="B5712" s="4"/>
      <c r="C5712" s="4"/>
      <c r="D5712" s="82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17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</row>
    <row r="5713" spans="1:38" x14ac:dyDescent="0.3">
      <c r="A5713" s="5"/>
      <c r="B5713" s="4"/>
      <c r="C5713" s="4"/>
      <c r="D5713" s="82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17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</row>
    <row r="5714" spans="1:38" x14ac:dyDescent="0.3">
      <c r="A5714" s="5"/>
      <c r="B5714" s="4"/>
      <c r="C5714" s="4"/>
      <c r="D5714" s="82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17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</row>
    <row r="5715" spans="1:38" x14ac:dyDescent="0.3">
      <c r="A5715" s="5"/>
      <c r="B5715" s="4"/>
      <c r="C5715" s="4"/>
      <c r="D5715" s="82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17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</row>
    <row r="5716" spans="1:38" x14ac:dyDescent="0.3">
      <c r="A5716" s="5"/>
      <c r="B5716" s="4"/>
      <c r="C5716" s="4"/>
      <c r="D5716" s="82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17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</row>
    <row r="5717" spans="1:38" x14ac:dyDescent="0.3">
      <c r="A5717" s="5"/>
      <c r="B5717" s="4"/>
      <c r="C5717" s="4"/>
      <c r="D5717" s="82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17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</row>
    <row r="5718" spans="1:38" x14ac:dyDescent="0.3">
      <c r="A5718" s="5"/>
      <c r="B5718" s="4"/>
      <c r="C5718" s="4"/>
      <c r="D5718" s="82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17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</row>
    <row r="5719" spans="1:38" x14ac:dyDescent="0.3">
      <c r="A5719" s="5"/>
      <c r="B5719" s="4"/>
      <c r="C5719" s="4"/>
      <c r="D5719" s="82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17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</row>
    <row r="5720" spans="1:38" x14ac:dyDescent="0.3">
      <c r="A5720" s="5"/>
      <c r="B5720" s="4"/>
      <c r="C5720" s="4"/>
      <c r="D5720" s="82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17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</row>
    <row r="5721" spans="1:38" x14ac:dyDescent="0.3">
      <c r="A5721" s="5"/>
      <c r="B5721" s="4"/>
      <c r="C5721" s="4"/>
      <c r="D5721" s="82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17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</row>
    <row r="5722" spans="1:38" x14ac:dyDescent="0.3">
      <c r="A5722" s="5"/>
      <c r="B5722" s="4"/>
      <c r="C5722" s="4"/>
      <c r="D5722" s="82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17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</row>
    <row r="5723" spans="1:38" x14ac:dyDescent="0.3">
      <c r="A5723" s="5"/>
      <c r="B5723" s="4"/>
      <c r="C5723" s="4"/>
      <c r="D5723" s="82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17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</row>
    <row r="5724" spans="1:38" x14ac:dyDescent="0.3">
      <c r="A5724" s="5"/>
      <c r="B5724" s="4"/>
      <c r="C5724" s="4"/>
      <c r="D5724" s="82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17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</row>
    <row r="5725" spans="1:38" x14ac:dyDescent="0.3">
      <c r="A5725" s="5"/>
      <c r="B5725" s="4"/>
      <c r="C5725" s="4"/>
      <c r="D5725" s="82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17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</row>
    <row r="5726" spans="1:38" x14ac:dyDescent="0.3">
      <c r="A5726" s="5"/>
      <c r="B5726" s="4"/>
      <c r="C5726" s="4"/>
      <c r="D5726" s="82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17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</row>
    <row r="5727" spans="1:38" x14ac:dyDescent="0.3">
      <c r="A5727" s="5"/>
      <c r="B5727" s="4"/>
      <c r="C5727" s="4"/>
      <c r="D5727" s="82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17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</row>
    <row r="5728" spans="1:38" x14ac:dyDescent="0.3">
      <c r="A5728" s="5"/>
      <c r="B5728" s="4"/>
      <c r="C5728" s="4"/>
      <c r="D5728" s="82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17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</row>
    <row r="5729" spans="1:38" x14ac:dyDescent="0.3">
      <c r="A5729" s="5"/>
      <c r="B5729" s="4"/>
      <c r="C5729" s="4"/>
      <c r="D5729" s="82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17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</row>
    <row r="5730" spans="1:38" x14ac:dyDescent="0.3">
      <c r="A5730" s="5"/>
      <c r="B5730" s="4"/>
      <c r="C5730" s="4"/>
      <c r="D5730" s="82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17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</row>
    <row r="5731" spans="1:38" x14ac:dyDescent="0.3">
      <c r="A5731" s="5"/>
      <c r="B5731" s="4"/>
      <c r="C5731" s="4"/>
      <c r="D5731" s="82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17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</row>
    <row r="5732" spans="1:38" x14ac:dyDescent="0.3">
      <c r="A5732" s="5"/>
      <c r="B5732" s="4"/>
      <c r="C5732" s="4"/>
      <c r="D5732" s="82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17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</row>
    <row r="5733" spans="1:38" x14ac:dyDescent="0.3">
      <c r="A5733" s="5"/>
      <c r="B5733" s="4"/>
      <c r="C5733" s="4"/>
      <c r="D5733" s="82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17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</row>
    <row r="5734" spans="1:38" x14ac:dyDescent="0.3">
      <c r="A5734" s="5"/>
      <c r="B5734" s="4"/>
      <c r="C5734" s="4"/>
      <c r="D5734" s="82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17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</row>
    <row r="5735" spans="1:38" x14ac:dyDescent="0.3">
      <c r="A5735" s="5"/>
      <c r="B5735" s="4"/>
      <c r="C5735" s="4"/>
      <c r="D5735" s="82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17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</row>
    <row r="5736" spans="1:38" x14ac:dyDescent="0.3">
      <c r="A5736" s="5"/>
      <c r="B5736" s="4"/>
      <c r="C5736" s="4"/>
      <c r="D5736" s="82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17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</row>
    <row r="5737" spans="1:38" x14ac:dyDescent="0.3">
      <c r="A5737" s="5"/>
      <c r="B5737" s="4"/>
      <c r="C5737" s="4"/>
      <c r="D5737" s="82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17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</row>
    <row r="5738" spans="1:38" x14ac:dyDescent="0.3">
      <c r="A5738" s="5"/>
      <c r="B5738" s="4"/>
      <c r="C5738" s="4"/>
      <c r="D5738" s="82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17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</row>
    <row r="5739" spans="1:38" x14ac:dyDescent="0.3">
      <c r="A5739" s="5"/>
      <c r="B5739" s="4"/>
      <c r="C5739" s="4"/>
      <c r="D5739" s="82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17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</row>
    <row r="5740" spans="1:38" x14ac:dyDescent="0.3">
      <c r="A5740" s="5"/>
      <c r="B5740" s="4"/>
      <c r="C5740" s="4"/>
      <c r="D5740" s="82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17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</row>
    <row r="5741" spans="1:38" x14ac:dyDescent="0.3">
      <c r="A5741" s="5"/>
      <c r="B5741" s="4"/>
      <c r="C5741" s="4"/>
      <c r="D5741" s="82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17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</row>
    <row r="5742" spans="1:38" x14ac:dyDescent="0.3">
      <c r="A5742" s="5"/>
      <c r="B5742" s="4"/>
      <c r="C5742" s="4"/>
      <c r="D5742" s="82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17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</row>
    <row r="5743" spans="1:38" x14ac:dyDescent="0.3">
      <c r="A5743" s="5"/>
      <c r="B5743" s="4"/>
      <c r="C5743" s="4"/>
      <c r="D5743" s="82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17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</row>
    <row r="5744" spans="1:38" x14ac:dyDescent="0.3">
      <c r="A5744" s="5"/>
      <c r="B5744" s="4"/>
      <c r="C5744" s="4"/>
      <c r="D5744" s="82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17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</row>
    <row r="5745" spans="1:38" x14ac:dyDescent="0.3">
      <c r="A5745" s="5"/>
      <c r="B5745" s="4"/>
      <c r="C5745" s="4"/>
      <c r="D5745" s="82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17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</row>
    <row r="5746" spans="1:38" x14ac:dyDescent="0.3">
      <c r="A5746" s="5"/>
      <c r="B5746" s="4"/>
      <c r="C5746" s="4"/>
      <c r="D5746" s="82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17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</row>
    <row r="5747" spans="1:38" x14ac:dyDescent="0.3">
      <c r="A5747" s="5"/>
      <c r="B5747" s="4"/>
      <c r="C5747" s="4"/>
      <c r="D5747" s="82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17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</row>
    <row r="5748" spans="1:38" x14ac:dyDescent="0.3">
      <c r="A5748" s="5"/>
      <c r="B5748" s="4"/>
      <c r="C5748" s="4"/>
      <c r="D5748" s="82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17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</row>
    <row r="5749" spans="1:38" x14ac:dyDescent="0.3">
      <c r="A5749" s="5"/>
      <c r="B5749" s="4"/>
      <c r="C5749" s="4"/>
      <c r="D5749" s="82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17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</row>
    <row r="5750" spans="1:38" x14ac:dyDescent="0.3">
      <c r="A5750" s="5"/>
      <c r="B5750" s="4"/>
      <c r="C5750" s="4"/>
      <c r="D5750" s="82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17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</row>
    <row r="5751" spans="1:38" x14ac:dyDescent="0.3">
      <c r="A5751" s="5"/>
      <c r="B5751" s="4"/>
      <c r="C5751" s="4"/>
      <c r="D5751" s="82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17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</row>
    <row r="5752" spans="1:38" x14ac:dyDescent="0.3">
      <c r="A5752" s="5"/>
      <c r="B5752" s="4"/>
      <c r="C5752" s="4"/>
      <c r="D5752" s="82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17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</row>
    <row r="5753" spans="1:38" x14ac:dyDescent="0.3">
      <c r="A5753" s="5"/>
      <c r="B5753" s="4"/>
      <c r="C5753" s="4"/>
      <c r="D5753" s="82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17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</row>
    <row r="5754" spans="1:38" x14ac:dyDescent="0.3">
      <c r="A5754" s="5"/>
      <c r="B5754" s="4"/>
      <c r="C5754" s="4"/>
      <c r="D5754" s="82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17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</row>
    <row r="5755" spans="1:38" x14ac:dyDescent="0.3">
      <c r="A5755" s="5"/>
      <c r="B5755" s="4"/>
      <c r="C5755" s="4"/>
      <c r="D5755" s="82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17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</row>
    <row r="5756" spans="1:38" x14ac:dyDescent="0.3">
      <c r="A5756" s="5"/>
      <c r="B5756" s="4"/>
      <c r="C5756" s="4"/>
      <c r="D5756" s="82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17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</row>
    <row r="5757" spans="1:38" x14ac:dyDescent="0.3">
      <c r="A5757" s="5"/>
      <c r="B5757" s="4"/>
      <c r="C5757" s="4"/>
      <c r="D5757" s="82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17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</row>
    <row r="5758" spans="1:38" x14ac:dyDescent="0.3">
      <c r="A5758" s="5"/>
      <c r="B5758" s="4"/>
      <c r="C5758" s="4"/>
      <c r="D5758" s="82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17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</row>
    <row r="5759" spans="1:38" x14ac:dyDescent="0.3">
      <c r="A5759" s="5"/>
      <c r="B5759" s="4"/>
      <c r="C5759" s="4"/>
      <c r="D5759" s="82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17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</row>
    <row r="5760" spans="1:38" x14ac:dyDescent="0.3">
      <c r="A5760" s="5"/>
      <c r="B5760" s="4"/>
      <c r="C5760" s="4"/>
      <c r="D5760" s="82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17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</row>
    <row r="5761" spans="1:38" x14ac:dyDescent="0.3">
      <c r="A5761" s="5"/>
      <c r="B5761" s="4"/>
      <c r="C5761" s="4"/>
      <c r="D5761" s="82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17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</row>
    <row r="5762" spans="1:38" x14ac:dyDescent="0.3">
      <c r="A5762" s="5"/>
      <c r="B5762" s="4"/>
      <c r="C5762" s="4"/>
      <c r="D5762" s="82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17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</row>
    <row r="5763" spans="1:38" x14ac:dyDescent="0.3">
      <c r="A5763" s="5"/>
      <c r="B5763" s="4"/>
      <c r="C5763" s="4"/>
      <c r="D5763" s="82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17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</row>
    <row r="5764" spans="1:38" x14ac:dyDescent="0.3">
      <c r="A5764" s="5"/>
      <c r="B5764" s="4"/>
      <c r="C5764" s="4"/>
      <c r="D5764" s="82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17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</row>
    <row r="5765" spans="1:38" x14ac:dyDescent="0.3">
      <c r="A5765" s="5"/>
      <c r="B5765" s="4"/>
      <c r="C5765" s="4"/>
      <c r="D5765" s="82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17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</row>
    <row r="5766" spans="1:38" x14ac:dyDescent="0.3">
      <c r="A5766" s="5"/>
      <c r="B5766" s="4"/>
      <c r="C5766" s="4"/>
      <c r="D5766" s="82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17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</row>
    <row r="5767" spans="1:38" x14ac:dyDescent="0.3">
      <c r="A5767" s="5"/>
      <c r="B5767" s="4"/>
      <c r="C5767" s="4"/>
      <c r="D5767" s="82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17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</row>
    <row r="5768" spans="1:38" x14ac:dyDescent="0.3">
      <c r="A5768" s="5"/>
      <c r="B5768" s="4"/>
      <c r="C5768" s="4"/>
      <c r="D5768" s="82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17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</row>
    <row r="5769" spans="1:38" x14ac:dyDescent="0.3">
      <c r="A5769" s="5"/>
      <c r="B5769" s="4"/>
      <c r="C5769" s="4"/>
      <c r="D5769" s="82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17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</row>
    <row r="5770" spans="1:38" x14ac:dyDescent="0.3">
      <c r="A5770" s="5"/>
      <c r="B5770" s="4"/>
      <c r="C5770" s="4"/>
      <c r="D5770" s="82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17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</row>
    <row r="5771" spans="1:38" x14ac:dyDescent="0.3">
      <c r="A5771" s="5"/>
      <c r="B5771" s="4"/>
      <c r="C5771" s="4"/>
      <c r="D5771" s="82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17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</row>
    <row r="5772" spans="1:38" x14ac:dyDescent="0.3">
      <c r="A5772" s="5"/>
      <c r="B5772" s="4"/>
      <c r="C5772" s="4"/>
      <c r="D5772" s="82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17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</row>
    <row r="5773" spans="1:38" x14ac:dyDescent="0.3">
      <c r="A5773" s="5"/>
      <c r="B5773" s="4"/>
      <c r="C5773" s="4"/>
      <c r="D5773" s="82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17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</row>
    <row r="5774" spans="1:38" x14ac:dyDescent="0.3">
      <c r="A5774" s="5"/>
      <c r="B5774" s="4"/>
      <c r="C5774" s="4"/>
      <c r="D5774" s="82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17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</row>
    <row r="5775" spans="1:38" x14ac:dyDescent="0.3">
      <c r="A5775" s="5"/>
      <c r="B5775" s="4"/>
      <c r="C5775" s="4"/>
      <c r="D5775" s="82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17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</row>
    <row r="5776" spans="1:38" x14ac:dyDescent="0.3">
      <c r="A5776" s="5"/>
      <c r="B5776" s="4"/>
      <c r="C5776" s="4"/>
      <c r="D5776" s="82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17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</row>
    <row r="5777" spans="1:38" x14ac:dyDescent="0.3">
      <c r="A5777" s="5"/>
      <c r="B5777" s="4"/>
      <c r="C5777" s="4"/>
      <c r="D5777" s="82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17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</row>
    <row r="5778" spans="1:38" x14ac:dyDescent="0.3">
      <c r="A5778" s="5"/>
      <c r="B5778" s="4"/>
      <c r="C5778" s="4"/>
      <c r="D5778" s="82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17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</row>
    <row r="5779" spans="1:38" x14ac:dyDescent="0.3">
      <c r="A5779" s="5"/>
      <c r="B5779" s="4"/>
      <c r="C5779" s="4"/>
      <c r="D5779" s="82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17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</row>
    <row r="5780" spans="1:38" x14ac:dyDescent="0.3">
      <c r="A5780" s="5"/>
      <c r="B5780" s="4"/>
      <c r="C5780" s="4"/>
      <c r="D5780" s="82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17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</row>
    <row r="5781" spans="1:38" x14ac:dyDescent="0.3">
      <c r="A5781" s="5"/>
      <c r="B5781" s="4"/>
      <c r="C5781" s="4"/>
      <c r="D5781" s="82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17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</row>
    <row r="5782" spans="1:38" x14ac:dyDescent="0.3">
      <c r="A5782" s="5"/>
      <c r="B5782" s="4"/>
      <c r="C5782" s="4"/>
      <c r="D5782" s="82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17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</row>
    <row r="5783" spans="1:38" x14ac:dyDescent="0.3">
      <c r="A5783" s="5"/>
      <c r="B5783" s="4"/>
      <c r="C5783" s="4"/>
      <c r="D5783" s="82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17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</row>
    <row r="5784" spans="1:38" x14ac:dyDescent="0.3">
      <c r="A5784" s="5"/>
      <c r="B5784" s="4"/>
      <c r="C5784" s="4"/>
      <c r="D5784" s="82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17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</row>
    <row r="5785" spans="1:38" x14ac:dyDescent="0.3">
      <c r="A5785" s="5"/>
      <c r="B5785" s="4"/>
      <c r="C5785" s="4"/>
      <c r="D5785" s="82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17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</row>
    <row r="5786" spans="1:38" x14ac:dyDescent="0.3">
      <c r="A5786" s="5"/>
      <c r="B5786" s="4"/>
      <c r="C5786" s="4"/>
      <c r="D5786" s="82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17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</row>
    <row r="5787" spans="1:38" x14ac:dyDescent="0.3">
      <c r="A5787" s="5"/>
      <c r="B5787" s="4"/>
      <c r="C5787" s="4"/>
      <c r="D5787" s="82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17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</row>
    <row r="5788" spans="1:38" x14ac:dyDescent="0.3">
      <c r="A5788" s="5"/>
      <c r="B5788" s="4"/>
      <c r="C5788" s="4"/>
      <c r="D5788" s="82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17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</row>
    <row r="5789" spans="1:38" x14ac:dyDescent="0.3">
      <c r="A5789" s="5"/>
      <c r="B5789" s="4"/>
      <c r="C5789" s="4"/>
      <c r="D5789" s="82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17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</row>
    <row r="5790" spans="1:38" x14ac:dyDescent="0.3">
      <c r="A5790" s="5"/>
      <c r="B5790" s="4"/>
      <c r="C5790" s="4"/>
      <c r="D5790" s="82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17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</row>
    <row r="5791" spans="1:38" x14ac:dyDescent="0.3">
      <c r="A5791" s="5"/>
      <c r="B5791" s="4"/>
      <c r="C5791" s="4"/>
      <c r="D5791" s="82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17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</row>
    <row r="5792" spans="1:38" x14ac:dyDescent="0.3">
      <c r="A5792" s="5"/>
      <c r="B5792" s="4"/>
      <c r="C5792" s="4"/>
      <c r="D5792" s="82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17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</row>
    <row r="5793" spans="1:38" x14ac:dyDescent="0.3">
      <c r="A5793" s="5"/>
      <c r="B5793" s="4"/>
      <c r="C5793" s="4"/>
      <c r="D5793" s="82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17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</row>
    <row r="5794" spans="1:38" x14ac:dyDescent="0.3">
      <c r="A5794" s="5"/>
      <c r="B5794" s="4"/>
      <c r="C5794" s="4"/>
      <c r="D5794" s="82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17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</row>
    <row r="5795" spans="1:38" x14ac:dyDescent="0.3">
      <c r="A5795" s="5"/>
      <c r="B5795" s="4"/>
      <c r="C5795" s="4"/>
      <c r="D5795" s="82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17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</row>
    <row r="5796" spans="1:38" x14ac:dyDescent="0.3">
      <c r="A5796" s="5"/>
      <c r="B5796" s="4"/>
      <c r="C5796" s="4"/>
      <c r="D5796" s="82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17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</row>
    <row r="5797" spans="1:38" x14ac:dyDescent="0.3">
      <c r="A5797" s="5"/>
      <c r="B5797" s="4"/>
      <c r="C5797" s="4"/>
      <c r="D5797" s="82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17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</row>
    <row r="5798" spans="1:38" x14ac:dyDescent="0.3">
      <c r="A5798" s="5"/>
      <c r="B5798" s="4"/>
      <c r="C5798" s="4"/>
      <c r="D5798" s="82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17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</row>
    <row r="5799" spans="1:38" x14ac:dyDescent="0.3">
      <c r="A5799" s="5"/>
      <c r="B5799" s="4"/>
      <c r="C5799" s="4"/>
      <c r="D5799" s="82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17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</row>
    <row r="5800" spans="1:38" x14ac:dyDescent="0.3">
      <c r="A5800" s="5"/>
      <c r="B5800" s="4"/>
      <c r="C5800" s="4"/>
      <c r="D5800" s="82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17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</row>
    <row r="5801" spans="1:38" x14ac:dyDescent="0.3">
      <c r="A5801" s="5"/>
      <c r="B5801" s="4"/>
      <c r="C5801" s="4"/>
      <c r="D5801" s="82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17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</row>
    <row r="5802" spans="1:38" x14ac:dyDescent="0.3">
      <c r="A5802" s="5"/>
      <c r="B5802" s="4"/>
      <c r="C5802" s="4"/>
      <c r="D5802" s="82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17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</row>
    <row r="5803" spans="1:38" x14ac:dyDescent="0.3">
      <c r="A5803" s="5"/>
      <c r="B5803" s="4"/>
      <c r="C5803" s="4"/>
      <c r="D5803" s="82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17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</row>
    <row r="5804" spans="1:38" x14ac:dyDescent="0.3">
      <c r="A5804" s="5"/>
      <c r="B5804" s="4"/>
      <c r="C5804" s="4"/>
      <c r="D5804" s="82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17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</row>
    <row r="5805" spans="1:38" x14ac:dyDescent="0.3">
      <c r="A5805" s="5"/>
      <c r="B5805" s="4"/>
      <c r="C5805" s="4"/>
      <c r="D5805" s="82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17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</row>
    <row r="5806" spans="1:38" x14ac:dyDescent="0.3">
      <c r="A5806" s="5"/>
      <c r="B5806" s="4"/>
      <c r="C5806" s="4"/>
      <c r="D5806" s="82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17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</row>
    <row r="5807" spans="1:38" x14ac:dyDescent="0.3">
      <c r="A5807" s="5"/>
      <c r="B5807" s="4"/>
      <c r="C5807" s="4"/>
      <c r="D5807" s="82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17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</row>
    <row r="5808" spans="1:38" x14ac:dyDescent="0.3">
      <c r="A5808" s="5"/>
      <c r="B5808" s="4"/>
      <c r="C5808" s="4"/>
      <c r="D5808" s="82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17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</row>
    <row r="5809" spans="1:38" x14ac:dyDescent="0.3">
      <c r="A5809" s="5"/>
      <c r="B5809" s="4"/>
      <c r="C5809" s="4"/>
      <c r="D5809" s="82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17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</row>
    <row r="5810" spans="1:38" x14ac:dyDescent="0.3">
      <c r="A5810" s="5"/>
      <c r="B5810" s="4"/>
      <c r="C5810" s="4"/>
      <c r="D5810" s="82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17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</row>
    <row r="5811" spans="1:38" x14ac:dyDescent="0.3">
      <c r="A5811" s="5"/>
      <c r="B5811" s="4"/>
      <c r="C5811" s="4"/>
      <c r="D5811" s="82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17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</row>
    <row r="5812" spans="1:38" x14ac:dyDescent="0.3">
      <c r="A5812" s="5"/>
      <c r="B5812" s="4"/>
      <c r="C5812" s="4"/>
      <c r="D5812" s="82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17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</row>
    <row r="5813" spans="1:38" x14ac:dyDescent="0.3">
      <c r="A5813" s="5"/>
      <c r="B5813" s="4"/>
      <c r="C5813" s="4"/>
      <c r="D5813" s="82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17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</row>
    <row r="5814" spans="1:38" x14ac:dyDescent="0.3">
      <c r="A5814" s="5"/>
      <c r="B5814" s="4"/>
      <c r="C5814" s="4"/>
      <c r="D5814" s="82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17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</row>
    <row r="5815" spans="1:38" x14ac:dyDescent="0.3">
      <c r="A5815" s="5"/>
      <c r="B5815" s="4"/>
      <c r="C5815" s="4"/>
      <c r="D5815" s="82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17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</row>
    <row r="5816" spans="1:38" x14ac:dyDescent="0.3">
      <c r="A5816" s="5"/>
      <c r="B5816" s="4"/>
      <c r="C5816" s="4"/>
      <c r="D5816" s="82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17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</row>
    <row r="5817" spans="1:38" x14ac:dyDescent="0.3">
      <c r="A5817" s="5"/>
      <c r="B5817" s="4"/>
      <c r="C5817" s="4"/>
      <c r="D5817" s="82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17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</row>
    <row r="5818" spans="1:38" x14ac:dyDescent="0.3">
      <c r="A5818" s="5"/>
      <c r="B5818" s="4"/>
      <c r="C5818" s="4"/>
      <c r="D5818" s="82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17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</row>
    <row r="5819" spans="1:38" x14ac:dyDescent="0.3">
      <c r="A5819" s="5"/>
      <c r="B5819" s="4"/>
      <c r="C5819" s="4"/>
      <c r="D5819" s="82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17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</row>
    <row r="5820" spans="1:38" x14ac:dyDescent="0.3">
      <c r="A5820" s="5"/>
      <c r="B5820" s="4"/>
      <c r="C5820" s="4"/>
      <c r="D5820" s="82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17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</row>
    <row r="5821" spans="1:38" x14ac:dyDescent="0.3">
      <c r="A5821" s="5"/>
      <c r="B5821" s="4"/>
      <c r="C5821" s="4"/>
      <c r="D5821" s="82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17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</row>
    <row r="5822" spans="1:38" x14ac:dyDescent="0.3">
      <c r="A5822" s="5"/>
      <c r="B5822" s="4"/>
      <c r="C5822" s="4"/>
      <c r="D5822" s="82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17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</row>
    <row r="5823" spans="1:38" x14ac:dyDescent="0.3">
      <c r="A5823" s="5"/>
      <c r="B5823" s="4"/>
      <c r="C5823" s="4"/>
      <c r="D5823" s="82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17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</row>
    <row r="5824" spans="1:38" x14ac:dyDescent="0.3">
      <c r="A5824" s="5"/>
      <c r="B5824" s="4"/>
      <c r="C5824" s="4"/>
      <c r="D5824" s="82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17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</row>
    <row r="5825" spans="1:38" x14ac:dyDescent="0.3">
      <c r="A5825" s="5"/>
      <c r="B5825" s="4"/>
      <c r="C5825" s="4"/>
      <c r="D5825" s="82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17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</row>
    <row r="5826" spans="1:38" x14ac:dyDescent="0.3">
      <c r="A5826" s="5"/>
      <c r="B5826" s="4"/>
      <c r="C5826" s="4"/>
      <c r="D5826" s="82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17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</row>
    <row r="5827" spans="1:38" x14ac:dyDescent="0.3">
      <c r="A5827" s="5"/>
      <c r="B5827" s="4"/>
      <c r="C5827" s="4"/>
      <c r="D5827" s="82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17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</row>
    <row r="5828" spans="1:38" x14ac:dyDescent="0.3">
      <c r="A5828" s="5"/>
      <c r="B5828" s="4"/>
      <c r="C5828" s="4"/>
      <c r="D5828" s="82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17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</row>
    <row r="5829" spans="1:38" x14ac:dyDescent="0.3">
      <c r="A5829" s="5"/>
      <c r="B5829" s="4"/>
      <c r="C5829" s="4"/>
      <c r="D5829" s="82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17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</row>
    <row r="5830" spans="1:38" x14ac:dyDescent="0.3">
      <c r="A5830" s="5"/>
      <c r="B5830" s="4"/>
      <c r="C5830" s="4"/>
      <c r="D5830" s="82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17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</row>
    <row r="5831" spans="1:38" x14ac:dyDescent="0.3">
      <c r="A5831" s="5"/>
      <c r="B5831" s="4"/>
      <c r="C5831" s="4"/>
      <c r="D5831" s="82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17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</row>
    <row r="5832" spans="1:38" x14ac:dyDescent="0.3">
      <c r="A5832" s="5"/>
      <c r="B5832" s="4"/>
      <c r="C5832" s="4"/>
      <c r="D5832" s="82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17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</row>
    <row r="5833" spans="1:38" x14ac:dyDescent="0.3">
      <c r="A5833" s="5"/>
      <c r="B5833" s="4"/>
      <c r="C5833" s="4"/>
      <c r="D5833" s="82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17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</row>
    <row r="5834" spans="1:38" x14ac:dyDescent="0.3">
      <c r="A5834" s="5"/>
      <c r="B5834" s="4"/>
      <c r="C5834" s="4"/>
      <c r="D5834" s="82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17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</row>
    <row r="5835" spans="1:38" x14ac:dyDescent="0.3">
      <c r="A5835" s="5"/>
      <c r="B5835" s="4"/>
      <c r="C5835" s="4"/>
      <c r="D5835" s="82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17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</row>
    <row r="5836" spans="1:38" x14ac:dyDescent="0.3">
      <c r="A5836" s="5"/>
      <c r="B5836" s="4"/>
      <c r="C5836" s="4"/>
      <c r="D5836" s="82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17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</row>
    <row r="5837" spans="1:38" x14ac:dyDescent="0.3">
      <c r="A5837" s="5"/>
      <c r="B5837" s="4"/>
      <c r="C5837" s="4"/>
      <c r="D5837" s="82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17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</row>
    <row r="5838" spans="1:38" x14ac:dyDescent="0.3">
      <c r="A5838" s="5"/>
      <c r="B5838" s="4"/>
      <c r="C5838" s="4"/>
      <c r="D5838" s="82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17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</row>
    <row r="5839" spans="1:38" x14ac:dyDescent="0.3">
      <c r="A5839" s="5"/>
      <c r="B5839" s="4"/>
      <c r="C5839" s="4"/>
      <c r="D5839" s="82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17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</row>
    <row r="5840" spans="1:38" x14ac:dyDescent="0.3">
      <c r="A5840" s="5"/>
      <c r="B5840" s="4"/>
      <c r="C5840" s="4"/>
      <c r="D5840" s="82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17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</row>
    <row r="5841" spans="1:38" x14ac:dyDescent="0.3">
      <c r="A5841" s="5"/>
      <c r="B5841" s="4"/>
      <c r="C5841" s="4"/>
      <c r="D5841" s="82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17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</row>
    <row r="5842" spans="1:38" x14ac:dyDescent="0.3">
      <c r="A5842" s="5"/>
      <c r="B5842" s="4"/>
      <c r="C5842" s="4"/>
      <c r="D5842" s="82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17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</row>
    <row r="5843" spans="1:38" x14ac:dyDescent="0.3">
      <c r="A5843" s="5"/>
      <c r="B5843" s="4"/>
      <c r="C5843" s="4"/>
      <c r="D5843" s="82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17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</row>
    <row r="5844" spans="1:38" x14ac:dyDescent="0.3">
      <c r="A5844" s="5"/>
      <c r="B5844" s="4"/>
      <c r="C5844" s="4"/>
      <c r="D5844" s="82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17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</row>
    <row r="5845" spans="1:38" x14ac:dyDescent="0.3">
      <c r="A5845" s="5"/>
      <c r="B5845" s="4"/>
      <c r="C5845" s="4"/>
      <c r="D5845" s="82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17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</row>
    <row r="5846" spans="1:38" x14ac:dyDescent="0.3">
      <c r="A5846" s="5"/>
      <c r="B5846" s="4"/>
      <c r="C5846" s="4"/>
      <c r="D5846" s="82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17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</row>
    <row r="5847" spans="1:38" x14ac:dyDescent="0.3">
      <c r="A5847" s="5"/>
      <c r="B5847" s="4"/>
      <c r="C5847" s="4"/>
      <c r="D5847" s="82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17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</row>
    <row r="5848" spans="1:38" x14ac:dyDescent="0.3">
      <c r="A5848" s="5"/>
      <c r="B5848" s="4"/>
      <c r="C5848" s="4"/>
      <c r="D5848" s="82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17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</row>
    <row r="5849" spans="1:38" x14ac:dyDescent="0.3">
      <c r="A5849" s="5"/>
      <c r="B5849" s="4"/>
      <c r="C5849" s="4"/>
      <c r="D5849" s="82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17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</row>
    <row r="5850" spans="1:38" x14ac:dyDescent="0.3">
      <c r="A5850" s="5"/>
      <c r="B5850" s="4"/>
      <c r="C5850" s="4"/>
      <c r="D5850" s="82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17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</row>
    <row r="5851" spans="1:38" x14ac:dyDescent="0.3">
      <c r="A5851" s="5"/>
      <c r="B5851" s="4"/>
      <c r="C5851" s="4"/>
      <c r="D5851" s="82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17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</row>
    <row r="5852" spans="1:38" x14ac:dyDescent="0.3">
      <c r="A5852" s="5"/>
      <c r="B5852" s="4"/>
      <c r="C5852" s="4"/>
      <c r="D5852" s="82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17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</row>
    <row r="5853" spans="1:38" x14ac:dyDescent="0.3">
      <c r="A5853" s="5"/>
      <c r="B5853" s="4"/>
      <c r="C5853" s="4"/>
      <c r="D5853" s="82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17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</row>
    <row r="5854" spans="1:38" x14ac:dyDescent="0.3">
      <c r="A5854" s="5"/>
      <c r="B5854" s="4"/>
      <c r="C5854" s="4"/>
      <c r="D5854" s="82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17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</row>
    <row r="5855" spans="1:38" x14ac:dyDescent="0.3">
      <c r="A5855" s="5"/>
      <c r="B5855" s="4"/>
      <c r="C5855" s="4"/>
      <c r="D5855" s="82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17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</row>
    <row r="5856" spans="1:38" x14ac:dyDescent="0.3">
      <c r="A5856" s="5"/>
      <c r="B5856" s="4"/>
      <c r="C5856" s="4"/>
      <c r="D5856" s="82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17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</row>
    <row r="5857" spans="1:38" x14ac:dyDescent="0.3">
      <c r="A5857" s="5"/>
      <c r="B5857" s="4"/>
      <c r="C5857" s="4"/>
      <c r="D5857" s="82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17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</row>
    <row r="5858" spans="1:38" x14ac:dyDescent="0.3">
      <c r="A5858" s="5"/>
      <c r="B5858" s="4"/>
      <c r="C5858" s="4"/>
      <c r="D5858" s="82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17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</row>
    <row r="5859" spans="1:38" x14ac:dyDescent="0.3">
      <c r="A5859" s="5"/>
      <c r="B5859" s="4"/>
      <c r="C5859" s="4"/>
      <c r="D5859" s="82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17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</row>
    <row r="5860" spans="1:38" x14ac:dyDescent="0.3">
      <c r="A5860" s="5"/>
      <c r="B5860" s="4"/>
      <c r="C5860" s="4"/>
      <c r="D5860" s="82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17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</row>
    <row r="5861" spans="1:38" x14ac:dyDescent="0.3">
      <c r="A5861" s="5"/>
      <c r="B5861" s="4"/>
      <c r="C5861" s="4"/>
      <c r="D5861" s="82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17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</row>
    <row r="5862" spans="1:38" x14ac:dyDescent="0.3">
      <c r="A5862" s="5"/>
      <c r="B5862" s="4"/>
      <c r="C5862" s="4"/>
      <c r="D5862" s="82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17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</row>
    <row r="5863" spans="1:38" x14ac:dyDescent="0.3">
      <c r="A5863" s="5"/>
      <c r="B5863" s="4"/>
      <c r="C5863" s="4"/>
      <c r="D5863" s="82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17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</row>
    <row r="5864" spans="1:38" x14ac:dyDescent="0.3">
      <c r="A5864" s="5"/>
      <c r="B5864" s="4"/>
      <c r="C5864" s="4"/>
      <c r="D5864" s="82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17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</row>
    <row r="5865" spans="1:38" x14ac:dyDescent="0.3">
      <c r="A5865" s="5"/>
      <c r="B5865" s="4"/>
      <c r="C5865" s="4"/>
      <c r="D5865" s="82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17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</row>
    <row r="5866" spans="1:38" x14ac:dyDescent="0.3">
      <c r="A5866" s="5"/>
      <c r="B5866" s="4"/>
      <c r="C5866" s="4"/>
      <c r="D5866" s="82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17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</row>
    <row r="5867" spans="1:38" x14ac:dyDescent="0.3">
      <c r="A5867" s="5"/>
      <c r="B5867" s="4"/>
      <c r="C5867" s="4"/>
      <c r="D5867" s="82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17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</row>
    <row r="5868" spans="1:38" x14ac:dyDescent="0.3">
      <c r="A5868" s="5"/>
      <c r="B5868" s="4"/>
      <c r="C5868" s="4"/>
      <c r="D5868" s="82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17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</row>
    <row r="5869" spans="1:38" x14ac:dyDescent="0.3">
      <c r="A5869" s="5"/>
      <c r="B5869" s="4"/>
      <c r="C5869" s="4"/>
      <c r="D5869" s="82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17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</row>
    <row r="5870" spans="1:38" x14ac:dyDescent="0.3">
      <c r="A5870" s="5"/>
      <c r="B5870" s="4"/>
      <c r="C5870" s="4"/>
      <c r="D5870" s="82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17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</row>
    <row r="5871" spans="1:38" x14ac:dyDescent="0.3">
      <c r="A5871" s="5"/>
      <c r="B5871" s="4"/>
      <c r="C5871" s="4"/>
      <c r="D5871" s="82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17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</row>
    <row r="5872" spans="1:38" x14ac:dyDescent="0.3">
      <c r="A5872" s="5"/>
      <c r="B5872" s="4"/>
      <c r="C5872" s="4"/>
      <c r="D5872" s="82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17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</row>
    <row r="5873" spans="1:38" x14ac:dyDescent="0.3">
      <c r="A5873" s="5"/>
      <c r="B5873" s="4"/>
      <c r="C5873" s="4"/>
      <c r="D5873" s="82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17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</row>
    <row r="5874" spans="1:38" x14ac:dyDescent="0.3">
      <c r="A5874" s="5"/>
      <c r="B5874" s="4"/>
      <c r="C5874" s="4"/>
      <c r="D5874" s="82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17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</row>
    <row r="5875" spans="1:38" x14ac:dyDescent="0.3">
      <c r="A5875" s="5"/>
      <c r="B5875" s="4"/>
      <c r="C5875" s="4"/>
      <c r="D5875" s="82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17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</row>
    <row r="5876" spans="1:38" x14ac:dyDescent="0.3">
      <c r="A5876" s="5"/>
      <c r="B5876" s="4"/>
      <c r="C5876" s="4"/>
      <c r="D5876" s="82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17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</row>
    <row r="5877" spans="1:38" x14ac:dyDescent="0.3">
      <c r="A5877" s="5"/>
      <c r="B5877" s="4"/>
      <c r="C5877" s="4"/>
      <c r="D5877" s="82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17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</row>
    <row r="5878" spans="1:38" x14ac:dyDescent="0.3">
      <c r="A5878" s="5"/>
      <c r="B5878" s="4"/>
      <c r="C5878" s="4"/>
      <c r="D5878" s="82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17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</row>
    <row r="5879" spans="1:38" x14ac:dyDescent="0.3">
      <c r="A5879" s="5"/>
      <c r="B5879" s="4"/>
      <c r="C5879" s="4"/>
      <c r="D5879" s="82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17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</row>
    <row r="5880" spans="1:38" x14ac:dyDescent="0.3">
      <c r="A5880" s="5"/>
      <c r="B5880" s="4"/>
      <c r="C5880" s="4"/>
      <c r="D5880" s="82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17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</row>
    <row r="5881" spans="1:38" x14ac:dyDescent="0.3">
      <c r="A5881" s="5"/>
      <c r="B5881" s="4"/>
      <c r="C5881" s="4"/>
      <c r="D5881" s="82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17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</row>
    <row r="5882" spans="1:38" x14ac:dyDescent="0.3">
      <c r="A5882" s="5"/>
      <c r="B5882" s="4"/>
      <c r="C5882" s="4"/>
      <c r="D5882" s="82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17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</row>
    <row r="5883" spans="1:38" x14ac:dyDescent="0.3">
      <c r="A5883" s="5"/>
      <c r="B5883" s="4"/>
      <c r="C5883" s="4"/>
      <c r="D5883" s="82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17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</row>
    <row r="5884" spans="1:38" x14ac:dyDescent="0.3">
      <c r="A5884" s="5"/>
      <c r="B5884" s="4"/>
      <c r="C5884" s="4"/>
      <c r="D5884" s="82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17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</row>
    <row r="5885" spans="1:38" x14ac:dyDescent="0.3">
      <c r="A5885" s="5"/>
      <c r="B5885" s="4"/>
      <c r="C5885" s="4"/>
      <c r="D5885" s="82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17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</row>
    <row r="5886" spans="1:38" x14ac:dyDescent="0.3">
      <c r="A5886" s="5"/>
      <c r="B5886" s="4"/>
      <c r="C5886" s="4"/>
      <c r="D5886" s="82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17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</row>
    <row r="5887" spans="1:38" x14ac:dyDescent="0.3">
      <c r="A5887" s="5"/>
      <c r="B5887" s="4"/>
      <c r="C5887" s="4"/>
      <c r="D5887" s="82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17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</row>
    <row r="5888" spans="1:38" x14ac:dyDescent="0.3">
      <c r="A5888" s="5"/>
      <c r="B5888" s="4"/>
      <c r="C5888" s="4"/>
      <c r="D5888" s="82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17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</row>
    <row r="5889" spans="1:38" x14ac:dyDescent="0.3">
      <c r="A5889" s="5"/>
      <c r="B5889" s="4"/>
      <c r="C5889" s="4"/>
      <c r="D5889" s="82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17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</row>
    <row r="5890" spans="1:38" x14ac:dyDescent="0.3">
      <c r="A5890" s="5"/>
      <c r="B5890" s="4"/>
      <c r="C5890" s="4"/>
      <c r="D5890" s="82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17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</row>
    <row r="5891" spans="1:38" x14ac:dyDescent="0.3">
      <c r="A5891" s="5"/>
      <c r="B5891" s="4"/>
      <c r="C5891" s="4"/>
      <c r="D5891" s="82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17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</row>
    <row r="5892" spans="1:38" x14ac:dyDescent="0.3">
      <c r="A5892" s="5"/>
      <c r="B5892" s="4"/>
      <c r="C5892" s="4"/>
      <c r="D5892" s="82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17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</row>
    <row r="5893" spans="1:38" x14ac:dyDescent="0.3">
      <c r="A5893" s="5"/>
      <c r="B5893" s="4"/>
      <c r="C5893" s="4"/>
      <c r="D5893" s="82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17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</row>
    <row r="5894" spans="1:38" x14ac:dyDescent="0.3">
      <c r="A5894" s="5"/>
      <c r="B5894" s="4"/>
      <c r="C5894" s="4"/>
      <c r="D5894" s="82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17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</row>
    <row r="5895" spans="1:38" x14ac:dyDescent="0.3">
      <c r="A5895" s="5"/>
      <c r="B5895" s="4"/>
      <c r="C5895" s="4"/>
      <c r="D5895" s="82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17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</row>
    <row r="5896" spans="1:38" x14ac:dyDescent="0.3">
      <c r="A5896" s="5"/>
      <c r="B5896" s="4"/>
      <c r="C5896" s="4"/>
      <c r="D5896" s="82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17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</row>
    <row r="5897" spans="1:38" x14ac:dyDescent="0.3">
      <c r="A5897" s="5"/>
      <c r="B5897" s="4"/>
      <c r="C5897" s="4"/>
      <c r="D5897" s="82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17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</row>
    <row r="5898" spans="1:38" x14ac:dyDescent="0.3">
      <c r="A5898" s="5"/>
      <c r="B5898" s="4"/>
      <c r="C5898" s="4"/>
      <c r="D5898" s="82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17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</row>
    <row r="5899" spans="1:38" x14ac:dyDescent="0.3">
      <c r="A5899" s="5"/>
      <c r="B5899" s="4"/>
      <c r="C5899" s="4"/>
      <c r="D5899" s="82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17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</row>
    <row r="5900" spans="1:38" x14ac:dyDescent="0.3">
      <c r="A5900" s="5"/>
      <c r="B5900" s="4"/>
      <c r="C5900" s="4"/>
      <c r="D5900" s="82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17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</row>
    <row r="5901" spans="1:38" x14ac:dyDescent="0.3">
      <c r="A5901" s="5"/>
      <c r="B5901" s="4"/>
      <c r="C5901" s="4"/>
      <c r="D5901" s="82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17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</row>
    <row r="5902" spans="1:38" x14ac:dyDescent="0.3">
      <c r="A5902" s="5"/>
      <c r="B5902" s="4"/>
      <c r="C5902" s="4"/>
      <c r="D5902" s="82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17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</row>
    <row r="5903" spans="1:38" x14ac:dyDescent="0.3">
      <c r="A5903" s="5"/>
      <c r="B5903" s="4"/>
      <c r="C5903" s="4"/>
      <c r="D5903" s="82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17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</row>
    <row r="5904" spans="1:38" x14ac:dyDescent="0.3">
      <c r="A5904" s="5"/>
      <c r="B5904" s="4"/>
      <c r="C5904" s="4"/>
      <c r="D5904" s="82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17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</row>
    <row r="5905" spans="1:38" x14ac:dyDescent="0.3">
      <c r="A5905" s="5"/>
      <c r="B5905" s="4"/>
      <c r="C5905" s="4"/>
      <c r="D5905" s="82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17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</row>
    <row r="5906" spans="1:38" x14ac:dyDescent="0.3">
      <c r="A5906" s="5"/>
      <c r="B5906" s="4"/>
      <c r="C5906" s="4"/>
      <c r="D5906" s="82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17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</row>
    <row r="5907" spans="1:38" x14ac:dyDescent="0.3">
      <c r="A5907" s="5"/>
      <c r="B5907" s="4"/>
      <c r="C5907" s="4"/>
      <c r="D5907" s="82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17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</row>
    <row r="5908" spans="1:38" x14ac:dyDescent="0.3">
      <c r="A5908" s="5"/>
      <c r="B5908" s="4"/>
      <c r="C5908" s="4"/>
      <c r="D5908" s="82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17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</row>
    <row r="5909" spans="1:38" x14ac:dyDescent="0.3">
      <c r="A5909" s="5"/>
      <c r="B5909" s="4"/>
      <c r="C5909" s="4"/>
      <c r="D5909" s="82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17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</row>
    <row r="5910" spans="1:38" x14ac:dyDescent="0.3">
      <c r="A5910" s="5"/>
      <c r="B5910" s="4"/>
      <c r="C5910" s="4"/>
      <c r="D5910" s="82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17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</row>
    <row r="5911" spans="1:38" x14ac:dyDescent="0.3">
      <c r="A5911" s="5"/>
      <c r="B5911" s="4"/>
      <c r="C5911" s="4"/>
      <c r="D5911" s="82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17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</row>
    <row r="5912" spans="1:38" x14ac:dyDescent="0.3">
      <c r="A5912" s="5"/>
      <c r="B5912" s="4"/>
      <c r="C5912" s="4"/>
      <c r="D5912" s="82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17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</row>
    <row r="5913" spans="1:38" x14ac:dyDescent="0.3">
      <c r="A5913" s="5"/>
      <c r="B5913" s="4"/>
      <c r="C5913" s="4"/>
      <c r="D5913" s="82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17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</row>
    <row r="5914" spans="1:38" x14ac:dyDescent="0.3">
      <c r="A5914" s="5"/>
      <c r="B5914" s="4"/>
      <c r="C5914" s="4"/>
      <c r="D5914" s="82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17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</row>
    <row r="5915" spans="1:38" x14ac:dyDescent="0.3">
      <c r="A5915" s="5"/>
      <c r="B5915" s="4"/>
      <c r="C5915" s="4"/>
      <c r="D5915" s="82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17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</row>
    <row r="5916" spans="1:38" x14ac:dyDescent="0.3">
      <c r="A5916" s="5"/>
      <c r="B5916" s="4"/>
      <c r="C5916" s="4"/>
      <c r="D5916" s="82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17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</row>
    <row r="5917" spans="1:38" x14ac:dyDescent="0.3">
      <c r="A5917" s="5"/>
      <c r="B5917" s="4"/>
      <c r="C5917" s="4"/>
      <c r="D5917" s="82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17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</row>
    <row r="5918" spans="1:38" x14ac:dyDescent="0.3">
      <c r="A5918" s="5"/>
      <c r="B5918" s="4"/>
      <c r="C5918" s="4"/>
      <c r="D5918" s="82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17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</row>
    <row r="5919" spans="1:38" x14ac:dyDescent="0.3">
      <c r="A5919" s="5"/>
      <c r="B5919" s="4"/>
      <c r="C5919" s="4"/>
      <c r="D5919" s="82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17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</row>
    <row r="5920" spans="1:38" x14ac:dyDescent="0.3">
      <c r="A5920" s="5"/>
      <c r="B5920" s="4"/>
      <c r="C5920" s="4"/>
      <c r="D5920" s="82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17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</row>
    <row r="5921" spans="1:38" x14ac:dyDescent="0.3">
      <c r="A5921" s="5"/>
      <c r="B5921" s="4"/>
      <c r="C5921" s="4"/>
      <c r="D5921" s="82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17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</row>
    <row r="5922" spans="1:38" x14ac:dyDescent="0.3">
      <c r="A5922" s="5"/>
      <c r="B5922" s="4"/>
      <c r="C5922" s="4"/>
      <c r="D5922" s="82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17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</row>
    <row r="5923" spans="1:38" x14ac:dyDescent="0.3">
      <c r="A5923" s="5"/>
      <c r="B5923" s="4"/>
      <c r="C5923" s="4"/>
      <c r="D5923" s="82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17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</row>
    <row r="5924" spans="1:38" x14ac:dyDescent="0.3">
      <c r="A5924" s="5"/>
      <c r="B5924" s="4"/>
      <c r="C5924" s="4"/>
      <c r="D5924" s="82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17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</row>
    <row r="5925" spans="1:38" x14ac:dyDescent="0.3">
      <c r="A5925" s="5"/>
      <c r="B5925" s="4"/>
      <c r="C5925" s="4"/>
      <c r="D5925" s="82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17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</row>
    <row r="5926" spans="1:38" x14ac:dyDescent="0.3">
      <c r="A5926" s="5"/>
      <c r="B5926" s="4"/>
      <c r="C5926" s="4"/>
      <c r="D5926" s="82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17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</row>
    <row r="5927" spans="1:38" x14ac:dyDescent="0.3">
      <c r="A5927" s="5"/>
      <c r="B5927" s="4"/>
      <c r="C5927" s="4"/>
      <c r="D5927" s="82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17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</row>
    <row r="5928" spans="1:38" x14ac:dyDescent="0.3">
      <c r="A5928" s="5"/>
      <c r="B5928" s="4"/>
      <c r="C5928" s="4"/>
      <c r="D5928" s="82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17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</row>
    <row r="5929" spans="1:38" x14ac:dyDescent="0.3">
      <c r="A5929" s="5"/>
      <c r="B5929" s="4"/>
      <c r="C5929" s="4"/>
      <c r="D5929" s="82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17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</row>
    <row r="5930" spans="1:38" x14ac:dyDescent="0.3">
      <c r="A5930" s="5"/>
      <c r="B5930" s="4"/>
      <c r="C5930" s="4"/>
      <c r="D5930" s="82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17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</row>
    <row r="5931" spans="1:38" x14ac:dyDescent="0.3">
      <c r="A5931" s="5"/>
      <c r="B5931" s="4"/>
      <c r="C5931" s="4"/>
      <c r="D5931" s="82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17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</row>
    <row r="5932" spans="1:38" x14ac:dyDescent="0.3">
      <c r="A5932" s="5"/>
      <c r="B5932" s="4"/>
      <c r="C5932" s="4"/>
      <c r="D5932" s="82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17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</row>
    <row r="5933" spans="1:38" x14ac:dyDescent="0.3">
      <c r="A5933" s="5"/>
      <c r="B5933" s="4"/>
      <c r="C5933" s="4"/>
      <c r="D5933" s="82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17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</row>
    <row r="5934" spans="1:38" x14ac:dyDescent="0.3">
      <c r="A5934" s="5"/>
      <c r="B5934" s="4"/>
      <c r="C5934" s="4"/>
      <c r="D5934" s="82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17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</row>
    <row r="5935" spans="1:38" x14ac:dyDescent="0.3">
      <c r="A5935" s="5"/>
      <c r="B5935" s="4"/>
      <c r="C5935" s="4"/>
      <c r="D5935" s="82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17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</row>
    <row r="5936" spans="1:38" x14ac:dyDescent="0.3">
      <c r="A5936" s="5"/>
      <c r="B5936" s="4"/>
      <c r="C5936" s="4"/>
      <c r="D5936" s="82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17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</row>
    <row r="5937" spans="1:38" x14ac:dyDescent="0.3">
      <c r="A5937" s="5"/>
      <c r="B5937" s="4"/>
      <c r="C5937" s="4"/>
      <c r="D5937" s="82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17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</row>
    <row r="5938" spans="1:38" x14ac:dyDescent="0.3">
      <c r="A5938" s="5"/>
      <c r="B5938" s="4"/>
      <c r="C5938" s="4"/>
      <c r="D5938" s="82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17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</row>
    <row r="5939" spans="1:38" x14ac:dyDescent="0.3">
      <c r="A5939" s="5"/>
      <c r="B5939" s="4"/>
      <c r="C5939" s="4"/>
      <c r="D5939" s="82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17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</row>
    <row r="5940" spans="1:38" x14ac:dyDescent="0.3">
      <c r="A5940" s="5"/>
      <c r="B5940" s="4"/>
      <c r="C5940" s="4"/>
      <c r="D5940" s="82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17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</row>
    <row r="5941" spans="1:38" x14ac:dyDescent="0.3">
      <c r="A5941" s="5"/>
      <c r="B5941" s="4"/>
      <c r="C5941" s="4"/>
      <c r="D5941" s="82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17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</row>
    <row r="5942" spans="1:38" x14ac:dyDescent="0.3">
      <c r="A5942" s="5"/>
      <c r="B5942" s="4"/>
      <c r="C5942" s="4"/>
      <c r="D5942" s="82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17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</row>
    <row r="5943" spans="1:38" x14ac:dyDescent="0.3">
      <c r="A5943" s="5"/>
      <c r="B5943" s="4"/>
      <c r="C5943" s="4"/>
      <c r="D5943" s="82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17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</row>
    <row r="5944" spans="1:38" x14ac:dyDescent="0.3">
      <c r="A5944" s="5"/>
      <c r="B5944" s="4"/>
      <c r="C5944" s="4"/>
      <c r="D5944" s="82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17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</row>
    <row r="5945" spans="1:38" x14ac:dyDescent="0.3">
      <c r="A5945" s="5"/>
      <c r="B5945" s="4"/>
      <c r="C5945" s="4"/>
      <c r="D5945" s="82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17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</row>
    <row r="5946" spans="1:38" x14ac:dyDescent="0.3">
      <c r="A5946" s="5"/>
      <c r="B5946" s="4"/>
      <c r="C5946" s="4"/>
      <c r="D5946" s="82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17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</row>
    <row r="5947" spans="1:38" x14ac:dyDescent="0.3">
      <c r="A5947" s="5"/>
      <c r="B5947" s="4"/>
      <c r="C5947" s="4"/>
      <c r="D5947" s="82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17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</row>
    <row r="5948" spans="1:38" x14ac:dyDescent="0.3">
      <c r="A5948" s="5"/>
      <c r="B5948" s="4"/>
      <c r="C5948" s="4"/>
      <c r="D5948" s="82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17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</row>
    <row r="5949" spans="1:38" x14ac:dyDescent="0.3">
      <c r="A5949" s="5"/>
      <c r="B5949" s="4"/>
      <c r="C5949" s="4"/>
      <c r="D5949" s="82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17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</row>
    <row r="5950" spans="1:38" x14ac:dyDescent="0.3">
      <c r="A5950" s="5"/>
      <c r="B5950" s="4"/>
      <c r="C5950" s="4"/>
      <c r="D5950" s="82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17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</row>
    <row r="5951" spans="1:38" x14ac:dyDescent="0.3">
      <c r="A5951" s="5"/>
      <c r="B5951" s="4"/>
      <c r="C5951" s="4"/>
      <c r="D5951" s="82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17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</row>
    <row r="5952" spans="1:38" x14ac:dyDescent="0.3">
      <c r="A5952" s="5"/>
      <c r="B5952" s="4"/>
      <c r="C5952" s="4"/>
      <c r="D5952" s="82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17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</row>
    <row r="5953" spans="1:38" x14ac:dyDescent="0.3">
      <c r="A5953" s="5"/>
      <c r="B5953" s="4"/>
      <c r="C5953" s="4"/>
      <c r="D5953" s="82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17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</row>
    <row r="5954" spans="1:38" x14ac:dyDescent="0.3">
      <c r="A5954" s="5"/>
      <c r="B5954" s="4"/>
      <c r="C5954" s="4"/>
      <c r="D5954" s="82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17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</row>
    <row r="5955" spans="1:38" x14ac:dyDescent="0.3">
      <c r="A5955" s="5"/>
      <c r="B5955" s="4"/>
      <c r="C5955" s="4"/>
      <c r="D5955" s="82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17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</row>
    <row r="5956" spans="1:38" x14ac:dyDescent="0.3">
      <c r="A5956" s="5"/>
      <c r="B5956" s="4"/>
      <c r="C5956" s="4"/>
      <c r="D5956" s="82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17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</row>
    <row r="5957" spans="1:38" x14ac:dyDescent="0.3">
      <c r="A5957" s="5"/>
      <c r="B5957" s="4"/>
      <c r="C5957" s="4"/>
      <c r="D5957" s="82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17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</row>
    <row r="5958" spans="1:38" x14ac:dyDescent="0.3">
      <c r="A5958" s="5"/>
      <c r="B5958" s="4"/>
      <c r="C5958" s="4"/>
      <c r="D5958" s="82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17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</row>
    <row r="5959" spans="1:38" x14ac:dyDescent="0.3">
      <c r="A5959" s="5"/>
      <c r="B5959" s="4"/>
      <c r="C5959" s="4"/>
      <c r="D5959" s="82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17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</row>
    <row r="5960" spans="1:38" x14ac:dyDescent="0.3">
      <c r="A5960" s="5"/>
      <c r="B5960" s="4"/>
      <c r="C5960" s="4"/>
      <c r="D5960" s="82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17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</row>
    <row r="5961" spans="1:38" x14ac:dyDescent="0.3">
      <c r="A5961" s="5"/>
      <c r="B5961" s="4"/>
      <c r="C5961" s="4"/>
      <c r="D5961" s="82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17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</row>
    <row r="5962" spans="1:38" x14ac:dyDescent="0.3">
      <c r="A5962" s="5"/>
      <c r="B5962" s="4"/>
      <c r="C5962" s="4"/>
      <c r="D5962" s="82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17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</row>
    <row r="5963" spans="1:38" x14ac:dyDescent="0.3">
      <c r="A5963" s="5"/>
      <c r="B5963" s="4"/>
      <c r="C5963" s="4"/>
      <c r="D5963" s="82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17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</row>
    <row r="5964" spans="1:38" x14ac:dyDescent="0.3">
      <c r="A5964" s="5"/>
      <c r="B5964" s="4"/>
      <c r="C5964" s="4"/>
      <c r="D5964" s="82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17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</row>
    <row r="5965" spans="1:38" x14ac:dyDescent="0.3">
      <c r="A5965" s="5"/>
      <c r="B5965" s="4"/>
      <c r="C5965" s="4"/>
      <c r="D5965" s="82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17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</row>
    <row r="5966" spans="1:38" x14ac:dyDescent="0.3">
      <c r="A5966" s="5"/>
      <c r="B5966" s="4"/>
      <c r="C5966" s="4"/>
      <c r="D5966" s="82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17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</row>
    <row r="5967" spans="1:38" x14ac:dyDescent="0.3">
      <c r="A5967" s="5"/>
      <c r="B5967" s="4"/>
      <c r="C5967" s="4"/>
      <c r="D5967" s="82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17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</row>
    <row r="5968" spans="1:38" x14ac:dyDescent="0.3">
      <c r="A5968" s="5"/>
      <c r="B5968" s="4"/>
      <c r="C5968" s="4"/>
      <c r="D5968" s="82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17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</row>
    <row r="5969" spans="1:38" x14ac:dyDescent="0.3">
      <c r="A5969" s="5"/>
      <c r="B5969" s="4"/>
      <c r="C5969" s="4"/>
      <c r="D5969" s="82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17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</row>
    <row r="5970" spans="1:38" x14ac:dyDescent="0.3">
      <c r="A5970" s="5"/>
      <c r="B5970" s="4"/>
      <c r="C5970" s="4"/>
      <c r="D5970" s="82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17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</row>
    <row r="5971" spans="1:38" x14ac:dyDescent="0.3">
      <c r="A5971" s="5"/>
      <c r="B5971" s="4"/>
      <c r="C5971" s="4"/>
      <c r="D5971" s="82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17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</row>
    <row r="5972" spans="1:38" x14ac:dyDescent="0.3">
      <c r="A5972" s="5"/>
      <c r="B5972" s="4"/>
      <c r="C5972" s="4"/>
      <c r="D5972" s="82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17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</row>
    <row r="5973" spans="1:38" x14ac:dyDescent="0.3">
      <c r="A5973" s="5"/>
      <c r="B5973" s="4"/>
      <c r="C5973" s="4"/>
      <c r="D5973" s="82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17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</row>
    <row r="5974" spans="1:38" x14ac:dyDescent="0.3">
      <c r="A5974" s="5"/>
      <c r="B5974" s="4"/>
      <c r="C5974" s="4"/>
      <c r="D5974" s="82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17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</row>
    <row r="5975" spans="1:38" x14ac:dyDescent="0.3">
      <c r="A5975" s="5"/>
      <c r="B5975" s="4"/>
      <c r="C5975" s="4"/>
      <c r="D5975" s="82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17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</row>
    <row r="5976" spans="1:38" x14ac:dyDescent="0.3">
      <c r="A5976" s="5"/>
      <c r="B5976" s="4"/>
      <c r="C5976" s="4"/>
      <c r="D5976" s="82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17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</row>
    <row r="5977" spans="1:38" x14ac:dyDescent="0.3">
      <c r="A5977" s="5"/>
      <c r="B5977" s="4"/>
      <c r="C5977" s="4"/>
      <c r="D5977" s="82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17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</row>
    <row r="5978" spans="1:38" x14ac:dyDescent="0.3">
      <c r="A5978" s="5"/>
      <c r="B5978" s="4"/>
      <c r="C5978" s="4"/>
      <c r="D5978" s="82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17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</row>
    <row r="5979" spans="1:38" x14ac:dyDescent="0.3">
      <c r="A5979" s="5"/>
      <c r="B5979" s="4"/>
      <c r="C5979" s="4"/>
      <c r="D5979" s="82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17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</row>
    <row r="5980" spans="1:38" x14ac:dyDescent="0.3">
      <c r="A5980" s="5"/>
      <c r="B5980" s="4"/>
      <c r="C5980" s="4"/>
      <c r="D5980" s="82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17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</row>
    <row r="5981" spans="1:38" x14ac:dyDescent="0.3">
      <c r="A5981" s="5"/>
      <c r="B5981" s="4"/>
      <c r="C5981" s="4"/>
      <c r="D5981" s="82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17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</row>
    <row r="5982" spans="1:38" x14ac:dyDescent="0.3">
      <c r="A5982" s="5"/>
      <c r="B5982" s="4"/>
      <c r="C5982" s="4"/>
      <c r="D5982" s="82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17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</row>
    <row r="5983" spans="1:38" x14ac:dyDescent="0.3">
      <c r="A5983" s="5"/>
      <c r="B5983" s="4"/>
      <c r="C5983" s="4"/>
      <c r="D5983" s="82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17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</row>
    <row r="5984" spans="1:38" x14ac:dyDescent="0.3">
      <c r="A5984" s="5"/>
      <c r="B5984" s="4"/>
      <c r="C5984" s="4"/>
      <c r="D5984" s="82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17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</row>
    <row r="5985" spans="1:38" x14ac:dyDescent="0.3">
      <c r="A5985" s="5"/>
      <c r="B5985" s="4"/>
      <c r="C5985" s="4"/>
      <c r="D5985" s="82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17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</row>
    <row r="5986" spans="1:38" x14ac:dyDescent="0.3">
      <c r="A5986" s="5"/>
      <c r="B5986" s="4"/>
      <c r="C5986" s="4"/>
      <c r="D5986" s="82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17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</row>
    <row r="5987" spans="1:38" x14ac:dyDescent="0.3">
      <c r="A5987" s="5"/>
      <c r="B5987" s="4"/>
      <c r="C5987" s="4"/>
      <c r="D5987" s="82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17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</row>
    <row r="5988" spans="1:38" x14ac:dyDescent="0.3">
      <c r="A5988" s="5"/>
      <c r="B5988" s="4"/>
      <c r="C5988" s="4"/>
      <c r="D5988" s="82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17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</row>
    <row r="5989" spans="1:38" x14ac:dyDescent="0.3">
      <c r="A5989" s="5"/>
      <c r="B5989" s="4"/>
      <c r="C5989" s="4"/>
      <c r="D5989" s="82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17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</row>
    <row r="5990" spans="1:38" x14ac:dyDescent="0.3">
      <c r="A5990" s="5"/>
      <c r="B5990" s="4"/>
      <c r="C5990" s="4"/>
      <c r="D5990" s="82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17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</row>
    <row r="5991" spans="1:38" x14ac:dyDescent="0.3">
      <c r="A5991" s="5"/>
      <c r="B5991" s="4"/>
      <c r="C5991" s="4"/>
      <c r="D5991" s="82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17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</row>
    <row r="5992" spans="1:38" x14ac:dyDescent="0.3">
      <c r="A5992" s="5"/>
      <c r="B5992" s="4"/>
      <c r="C5992" s="4"/>
      <c r="D5992" s="82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17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</row>
    <row r="5993" spans="1:38" x14ac:dyDescent="0.3">
      <c r="A5993" s="5"/>
      <c r="B5993" s="4"/>
      <c r="C5993" s="4"/>
      <c r="D5993" s="82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17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</row>
    <row r="5994" spans="1:38" x14ac:dyDescent="0.3">
      <c r="A5994" s="5"/>
      <c r="B5994" s="4"/>
      <c r="C5994" s="4"/>
      <c r="D5994" s="82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17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</row>
    <row r="5995" spans="1:38" x14ac:dyDescent="0.3">
      <c r="A5995" s="5"/>
      <c r="B5995" s="4"/>
      <c r="C5995" s="4"/>
      <c r="D5995" s="82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17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</row>
    <row r="5996" spans="1:38" x14ac:dyDescent="0.3">
      <c r="A5996" s="5"/>
      <c r="B5996" s="4"/>
      <c r="C5996" s="4"/>
      <c r="D5996" s="82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17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</row>
    <row r="5997" spans="1:38" x14ac:dyDescent="0.3">
      <c r="A5997" s="5"/>
      <c r="B5997" s="4"/>
      <c r="C5997" s="4"/>
      <c r="D5997" s="82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17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</row>
    <row r="5998" spans="1:38" x14ac:dyDescent="0.3">
      <c r="A5998" s="5"/>
      <c r="B5998" s="4"/>
      <c r="C5998" s="4"/>
      <c r="D5998" s="82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17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</row>
    <row r="5999" spans="1:38" x14ac:dyDescent="0.3">
      <c r="A5999" s="5"/>
      <c r="B5999" s="4"/>
      <c r="C5999" s="4"/>
      <c r="D5999" s="82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17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</row>
    <row r="6000" spans="1:38" x14ac:dyDescent="0.3">
      <c r="A6000" s="5"/>
      <c r="B6000" s="4"/>
      <c r="C6000" s="4"/>
      <c r="D6000" s="82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17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</row>
    <row r="6001" spans="1:38" x14ac:dyDescent="0.3">
      <c r="A6001" s="5"/>
      <c r="B6001" s="4"/>
      <c r="C6001" s="4"/>
      <c r="D6001" s="82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17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</row>
    <row r="6002" spans="1:38" x14ac:dyDescent="0.3">
      <c r="A6002" s="5"/>
      <c r="B6002" s="4"/>
      <c r="C6002" s="4"/>
      <c r="D6002" s="82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17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</row>
    <row r="6003" spans="1:38" x14ac:dyDescent="0.3">
      <c r="A6003" s="5"/>
      <c r="B6003" s="4"/>
      <c r="C6003" s="4"/>
      <c r="D6003" s="82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17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</row>
    <row r="6004" spans="1:38" x14ac:dyDescent="0.3">
      <c r="A6004" s="5"/>
      <c r="B6004" s="4"/>
      <c r="C6004" s="4"/>
      <c r="D6004" s="82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17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</row>
    <row r="6005" spans="1:38" x14ac:dyDescent="0.3">
      <c r="A6005" s="5"/>
      <c r="B6005" s="4"/>
      <c r="C6005" s="4"/>
      <c r="D6005" s="82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17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</row>
    <row r="6006" spans="1:38" x14ac:dyDescent="0.3">
      <c r="A6006" s="5"/>
      <c r="B6006" s="4"/>
      <c r="C6006" s="4"/>
      <c r="D6006" s="82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17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</row>
    <row r="6007" spans="1:38" x14ac:dyDescent="0.3">
      <c r="A6007" s="5"/>
      <c r="B6007" s="4"/>
      <c r="C6007" s="4"/>
      <c r="D6007" s="82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17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</row>
    <row r="6008" spans="1:38" x14ac:dyDescent="0.3">
      <c r="A6008" s="5"/>
      <c r="B6008" s="4"/>
      <c r="C6008" s="4"/>
      <c r="D6008" s="82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17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</row>
    <row r="6009" spans="1:38" x14ac:dyDescent="0.3">
      <c r="A6009" s="5"/>
      <c r="B6009" s="4"/>
      <c r="C6009" s="4"/>
      <c r="D6009" s="82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17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</row>
    <row r="6010" spans="1:38" x14ac:dyDescent="0.3">
      <c r="A6010" s="5"/>
      <c r="B6010" s="4"/>
      <c r="C6010" s="4"/>
      <c r="D6010" s="82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17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</row>
    <row r="6011" spans="1:38" x14ac:dyDescent="0.3">
      <c r="A6011" s="5"/>
      <c r="B6011" s="4"/>
      <c r="C6011" s="4"/>
      <c r="D6011" s="82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17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</row>
    <row r="6012" spans="1:38" x14ac:dyDescent="0.3">
      <c r="A6012" s="5"/>
      <c r="B6012" s="4"/>
      <c r="C6012" s="4"/>
      <c r="D6012" s="82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17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</row>
    <row r="6013" spans="1:38" x14ac:dyDescent="0.3">
      <c r="A6013" s="5"/>
      <c r="B6013" s="4"/>
      <c r="C6013" s="4"/>
      <c r="D6013" s="82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17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</row>
    <row r="6014" spans="1:38" x14ac:dyDescent="0.3">
      <c r="A6014" s="5"/>
      <c r="B6014" s="4"/>
      <c r="C6014" s="4"/>
      <c r="D6014" s="82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17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</row>
    <row r="6015" spans="1:38" x14ac:dyDescent="0.3">
      <c r="A6015" s="5"/>
      <c r="B6015" s="4"/>
      <c r="C6015" s="4"/>
      <c r="D6015" s="82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17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</row>
    <row r="6016" spans="1:38" x14ac:dyDescent="0.3">
      <c r="A6016" s="5"/>
      <c r="B6016" s="4"/>
      <c r="C6016" s="4"/>
      <c r="D6016" s="82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17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</row>
    <row r="6017" spans="1:38" x14ac:dyDescent="0.3">
      <c r="A6017" s="5"/>
      <c r="B6017" s="4"/>
      <c r="C6017" s="4"/>
      <c r="D6017" s="82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17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</row>
    <row r="6018" spans="1:38" x14ac:dyDescent="0.3">
      <c r="A6018" s="5"/>
      <c r="B6018" s="4"/>
      <c r="C6018" s="4"/>
      <c r="D6018" s="82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17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</row>
    <row r="6019" spans="1:38" x14ac:dyDescent="0.3">
      <c r="A6019" s="5"/>
      <c r="B6019" s="4"/>
      <c r="C6019" s="4"/>
      <c r="D6019" s="82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17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</row>
    <row r="6020" spans="1:38" x14ac:dyDescent="0.3">
      <c r="A6020" s="5"/>
      <c r="B6020" s="4"/>
      <c r="C6020" s="4"/>
      <c r="D6020" s="82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17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</row>
    <row r="6021" spans="1:38" x14ac:dyDescent="0.3">
      <c r="A6021" s="5"/>
      <c r="B6021" s="4"/>
      <c r="C6021" s="4"/>
      <c r="D6021" s="82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17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</row>
    <row r="6022" spans="1:38" x14ac:dyDescent="0.3">
      <c r="A6022" s="5"/>
      <c r="B6022" s="4"/>
      <c r="C6022" s="4"/>
      <c r="D6022" s="82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17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</row>
    <row r="6023" spans="1:38" x14ac:dyDescent="0.3">
      <c r="A6023" s="5"/>
      <c r="B6023" s="4"/>
      <c r="C6023" s="4"/>
      <c r="D6023" s="82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17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</row>
    <row r="6024" spans="1:38" x14ac:dyDescent="0.3">
      <c r="A6024" s="5"/>
      <c r="B6024" s="4"/>
      <c r="C6024" s="4"/>
      <c r="D6024" s="82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17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</row>
    <row r="6025" spans="1:38" x14ac:dyDescent="0.3">
      <c r="A6025" s="5"/>
      <c r="B6025" s="4"/>
      <c r="C6025" s="4"/>
      <c r="D6025" s="82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17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</row>
    <row r="6026" spans="1:38" x14ac:dyDescent="0.3">
      <c r="A6026" s="5"/>
      <c r="B6026" s="4"/>
      <c r="C6026" s="4"/>
      <c r="D6026" s="82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17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</row>
    <row r="6027" spans="1:38" x14ac:dyDescent="0.3">
      <c r="A6027" s="5"/>
      <c r="B6027" s="4"/>
      <c r="C6027" s="4"/>
      <c r="D6027" s="82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17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</row>
    <row r="6028" spans="1:38" x14ac:dyDescent="0.3">
      <c r="A6028" s="5"/>
      <c r="B6028" s="4"/>
      <c r="C6028" s="4"/>
      <c r="D6028" s="82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17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</row>
    <row r="6029" spans="1:38" x14ac:dyDescent="0.3">
      <c r="A6029" s="5"/>
      <c r="B6029" s="4"/>
      <c r="C6029" s="4"/>
      <c r="D6029" s="82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17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</row>
    <row r="6030" spans="1:38" x14ac:dyDescent="0.3">
      <c r="A6030" s="5"/>
      <c r="B6030" s="4"/>
      <c r="C6030" s="4"/>
      <c r="D6030" s="82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17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</row>
    <row r="6031" spans="1:38" x14ac:dyDescent="0.3">
      <c r="A6031" s="5"/>
      <c r="B6031" s="4"/>
      <c r="C6031" s="4"/>
      <c r="D6031" s="82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17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</row>
    <row r="6032" spans="1:38" x14ac:dyDescent="0.3">
      <c r="A6032" s="5"/>
      <c r="B6032" s="4"/>
      <c r="C6032" s="4"/>
      <c r="D6032" s="82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17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</row>
    <row r="6033" spans="1:38" x14ac:dyDescent="0.3">
      <c r="A6033" s="5"/>
      <c r="B6033" s="4"/>
      <c r="C6033" s="4"/>
      <c r="D6033" s="82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17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</row>
    <row r="6034" spans="1:38" x14ac:dyDescent="0.3">
      <c r="A6034" s="5"/>
      <c r="B6034" s="4"/>
      <c r="C6034" s="4"/>
      <c r="D6034" s="82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17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</row>
    <row r="6035" spans="1:38" x14ac:dyDescent="0.3">
      <c r="A6035" s="5"/>
      <c r="B6035" s="4"/>
      <c r="C6035" s="4"/>
      <c r="D6035" s="82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17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</row>
    <row r="6036" spans="1:38" x14ac:dyDescent="0.3">
      <c r="A6036" s="5"/>
      <c r="B6036" s="4"/>
      <c r="C6036" s="4"/>
      <c r="D6036" s="82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17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</row>
    <row r="6037" spans="1:38" x14ac:dyDescent="0.3">
      <c r="A6037" s="5"/>
      <c r="B6037" s="4"/>
      <c r="C6037" s="4"/>
      <c r="D6037" s="82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17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</row>
    <row r="6038" spans="1:38" x14ac:dyDescent="0.3">
      <c r="A6038" s="5"/>
      <c r="B6038" s="4"/>
      <c r="C6038" s="4"/>
      <c r="D6038" s="82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17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</row>
    <row r="6039" spans="1:38" x14ac:dyDescent="0.3">
      <c r="A6039" s="5"/>
      <c r="B6039" s="4"/>
      <c r="C6039" s="4"/>
      <c r="D6039" s="82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17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</row>
    <row r="6040" spans="1:38" x14ac:dyDescent="0.3">
      <c r="A6040" s="5"/>
      <c r="B6040" s="4"/>
      <c r="C6040" s="4"/>
      <c r="D6040" s="82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17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</row>
    <row r="6041" spans="1:38" x14ac:dyDescent="0.3">
      <c r="A6041" s="5"/>
      <c r="B6041" s="4"/>
      <c r="C6041" s="4"/>
      <c r="D6041" s="82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17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</row>
    <row r="6042" spans="1:38" x14ac:dyDescent="0.3">
      <c r="A6042" s="5"/>
      <c r="B6042" s="4"/>
      <c r="C6042" s="4"/>
      <c r="D6042" s="82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17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</row>
    <row r="6043" spans="1:38" x14ac:dyDescent="0.3">
      <c r="A6043" s="5"/>
      <c r="B6043" s="4"/>
      <c r="C6043" s="4"/>
      <c r="D6043" s="82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17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</row>
    <row r="6044" spans="1:38" x14ac:dyDescent="0.3">
      <c r="A6044" s="5"/>
      <c r="B6044" s="4"/>
      <c r="C6044" s="4"/>
      <c r="D6044" s="82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17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</row>
    <row r="6045" spans="1:38" x14ac:dyDescent="0.3">
      <c r="A6045" s="5"/>
      <c r="B6045" s="4"/>
      <c r="C6045" s="4"/>
      <c r="D6045" s="82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17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</row>
    <row r="6046" spans="1:38" x14ac:dyDescent="0.3">
      <c r="A6046" s="5"/>
      <c r="B6046" s="4"/>
      <c r="C6046" s="4"/>
      <c r="D6046" s="82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17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</row>
    <row r="6047" spans="1:38" x14ac:dyDescent="0.3">
      <c r="A6047" s="5"/>
      <c r="B6047" s="4"/>
      <c r="C6047" s="4"/>
      <c r="D6047" s="82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17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</row>
    <row r="6048" spans="1:38" x14ac:dyDescent="0.3">
      <c r="A6048" s="5"/>
      <c r="B6048" s="4"/>
      <c r="C6048" s="4"/>
      <c r="D6048" s="82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17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</row>
    <row r="6049" spans="1:38" x14ac:dyDescent="0.3">
      <c r="A6049" s="5"/>
      <c r="B6049" s="4"/>
      <c r="C6049" s="4"/>
      <c r="D6049" s="82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17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</row>
    <row r="6050" spans="1:38" x14ac:dyDescent="0.3">
      <c r="A6050" s="5"/>
      <c r="B6050" s="4"/>
      <c r="C6050" s="4"/>
      <c r="D6050" s="82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17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</row>
    <row r="6051" spans="1:38" x14ac:dyDescent="0.3">
      <c r="A6051" s="5"/>
      <c r="B6051" s="4"/>
      <c r="C6051" s="4"/>
      <c r="D6051" s="82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17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</row>
    <row r="6052" spans="1:38" x14ac:dyDescent="0.3">
      <c r="A6052" s="5"/>
      <c r="B6052" s="4"/>
      <c r="C6052" s="4"/>
      <c r="D6052" s="82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17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</row>
    <row r="6053" spans="1:38" x14ac:dyDescent="0.3">
      <c r="A6053" s="5"/>
      <c r="B6053" s="4"/>
      <c r="C6053" s="4"/>
      <c r="D6053" s="82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17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</row>
    <row r="6054" spans="1:38" x14ac:dyDescent="0.3">
      <c r="A6054" s="5"/>
      <c r="B6054" s="4"/>
      <c r="C6054" s="4"/>
      <c r="D6054" s="82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17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</row>
    <row r="6055" spans="1:38" x14ac:dyDescent="0.3">
      <c r="A6055" s="5"/>
      <c r="B6055" s="4"/>
      <c r="C6055" s="4"/>
      <c r="D6055" s="82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17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</row>
    <row r="6056" spans="1:38" x14ac:dyDescent="0.3">
      <c r="A6056" s="5"/>
      <c r="B6056" s="4"/>
      <c r="C6056" s="4"/>
      <c r="D6056" s="82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17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</row>
    <row r="6057" spans="1:38" x14ac:dyDescent="0.3">
      <c r="A6057" s="5"/>
      <c r="B6057" s="4"/>
      <c r="C6057" s="4"/>
      <c r="D6057" s="82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17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</row>
    <row r="6058" spans="1:38" x14ac:dyDescent="0.3">
      <c r="A6058" s="5"/>
      <c r="B6058" s="4"/>
      <c r="C6058" s="4"/>
      <c r="D6058" s="82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17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</row>
    <row r="6059" spans="1:38" x14ac:dyDescent="0.3">
      <c r="A6059" s="5"/>
      <c r="B6059" s="4"/>
      <c r="C6059" s="4"/>
      <c r="D6059" s="82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17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</row>
    <row r="6060" spans="1:38" x14ac:dyDescent="0.3">
      <c r="A6060" s="5"/>
      <c r="B6060" s="4"/>
      <c r="C6060" s="4"/>
      <c r="D6060" s="82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17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</row>
    <row r="6061" spans="1:38" x14ac:dyDescent="0.3">
      <c r="A6061" s="5"/>
      <c r="B6061" s="4"/>
      <c r="C6061" s="4"/>
      <c r="D6061" s="82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17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</row>
    <row r="6062" spans="1:38" x14ac:dyDescent="0.3">
      <c r="A6062" s="5"/>
      <c r="B6062" s="4"/>
      <c r="C6062" s="4"/>
      <c r="D6062" s="82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17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</row>
    <row r="6063" spans="1:38" x14ac:dyDescent="0.3">
      <c r="A6063" s="5"/>
      <c r="B6063" s="4"/>
      <c r="C6063" s="4"/>
      <c r="D6063" s="82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17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</row>
    <row r="6064" spans="1:38" x14ac:dyDescent="0.3">
      <c r="A6064" s="5"/>
      <c r="B6064" s="4"/>
      <c r="C6064" s="4"/>
      <c r="D6064" s="82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17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</row>
    <row r="6065" spans="1:38" x14ac:dyDescent="0.3">
      <c r="A6065" s="5"/>
      <c r="B6065" s="4"/>
      <c r="C6065" s="4"/>
      <c r="D6065" s="82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17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</row>
    <row r="6066" spans="1:38" x14ac:dyDescent="0.3">
      <c r="A6066" s="5"/>
      <c r="B6066" s="4"/>
      <c r="C6066" s="4"/>
      <c r="D6066" s="82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17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</row>
    <row r="6067" spans="1:38" x14ac:dyDescent="0.3">
      <c r="A6067" s="5"/>
      <c r="B6067" s="4"/>
      <c r="C6067" s="4"/>
      <c r="D6067" s="82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17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</row>
    <row r="6068" spans="1:38" x14ac:dyDescent="0.3">
      <c r="A6068" s="5"/>
      <c r="B6068" s="4"/>
      <c r="C6068" s="4"/>
      <c r="D6068" s="82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17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</row>
    <row r="6069" spans="1:38" x14ac:dyDescent="0.3">
      <c r="A6069" s="5"/>
      <c r="B6069" s="4"/>
      <c r="C6069" s="4"/>
      <c r="D6069" s="82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17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</row>
    <row r="6070" spans="1:38" x14ac:dyDescent="0.3">
      <c r="A6070" s="5"/>
      <c r="B6070" s="4"/>
      <c r="C6070" s="4"/>
      <c r="D6070" s="82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17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</row>
    <row r="6071" spans="1:38" x14ac:dyDescent="0.3">
      <c r="A6071" s="5"/>
      <c r="B6071" s="4"/>
      <c r="C6071" s="4"/>
      <c r="D6071" s="82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17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</row>
    <row r="6072" spans="1:38" x14ac:dyDescent="0.3">
      <c r="A6072" s="5"/>
      <c r="B6072" s="4"/>
      <c r="C6072" s="4"/>
      <c r="D6072" s="82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17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</row>
    <row r="6073" spans="1:38" x14ac:dyDescent="0.3">
      <c r="A6073" s="5"/>
      <c r="B6073" s="4"/>
      <c r="C6073" s="4"/>
      <c r="D6073" s="82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17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</row>
    <row r="6074" spans="1:38" x14ac:dyDescent="0.3">
      <c r="A6074" s="5"/>
      <c r="B6074" s="4"/>
      <c r="C6074" s="4"/>
      <c r="D6074" s="82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17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</row>
    <row r="6075" spans="1:38" x14ac:dyDescent="0.3">
      <c r="A6075" s="5"/>
      <c r="B6075" s="4"/>
      <c r="C6075" s="4"/>
      <c r="D6075" s="82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17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</row>
    <row r="6076" spans="1:38" x14ac:dyDescent="0.3">
      <c r="A6076" s="5"/>
      <c r="B6076" s="4"/>
      <c r="C6076" s="4"/>
      <c r="D6076" s="82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17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</row>
    <row r="6077" spans="1:38" x14ac:dyDescent="0.3">
      <c r="A6077" s="5"/>
      <c r="B6077" s="4"/>
      <c r="C6077" s="4"/>
      <c r="D6077" s="82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17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</row>
    <row r="6078" spans="1:38" x14ac:dyDescent="0.3">
      <c r="A6078" s="5"/>
      <c r="B6078" s="4"/>
      <c r="C6078" s="4"/>
      <c r="D6078" s="82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17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</row>
    <row r="6079" spans="1:38" x14ac:dyDescent="0.3">
      <c r="A6079" s="5"/>
      <c r="B6079" s="4"/>
      <c r="C6079" s="4"/>
      <c r="D6079" s="82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17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</row>
    <row r="6080" spans="1:38" x14ac:dyDescent="0.3">
      <c r="A6080" s="5"/>
      <c r="B6080" s="4"/>
      <c r="C6080" s="4"/>
      <c r="D6080" s="82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17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</row>
    <row r="6081" spans="1:38" x14ac:dyDescent="0.3">
      <c r="A6081" s="5"/>
      <c r="B6081" s="4"/>
      <c r="C6081" s="4"/>
      <c r="D6081" s="82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17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</row>
    <row r="6082" spans="1:38" x14ac:dyDescent="0.3">
      <c r="A6082" s="5"/>
      <c r="B6082" s="4"/>
      <c r="C6082" s="4"/>
      <c r="D6082" s="82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17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</row>
    <row r="6083" spans="1:38" x14ac:dyDescent="0.3">
      <c r="A6083" s="5"/>
      <c r="B6083" s="4"/>
      <c r="C6083" s="4"/>
      <c r="D6083" s="82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17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</row>
    <row r="6084" spans="1:38" x14ac:dyDescent="0.3">
      <c r="A6084" s="5"/>
      <c r="B6084" s="4"/>
      <c r="C6084" s="4"/>
      <c r="D6084" s="82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17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</row>
    <row r="6085" spans="1:38" x14ac:dyDescent="0.3">
      <c r="A6085" s="5"/>
      <c r="B6085" s="4"/>
      <c r="C6085" s="4"/>
      <c r="D6085" s="82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17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</row>
    <row r="6086" spans="1:38" x14ac:dyDescent="0.3">
      <c r="A6086" s="5"/>
      <c r="B6086" s="4"/>
      <c r="C6086" s="4"/>
      <c r="D6086" s="82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17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</row>
    <row r="6087" spans="1:38" x14ac:dyDescent="0.3">
      <c r="A6087" s="5"/>
      <c r="B6087" s="4"/>
      <c r="C6087" s="4"/>
      <c r="D6087" s="82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17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</row>
    <row r="6088" spans="1:38" x14ac:dyDescent="0.3">
      <c r="A6088" s="5"/>
      <c r="B6088" s="4"/>
      <c r="C6088" s="4"/>
      <c r="D6088" s="82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17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</row>
    <row r="6089" spans="1:38" x14ac:dyDescent="0.3">
      <c r="A6089" s="5"/>
      <c r="B6089" s="4"/>
      <c r="C6089" s="4"/>
      <c r="D6089" s="82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17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</row>
    <row r="6090" spans="1:38" x14ac:dyDescent="0.3">
      <c r="A6090" s="5"/>
      <c r="B6090" s="4"/>
      <c r="C6090" s="4"/>
      <c r="D6090" s="82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17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</row>
    <row r="6091" spans="1:38" x14ac:dyDescent="0.3">
      <c r="A6091" s="5"/>
      <c r="B6091" s="4"/>
      <c r="C6091" s="4"/>
      <c r="D6091" s="82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17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</row>
    <row r="6092" spans="1:38" x14ac:dyDescent="0.3">
      <c r="A6092" s="5"/>
      <c r="B6092" s="4"/>
      <c r="C6092" s="4"/>
      <c r="D6092" s="82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17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</row>
    <row r="6093" spans="1:38" x14ac:dyDescent="0.3">
      <c r="A6093" s="5"/>
      <c r="B6093" s="4"/>
      <c r="C6093" s="4"/>
      <c r="D6093" s="82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17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</row>
    <row r="6094" spans="1:38" x14ac:dyDescent="0.3">
      <c r="A6094" s="5"/>
      <c r="B6094" s="4"/>
      <c r="C6094" s="4"/>
      <c r="D6094" s="82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17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</row>
    <row r="6095" spans="1:38" x14ac:dyDescent="0.3">
      <c r="A6095" s="5"/>
      <c r="B6095" s="4"/>
      <c r="C6095" s="4"/>
      <c r="D6095" s="82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17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</row>
    <row r="6096" spans="1:38" x14ac:dyDescent="0.3">
      <c r="A6096" s="5"/>
      <c r="B6096" s="4"/>
      <c r="C6096" s="4"/>
      <c r="D6096" s="82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17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</row>
    <row r="6097" spans="1:38" x14ac:dyDescent="0.3">
      <c r="A6097" s="5"/>
      <c r="B6097" s="4"/>
      <c r="C6097" s="4"/>
      <c r="D6097" s="82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17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</row>
    <row r="6098" spans="1:38" x14ac:dyDescent="0.3">
      <c r="A6098" s="5"/>
      <c r="B6098" s="4"/>
      <c r="C6098" s="4"/>
      <c r="D6098" s="82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17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</row>
    <row r="6099" spans="1:38" x14ac:dyDescent="0.3">
      <c r="A6099" s="5"/>
      <c r="B6099" s="4"/>
      <c r="C6099" s="4"/>
      <c r="D6099" s="82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17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</row>
    <row r="6100" spans="1:38" x14ac:dyDescent="0.3">
      <c r="A6100" s="5"/>
      <c r="B6100" s="4"/>
      <c r="C6100" s="4"/>
      <c r="D6100" s="82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17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</row>
    <row r="6101" spans="1:38" x14ac:dyDescent="0.3">
      <c r="A6101" s="5"/>
      <c r="B6101" s="4"/>
      <c r="C6101" s="4"/>
      <c r="D6101" s="82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17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</row>
    <row r="6102" spans="1:38" x14ac:dyDescent="0.3">
      <c r="A6102" s="5"/>
      <c r="B6102" s="4"/>
      <c r="C6102" s="4"/>
      <c r="D6102" s="82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17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</row>
    <row r="6103" spans="1:38" x14ac:dyDescent="0.3">
      <c r="A6103" s="5"/>
      <c r="B6103" s="4"/>
      <c r="C6103" s="4"/>
      <c r="D6103" s="82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17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</row>
    <row r="6104" spans="1:38" x14ac:dyDescent="0.3">
      <c r="A6104" s="5"/>
      <c r="B6104" s="4"/>
      <c r="C6104" s="4"/>
      <c r="D6104" s="82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17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</row>
    <row r="6105" spans="1:38" x14ac:dyDescent="0.3">
      <c r="A6105" s="5"/>
      <c r="B6105" s="4"/>
      <c r="C6105" s="4"/>
      <c r="D6105" s="82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17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</row>
    <row r="6106" spans="1:38" x14ac:dyDescent="0.3">
      <c r="A6106" s="5"/>
      <c r="B6106" s="4"/>
      <c r="C6106" s="4"/>
      <c r="D6106" s="82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17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</row>
    <row r="6107" spans="1:38" x14ac:dyDescent="0.3">
      <c r="A6107" s="5"/>
      <c r="B6107" s="4"/>
      <c r="C6107" s="4"/>
      <c r="D6107" s="82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17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</row>
    <row r="6108" spans="1:38" x14ac:dyDescent="0.3">
      <c r="A6108" s="5"/>
      <c r="B6108" s="4"/>
      <c r="C6108" s="4"/>
      <c r="D6108" s="82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17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</row>
    <row r="6109" spans="1:38" x14ac:dyDescent="0.3">
      <c r="A6109" s="5"/>
      <c r="B6109" s="4"/>
      <c r="C6109" s="4"/>
      <c r="D6109" s="82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17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</row>
    <row r="6110" spans="1:38" x14ac:dyDescent="0.3">
      <c r="A6110" s="5"/>
      <c r="B6110" s="4"/>
      <c r="C6110" s="4"/>
      <c r="D6110" s="82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17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</row>
    <row r="6111" spans="1:38" x14ac:dyDescent="0.3">
      <c r="A6111" s="5"/>
      <c r="B6111" s="4"/>
      <c r="C6111" s="4"/>
      <c r="D6111" s="82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17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</row>
    <row r="6112" spans="1:38" x14ac:dyDescent="0.3">
      <c r="A6112" s="5"/>
      <c r="B6112" s="4"/>
      <c r="C6112" s="4"/>
      <c r="D6112" s="82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17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</row>
    <row r="6113" spans="1:38" x14ac:dyDescent="0.3">
      <c r="A6113" s="5"/>
      <c r="B6113" s="4"/>
      <c r="C6113" s="4"/>
      <c r="D6113" s="82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17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</row>
    <row r="6114" spans="1:38" x14ac:dyDescent="0.3">
      <c r="A6114" s="5"/>
      <c r="B6114" s="4"/>
      <c r="C6114" s="4"/>
      <c r="D6114" s="82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17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</row>
    <row r="6115" spans="1:38" x14ac:dyDescent="0.3">
      <c r="A6115" s="5"/>
      <c r="B6115" s="4"/>
      <c r="C6115" s="4"/>
      <c r="D6115" s="82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17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</row>
    <row r="6116" spans="1:38" x14ac:dyDescent="0.3">
      <c r="A6116" s="5"/>
      <c r="B6116" s="4"/>
      <c r="C6116" s="4"/>
      <c r="D6116" s="82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17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</row>
    <row r="6117" spans="1:38" x14ac:dyDescent="0.3">
      <c r="A6117" s="5"/>
      <c r="B6117" s="4"/>
      <c r="C6117" s="4"/>
      <c r="D6117" s="82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17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</row>
    <row r="6118" spans="1:38" x14ac:dyDescent="0.3">
      <c r="A6118" s="5"/>
      <c r="B6118" s="4"/>
      <c r="C6118" s="4"/>
      <c r="D6118" s="82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17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</row>
    <row r="6119" spans="1:38" x14ac:dyDescent="0.3">
      <c r="A6119" s="5"/>
      <c r="B6119" s="4"/>
      <c r="C6119" s="4"/>
      <c r="D6119" s="82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17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</row>
    <row r="6120" spans="1:38" x14ac:dyDescent="0.3">
      <c r="A6120" s="5"/>
      <c r="B6120" s="4"/>
      <c r="C6120" s="4"/>
      <c r="D6120" s="82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17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</row>
    <row r="6121" spans="1:38" x14ac:dyDescent="0.3">
      <c r="A6121" s="5"/>
      <c r="B6121" s="4"/>
      <c r="C6121" s="4"/>
      <c r="D6121" s="82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17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</row>
    <row r="6122" spans="1:38" x14ac:dyDescent="0.3">
      <c r="A6122" s="5"/>
      <c r="B6122" s="4"/>
      <c r="C6122" s="4"/>
      <c r="D6122" s="82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17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</row>
    <row r="6123" spans="1:38" x14ac:dyDescent="0.3">
      <c r="A6123" s="5"/>
      <c r="B6123" s="4"/>
      <c r="C6123" s="4"/>
      <c r="D6123" s="82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17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</row>
    <row r="6124" spans="1:38" x14ac:dyDescent="0.3">
      <c r="A6124" s="5"/>
      <c r="B6124" s="4"/>
      <c r="C6124" s="4"/>
      <c r="D6124" s="82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17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</row>
    <row r="6125" spans="1:38" x14ac:dyDescent="0.3">
      <c r="A6125" s="5"/>
      <c r="B6125" s="4"/>
      <c r="C6125" s="4"/>
      <c r="D6125" s="82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17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</row>
    <row r="6126" spans="1:38" x14ac:dyDescent="0.3">
      <c r="A6126" s="5"/>
      <c r="B6126" s="4"/>
      <c r="C6126" s="4"/>
      <c r="D6126" s="82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17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</row>
    <row r="6127" spans="1:38" x14ac:dyDescent="0.3">
      <c r="A6127" s="5"/>
      <c r="B6127" s="4"/>
      <c r="C6127" s="4"/>
      <c r="D6127" s="82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17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</row>
    <row r="6128" spans="1:38" x14ac:dyDescent="0.3">
      <c r="A6128" s="5"/>
      <c r="B6128" s="4"/>
      <c r="C6128" s="4"/>
      <c r="D6128" s="82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17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</row>
    <row r="6129" spans="1:38" x14ac:dyDescent="0.3">
      <c r="A6129" s="5"/>
      <c r="B6129" s="4"/>
      <c r="C6129" s="4"/>
      <c r="D6129" s="82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17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</row>
    <row r="6130" spans="1:38" x14ac:dyDescent="0.3">
      <c r="A6130" s="5"/>
      <c r="B6130" s="4"/>
      <c r="C6130" s="4"/>
      <c r="D6130" s="82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17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</row>
    <row r="6131" spans="1:38" x14ac:dyDescent="0.3">
      <c r="A6131" s="5"/>
      <c r="B6131" s="4"/>
      <c r="C6131" s="4"/>
      <c r="D6131" s="82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17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</row>
    <row r="6132" spans="1:38" x14ac:dyDescent="0.3">
      <c r="A6132" s="5"/>
      <c r="B6132" s="4"/>
      <c r="C6132" s="4"/>
      <c r="D6132" s="82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17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</row>
    <row r="6133" spans="1:38" x14ac:dyDescent="0.3">
      <c r="A6133" s="5"/>
      <c r="B6133" s="4"/>
      <c r="C6133" s="4"/>
      <c r="D6133" s="82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17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</row>
    <row r="6134" spans="1:38" x14ac:dyDescent="0.3">
      <c r="A6134" s="5"/>
      <c r="B6134" s="4"/>
      <c r="C6134" s="4"/>
      <c r="D6134" s="82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17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</row>
    <row r="6135" spans="1:38" x14ac:dyDescent="0.3">
      <c r="A6135" s="5"/>
      <c r="B6135" s="4"/>
      <c r="C6135" s="4"/>
      <c r="D6135" s="82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17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</row>
    <row r="6136" spans="1:38" x14ac:dyDescent="0.3">
      <c r="A6136" s="5"/>
      <c r="B6136" s="4"/>
      <c r="C6136" s="4"/>
      <c r="D6136" s="82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17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</row>
    <row r="6137" spans="1:38" x14ac:dyDescent="0.3">
      <c r="A6137" s="5"/>
      <c r="B6137" s="4"/>
      <c r="C6137" s="4"/>
      <c r="D6137" s="82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17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</row>
    <row r="6138" spans="1:38" x14ac:dyDescent="0.3">
      <c r="A6138" s="5"/>
      <c r="B6138" s="4"/>
      <c r="C6138" s="4"/>
      <c r="D6138" s="82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17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</row>
    <row r="6139" spans="1:38" x14ac:dyDescent="0.3">
      <c r="A6139" s="5"/>
      <c r="B6139" s="4"/>
      <c r="C6139" s="4"/>
      <c r="D6139" s="82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17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</row>
    <row r="6140" spans="1:38" x14ac:dyDescent="0.3">
      <c r="A6140" s="5"/>
      <c r="B6140" s="4"/>
      <c r="C6140" s="4"/>
      <c r="D6140" s="82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17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</row>
    <row r="6141" spans="1:38" x14ac:dyDescent="0.3">
      <c r="A6141" s="5"/>
      <c r="B6141" s="4"/>
      <c r="C6141" s="4"/>
      <c r="D6141" s="82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17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</row>
    <row r="6142" spans="1:38" x14ac:dyDescent="0.3">
      <c r="A6142" s="5"/>
      <c r="B6142" s="4"/>
      <c r="C6142" s="4"/>
      <c r="D6142" s="82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17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</row>
    <row r="6143" spans="1:38" x14ac:dyDescent="0.3">
      <c r="A6143" s="5"/>
      <c r="B6143" s="4"/>
      <c r="C6143" s="4"/>
      <c r="D6143" s="82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17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</row>
    <row r="6144" spans="1:38" x14ac:dyDescent="0.3">
      <c r="A6144" s="5"/>
      <c r="B6144" s="4"/>
      <c r="C6144" s="4"/>
      <c r="D6144" s="82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17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</row>
    <row r="6145" spans="1:38" x14ac:dyDescent="0.3">
      <c r="A6145" s="5"/>
      <c r="B6145" s="4"/>
      <c r="C6145" s="4"/>
      <c r="D6145" s="82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17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</row>
    <row r="6146" spans="1:38" x14ac:dyDescent="0.3">
      <c r="A6146" s="5"/>
      <c r="B6146" s="4"/>
      <c r="C6146" s="4"/>
      <c r="D6146" s="82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17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</row>
    <row r="6147" spans="1:38" x14ac:dyDescent="0.3">
      <c r="A6147" s="5"/>
      <c r="B6147" s="4"/>
      <c r="C6147" s="4"/>
      <c r="D6147" s="82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17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</row>
    <row r="6148" spans="1:38" x14ac:dyDescent="0.3">
      <c r="A6148" s="5"/>
      <c r="B6148" s="4"/>
      <c r="C6148" s="4"/>
      <c r="D6148" s="82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17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</row>
    <row r="6149" spans="1:38" x14ac:dyDescent="0.3">
      <c r="A6149" s="5"/>
      <c r="B6149" s="4"/>
      <c r="C6149" s="4"/>
      <c r="D6149" s="82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17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</row>
    <row r="6150" spans="1:38" x14ac:dyDescent="0.3">
      <c r="A6150" s="5"/>
      <c r="B6150" s="4"/>
      <c r="C6150" s="4"/>
      <c r="D6150" s="82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17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</row>
    <row r="6151" spans="1:38" x14ac:dyDescent="0.3">
      <c r="A6151" s="5"/>
      <c r="B6151" s="4"/>
      <c r="C6151" s="4"/>
      <c r="D6151" s="82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17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</row>
    <row r="6152" spans="1:38" x14ac:dyDescent="0.3">
      <c r="A6152" s="5"/>
      <c r="B6152" s="4"/>
      <c r="C6152" s="4"/>
      <c r="D6152" s="82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17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</row>
    <row r="6153" spans="1:38" x14ac:dyDescent="0.3">
      <c r="A6153" s="5"/>
      <c r="B6153" s="4"/>
      <c r="C6153" s="4"/>
      <c r="D6153" s="82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17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</row>
    <row r="6154" spans="1:38" x14ac:dyDescent="0.3">
      <c r="A6154" s="5"/>
      <c r="B6154" s="4"/>
      <c r="C6154" s="4"/>
      <c r="D6154" s="82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17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</row>
    <row r="6155" spans="1:38" x14ac:dyDescent="0.3">
      <c r="A6155" s="5"/>
      <c r="B6155" s="4"/>
      <c r="C6155" s="4"/>
      <c r="D6155" s="82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17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</row>
    <row r="6156" spans="1:38" x14ac:dyDescent="0.3">
      <c r="A6156" s="5"/>
      <c r="B6156" s="4"/>
      <c r="C6156" s="4"/>
      <c r="D6156" s="82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17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</row>
    <row r="6157" spans="1:38" x14ac:dyDescent="0.3">
      <c r="A6157" s="5"/>
      <c r="B6157" s="4"/>
      <c r="C6157" s="4"/>
      <c r="D6157" s="82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17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</row>
    <row r="6158" spans="1:38" x14ac:dyDescent="0.3">
      <c r="A6158" s="5"/>
      <c r="B6158" s="4"/>
      <c r="C6158" s="4"/>
      <c r="D6158" s="82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17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</row>
    <row r="6159" spans="1:38" x14ac:dyDescent="0.3">
      <c r="A6159" s="5"/>
      <c r="B6159" s="4"/>
      <c r="C6159" s="4"/>
      <c r="D6159" s="82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17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</row>
    <row r="6160" spans="1:38" x14ac:dyDescent="0.3">
      <c r="A6160" s="5"/>
      <c r="B6160" s="4"/>
      <c r="C6160" s="4"/>
      <c r="D6160" s="82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17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</row>
    <row r="6161" spans="1:38" x14ac:dyDescent="0.3">
      <c r="A6161" s="5"/>
      <c r="B6161" s="4"/>
      <c r="C6161" s="4"/>
      <c r="D6161" s="82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17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</row>
    <row r="6162" spans="1:38" x14ac:dyDescent="0.3">
      <c r="A6162" s="5"/>
      <c r="B6162" s="4"/>
      <c r="C6162" s="4"/>
      <c r="D6162" s="82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17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</row>
    <row r="6163" spans="1:38" x14ac:dyDescent="0.3">
      <c r="A6163" s="5"/>
      <c r="B6163" s="4"/>
      <c r="C6163" s="4"/>
      <c r="D6163" s="82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17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</row>
    <row r="6164" spans="1:38" x14ac:dyDescent="0.3">
      <c r="A6164" s="5"/>
      <c r="B6164" s="4"/>
      <c r="C6164" s="4"/>
      <c r="D6164" s="82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17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</row>
    <row r="6165" spans="1:38" x14ac:dyDescent="0.3">
      <c r="A6165" s="5"/>
      <c r="B6165" s="4"/>
      <c r="C6165" s="4"/>
      <c r="D6165" s="82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17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</row>
    <row r="6166" spans="1:38" x14ac:dyDescent="0.3">
      <c r="A6166" s="5"/>
      <c r="B6166" s="4"/>
      <c r="C6166" s="4"/>
      <c r="D6166" s="82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17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</row>
    <row r="6167" spans="1:38" x14ac:dyDescent="0.3">
      <c r="A6167" s="5"/>
      <c r="B6167" s="4"/>
      <c r="C6167" s="4"/>
      <c r="D6167" s="82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17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</row>
    <row r="6168" spans="1:38" x14ac:dyDescent="0.3">
      <c r="A6168" s="5"/>
      <c r="B6168" s="4"/>
      <c r="C6168" s="4"/>
      <c r="D6168" s="82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17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</row>
    <row r="6169" spans="1:38" x14ac:dyDescent="0.3">
      <c r="A6169" s="5"/>
      <c r="B6169" s="4"/>
      <c r="C6169" s="4"/>
      <c r="D6169" s="82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17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</row>
    <row r="6170" spans="1:38" x14ac:dyDescent="0.3">
      <c r="A6170" s="5"/>
      <c r="B6170" s="4"/>
      <c r="C6170" s="4"/>
      <c r="D6170" s="82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17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</row>
    <row r="6171" spans="1:38" x14ac:dyDescent="0.3">
      <c r="A6171" s="5"/>
      <c r="B6171" s="4"/>
      <c r="C6171" s="4"/>
      <c r="D6171" s="82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17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</row>
    <row r="6172" spans="1:38" x14ac:dyDescent="0.3">
      <c r="A6172" s="5"/>
      <c r="B6172" s="4"/>
      <c r="C6172" s="4"/>
      <c r="D6172" s="82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17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</row>
    <row r="6173" spans="1:38" x14ac:dyDescent="0.3">
      <c r="A6173" s="5"/>
      <c r="B6173" s="4"/>
      <c r="C6173" s="4"/>
      <c r="D6173" s="82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17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</row>
    <row r="6174" spans="1:38" x14ac:dyDescent="0.3">
      <c r="A6174" s="5"/>
      <c r="B6174" s="4"/>
      <c r="C6174" s="4"/>
      <c r="D6174" s="82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17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</row>
    <row r="6175" spans="1:38" x14ac:dyDescent="0.3">
      <c r="A6175" s="5"/>
      <c r="B6175" s="4"/>
      <c r="C6175" s="4"/>
      <c r="D6175" s="82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17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</row>
    <row r="6176" spans="1:38" x14ac:dyDescent="0.3">
      <c r="A6176" s="5"/>
      <c r="B6176" s="4"/>
      <c r="C6176" s="4"/>
      <c r="D6176" s="82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17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</row>
    <row r="6177" spans="1:38" x14ac:dyDescent="0.3">
      <c r="A6177" s="5"/>
      <c r="B6177" s="4"/>
      <c r="C6177" s="4"/>
      <c r="D6177" s="82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17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</row>
    <row r="6178" spans="1:38" x14ac:dyDescent="0.3">
      <c r="A6178" s="5"/>
      <c r="B6178" s="4"/>
      <c r="C6178" s="4"/>
      <c r="D6178" s="82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17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</row>
    <row r="6179" spans="1:38" x14ac:dyDescent="0.3">
      <c r="A6179" s="5"/>
      <c r="B6179" s="4"/>
      <c r="C6179" s="4"/>
      <c r="D6179" s="82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17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</row>
    <row r="6180" spans="1:38" x14ac:dyDescent="0.3">
      <c r="A6180" s="5"/>
      <c r="B6180" s="4"/>
      <c r="C6180" s="4"/>
      <c r="D6180" s="82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17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</row>
    <row r="6181" spans="1:38" x14ac:dyDescent="0.3">
      <c r="A6181" s="5"/>
      <c r="B6181" s="4"/>
      <c r="C6181" s="4"/>
      <c r="D6181" s="82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17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</row>
    <row r="6182" spans="1:38" x14ac:dyDescent="0.3">
      <c r="A6182" s="5"/>
      <c r="B6182" s="4"/>
      <c r="C6182" s="4"/>
      <c r="D6182" s="82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17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</row>
    <row r="6183" spans="1:38" x14ac:dyDescent="0.3">
      <c r="A6183" s="5"/>
      <c r="B6183" s="4"/>
      <c r="C6183" s="4"/>
      <c r="D6183" s="82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17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</row>
    <row r="6184" spans="1:38" x14ac:dyDescent="0.3">
      <c r="A6184" s="5"/>
      <c r="B6184" s="4"/>
      <c r="C6184" s="4"/>
      <c r="D6184" s="82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17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</row>
    <row r="6185" spans="1:38" x14ac:dyDescent="0.3">
      <c r="A6185" s="5"/>
      <c r="B6185" s="4"/>
      <c r="C6185" s="4"/>
      <c r="D6185" s="82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17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</row>
    <row r="6186" spans="1:38" x14ac:dyDescent="0.3">
      <c r="A6186" s="5"/>
      <c r="B6186" s="4"/>
      <c r="C6186" s="4"/>
      <c r="D6186" s="82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17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</row>
    <row r="6187" spans="1:38" x14ac:dyDescent="0.3">
      <c r="A6187" s="5"/>
      <c r="B6187" s="4"/>
      <c r="C6187" s="4"/>
      <c r="D6187" s="82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17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</row>
    <row r="6188" spans="1:38" x14ac:dyDescent="0.3">
      <c r="A6188" s="5"/>
      <c r="B6188" s="4"/>
      <c r="C6188" s="4"/>
      <c r="D6188" s="82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17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</row>
    <row r="6189" spans="1:38" x14ac:dyDescent="0.3">
      <c r="A6189" s="5"/>
      <c r="B6189" s="4"/>
      <c r="C6189" s="4"/>
      <c r="D6189" s="82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17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</row>
    <row r="6190" spans="1:38" x14ac:dyDescent="0.3">
      <c r="A6190" s="5"/>
      <c r="B6190" s="4"/>
      <c r="C6190" s="4"/>
      <c r="D6190" s="82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17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</row>
    <row r="6191" spans="1:38" x14ac:dyDescent="0.3">
      <c r="A6191" s="5"/>
      <c r="B6191" s="4"/>
      <c r="C6191" s="4"/>
      <c r="D6191" s="82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17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</row>
    <row r="6192" spans="1:38" x14ac:dyDescent="0.3">
      <c r="A6192" s="5"/>
      <c r="B6192" s="4"/>
      <c r="C6192" s="4"/>
      <c r="D6192" s="82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17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</row>
    <row r="6193" spans="1:38" x14ac:dyDescent="0.3">
      <c r="A6193" s="5"/>
      <c r="B6193" s="4"/>
      <c r="C6193" s="4"/>
      <c r="D6193" s="82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17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</row>
    <row r="6194" spans="1:38" x14ac:dyDescent="0.3">
      <c r="A6194" s="5"/>
      <c r="B6194" s="4"/>
      <c r="C6194" s="4"/>
      <c r="D6194" s="82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17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</row>
    <row r="6195" spans="1:38" x14ac:dyDescent="0.3">
      <c r="A6195" s="5"/>
      <c r="B6195" s="4"/>
      <c r="C6195" s="4"/>
      <c r="D6195" s="82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17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</row>
    <row r="6196" spans="1:38" x14ac:dyDescent="0.3">
      <c r="A6196" s="5"/>
      <c r="B6196" s="4"/>
      <c r="C6196" s="4"/>
      <c r="D6196" s="82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17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</row>
    <row r="6197" spans="1:38" x14ac:dyDescent="0.3">
      <c r="A6197" s="5"/>
      <c r="B6197" s="4"/>
      <c r="C6197" s="4"/>
      <c r="D6197" s="82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17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</row>
    <row r="6198" spans="1:38" x14ac:dyDescent="0.3">
      <c r="A6198" s="5"/>
      <c r="B6198" s="4"/>
      <c r="C6198" s="4"/>
      <c r="D6198" s="82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17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</row>
    <row r="6199" spans="1:38" x14ac:dyDescent="0.3">
      <c r="A6199" s="5"/>
      <c r="B6199" s="4"/>
      <c r="C6199" s="4"/>
      <c r="D6199" s="82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17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</row>
    <row r="6200" spans="1:38" x14ac:dyDescent="0.3">
      <c r="A6200" s="5"/>
      <c r="B6200" s="4"/>
      <c r="C6200" s="4"/>
      <c r="D6200" s="82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17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</row>
    <row r="6201" spans="1:38" x14ac:dyDescent="0.3">
      <c r="A6201" s="5"/>
      <c r="B6201" s="4"/>
      <c r="C6201" s="4"/>
      <c r="D6201" s="82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17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</row>
    <row r="6202" spans="1:38" x14ac:dyDescent="0.3">
      <c r="A6202" s="5"/>
      <c r="B6202" s="4"/>
      <c r="C6202" s="4"/>
      <c r="D6202" s="82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17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</row>
    <row r="6203" spans="1:38" x14ac:dyDescent="0.3">
      <c r="A6203" s="5"/>
      <c r="B6203" s="4"/>
      <c r="C6203" s="4"/>
      <c r="D6203" s="82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17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</row>
    <row r="6204" spans="1:38" x14ac:dyDescent="0.3">
      <c r="A6204" s="5"/>
      <c r="B6204" s="4"/>
      <c r="C6204" s="4"/>
      <c r="D6204" s="82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17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</row>
    <row r="6205" spans="1:38" x14ac:dyDescent="0.3">
      <c r="A6205" s="5"/>
      <c r="B6205" s="4"/>
      <c r="C6205" s="4"/>
      <c r="D6205" s="82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17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</row>
    <row r="6206" spans="1:38" x14ac:dyDescent="0.3">
      <c r="A6206" s="5"/>
      <c r="B6206" s="4"/>
      <c r="C6206" s="4"/>
      <c r="D6206" s="82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17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</row>
    <row r="6207" spans="1:38" x14ac:dyDescent="0.3">
      <c r="A6207" s="5"/>
      <c r="B6207" s="4"/>
      <c r="C6207" s="4"/>
      <c r="D6207" s="82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17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</row>
    <row r="6208" spans="1:38" x14ac:dyDescent="0.3">
      <c r="A6208" s="5"/>
      <c r="B6208" s="4"/>
      <c r="C6208" s="4"/>
      <c r="D6208" s="82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17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</row>
    <row r="6209" spans="1:38" x14ac:dyDescent="0.3">
      <c r="A6209" s="5"/>
      <c r="B6209" s="4"/>
      <c r="C6209" s="4"/>
      <c r="D6209" s="82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17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</row>
    <row r="6210" spans="1:38" x14ac:dyDescent="0.3">
      <c r="A6210" s="5"/>
      <c r="B6210" s="4"/>
      <c r="C6210" s="4"/>
      <c r="D6210" s="82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17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</row>
    <row r="6211" spans="1:38" x14ac:dyDescent="0.3">
      <c r="A6211" s="5"/>
      <c r="B6211" s="4"/>
      <c r="C6211" s="4"/>
      <c r="D6211" s="82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17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</row>
    <row r="6212" spans="1:38" x14ac:dyDescent="0.3">
      <c r="A6212" s="5"/>
      <c r="B6212" s="4"/>
      <c r="C6212" s="4"/>
      <c r="D6212" s="82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17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</row>
    <row r="6213" spans="1:38" x14ac:dyDescent="0.3">
      <c r="A6213" s="5"/>
      <c r="B6213" s="4"/>
      <c r="C6213" s="4"/>
      <c r="D6213" s="82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17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</row>
    <row r="6214" spans="1:38" x14ac:dyDescent="0.3">
      <c r="A6214" s="5"/>
      <c r="B6214" s="4"/>
      <c r="C6214" s="4"/>
      <c r="D6214" s="82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17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</row>
    <row r="6215" spans="1:38" x14ac:dyDescent="0.3">
      <c r="A6215" s="5"/>
      <c r="B6215" s="4"/>
      <c r="C6215" s="4"/>
      <c r="D6215" s="82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17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</row>
    <row r="6216" spans="1:38" x14ac:dyDescent="0.3">
      <c r="A6216" s="5"/>
      <c r="B6216" s="4"/>
      <c r="C6216" s="4"/>
      <c r="D6216" s="82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17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</row>
    <row r="6217" spans="1:38" x14ac:dyDescent="0.3">
      <c r="A6217" s="5"/>
      <c r="B6217" s="4"/>
      <c r="C6217" s="4"/>
      <c r="D6217" s="82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17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</row>
    <row r="6218" spans="1:38" x14ac:dyDescent="0.3">
      <c r="A6218" s="5"/>
      <c r="B6218" s="4"/>
      <c r="C6218" s="4"/>
      <c r="D6218" s="82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17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</row>
    <row r="6219" spans="1:38" x14ac:dyDescent="0.3">
      <c r="A6219" s="5"/>
      <c r="B6219" s="4"/>
      <c r="C6219" s="4"/>
      <c r="D6219" s="82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17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</row>
    <row r="6220" spans="1:38" x14ac:dyDescent="0.3">
      <c r="A6220" s="5"/>
      <c r="B6220" s="4"/>
      <c r="C6220" s="4"/>
      <c r="D6220" s="82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17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</row>
    <row r="6221" spans="1:38" x14ac:dyDescent="0.3">
      <c r="A6221" s="5"/>
      <c r="B6221" s="4"/>
      <c r="C6221" s="4"/>
      <c r="D6221" s="82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17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</row>
    <row r="6222" spans="1:38" x14ac:dyDescent="0.3">
      <c r="A6222" s="5"/>
      <c r="B6222" s="4"/>
      <c r="C6222" s="4"/>
      <c r="D6222" s="82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17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</row>
    <row r="6223" spans="1:38" x14ac:dyDescent="0.3">
      <c r="A6223" s="5"/>
      <c r="B6223" s="4"/>
      <c r="C6223" s="4"/>
      <c r="D6223" s="82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17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</row>
    <row r="6224" spans="1:38" x14ac:dyDescent="0.3">
      <c r="A6224" s="5"/>
      <c r="B6224" s="4"/>
      <c r="C6224" s="4"/>
      <c r="D6224" s="82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17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</row>
    <row r="6225" spans="1:38" x14ac:dyDescent="0.3">
      <c r="A6225" s="5"/>
      <c r="B6225" s="4"/>
      <c r="C6225" s="4"/>
      <c r="D6225" s="82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17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</row>
    <row r="6226" spans="1:38" x14ac:dyDescent="0.3">
      <c r="A6226" s="5"/>
      <c r="B6226" s="4"/>
      <c r="C6226" s="4"/>
      <c r="D6226" s="82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17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</row>
    <row r="6227" spans="1:38" x14ac:dyDescent="0.3">
      <c r="A6227" s="5"/>
      <c r="B6227" s="4"/>
      <c r="C6227" s="4"/>
      <c r="D6227" s="82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17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</row>
    <row r="6228" spans="1:38" x14ac:dyDescent="0.3">
      <c r="A6228" s="5"/>
      <c r="B6228" s="4"/>
      <c r="C6228" s="4"/>
      <c r="D6228" s="82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17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</row>
    <row r="6229" spans="1:38" x14ac:dyDescent="0.3">
      <c r="A6229" s="5"/>
      <c r="B6229" s="4"/>
      <c r="C6229" s="4"/>
      <c r="D6229" s="82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17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</row>
    <row r="6230" spans="1:38" x14ac:dyDescent="0.3">
      <c r="A6230" s="5"/>
      <c r="B6230" s="4"/>
      <c r="C6230" s="4"/>
      <c r="D6230" s="82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17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</row>
    <row r="6231" spans="1:38" x14ac:dyDescent="0.3">
      <c r="A6231" s="5"/>
      <c r="B6231" s="4"/>
      <c r="C6231" s="4"/>
      <c r="D6231" s="82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17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</row>
    <row r="6232" spans="1:38" x14ac:dyDescent="0.3">
      <c r="A6232" s="5"/>
      <c r="B6232" s="4"/>
      <c r="C6232" s="4"/>
      <c r="D6232" s="82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17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</row>
    <row r="6233" spans="1:38" x14ac:dyDescent="0.3">
      <c r="A6233" s="5"/>
      <c r="B6233" s="4"/>
      <c r="C6233" s="4"/>
      <c r="D6233" s="82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17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</row>
    <row r="6234" spans="1:38" x14ac:dyDescent="0.3">
      <c r="A6234" s="5"/>
      <c r="B6234" s="4"/>
      <c r="C6234" s="4"/>
      <c r="D6234" s="82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17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</row>
    <row r="6235" spans="1:38" x14ac:dyDescent="0.3">
      <c r="A6235" s="5"/>
      <c r="B6235" s="4"/>
      <c r="C6235" s="4"/>
      <c r="D6235" s="82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17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</row>
    <row r="6236" spans="1:38" x14ac:dyDescent="0.3">
      <c r="A6236" s="5"/>
      <c r="B6236" s="4"/>
      <c r="C6236" s="4"/>
      <c r="D6236" s="82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17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</row>
    <row r="6237" spans="1:38" x14ac:dyDescent="0.3">
      <c r="A6237" s="5"/>
      <c r="B6237" s="4"/>
      <c r="C6237" s="4"/>
      <c r="D6237" s="82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17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</row>
    <row r="6238" spans="1:38" x14ac:dyDescent="0.3">
      <c r="A6238" s="5"/>
      <c r="B6238" s="4"/>
      <c r="C6238" s="4"/>
      <c r="D6238" s="82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17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</row>
    <row r="6239" spans="1:38" x14ac:dyDescent="0.3">
      <c r="A6239" s="5"/>
      <c r="B6239" s="4"/>
      <c r="C6239" s="4"/>
      <c r="D6239" s="82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17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</row>
    <row r="6240" spans="1:38" x14ac:dyDescent="0.3">
      <c r="A6240" s="5"/>
      <c r="B6240" s="4"/>
      <c r="C6240" s="4"/>
      <c r="D6240" s="82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17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</row>
    <row r="6241" spans="1:38" x14ac:dyDescent="0.3">
      <c r="A6241" s="5"/>
      <c r="B6241" s="4"/>
      <c r="C6241" s="4"/>
      <c r="D6241" s="82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17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</row>
    <row r="6242" spans="1:38" x14ac:dyDescent="0.3">
      <c r="A6242" s="5"/>
      <c r="B6242" s="4"/>
      <c r="C6242" s="4"/>
      <c r="D6242" s="82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17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</row>
    <row r="6243" spans="1:38" x14ac:dyDescent="0.3">
      <c r="A6243" s="5"/>
      <c r="B6243" s="4"/>
      <c r="C6243" s="4"/>
      <c r="D6243" s="82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17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</row>
    <row r="6244" spans="1:38" x14ac:dyDescent="0.3">
      <c r="A6244" s="5"/>
      <c r="B6244" s="4"/>
      <c r="C6244" s="4"/>
      <c r="D6244" s="82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17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</row>
    <row r="6245" spans="1:38" x14ac:dyDescent="0.3">
      <c r="A6245" s="5"/>
      <c r="B6245" s="4"/>
      <c r="C6245" s="4"/>
      <c r="D6245" s="82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17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</row>
    <row r="6246" spans="1:38" x14ac:dyDescent="0.3">
      <c r="A6246" s="5"/>
      <c r="B6246" s="4"/>
      <c r="C6246" s="4"/>
      <c r="D6246" s="82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17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</row>
    <row r="6247" spans="1:38" x14ac:dyDescent="0.3">
      <c r="A6247" s="5"/>
      <c r="B6247" s="4"/>
      <c r="C6247" s="4"/>
      <c r="D6247" s="82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17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</row>
    <row r="6248" spans="1:38" x14ac:dyDescent="0.3">
      <c r="A6248" s="5"/>
      <c r="B6248" s="4"/>
      <c r="C6248" s="4"/>
      <c r="D6248" s="82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17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</row>
    <row r="6249" spans="1:38" x14ac:dyDescent="0.3">
      <c r="A6249" s="5"/>
      <c r="B6249" s="4"/>
      <c r="C6249" s="4"/>
      <c r="D6249" s="82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17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</row>
    <row r="6250" spans="1:38" x14ac:dyDescent="0.3">
      <c r="A6250" s="5"/>
      <c r="B6250" s="4"/>
      <c r="C6250" s="4"/>
      <c r="D6250" s="82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17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</row>
    <row r="6251" spans="1:38" x14ac:dyDescent="0.3">
      <c r="A6251" s="5"/>
      <c r="B6251" s="4"/>
      <c r="C6251" s="4"/>
      <c r="D6251" s="82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17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</row>
    <row r="6252" spans="1:38" x14ac:dyDescent="0.3">
      <c r="A6252" s="5"/>
      <c r="B6252" s="4"/>
      <c r="C6252" s="4"/>
      <c r="D6252" s="82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17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</row>
    <row r="6253" spans="1:38" x14ac:dyDescent="0.3">
      <c r="A6253" s="5"/>
      <c r="B6253" s="4"/>
      <c r="C6253" s="4"/>
      <c r="D6253" s="82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17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</row>
    <row r="6254" spans="1:38" x14ac:dyDescent="0.3">
      <c r="A6254" s="5"/>
      <c r="B6254" s="4"/>
      <c r="C6254" s="4"/>
      <c r="D6254" s="82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17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</row>
    <row r="6255" spans="1:38" x14ac:dyDescent="0.3">
      <c r="A6255" s="5"/>
      <c r="B6255" s="4"/>
      <c r="C6255" s="4"/>
      <c r="D6255" s="82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17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</row>
    <row r="6256" spans="1:38" x14ac:dyDescent="0.3">
      <c r="A6256" s="5"/>
      <c r="B6256" s="4"/>
      <c r="C6256" s="4"/>
      <c r="D6256" s="82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17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</row>
    <row r="6257" spans="1:38" x14ac:dyDescent="0.3">
      <c r="A6257" s="5"/>
      <c r="B6257" s="4"/>
      <c r="C6257" s="4"/>
      <c r="D6257" s="82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17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</row>
    <row r="6258" spans="1:38" x14ac:dyDescent="0.3">
      <c r="A6258" s="5"/>
      <c r="B6258" s="4"/>
      <c r="C6258" s="4"/>
      <c r="D6258" s="82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17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</row>
    <row r="6259" spans="1:38" x14ac:dyDescent="0.3">
      <c r="A6259" s="5"/>
      <c r="B6259" s="4"/>
      <c r="C6259" s="4"/>
      <c r="D6259" s="82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17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</row>
    <row r="6260" spans="1:38" x14ac:dyDescent="0.3">
      <c r="A6260" s="5"/>
      <c r="B6260" s="4"/>
      <c r="C6260" s="4"/>
      <c r="D6260" s="82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17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</row>
    <row r="6261" spans="1:38" x14ac:dyDescent="0.3">
      <c r="A6261" s="5"/>
      <c r="B6261" s="4"/>
      <c r="C6261" s="4"/>
      <c r="D6261" s="82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17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</row>
    <row r="6262" spans="1:38" x14ac:dyDescent="0.3">
      <c r="A6262" s="5"/>
      <c r="B6262" s="4"/>
      <c r="C6262" s="4"/>
      <c r="D6262" s="82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17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</row>
    <row r="6263" spans="1:38" x14ac:dyDescent="0.3">
      <c r="A6263" s="5"/>
      <c r="B6263" s="4"/>
      <c r="C6263" s="4"/>
      <c r="D6263" s="82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17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</row>
    <row r="6264" spans="1:38" x14ac:dyDescent="0.3">
      <c r="A6264" s="5"/>
      <c r="B6264" s="4"/>
      <c r="C6264" s="4"/>
      <c r="D6264" s="82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17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</row>
    <row r="6265" spans="1:38" x14ac:dyDescent="0.3">
      <c r="A6265" s="5"/>
      <c r="B6265" s="4"/>
      <c r="C6265" s="4"/>
      <c r="D6265" s="82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17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</row>
    <row r="6266" spans="1:38" x14ac:dyDescent="0.3">
      <c r="A6266" s="5"/>
      <c r="B6266" s="4"/>
      <c r="C6266" s="4"/>
      <c r="D6266" s="82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17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</row>
    <row r="6267" spans="1:38" x14ac:dyDescent="0.3">
      <c r="A6267" s="5"/>
      <c r="B6267" s="4"/>
      <c r="C6267" s="4"/>
      <c r="D6267" s="82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17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</row>
    <row r="6268" spans="1:38" x14ac:dyDescent="0.3">
      <c r="A6268" s="5"/>
      <c r="B6268" s="4"/>
      <c r="C6268" s="4"/>
      <c r="D6268" s="82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17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</row>
    <row r="6269" spans="1:38" x14ac:dyDescent="0.3">
      <c r="A6269" s="5"/>
      <c r="B6269" s="4"/>
      <c r="C6269" s="4"/>
      <c r="D6269" s="82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17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</row>
    <row r="6270" spans="1:38" x14ac:dyDescent="0.3">
      <c r="A6270" s="5"/>
      <c r="B6270" s="4"/>
      <c r="C6270" s="4"/>
      <c r="D6270" s="82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17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</row>
    <row r="6271" spans="1:38" x14ac:dyDescent="0.3">
      <c r="A6271" s="5"/>
      <c r="B6271" s="4"/>
      <c r="C6271" s="4"/>
      <c r="D6271" s="82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17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</row>
    <row r="6272" spans="1:38" x14ac:dyDescent="0.3">
      <c r="A6272" s="5"/>
      <c r="B6272" s="4"/>
      <c r="C6272" s="4"/>
      <c r="D6272" s="82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17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</row>
    <row r="6273" spans="1:38" x14ac:dyDescent="0.3">
      <c r="A6273" s="5"/>
      <c r="B6273" s="4"/>
      <c r="C6273" s="4"/>
      <c r="D6273" s="82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17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</row>
    <row r="6274" spans="1:38" x14ac:dyDescent="0.3">
      <c r="A6274" s="5"/>
      <c r="B6274" s="4"/>
      <c r="C6274" s="4"/>
      <c r="D6274" s="82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17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</row>
    <row r="6275" spans="1:38" x14ac:dyDescent="0.3">
      <c r="A6275" s="5"/>
      <c r="B6275" s="4"/>
      <c r="C6275" s="4"/>
      <c r="D6275" s="82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17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</row>
    <row r="6276" spans="1:38" x14ac:dyDescent="0.3">
      <c r="A6276" s="5"/>
      <c r="B6276" s="4"/>
      <c r="C6276" s="4"/>
      <c r="D6276" s="82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17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</row>
    <row r="6277" spans="1:38" x14ac:dyDescent="0.3">
      <c r="A6277" s="5"/>
      <c r="B6277" s="4"/>
      <c r="C6277" s="4"/>
      <c r="D6277" s="82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17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</row>
    <row r="6278" spans="1:38" x14ac:dyDescent="0.3">
      <c r="A6278" s="5"/>
      <c r="B6278" s="4"/>
      <c r="C6278" s="4"/>
      <c r="D6278" s="82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17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</row>
    <row r="6279" spans="1:38" x14ac:dyDescent="0.3">
      <c r="A6279" s="5"/>
      <c r="B6279" s="4"/>
      <c r="C6279" s="4"/>
      <c r="D6279" s="82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17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</row>
    <row r="6280" spans="1:38" x14ac:dyDescent="0.3">
      <c r="A6280" s="5"/>
      <c r="B6280" s="4"/>
      <c r="C6280" s="4"/>
      <c r="D6280" s="82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17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</row>
    <row r="6281" spans="1:38" x14ac:dyDescent="0.3">
      <c r="A6281" s="5"/>
      <c r="B6281" s="4"/>
      <c r="C6281" s="4"/>
      <c r="D6281" s="82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17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</row>
    <row r="6282" spans="1:38" x14ac:dyDescent="0.3">
      <c r="A6282" s="5"/>
      <c r="B6282" s="4"/>
      <c r="C6282" s="4"/>
      <c r="D6282" s="82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17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</row>
    <row r="6283" spans="1:38" x14ac:dyDescent="0.3">
      <c r="A6283" s="5"/>
      <c r="B6283" s="4"/>
      <c r="C6283" s="4"/>
      <c r="D6283" s="82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17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</row>
    <row r="6284" spans="1:38" x14ac:dyDescent="0.3">
      <c r="A6284" s="5"/>
      <c r="B6284" s="4"/>
      <c r="C6284" s="4"/>
      <c r="D6284" s="82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17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</row>
    <row r="6285" spans="1:38" x14ac:dyDescent="0.3">
      <c r="A6285" s="5"/>
      <c r="B6285" s="4"/>
      <c r="C6285" s="4"/>
      <c r="D6285" s="82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17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</row>
    <row r="6286" spans="1:38" x14ac:dyDescent="0.3">
      <c r="A6286" s="5"/>
      <c r="B6286" s="4"/>
      <c r="C6286" s="4"/>
      <c r="D6286" s="82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17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</row>
    <row r="6287" spans="1:38" x14ac:dyDescent="0.3">
      <c r="A6287" s="5"/>
      <c r="B6287" s="4"/>
      <c r="C6287" s="4"/>
      <c r="D6287" s="82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17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</row>
    <row r="6288" spans="1:38" x14ac:dyDescent="0.3">
      <c r="A6288" s="5"/>
      <c r="B6288" s="4"/>
      <c r="C6288" s="4"/>
      <c r="D6288" s="82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17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</row>
    <row r="6289" spans="1:38" x14ac:dyDescent="0.3">
      <c r="A6289" s="5"/>
      <c r="B6289" s="4"/>
      <c r="C6289" s="4"/>
      <c r="D6289" s="82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17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</row>
    <row r="6290" spans="1:38" x14ac:dyDescent="0.3">
      <c r="A6290" s="5"/>
      <c r="B6290" s="4"/>
      <c r="C6290" s="4"/>
      <c r="D6290" s="82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17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</row>
    <row r="6291" spans="1:38" x14ac:dyDescent="0.3">
      <c r="A6291" s="5"/>
      <c r="B6291" s="4"/>
      <c r="C6291" s="4"/>
      <c r="D6291" s="82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17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</row>
    <row r="6292" spans="1:38" x14ac:dyDescent="0.3">
      <c r="A6292" s="5"/>
      <c r="B6292" s="4"/>
      <c r="C6292" s="4"/>
      <c r="D6292" s="82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17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</row>
    <row r="6293" spans="1:38" x14ac:dyDescent="0.3">
      <c r="A6293" s="5"/>
      <c r="B6293" s="4"/>
      <c r="C6293" s="4"/>
      <c r="D6293" s="82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17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</row>
    <row r="6294" spans="1:38" x14ac:dyDescent="0.3">
      <c r="A6294" s="5"/>
      <c r="B6294" s="4"/>
      <c r="C6294" s="4"/>
      <c r="D6294" s="82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17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</row>
    <row r="6295" spans="1:38" x14ac:dyDescent="0.3">
      <c r="A6295" s="5"/>
      <c r="B6295" s="4"/>
      <c r="C6295" s="4"/>
      <c r="D6295" s="82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17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</row>
    <row r="6296" spans="1:38" x14ac:dyDescent="0.3">
      <c r="A6296" s="5"/>
      <c r="B6296" s="4"/>
      <c r="C6296" s="4"/>
      <c r="D6296" s="82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17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</row>
    <row r="6297" spans="1:38" x14ac:dyDescent="0.3">
      <c r="A6297" s="5"/>
      <c r="B6297" s="4"/>
      <c r="C6297" s="4"/>
      <c r="D6297" s="82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17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</row>
    <row r="6298" spans="1:38" x14ac:dyDescent="0.3">
      <c r="A6298" s="5"/>
      <c r="B6298" s="4"/>
      <c r="C6298" s="4"/>
      <c r="D6298" s="82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17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</row>
    <row r="6299" spans="1:38" x14ac:dyDescent="0.3">
      <c r="A6299" s="5"/>
      <c r="B6299" s="4"/>
      <c r="C6299" s="4"/>
      <c r="D6299" s="82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17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</row>
    <row r="6300" spans="1:38" x14ac:dyDescent="0.3">
      <c r="A6300" s="5"/>
      <c r="B6300" s="4"/>
      <c r="C6300" s="4"/>
      <c r="D6300" s="82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17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</row>
    <row r="6301" spans="1:38" x14ac:dyDescent="0.3">
      <c r="A6301" s="5"/>
      <c r="B6301" s="4"/>
      <c r="C6301" s="4"/>
      <c r="D6301" s="82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17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</row>
    <row r="6302" spans="1:38" x14ac:dyDescent="0.3">
      <c r="A6302" s="5"/>
      <c r="B6302" s="4"/>
      <c r="C6302" s="4"/>
      <c r="D6302" s="82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17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</row>
    <row r="6303" spans="1:38" x14ac:dyDescent="0.3">
      <c r="A6303" s="5"/>
      <c r="B6303" s="4"/>
      <c r="C6303" s="4"/>
      <c r="D6303" s="82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17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</row>
    <row r="6304" spans="1:38" x14ac:dyDescent="0.3">
      <c r="A6304" s="5"/>
      <c r="B6304" s="4"/>
      <c r="C6304" s="4"/>
      <c r="D6304" s="82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17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</row>
    <row r="6305" spans="1:38" x14ac:dyDescent="0.3">
      <c r="A6305" s="5"/>
      <c r="B6305" s="4"/>
      <c r="C6305" s="4"/>
      <c r="D6305" s="82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17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</row>
    <row r="6306" spans="1:38" x14ac:dyDescent="0.3">
      <c r="A6306" s="5"/>
      <c r="B6306" s="4"/>
      <c r="C6306" s="4"/>
      <c r="D6306" s="82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17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</row>
    <row r="6307" spans="1:38" x14ac:dyDescent="0.3">
      <c r="A6307" s="5"/>
      <c r="B6307" s="4"/>
      <c r="C6307" s="4"/>
      <c r="D6307" s="82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17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</row>
    <row r="6308" spans="1:38" x14ac:dyDescent="0.3">
      <c r="A6308" s="5"/>
      <c r="B6308" s="4"/>
      <c r="C6308" s="4"/>
      <c r="D6308" s="82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17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</row>
    <row r="6309" spans="1:38" x14ac:dyDescent="0.3">
      <c r="A6309" s="5"/>
      <c r="B6309" s="4"/>
      <c r="C6309" s="4"/>
      <c r="D6309" s="82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17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</row>
    <row r="6310" spans="1:38" x14ac:dyDescent="0.3">
      <c r="A6310" s="5"/>
      <c r="B6310" s="4"/>
      <c r="C6310" s="4"/>
      <c r="D6310" s="82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17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</row>
    <row r="6311" spans="1:38" x14ac:dyDescent="0.3">
      <c r="A6311" s="5"/>
      <c r="B6311" s="4"/>
      <c r="C6311" s="4"/>
      <c r="D6311" s="82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17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</row>
    <row r="6312" spans="1:38" x14ac:dyDescent="0.3">
      <c r="A6312" s="5"/>
      <c r="B6312" s="4"/>
      <c r="C6312" s="4"/>
      <c r="D6312" s="82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17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</row>
    <row r="6313" spans="1:38" x14ac:dyDescent="0.3">
      <c r="A6313" s="5"/>
      <c r="B6313" s="4"/>
      <c r="C6313" s="4"/>
      <c r="D6313" s="82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17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</row>
    <row r="6314" spans="1:38" x14ac:dyDescent="0.3">
      <c r="A6314" s="5"/>
      <c r="B6314" s="4"/>
      <c r="C6314" s="4"/>
      <c r="D6314" s="82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17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</row>
    <row r="6315" spans="1:38" x14ac:dyDescent="0.3">
      <c r="A6315" s="5"/>
      <c r="B6315" s="4"/>
      <c r="C6315" s="4"/>
      <c r="D6315" s="82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17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</row>
    <row r="6316" spans="1:38" x14ac:dyDescent="0.3">
      <c r="A6316" s="5"/>
      <c r="B6316" s="4"/>
      <c r="C6316" s="4"/>
      <c r="D6316" s="82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17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</row>
    <row r="6317" spans="1:38" x14ac:dyDescent="0.3">
      <c r="A6317" s="5"/>
      <c r="B6317" s="4"/>
      <c r="C6317" s="4"/>
      <c r="D6317" s="82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17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</row>
    <row r="6318" spans="1:38" x14ac:dyDescent="0.3">
      <c r="A6318" s="5"/>
      <c r="B6318" s="4"/>
      <c r="C6318" s="4"/>
      <c r="D6318" s="82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17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</row>
    <row r="6319" spans="1:38" x14ac:dyDescent="0.3">
      <c r="A6319" s="5"/>
      <c r="B6319" s="4"/>
      <c r="C6319" s="4"/>
      <c r="D6319" s="82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17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</row>
    <row r="6320" spans="1:38" x14ac:dyDescent="0.3">
      <c r="A6320" s="5"/>
      <c r="B6320" s="4"/>
      <c r="C6320" s="4"/>
      <c r="D6320" s="82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17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</row>
    <row r="6321" spans="1:38" x14ac:dyDescent="0.3">
      <c r="A6321" s="5"/>
      <c r="B6321" s="4"/>
      <c r="C6321" s="4"/>
      <c r="D6321" s="82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17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</row>
    <row r="6322" spans="1:38" x14ac:dyDescent="0.3">
      <c r="A6322" s="5"/>
      <c r="B6322" s="4"/>
      <c r="C6322" s="4"/>
      <c r="D6322" s="82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17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</row>
    <row r="6323" spans="1:38" x14ac:dyDescent="0.3">
      <c r="A6323" s="5"/>
      <c r="B6323" s="4"/>
      <c r="C6323" s="4"/>
      <c r="D6323" s="82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17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</row>
    <row r="6324" spans="1:38" x14ac:dyDescent="0.3">
      <c r="A6324" s="5"/>
      <c r="B6324" s="4"/>
      <c r="C6324" s="4"/>
      <c r="D6324" s="82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17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</row>
    <row r="6325" spans="1:38" x14ac:dyDescent="0.3">
      <c r="A6325" s="5"/>
      <c r="B6325" s="4"/>
      <c r="C6325" s="4"/>
      <c r="D6325" s="82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17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</row>
    <row r="6326" spans="1:38" x14ac:dyDescent="0.3">
      <c r="A6326" s="5"/>
      <c r="B6326" s="4"/>
      <c r="C6326" s="4"/>
      <c r="D6326" s="82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17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</row>
    <row r="6327" spans="1:38" x14ac:dyDescent="0.3">
      <c r="A6327" s="5"/>
      <c r="B6327" s="4"/>
      <c r="C6327" s="4"/>
      <c r="D6327" s="82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17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</row>
    <row r="6328" spans="1:38" x14ac:dyDescent="0.3">
      <c r="A6328" s="5"/>
      <c r="B6328" s="4"/>
      <c r="C6328" s="4"/>
      <c r="D6328" s="82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17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</row>
    <row r="6329" spans="1:38" x14ac:dyDescent="0.3">
      <c r="A6329" s="5"/>
      <c r="B6329" s="4"/>
      <c r="C6329" s="4"/>
      <c r="D6329" s="82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17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</row>
    <row r="6330" spans="1:38" x14ac:dyDescent="0.3">
      <c r="A6330" s="5"/>
      <c r="B6330" s="4"/>
      <c r="C6330" s="4"/>
      <c r="D6330" s="82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17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</row>
    <row r="6331" spans="1:38" x14ac:dyDescent="0.3">
      <c r="A6331" s="5"/>
      <c r="B6331" s="4"/>
      <c r="C6331" s="4"/>
      <c r="D6331" s="82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17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</row>
    <row r="6332" spans="1:38" x14ac:dyDescent="0.3">
      <c r="A6332" s="5"/>
      <c r="B6332" s="4"/>
      <c r="C6332" s="4"/>
      <c r="D6332" s="82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17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</row>
    <row r="6333" spans="1:38" x14ac:dyDescent="0.3">
      <c r="A6333" s="5"/>
      <c r="B6333" s="4"/>
      <c r="C6333" s="4"/>
      <c r="D6333" s="82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17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</row>
    <row r="6334" spans="1:38" x14ac:dyDescent="0.3">
      <c r="A6334" s="5"/>
      <c r="B6334" s="4"/>
      <c r="C6334" s="4"/>
      <c r="D6334" s="82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17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</row>
    <row r="6335" spans="1:38" x14ac:dyDescent="0.3">
      <c r="A6335" s="5"/>
      <c r="B6335" s="4"/>
      <c r="C6335" s="4"/>
      <c r="D6335" s="82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17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</row>
    <row r="6336" spans="1:38" x14ac:dyDescent="0.3">
      <c r="A6336" s="5"/>
      <c r="B6336" s="4"/>
      <c r="C6336" s="4"/>
      <c r="D6336" s="82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17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</row>
    <row r="6337" spans="1:38" x14ac:dyDescent="0.3">
      <c r="A6337" s="5"/>
      <c r="B6337" s="4"/>
      <c r="C6337" s="4"/>
      <c r="D6337" s="82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17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</row>
    <row r="6338" spans="1:38" x14ac:dyDescent="0.3">
      <c r="A6338" s="5"/>
      <c r="B6338" s="4"/>
      <c r="C6338" s="4"/>
      <c r="D6338" s="82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17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</row>
    <row r="6339" spans="1:38" x14ac:dyDescent="0.3">
      <c r="A6339" s="5"/>
      <c r="B6339" s="4"/>
      <c r="C6339" s="4"/>
      <c r="D6339" s="82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17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</row>
    <row r="6340" spans="1:38" x14ac:dyDescent="0.3">
      <c r="A6340" s="5"/>
      <c r="B6340" s="4"/>
      <c r="C6340" s="4"/>
      <c r="D6340" s="82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17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</row>
    <row r="6341" spans="1:38" x14ac:dyDescent="0.3">
      <c r="A6341" s="5"/>
      <c r="B6341" s="4"/>
      <c r="C6341" s="4"/>
      <c r="D6341" s="82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17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</row>
    <row r="6342" spans="1:38" x14ac:dyDescent="0.3">
      <c r="A6342" s="5"/>
      <c r="B6342" s="4"/>
      <c r="C6342" s="4"/>
      <c r="D6342" s="82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17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</row>
    <row r="6343" spans="1:38" x14ac:dyDescent="0.3">
      <c r="A6343" s="5"/>
      <c r="B6343" s="4"/>
      <c r="C6343" s="4"/>
      <c r="D6343" s="82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17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</row>
    <row r="6344" spans="1:38" x14ac:dyDescent="0.3">
      <c r="A6344" s="5"/>
      <c r="B6344" s="4"/>
      <c r="C6344" s="4"/>
      <c r="D6344" s="82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17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</row>
    <row r="6345" spans="1:38" x14ac:dyDescent="0.3">
      <c r="A6345" s="5"/>
      <c r="B6345" s="4"/>
      <c r="C6345" s="4"/>
      <c r="D6345" s="82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17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</row>
    <row r="6346" spans="1:38" x14ac:dyDescent="0.3">
      <c r="A6346" s="5"/>
      <c r="B6346" s="4"/>
      <c r="C6346" s="4"/>
      <c r="D6346" s="82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17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</row>
    <row r="6347" spans="1:38" x14ac:dyDescent="0.3">
      <c r="A6347" s="5"/>
      <c r="B6347" s="4"/>
      <c r="C6347" s="4"/>
      <c r="D6347" s="82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17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</row>
    <row r="6348" spans="1:38" x14ac:dyDescent="0.3">
      <c r="A6348" s="5"/>
      <c r="B6348" s="4"/>
      <c r="C6348" s="4"/>
      <c r="D6348" s="82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17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</row>
    <row r="6349" spans="1:38" x14ac:dyDescent="0.3">
      <c r="A6349" s="5"/>
      <c r="B6349" s="4"/>
      <c r="C6349" s="4"/>
      <c r="D6349" s="82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17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</row>
    <row r="6350" spans="1:38" x14ac:dyDescent="0.3">
      <c r="A6350" s="5"/>
      <c r="B6350" s="4"/>
      <c r="C6350" s="4"/>
      <c r="D6350" s="82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17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</row>
    <row r="6351" spans="1:38" x14ac:dyDescent="0.3">
      <c r="A6351" s="5"/>
      <c r="B6351" s="4"/>
      <c r="C6351" s="4"/>
      <c r="D6351" s="82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17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</row>
    <row r="6352" spans="1:38" x14ac:dyDescent="0.3">
      <c r="A6352" s="5"/>
      <c r="B6352" s="4"/>
      <c r="C6352" s="4"/>
      <c r="D6352" s="82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17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</row>
    <row r="6353" spans="1:38" x14ac:dyDescent="0.3">
      <c r="A6353" s="5"/>
      <c r="B6353" s="4"/>
      <c r="C6353" s="4"/>
      <c r="D6353" s="82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17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</row>
    <row r="6354" spans="1:38" x14ac:dyDescent="0.3">
      <c r="A6354" s="5"/>
      <c r="B6354" s="4"/>
      <c r="C6354" s="4"/>
      <c r="D6354" s="82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17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</row>
    <row r="6355" spans="1:38" x14ac:dyDescent="0.3">
      <c r="A6355" s="5"/>
      <c r="B6355" s="4"/>
      <c r="C6355" s="4"/>
      <c r="D6355" s="82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17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</row>
    <row r="6356" spans="1:38" x14ac:dyDescent="0.3">
      <c r="A6356" s="5"/>
      <c r="B6356" s="4"/>
      <c r="C6356" s="4"/>
      <c r="D6356" s="82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17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</row>
    <row r="6357" spans="1:38" x14ac:dyDescent="0.3">
      <c r="A6357" s="5"/>
      <c r="B6357" s="4"/>
      <c r="C6357" s="4"/>
      <c r="D6357" s="82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17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</row>
    <row r="6358" spans="1:38" x14ac:dyDescent="0.3">
      <c r="A6358" s="5"/>
      <c r="B6358" s="4"/>
      <c r="C6358" s="4"/>
      <c r="D6358" s="82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17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</row>
    <row r="6359" spans="1:38" x14ac:dyDescent="0.3">
      <c r="A6359" s="5"/>
      <c r="B6359" s="4"/>
      <c r="C6359" s="4"/>
      <c r="D6359" s="82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17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</row>
    <row r="6360" spans="1:38" x14ac:dyDescent="0.3">
      <c r="A6360" s="5"/>
      <c r="B6360" s="4"/>
      <c r="C6360" s="4"/>
      <c r="D6360" s="82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17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</row>
    <row r="6361" spans="1:38" x14ac:dyDescent="0.3">
      <c r="A6361" s="5"/>
      <c r="B6361" s="4"/>
      <c r="C6361" s="4"/>
      <c r="D6361" s="82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17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</row>
    <row r="6362" spans="1:38" x14ac:dyDescent="0.3">
      <c r="A6362" s="5"/>
      <c r="B6362" s="4"/>
      <c r="C6362" s="4"/>
      <c r="D6362" s="82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17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</row>
    <row r="6363" spans="1:38" x14ac:dyDescent="0.3">
      <c r="A6363" s="5"/>
      <c r="B6363" s="4"/>
      <c r="C6363" s="4"/>
      <c r="D6363" s="82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17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</row>
    <row r="6364" spans="1:38" x14ac:dyDescent="0.3">
      <c r="A6364" s="5"/>
      <c r="B6364" s="4"/>
      <c r="C6364" s="4"/>
      <c r="D6364" s="82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17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</row>
    <row r="6365" spans="1:38" x14ac:dyDescent="0.3">
      <c r="A6365" s="5"/>
      <c r="B6365" s="4"/>
      <c r="C6365" s="4"/>
      <c r="D6365" s="82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17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</row>
    <row r="6366" spans="1:38" x14ac:dyDescent="0.3">
      <c r="A6366" s="5"/>
      <c r="B6366" s="4"/>
      <c r="C6366" s="4"/>
      <c r="D6366" s="82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17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</row>
    <row r="6367" spans="1:38" x14ac:dyDescent="0.3">
      <c r="A6367" s="5"/>
      <c r="B6367" s="4"/>
      <c r="C6367" s="4"/>
      <c r="D6367" s="82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17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</row>
    <row r="6368" spans="1:38" x14ac:dyDescent="0.3">
      <c r="A6368" s="5"/>
      <c r="B6368" s="4"/>
      <c r="C6368" s="4"/>
      <c r="D6368" s="82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17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</row>
    <row r="6369" spans="1:38" x14ac:dyDescent="0.3">
      <c r="A6369" s="5"/>
      <c r="B6369" s="4"/>
      <c r="C6369" s="4"/>
      <c r="D6369" s="82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17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</row>
    <row r="6370" spans="1:38" x14ac:dyDescent="0.3">
      <c r="A6370" s="5"/>
      <c r="B6370" s="4"/>
      <c r="C6370" s="4"/>
      <c r="D6370" s="82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17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</row>
    <row r="6371" spans="1:38" x14ac:dyDescent="0.3">
      <c r="A6371" s="5"/>
      <c r="B6371" s="4"/>
      <c r="C6371" s="4"/>
      <c r="D6371" s="82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17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</row>
    <row r="6372" spans="1:38" x14ac:dyDescent="0.3">
      <c r="A6372" s="5"/>
      <c r="B6372" s="4"/>
      <c r="C6372" s="4"/>
      <c r="D6372" s="82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17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</row>
    <row r="6373" spans="1:38" x14ac:dyDescent="0.3">
      <c r="A6373" s="5"/>
      <c r="B6373" s="4"/>
      <c r="C6373" s="4"/>
      <c r="D6373" s="82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17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</row>
    <row r="6374" spans="1:38" x14ac:dyDescent="0.3">
      <c r="A6374" s="5"/>
      <c r="B6374" s="4"/>
      <c r="C6374" s="4"/>
      <c r="D6374" s="82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17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</row>
    <row r="6375" spans="1:38" x14ac:dyDescent="0.3">
      <c r="A6375" s="5"/>
      <c r="B6375" s="4"/>
      <c r="C6375" s="4"/>
      <c r="D6375" s="82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17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</row>
    <row r="6376" spans="1:38" x14ac:dyDescent="0.3">
      <c r="A6376" s="5"/>
      <c r="B6376" s="4"/>
      <c r="C6376" s="4"/>
      <c r="D6376" s="82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17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</row>
    <row r="6377" spans="1:38" x14ac:dyDescent="0.3">
      <c r="A6377" s="5"/>
      <c r="B6377" s="4"/>
      <c r="C6377" s="4"/>
      <c r="D6377" s="82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17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</row>
    <row r="6378" spans="1:38" x14ac:dyDescent="0.3">
      <c r="A6378" s="5"/>
      <c r="B6378" s="4"/>
      <c r="C6378" s="4"/>
      <c r="D6378" s="82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17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</row>
    <row r="6379" spans="1:38" x14ac:dyDescent="0.3">
      <c r="A6379" s="5"/>
      <c r="B6379" s="4"/>
      <c r="C6379" s="4"/>
      <c r="D6379" s="82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17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</row>
    <row r="6380" spans="1:38" x14ac:dyDescent="0.3">
      <c r="A6380" s="5"/>
      <c r="B6380" s="4"/>
      <c r="C6380" s="4"/>
      <c r="D6380" s="82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17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</row>
    <row r="6381" spans="1:38" x14ac:dyDescent="0.3">
      <c r="A6381" s="5"/>
      <c r="B6381" s="4"/>
      <c r="C6381" s="4"/>
      <c r="D6381" s="82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17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</row>
    <row r="6382" spans="1:38" x14ac:dyDescent="0.3">
      <c r="A6382" s="5"/>
      <c r="B6382" s="4"/>
      <c r="C6382" s="4"/>
      <c r="D6382" s="82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17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</row>
    <row r="6383" spans="1:38" x14ac:dyDescent="0.3">
      <c r="A6383" s="5"/>
      <c r="B6383" s="4"/>
      <c r="C6383" s="4"/>
      <c r="D6383" s="82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17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</row>
    <row r="6384" spans="1:38" x14ac:dyDescent="0.3">
      <c r="A6384" s="5"/>
      <c r="B6384" s="4"/>
      <c r="C6384" s="4"/>
      <c r="D6384" s="82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17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</row>
    <row r="6385" spans="1:38" x14ac:dyDescent="0.3">
      <c r="A6385" s="5"/>
      <c r="B6385" s="4"/>
      <c r="C6385" s="4"/>
      <c r="D6385" s="82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17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</row>
    <row r="6386" spans="1:38" x14ac:dyDescent="0.3">
      <c r="A6386" s="5"/>
      <c r="B6386" s="4"/>
      <c r="C6386" s="4"/>
      <c r="D6386" s="82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17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</row>
    <row r="6387" spans="1:38" x14ac:dyDescent="0.3">
      <c r="A6387" s="5"/>
      <c r="B6387" s="4"/>
      <c r="C6387" s="4"/>
      <c r="D6387" s="82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17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</row>
    <row r="6388" spans="1:38" x14ac:dyDescent="0.3">
      <c r="A6388" s="5"/>
      <c r="B6388" s="4"/>
      <c r="C6388" s="4"/>
      <c r="D6388" s="82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17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</row>
    <row r="6389" spans="1:38" x14ac:dyDescent="0.3">
      <c r="A6389" s="5"/>
      <c r="B6389" s="4"/>
      <c r="C6389" s="4"/>
      <c r="D6389" s="82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17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</row>
    <row r="6390" spans="1:38" x14ac:dyDescent="0.3">
      <c r="A6390" s="5"/>
      <c r="B6390" s="4"/>
      <c r="C6390" s="4"/>
      <c r="D6390" s="82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17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</row>
    <row r="6391" spans="1:38" x14ac:dyDescent="0.3">
      <c r="A6391" s="5"/>
      <c r="B6391" s="4"/>
      <c r="C6391" s="4"/>
      <c r="D6391" s="82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17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</row>
    <row r="6392" spans="1:38" x14ac:dyDescent="0.3">
      <c r="A6392" s="5"/>
      <c r="B6392" s="4"/>
      <c r="C6392" s="4"/>
      <c r="D6392" s="82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17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</row>
    <row r="6393" spans="1:38" x14ac:dyDescent="0.3">
      <c r="A6393" s="5"/>
      <c r="B6393" s="4"/>
      <c r="C6393" s="4"/>
      <c r="D6393" s="82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17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</row>
    <row r="6394" spans="1:38" x14ac:dyDescent="0.3">
      <c r="A6394" s="5"/>
      <c r="B6394" s="4"/>
      <c r="C6394" s="4"/>
      <c r="D6394" s="82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17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</row>
    <row r="6395" spans="1:38" x14ac:dyDescent="0.3">
      <c r="A6395" s="5"/>
      <c r="B6395" s="4"/>
      <c r="C6395" s="4"/>
      <c r="D6395" s="82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17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</row>
    <row r="6396" spans="1:38" x14ac:dyDescent="0.3">
      <c r="A6396" s="5"/>
      <c r="B6396" s="4"/>
      <c r="C6396" s="4"/>
      <c r="D6396" s="82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17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</row>
    <row r="6397" spans="1:38" x14ac:dyDescent="0.3">
      <c r="A6397" s="5"/>
      <c r="B6397" s="4"/>
      <c r="C6397" s="4"/>
      <c r="D6397" s="82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17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</row>
    <row r="6398" spans="1:38" x14ac:dyDescent="0.3">
      <c r="A6398" s="5"/>
      <c r="B6398" s="4"/>
      <c r="C6398" s="4"/>
      <c r="D6398" s="82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17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</row>
    <row r="6399" spans="1:38" x14ac:dyDescent="0.3">
      <c r="A6399" s="5"/>
      <c r="B6399" s="4"/>
      <c r="C6399" s="4"/>
      <c r="D6399" s="82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17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</row>
    <row r="6400" spans="1:38" x14ac:dyDescent="0.3">
      <c r="A6400" s="5"/>
      <c r="B6400" s="4"/>
      <c r="C6400" s="4"/>
      <c r="D6400" s="82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17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</row>
    <row r="6401" spans="1:38" x14ac:dyDescent="0.3">
      <c r="A6401" s="5"/>
      <c r="B6401" s="4"/>
      <c r="C6401" s="4"/>
      <c r="D6401" s="82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17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</row>
    <row r="6402" spans="1:38" x14ac:dyDescent="0.3">
      <c r="A6402" s="5"/>
      <c r="B6402" s="4"/>
      <c r="C6402" s="4"/>
      <c r="D6402" s="82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17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</row>
    <row r="6403" spans="1:38" x14ac:dyDescent="0.3">
      <c r="A6403" s="5"/>
      <c r="B6403" s="4"/>
      <c r="C6403" s="4"/>
      <c r="D6403" s="82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17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</row>
    <row r="6404" spans="1:38" x14ac:dyDescent="0.3">
      <c r="A6404" s="5"/>
      <c r="B6404" s="4"/>
      <c r="C6404" s="4"/>
      <c r="D6404" s="82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17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</row>
    <row r="6405" spans="1:38" x14ac:dyDescent="0.3">
      <c r="A6405" s="5"/>
      <c r="B6405" s="4"/>
      <c r="C6405" s="4"/>
      <c r="D6405" s="82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17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</row>
    <row r="6406" spans="1:38" x14ac:dyDescent="0.3">
      <c r="A6406" s="5"/>
      <c r="B6406" s="4"/>
      <c r="C6406" s="4"/>
      <c r="D6406" s="82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17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</row>
    <row r="6407" spans="1:38" x14ac:dyDescent="0.3">
      <c r="A6407" s="5"/>
      <c r="B6407" s="4"/>
      <c r="C6407" s="4"/>
      <c r="D6407" s="82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17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</row>
    <row r="6408" spans="1:38" x14ac:dyDescent="0.3">
      <c r="A6408" s="5"/>
      <c r="B6408" s="4"/>
      <c r="C6408" s="4"/>
      <c r="D6408" s="82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17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</row>
    <row r="6409" spans="1:38" x14ac:dyDescent="0.3">
      <c r="A6409" s="5"/>
      <c r="B6409" s="4"/>
      <c r="C6409" s="4"/>
      <c r="D6409" s="82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17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</row>
    <row r="6410" spans="1:38" x14ac:dyDescent="0.3">
      <c r="A6410" s="5"/>
      <c r="B6410" s="4"/>
      <c r="C6410" s="4"/>
      <c r="D6410" s="82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17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</row>
    <row r="6411" spans="1:38" x14ac:dyDescent="0.3">
      <c r="A6411" s="5"/>
      <c r="B6411" s="4"/>
      <c r="C6411" s="4"/>
      <c r="D6411" s="82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17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</row>
    <row r="6412" spans="1:38" x14ac:dyDescent="0.3">
      <c r="A6412" s="5"/>
      <c r="B6412" s="4"/>
      <c r="C6412" s="4"/>
      <c r="D6412" s="82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17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</row>
    <row r="6413" spans="1:38" x14ac:dyDescent="0.3">
      <c r="A6413" s="5"/>
      <c r="B6413" s="4"/>
      <c r="C6413" s="4"/>
      <c r="D6413" s="82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17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</row>
    <row r="6414" spans="1:38" x14ac:dyDescent="0.3">
      <c r="A6414" s="5"/>
      <c r="B6414" s="4"/>
      <c r="C6414" s="4"/>
      <c r="D6414" s="82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17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</row>
    <row r="6415" spans="1:38" x14ac:dyDescent="0.3">
      <c r="A6415" s="5"/>
      <c r="B6415" s="4"/>
      <c r="C6415" s="4"/>
      <c r="D6415" s="82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17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</row>
    <row r="6416" spans="1:38" x14ac:dyDescent="0.3">
      <c r="A6416" s="5"/>
      <c r="B6416" s="4"/>
      <c r="C6416" s="4"/>
      <c r="D6416" s="82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17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</row>
    <row r="6417" spans="1:38" x14ac:dyDescent="0.3">
      <c r="A6417" s="5"/>
      <c r="B6417" s="4"/>
      <c r="C6417" s="4"/>
      <c r="D6417" s="82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17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</row>
    <row r="6418" spans="1:38" x14ac:dyDescent="0.3">
      <c r="A6418" s="5"/>
      <c r="B6418" s="4"/>
      <c r="C6418" s="4"/>
      <c r="D6418" s="82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17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</row>
    <row r="6419" spans="1:38" x14ac:dyDescent="0.3">
      <c r="A6419" s="5"/>
      <c r="B6419" s="4"/>
      <c r="C6419" s="4"/>
      <c r="D6419" s="82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17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</row>
    <row r="6420" spans="1:38" x14ac:dyDescent="0.3">
      <c r="A6420" s="5"/>
      <c r="B6420" s="4"/>
      <c r="C6420" s="4"/>
      <c r="D6420" s="82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17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</row>
    <row r="6421" spans="1:38" x14ac:dyDescent="0.3">
      <c r="A6421" s="5"/>
      <c r="B6421" s="4"/>
      <c r="C6421" s="4"/>
      <c r="D6421" s="82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17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</row>
    <row r="6422" spans="1:38" x14ac:dyDescent="0.3">
      <c r="A6422" s="5"/>
      <c r="B6422" s="4"/>
      <c r="C6422" s="4"/>
      <c r="D6422" s="82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17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</row>
    <row r="6423" spans="1:38" x14ac:dyDescent="0.3">
      <c r="A6423" s="5"/>
      <c r="B6423" s="4"/>
      <c r="C6423" s="4"/>
      <c r="D6423" s="82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17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</row>
    <row r="6424" spans="1:38" x14ac:dyDescent="0.3">
      <c r="A6424" s="5"/>
      <c r="B6424" s="4"/>
      <c r="C6424" s="4"/>
      <c r="D6424" s="82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17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</row>
    <row r="6425" spans="1:38" x14ac:dyDescent="0.3">
      <c r="A6425" s="5"/>
      <c r="B6425" s="4"/>
      <c r="C6425" s="4"/>
      <c r="D6425" s="82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17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</row>
    <row r="6426" spans="1:38" x14ac:dyDescent="0.3">
      <c r="A6426" s="5"/>
      <c r="B6426" s="4"/>
      <c r="C6426" s="4"/>
      <c r="D6426" s="82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17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</row>
    <row r="6427" spans="1:38" x14ac:dyDescent="0.3">
      <c r="A6427" s="5"/>
      <c r="B6427" s="4"/>
      <c r="C6427" s="4"/>
      <c r="D6427" s="82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17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</row>
    <row r="6428" spans="1:38" x14ac:dyDescent="0.3">
      <c r="A6428" s="5"/>
      <c r="B6428" s="4"/>
      <c r="C6428" s="4"/>
      <c r="D6428" s="82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17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</row>
    <row r="6429" spans="1:38" x14ac:dyDescent="0.3">
      <c r="A6429" s="5"/>
      <c r="B6429" s="4"/>
      <c r="C6429" s="4"/>
      <c r="D6429" s="82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17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</row>
    <row r="6430" spans="1:38" x14ac:dyDescent="0.3">
      <c r="A6430" s="5"/>
      <c r="B6430" s="4"/>
      <c r="C6430" s="4"/>
      <c r="D6430" s="82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17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</row>
    <row r="6431" spans="1:38" x14ac:dyDescent="0.3">
      <c r="A6431" s="5"/>
      <c r="B6431" s="4"/>
      <c r="C6431" s="4"/>
      <c r="D6431" s="82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17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</row>
    <row r="6432" spans="1:38" x14ac:dyDescent="0.3">
      <c r="A6432" s="5"/>
      <c r="B6432" s="4"/>
      <c r="C6432" s="4"/>
      <c r="D6432" s="82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17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</row>
    <row r="6433" spans="1:38" x14ac:dyDescent="0.3">
      <c r="A6433" s="5"/>
      <c r="B6433" s="4"/>
      <c r="C6433" s="4"/>
      <c r="D6433" s="82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17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</row>
    <row r="6434" spans="1:38" x14ac:dyDescent="0.3">
      <c r="A6434" s="5"/>
      <c r="B6434" s="4"/>
      <c r="C6434" s="4"/>
      <c r="D6434" s="82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17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</row>
    <row r="6435" spans="1:38" x14ac:dyDescent="0.3">
      <c r="A6435" s="5"/>
      <c r="B6435" s="4"/>
      <c r="C6435" s="4"/>
      <c r="D6435" s="82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17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</row>
    <row r="6436" spans="1:38" x14ac:dyDescent="0.3">
      <c r="A6436" s="5"/>
      <c r="B6436" s="4"/>
      <c r="C6436" s="4"/>
      <c r="D6436" s="82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17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</row>
    <row r="6437" spans="1:38" x14ac:dyDescent="0.3">
      <c r="A6437" s="5"/>
      <c r="B6437" s="4"/>
      <c r="C6437" s="4"/>
      <c r="D6437" s="82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17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</row>
    <row r="6438" spans="1:38" x14ac:dyDescent="0.3">
      <c r="A6438" s="5"/>
      <c r="B6438" s="4"/>
      <c r="C6438" s="4"/>
      <c r="D6438" s="82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17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</row>
    <row r="6439" spans="1:38" x14ac:dyDescent="0.3">
      <c r="A6439" s="5"/>
      <c r="B6439" s="4"/>
      <c r="C6439" s="4"/>
      <c r="D6439" s="82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17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</row>
    <row r="6440" spans="1:38" x14ac:dyDescent="0.3">
      <c r="A6440" s="5"/>
      <c r="B6440" s="4"/>
      <c r="C6440" s="4"/>
      <c r="D6440" s="82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17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</row>
    <row r="6441" spans="1:38" x14ac:dyDescent="0.3">
      <c r="A6441" s="5"/>
      <c r="B6441" s="4"/>
      <c r="C6441" s="4"/>
      <c r="D6441" s="82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17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</row>
    <row r="6442" spans="1:38" x14ac:dyDescent="0.3">
      <c r="A6442" s="5"/>
      <c r="B6442" s="4"/>
      <c r="C6442" s="4"/>
      <c r="D6442" s="82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17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</row>
    <row r="6443" spans="1:38" x14ac:dyDescent="0.3">
      <c r="A6443" s="5"/>
      <c r="B6443" s="4"/>
      <c r="C6443" s="4"/>
      <c r="D6443" s="82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17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</row>
    <row r="6444" spans="1:38" x14ac:dyDescent="0.3">
      <c r="A6444" s="5"/>
      <c r="B6444" s="4"/>
      <c r="C6444" s="4"/>
      <c r="D6444" s="82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17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</row>
    <row r="6445" spans="1:38" x14ac:dyDescent="0.3">
      <c r="A6445" s="5"/>
      <c r="B6445" s="4"/>
      <c r="C6445" s="4"/>
      <c r="D6445" s="82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17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</row>
    <row r="6446" spans="1:38" x14ac:dyDescent="0.3">
      <c r="A6446" s="5"/>
      <c r="B6446" s="4"/>
      <c r="C6446" s="4"/>
      <c r="D6446" s="82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17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</row>
    <row r="6447" spans="1:38" x14ac:dyDescent="0.3">
      <c r="A6447" s="5"/>
      <c r="B6447" s="4"/>
      <c r="C6447" s="4"/>
      <c r="D6447" s="82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17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</row>
    <row r="6448" spans="1:38" x14ac:dyDescent="0.3">
      <c r="A6448" s="5"/>
      <c r="B6448" s="4"/>
      <c r="C6448" s="4"/>
      <c r="D6448" s="82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17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</row>
    <row r="6449" spans="1:38" x14ac:dyDescent="0.3">
      <c r="A6449" s="5"/>
      <c r="B6449" s="4"/>
      <c r="C6449" s="4"/>
      <c r="D6449" s="82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17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</row>
    <row r="6450" spans="1:38" x14ac:dyDescent="0.3">
      <c r="A6450" s="5"/>
      <c r="B6450" s="4"/>
      <c r="C6450" s="4"/>
      <c r="D6450" s="82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17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</row>
    <row r="6451" spans="1:38" x14ac:dyDescent="0.3">
      <c r="A6451" s="5"/>
      <c r="B6451" s="4"/>
      <c r="C6451" s="4"/>
      <c r="D6451" s="82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17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</row>
    <row r="6452" spans="1:38" x14ac:dyDescent="0.3">
      <c r="A6452" s="5"/>
      <c r="B6452" s="4"/>
      <c r="C6452" s="4"/>
      <c r="D6452" s="82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17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</row>
    <row r="6453" spans="1:38" x14ac:dyDescent="0.3">
      <c r="A6453" s="5"/>
      <c r="B6453" s="4"/>
      <c r="C6453" s="4"/>
      <c r="D6453" s="82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17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</row>
    <row r="6454" spans="1:38" x14ac:dyDescent="0.3">
      <c r="A6454" s="5"/>
      <c r="B6454" s="4"/>
      <c r="C6454" s="4"/>
      <c r="D6454" s="82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17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</row>
    <row r="6455" spans="1:38" x14ac:dyDescent="0.3">
      <c r="A6455" s="5"/>
      <c r="B6455" s="4"/>
      <c r="C6455" s="4"/>
      <c r="D6455" s="82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17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</row>
    <row r="6456" spans="1:38" x14ac:dyDescent="0.3">
      <c r="A6456" s="5"/>
      <c r="B6456" s="4"/>
      <c r="C6456" s="4"/>
      <c r="D6456" s="82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17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</row>
    <row r="6457" spans="1:38" x14ac:dyDescent="0.3">
      <c r="A6457" s="5"/>
      <c r="B6457" s="4"/>
      <c r="C6457" s="4"/>
      <c r="D6457" s="82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17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</row>
    <row r="6458" spans="1:38" x14ac:dyDescent="0.3">
      <c r="A6458" s="5"/>
      <c r="B6458" s="4"/>
      <c r="C6458" s="4"/>
      <c r="D6458" s="82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17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</row>
    <row r="6459" spans="1:38" x14ac:dyDescent="0.3">
      <c r="A6459" s="5"/>
      <c r="B6459" s="4"/>
      <c r="C6459" s="4"/>
      <c r="D6459" s="82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17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</row>
    <row r="6460" spans="1:38" x14ac:dyDescent="0.3">
      <c r="A6460" s="5"/>
      <c r="B6460" s="4"/>
      <c r="C6460" s="4"/>
      <c r="D6460" s="82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17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</row>
    <row r="6461" spans="1:38" x14ac:dyDescent="0.3">
      <c r="A6461" s="5"/>
      <c r="B6461" s="4"/>
      <c r="C6461" s="4"/>
      <c r="D6461" s="82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17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</row>
    <row r="6462" spans="1:38" x14ac:dyDescent="0.3">
      <c r="A6462" s="5"/>
      <c r="B6462" s="4"/>
      <c r="C6462" s="4"/>
      <c r="D6462" s="82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17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</row>
    <row r="6463" spans="1:38" x14ac:dyDescent="0.3">
      <c r="A6463" s="5"/>
      <c r="B6463" s="4"/>
      <c r="C6463" s="4"/>
      <c r="D6463" s="82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17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</row>
    <row r="6464" spans="1:38" x14ac:dyDescent="0.3">
      <c r="A6464" s="5"/>
      <c r="B6464" s="4"/>
      <c r="C6464" s="4"/>
      <c r="D6464" s="82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17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</row>
    <row r="6465" spans="1:38" x14ac:dyDescent="0.3">
      <c r="A6465" s="5"/>
      <c r="B6465" s="4"/>
      <c r="C6465" s="4"/>
      <c r="D6465" s="82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17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</row>
    <row r="6466" spans="1:38" x14ac:dyDescent="0.3">
      <c r="A6466" s="5"/>
      <c r="B6466" s="4"/>
      <c r="C6466" s="4"/>
      <c r="D6466" s="82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17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</row>
    <row r="6467" spans="1:38" x14ac:dyDescent="0.3">
      <c r="A6467" s="5"/>
      <c r="B6467" s="4"/>
      <c r="C6467" s="4"/>
      <c r="D6467" s="82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17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</row>
    <row r="6468" spans="1:38" x14ac:dyDescent="0.3">
      <c r="A6468" s="5"/>
      <c r="B6468" s="4"/>
      <c r="C6468" s="4"/>
      <c r="D6468" s="82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17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</row>
    <row r="6469" spans="1:38" x14ac:dyDescent="0.3">
      <c r="A6469" s="5"/>
      <c r="B6469" s="4"/>
      <c r="C6469" s="4"/>
      <c r="D6469" s="82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17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</row>
    <row r="6470" spans="1:38" x14ac:dyDescent="0.3">
      <c r="A6470" s="5"/>
      <c r="B6470" s="4"/>
      <c r="C6470" s="4"/>
      <c r="D6470" s="82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17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</row>
    <row r="6471" spans="1:38" x14ac:dyDescent="0.3">
      <c r="A6471" s="5"/>
      <c r="B6471" s="4"/>
      <c r="C6471" s="4"/>
      <c r="D6471" s="82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17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</row>
    <row r="6472" spans="1:38" x14ac:dyDescent="0.3">
      <c r="A6472" s="5"/>
      <c r="B6472" s="4"/>
      <c r="C6472" s="4"/>
      <c r="D6472" s="82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17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</row>
    <row r="6473" spans="1:38" x14ac:dyDescent="0.3">
      <c r="A6473" s="5"/>
      <c r="B6473" s="4"/>
      <c r="C6473" s="4"/>
      <c r="D6473" s="82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17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</row>
    <row r="6474" spans="1:38" x14ac:dyDescent="0.3">
      <c r="A6474" s="5"/>
      <c r="B6474" s="4"/>
      <c r="C6474" s="4"/>
      <c r="D6474" s="82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17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</row>
    <row r="6475" spans="1:38" x14ac:dyDescent="0.3">
      <c r="A6475" s="5"/>
      <c r="B6475" s="4"/>
      <c r="C6475" s="4"/>
      <c r="D6475" s="82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17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</row>
    <row r="6476" spans="1:38" x14ac:dyDescent="0.3">
      <c r="A6476" s="5"/>
      <c r="B6476" s="4"/>
      <c r="C6476" s="4"/>
      <c r="D6476" s="82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17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</row>
    <row r="6477" spans="1:38" x14ac:dyDescent="0.3">
      <c r="A6477" s="5"/>
      <c r="B6477" s="4"/>
      <c r="C6477" s="4"/>
      <c r="D6477" s="82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17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</row>
    <row r="6478" spans="1:38" x14ac:dyDescent="0.3">
      <c r="A6478" s="5"/>
      <c r="B6478" s="4"/>
      <c r="C6478" s="4"/>
      <c r="D6478" s="82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17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</row>
    <row r="6479" spans="1:38" x14ac:dyDescent="0.3">
      <c r="A6479" s="5"/>
      <c r="B6479" s="4"/>
      <c r="C6479" s="4"/>
      <c r="D6479" s="82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17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</row>
    <row r="6480" spans="1:38" x14ac:dyDescent="0.3">
      <c r="A6480" s="5"/>
      <c r="B6480" s="4"/>
      <c r="C6480" s="4"/>
      <c r="D6480" s="82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17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</row>
    <row r="6481" spans="1:38" x14ac:dyDescent="0.3">
      <c r="A6481" s="5"/>
      <c r="B6481" s="4"/>
      <c r="C6481" s="4"/>
      <c r="D6481" s="82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17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</row>
    <row r="6482" spans="1:38" x14ac:dyDescent="0.3">
      <c r="A6482" s="5"/>
      <c r="B6482" s="4"/>
      <c r="C6482" s="4"/>
      <c r="D6482" s="82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17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</row>
    <row r="6483" spans="1:38" x14ac:dyDescent="0.3">
      <c r="A6483" s="5"/>
      <c r="B6483" s="4"/>
      <c r="C6483" s="4"/>
      <c r="D6483" s="82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17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</row>
    <row r="6484" spans="1:38" x14ac:dyDescent="0.3">
      <c r="A6484" s="5"/>
      <c r="B6484" s="4"/>
      <c r="C6484" s="4"/>
      <c r="D6484" s="82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17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</row>
    <row r="6485" spans="1:38" x14ac:dyDescent="0.3">
      <c r="A6485" s="5"/>
      <c r="B6485" s="4"/>
      <c r="C6485" s="4"/>
      <c r="D6485" s="82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17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</row>
    <row r="6486" spans="1:38" x14ac:dyDescent="0.3">
      <c r="A6486" s="5"/>
      <c r="B6486" s="4"/>
      <c r="C6486" s="4"/>
      <c r="D6486" s="82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17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</row>
    <row r="6487" spans="1:38" x14ac:dyDescent="0.3">
      <c r="A6487" s="5"/>
      <c r="B6487" s="4"/>
      <c r="C6487" s="4"/>
      <c r="D6487" s="82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17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</row>
    <row r="6488" spans="1:38" x14ac:dyDescent="0.3">
      <c r="A6488" s="5"/>
      <c r="B6488" s="4"/>
      <c r="C6488" s="4"/>
      <c r="D6488" s="82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17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</row>
    <row r="6489" spans="1:38" x14ac:dyDescent="0.3">
      <c r="A6489" s="5"/>
      <c r="B6489" s="4"/>
      <c r="C6489" s="4"/>
      <c r="D6489" s="82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17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</row>
    <row r="6490" spans="1:38" x14ac:dyDescent="0.3">
      <c r="A6490" s="5"/>
      <c r="B6490" s="4"/>
      <c r="C6490" s="4"/>
      <c r="D6490" s="82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17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</row>
    <row r="6491" spans="1:38" x14ac:dyDescent="0.3">
      <c r="A6491" s="5"/>
      <c r="B6491" s="4"/>
      <c r="C6491" s="4"/>
      <c r="D6491" s="82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17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</row>
    <row r="6492" spans="1:38" x14ac:dyDescent="0.3">
      <c r="A6492" s="5"/>
      <c r="B6492" s="4"/>
      <c r="C6492" s="4"/>
      <c r="D6492" s="82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17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</row>
    <row r="6493" spans="1:38" x14ac:dyDescent="0.3">
      <c r="A6493" s="5"/>
      <c r="B6493" s="4"/>
      <c r="C6493" s="4"/>
      <c r="D6493" s="82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17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</row>
    <row r="6494" spans="1:38" x14ac:dyDescent="0.3">
      <c r="A6494" s="5"/>
      <c r="B6494" s="4"/>
      <c r="C6494" s="4"/>
      <c r="D6494" s="82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17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</row>
    <row r="6495" spans="1:38" x14ac:dyDescent="0.3">
      <c r="A6495" s="5"/>
      <c r="B6495" s="4"/>
      <c r="C6495" s="4"/>
      <c r="D6495" s="82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17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</row>
    <row r="6496" spans="1:38" x14ac:dyDescent="0.3">
      <c r="A6496" s="5"/>
      <c r="B6496" s="4"/>
      <c r="C6496" s="4"/>
      <c r="D6496" s="82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17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</row>
    <row r="6497" spans="1:38" x14ac:dyDescent="0.3">
      <c r="A6497" s="5"/>
      <c r="B6497" s="4"/>
      <c r="C6497" s="4"/>
      <c r="D6497" s="82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17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</row>
    <row r="6498" spans="1:38" x14ac:dyDescent="0.3">
      <c r="A6498" s="5"/>
      <c r="B6498" s="4"/>
      <c r="C6498" s="4"/>
      <c r="D6498" s="82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17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</row>
    <row r="6499" spans="1:38" x14ac:dyDescent="0.3">
      <c r="A6499" s="5"/>
      <c r="B6499" s="4"/>
      <c r="C6499" s="4"/>
      <c r="D6499" s="82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17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</row>
    <row r="6500" spans="1:38" x14ac:dyDescent="0.3">
      <c r="A6500" s="5"/>
      <c r="B6500" s="4"/>
      <c r="C6500" s="4"/>
      <c r="D6500" s="82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17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</row>
    <row r="6501" spans="1:38" x14ac:dyDescent="0.3">
      <c r="A6501" s="5"/>
      <c r="B6501" s="4"/>
      <c r="C6501" s="4"/>
      <c r="D6501" s="82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17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</row>
    <row r="6502" spans="1:38" x14ac:dyDescent="0.3">
      <c r="A6502" s="5"/>
      <c r="B6502" s="4"/>
      <c r="C6502" s="4"/>
      <c r="D6502" s="82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17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</row>
    <row r="6503" spans="1:38" x14ac:dyDescent="0.3">
      <c r="A6503" s="5"/>
      <c r="B6503" s="4"/>
      <c r="C6503" s="4"/>
      <c r="D6503" s="82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17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</row>
    <row r="6504" spans="1:38" x14ac:dyDescent="0.3">
      <c r="A6504" s="5"/>
      <c r="B6504" s="4"/>
      <c r="C6504" s="4"/>
      <c r="D6504" s="82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17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</row>
    <row r="6505" spans="1:38" x14ac:dyDescent="0.3">
      <c r="A6505" s="5"/>
      <c r="B6505" s="4"/>
      <c r="C6505" s="4"/>
      <c r="D6505" s="82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17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</row>
    <row r="6506" spans="1:38" x14ac:dyDescent="0.3">
      <c r="A6506" s="5"/>
      <c r="B6506" s="4"/>
      <c r="C6506" s="4"/>
      <c r="D6506" s="82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17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</row>
    <row r="6507" spans="1:38" x14ac:dyDescent="0.3">
      <c r="A6507" s="5"/>
      <c r="B6507" s="4"/>
      <c r="C6507" s="4"/>
      <c r="D6507" s="82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17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</row>
    <row r="6508" spans="1:38" x14ac:dyDescent="0.3">
      <c r="A6508" s="5"/>
      <c r="B6508" s="4"/>
      <c r="C6508" s="4"/>
      <c r="D6508" s="82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17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</row>
    <row r="6509" spans="1:38" x14ac:dyDescent="0.3">
      <c r="A6509" s="5"/>
      <c r="B6509" s="4"/>
      <c r="C6509" s="4"/>
      <c r="D6509" s="82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17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</row>
    <row r="6510" spans="1:38" x14ac:dyDescent="0.3">
      <c r="A6510" s="5"/>
      <c r="B6510" s="4"/>
      <c r="C6510" s="4"/>
      <c r="D6510" s="82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17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</row>
    <row r="6511" spans="1:38" x14ac:dyDescent="0.3">
      <c r="A6511" s="5"/>
      <c r="B6511" s="4"/>
      <c r="C6511" s="4"/>
      <c r="D6511" s="82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17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</row>
    <row r="6512" spans="1:38" x14ac:dyDescent="0.3">
      <c r="A6512" s="5"/>
      <c r="B6512" s="4"/>
      <c r="C6512" s="4"/>
      <c r="D6512" s="82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17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</row>
    <row r="6513" spans="1:38" x14ac:dyDescent="0.3">
      <c r="A6513" s="5"/>
      <c r="B6513" s="4"/>
      <c r="C6513" s="4"/>
      <c r="D6513" s="82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17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</row>
    <row r="6514" spans="1:38" x14ac:dyDescent="0.3">
      <c r="A6514" s="5"/>
      <c r="B6514" s="4"/>
      <c r="C6514" s="4"/>
      <c r="D6514" s="82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17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</row>
    <row r="6515" spans="1:38" x14ac:dyDescent="0.3">
      <c r="A6515" s="5"/>
      <c r="B6515" s="4"/>
      <c r="C6515" s="4"/>
      <c r="D6515" s="82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17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</row>
    <row r="6516" spans="1:38" x14ac:dyDescent="0.3">
      <c r="A6516" s="5"/>
      <c r="B6516" s="4"/>
      <c r="C6516" s="4"/>
      <c r="D6516" s="82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17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</row>
    <row r="6517" spans="1:38" x14ac:dyDescent="0.3">
      <c r="A6517" s="5"/>
      <c r="B6517" s="4"/>
      <c r="C6517" s="4"/>
      <c r="D6517" s="82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17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</row>
    <row r="6518" spans="1:38" x14ac:dyDescent="0.3">
      <c r="A6518" s="5"/>
      <c r="B6518" s="4"/>
      <c r="C6518" s="4"/>
      <c r="D6518" s="82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17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</row>
    <row r="6519" spans="1:38" x14ac:dyDescent="0.3">
      <c r="A6519" s="5"/>
      <c r="B6519" s="4"/>
      <c r="C6519" s="4"/>
      <c r="D6519" s="82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17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</row>
    <row r="6520" spans="1:38" x14ac:dyDescent="0.3">
      <c r="A6520" s="5"/>
      <c r="B6520" s="4"/>
      <c r="C6520" s="4"/>
      <c r="D6520" s="82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17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</row>
    <row r="6521" spans="1:38" x14ac:dyDescent="0.3">
      <c r="A6521" s="5"/>
      <c r="B6521" s="4"/>
      <c r="C6521" s="4"/>
      <c r="D6521" s="82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17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</row>
    <row r="6522" spans="1:38" x14ac:dyDescent="0.3">
      <c r="A6522" s="5"/>
      <c r="B6522" s="4"/>
      <c r="C6522" s="4"/>
      <c r="D6522" s="82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17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</row>
    <row r="6523" spans="1:38" x14ac:dyDescent="0.3">
      <c r="A6523" s="5"/>
      <c r="B6523" s="4"/>
      <c r="C6523" s="4"/>
      <c r="D6523" s="82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17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</row>
    <row r="6524" spans="1:38" x14ac:dyDescent="0.3">
      <c r="A6524" s="5"/>
      <c r="B6524" s="4"/>
      <c r="C6524" s="4"/>
      <c r="D6524" s="82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17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</row>
    <row r="6525" spans="1:38" x14ac:dyDescent="0.3">
      <c r="A6525" s="5"/>
      <c r="B6525" s="4"/>
      <c r="C6525" s="4"/>
      <c r="D6525" s="82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17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</row>
    <row r="6526" spans="1:38" x14ac:dyDescent="0.3">
      <c r="A6526" s="5"/>
      <c r="B6526" s="4"/>
      <c r="C6526" s="4"/>
      <c r="D6526" s="82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17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</row>
    <row r="6527" spans="1:38" x14ac:dyDescent="0.3">
      <c r="A6527" s="5"/>
      <c r="B6527" s="4"/>
      <c r="C6527" s="4"/>
      <c r="D6527" s="82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17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</row>
    <row r="6528" spans="1:38" x14ac:dyDescent="0.3">
      <c r="A6528" s="5"/>
      <c r="B6528" s="4"/>
      <c r="C6528" s="4"/>
      <c r="D6528" s="82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17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</row>
    <row r="6529" spans="1:38" x14ac:dyDescent="0.3">
      <c r="A6529" s="5"/>
      <c r="B6529" s="4"/>
      <c r="C6529" s="4"/>
      <c r="D6529" s="82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17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</row>
    <row r="6530" spans="1:38" x14ac:dyDescent="0.3">
      <c r="A6530" s="5"/>
      <c r="B6530" s="4"/>
      <c r="C6530" s="4"/>
      <c r="D6530" s="82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17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</row>
    <row r="6531" spans="1:38" x14ac:dyDescent="0.3">
      <c r="A6531" s="5"/>
      <c r="B6531" s="4"/>
      <c r="C6531" s="4"/>
      <c r="D6531" s="82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17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</row>
    <row r="6532" spans="1:38" x14ac:dyDescent="0.3">
      <c r="A6532" s="5"/>
      <c r="B6532" s="4"/>
      <c r="C6532" s="4"/>
      <c r="D6532" s="82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17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</row>
    <row r="6533" spans="1:38" x14ac:dyDescent="0.3">
      <c r="A6533" s="5"/>
      <c r="B6533" s="4"/>
      <c r="C6533" s="4"/>
      <c r="D6533" s="82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17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</row>
    <row r="6534" spans="1:38" x14ac:dyDescent="0.3">
      <c r="A6534" s="5"/>
      <c r="B6534" s="4"/>
      <c r="C6534" s="4"/>
      <c r="D6534" s="82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17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</row>
    <row r="6535" spans="1:38" x14ac:dyDescent="0.3">
      <c r="A6535" s="5"/>
      <c r="B6535" s="4"/>
      <c r="C6535" s="4"/>
      <c r="D6535" s="82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17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</row>
    <row r="6536" spans="1:38" x14ac:dyDescent="0.3">
      <c r="A6536" s="5"/>
      <c r="B6536" s="4"/>
      <c r="C6536" s="4"/>
      <c r="D6536" s="82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17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</row>
    <row r="6537" spans="1:38" x14ac:dyDescent="0.3">
      <c r="A6537" s="5"/>
      <c r="B6537" s="4"/>
      <c r="C6537" s="4"/>
      <c r="D6537" s="82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17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</row>
    <row r="6538" spans="1:38" x14ac:dyDescent="0.3">
      <c r="A6538" s="5"/>
      <c r="B6538" s="4"/>
      <c r="C6538" s="4"/>
      <c r="D6538" s="82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17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</row>
    <row r="6539" spans="1:38" x14ac:dyDescent="0.3">
      <c r="A6539" s="5"/>
      <c r="B6539" s="4"/>
      <c r="C6539" s="4"/>
      <c r="D6539" s="82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17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</row>
    <row r="6540" spans="1:38" x14ac:dyDescent="0.3">
      <c r="A6540" s="5"/>
      <c r="B6540" s="4"/>
      <c r="C6540" s="4"/>
      <c r="D6540" s="82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17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</row>
    <row r="6541" spans="1:38" x14ac:dyDescent="0.3">
      <c r="A6541" s="5"/>
      <c r="B6541" s="4"/>
      <c r="C6541" s="4"/>
      <c r="D6541" s="82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17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</row>
    <row r="6542" spans="1:38" x14ac:dyDescent="0.3">
      <c r="A6542" s="5"/>
      <c r="B6542" s="4"/>
      <c r="C6542" s="4"/>
      <c r="D6542" s="82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17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</row>
    <row r="6543" spans="1:38" x14ac:dyDescent="0.3">
      <c r="A6543" s="5"/>
      <c r="B6543" s="4"/>
      <c r="C6543" s="4"/>
      <c r="D6543" s="82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17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</row>
    <row r="6544" spans="1:38" x14ac:dyDescent="0.3">
      <c r="A6544" s="5"/>
      <c r="B6544" s="4"/>
      <c r="C6544" s="4"/>
      <c r="D6544" s="82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17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</row>
    <row r="6545" spans="1:38" x14ac:dyDescent="0.3">
      <c r="A6545" s="5"/>
      <c r="B6545" s="4"/>
      <c r="C6545" s="4"/>
      <c r="D6545" s="82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17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</row>
    <row r="6546" spans="1:38" x14ac:dyDescent="0.3">
      <c r="A6546" s="5"/>
      <c r="B6546" s="4"/>
      <c r="C6546" s="4"/>
      <c r="D6546" s="82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17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</row>
    <row r="6547" spans="1:38" x14ac:dyDescent="0.3">
      <c r="A6547" s="5"/>
      <c r="B6547" s="4"/>
      <c r="C6547" s="4"/>
      <c r="D6547" s="82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17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</row>
    <row r="6548" spans="1:38" x14ac:dyDescent="0.3">
      <c r="A6548" s="5"/>
      <c r="B6548" s="4"/>
      <c r="C6548" s="4"/>
      <c r="D6548" s="82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17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</row>
    <row r="6549" spans="1:38" x14ac:dyDescent="0.3">
      <c r="A6549" s="5"/>
      <c r="B6549" s="4"/>
      <c r="C6549" s="4"/>
      <c r="D6549" s="82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17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</row>
    <row r="6550" spans="1:38" x14ac:dyDescent="0.3">
      <c r="A6550" s="5"/>
      <c r="B6550" s="4"/>
      <c r="C6550" s="4"/>
      <c r="D6550" s="82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17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</row>
    <row r="6551" spans="1:38" x14ac:dyDescent="0.3">
      <c r="A6551" s="5"/>
      <c r="B6551" s="4"/>
      <c r="C6551" s="4"/>
      <c r="D6551" s="82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17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</row>
    <row r="6552" spans="1:38" x14ac:dyDescent="0.3">
      <c r="A6552" s="5"/>
      <c r="B6552" s="4"/>
      <c r="C6552" s="4"/>
      <c r="D6552" s="82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17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</row>
    <row r="6553" spans="1:38" x14ac:dyDescent="0.3">
      <c r="A6553" s="5"/>
      <c r="B6553" s="4"/>
      <c r="C6553" s="4"/>
      <c r="D6553" s="82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17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</row>
    <row r="6554" spans="1:38" x14ac:dyDescent="0.3">
      <c r="A6554" s="5"/>
      <c r="B6554" s="4"/>
      <c r="C6554" s="4"/>
      <c r="D6554" s="82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17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</row>
    <row r="6555" spans="1:38" x14ac:dyDescent="0.3">
      <c r="A6555" s="5"/>
      <c r="B6555" s="4"/>
      <c r="C6555" s="4"/>
      <c r="D6555" s="82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17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</row>
    <row r="6556" spans="1:38" x14ac:dyDescent="0.3">
      <c r="A6556" s="5"/>
      <c r="B6556" s="4"/>
      <c r="C6556" s="4"/>
      <c r="D6556" s="82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17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</row>
    <row r="6557" spans="1:38" x14ac:dyDescent="0.3">
      <c r="A6557" s="5"/>
      <c r="B6557" s="4"/>
      <c r="C6557" s="4"/>
      <c r="D6557" s="82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17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</row>
    <row r="6558" spans="1:38" x14ac:dyDescent="0.3">
      <c r="A6558" s="5"/>
      <c r="B6558" s="4"/>
      <c r="C6558" s="4"/>
      <c r="D6558" s="82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17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</row>
    <row r="6559" spans="1:38" x14ac:dyDescent="0.3">
      <c r="A6559" s="5"/>
      <c r="B6559" s="4"/>
      <c r="C6559" s="4"/>
      <c r="D6559" s="82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17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</row>
    <row r="6560" spans="1:38" x14ac:dyDescent="0.3">
      <c r="A6560" s="5"/>
      <c r="B6560" s="4"/>
      <c r="C6560" s="4"/>
      <c r="D6560" s="82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17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</row>
    <row r="6561" spans="1:38" x14ac:dyDescent="0.3">
      <c r="A6561" s="5"/>
      <c r="B6561" s="4"/>
      <c r="C6561" s="4"/>
      <c r="D6561" s="82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17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</row>
    <row r="6562" spans="1:38" x14ac:dyDescent="0.3">
      <c r="A6562" s="5"/>
      <c r="B6562" s="4"/>
      <c r="C6562" s="4"/>
      <c r="D6562" s="82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17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</row>
    <row r="6563" spans="1:38" x14ac:dyDescent="0.3">
      <c r="A6563" s="5"/>
      <c r="B6563" s="4"/>
      <c r="C6563" s="4"/>
      <c r="D6563" s="82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17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</row>
    <row r="6564" spans="1:38" x14ac:dyDescent="0.3">
      <c r="A6564" s="5"/>
      <c r="B6564" s="4"/>
      <c r="C6564" s="4"/>
      <c r="D6564" s="82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17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</row>
    <row r="6565" spans="1:38" x14ac:dyDescent="0.3">
      <c r="A6565" s="5"/>
      <c r="B6565" s="4"/>
      <c r="C6565" s="4"/>
      <c r="D6565" s="82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17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</row>
    <row r="6566" spans="1:38" x14ac:dyDescent="0.3">
      <c r="A6566" s="5"/>
      <c r="B6566" s="4"/>
      <c r="C6566" s="4"/>
      <c r="D6566" s="82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17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</row>
    <row r="6567" spans="1:38" x14ac:dyDescent="0.3">
      <c r="A6567" s="5"/>
      <c r="B6567" s="4"/>
      <c r="C6567" s="4"/>
      <c r="D6567" s="82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17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</row>
    <row r="6568" spans="1:38" x14ac:dyDescent="0.3">
      <c r="A6568" s="5"/>
      <c r="B6568" s="4"/>
      <c r="C6568" s="4"/>
      <c r="D6568" s="82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17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</row>
    <row r="6569" spans="1:38" x14ac:dyDescent="0.3">
      <c r="A6569" s="5"/>
      <c r="B6569" s="4"/>
      <c r="C6569" s="4"/>
      <c r="D6569" s="82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17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</row>
    <row r="6570" spans="1:38" x14ac:dyDescent="0.3">
      <c r="A6570" s="5"/>
      <c r="B6570" s="4"/>
      <c r="C6570" s="4"/>
      <c r="D6570" s="82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17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</row>
    <row r="6571" spans="1:38" x14ac:dyDescent="0.3">
      <c r="A6571" s="5"/>
      <c r="B6571" s="4"/>
      <c r="C6571" s="4"/>
      <c r="D6571" s="82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17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</row>
    <row r="6572" spans="1:38" x14ac:dyDescent="0.3">
      <c r="A6572" s="5"/>
      <c r="B6572" s="4"/>
      <c r="C6572" s="4"/>
      <c r="D6572" s="82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17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</row>
    <row r="6573" spans="1:38" x14ac:dyDescent="0.3">
      <c r="A6573" s="5"/>
      <c r="B6573" s="4"/>
      <c r="C6573" s="4"/>
      <c r="D6573" s="82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17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</row>
    <row r="6574" spans="1:38" x14ac:dyDescent="0.3">
      <c r="A6574" s="5"/>
      <c r="B6574" s="4"/>
      <c r="C6574" s="4"/>
      <c r="D6574" s="82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17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</row>
    <row r="6575" spans="1:38" x14ac:dyDescent="0.3">
      <c r="A6575" s="5"/>
      <c r="B6575" s="4"/>
      <c r="C6575" s="4"/>
      <c r="D6575" s="82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17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</row>
    <row r="6576" spans="1:38" x14ac:dyDescent="0.3">
      <c r="A6576" s="5"/>
      <c r="B6576" s="4"/>
      <c r="C6576" s="4"/>
      <c r="D6576" s="82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17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</row>
    <row r="6577" spans="1:38" x14ac:dyDescent="0.3">
      <c r="A6577" s="5"/>
      <c r="B6577" s="4"/>
      <c r="C6577" s="4"/>
      <c r="D6577" s="82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17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</row>
    <row r="6578" spans="1:38" x14ac:dyDescent="0.3">
      <c r="A6578" s="5"/>
      <c r="B6578" s="4"/>
      <c r="C6578" s="4"/>
      <c r="D6578" s="82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17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</row>
    <row r="6579" spans="1:38" x14ac:dyDescent="0.3">
      <c r="A6579" s="5"/>
      <c r="B6579" s="4"/>
      <c r="C6579" s="4"/>
      <c r="D6579" s="82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17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</row>
    <row r="6580" spans="1:38" x14ac:dyDescent="0.3">
      <c r="A6580" s="5"/>
      <c r="B6580" s="4"/>
      <c r="C6580" s="4"/>
      <c r="D6580" s="82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17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</row>
    <row r="6581" spans="1:38" x14ac:dyDescent="0.3">
      <c r="A6581" s="5"/>
      <c r="B6581" s="4"/>
      <c r="C6581" s="4"/>
      <c r="D6581" s="82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17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</row>
    <row r="6582" spans="1:38" x14ac:dyDescent="0.3">
      <c r="A6582" s="5"/>
      <c r="B6582" s="4"/>
      <c r="C6582" s="4"/>
      <c r="D6582" s="82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17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</row>
    <row r="6583" spans="1:38" x14ac:dyDescent="0.3">
      <c r="A6583" s="5"/>
      <c r="B6583" s="4"/>
      <c r="C6583" s="4"/>
      <c r="D6583" s="82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17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</row>
    <row r="6584" spans="1:38" x14ac:dyDescent="0.3">
      <c r="A6584" s="5"/>
      <c r="B6584" s="4"/>
      <c r="C6584" s="4"/>
      <c r="D6584" s="82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17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</row>
    <row r="6585" spans="1:38" x14ac:dyDescent="0.3">
      <c r="A6585" s="5"/>
      <c r="B6585" s="4"/>
      <c r="C6585" s="4"/>
      <c r="D6585" s="82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17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</row>
    <row r="6586" spans="1:38" x14ac:dyDescent="0.3">
      <c r="A6586" s="5"/>
      <c r="B6586" s="4"/>
      <c r="C6586" s="4"/>
      <c r="D6586" s="82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17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</row>
    <row r="6587" spans="1:38" x14ac:dyDescent="0.3">
      <c r="A6587" s="5"/>
      <c r="B6587" s="4"/>
      <c r="C6587" s="4"/>
      <c r="D6587" s="82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17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</row>
    <row r="6588" spans="1:38" x14ac:dyDescent="0.3">
      <c r="A6588" s="5"/>
      <c r="B6588" s="4"/>
      <c r="C6588" s="4"/>
      <c r="D6588" s="82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17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</row>
    <row r="6589" spans="1:38" x14ac:dyDescent="0.3">
      <c r="A6589" s="5"/>
      <c r="B6589" s="4"/>
      <c r="C6589" s="4"/>
      <c r="D6589" s="82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17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</row>
    <row r="6590" spans="1:38" x14ac:dyDescent="0.3">
      <c r="A6590" s="5"/>
      <c r="B6590" s="4"/>
      <c r="C6590" s="4"/>
      <c r="D6590" s="82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17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</row>
    <row r="6591" spans="1:38" x14ac:dyDescent="0.3">
      <c r="A6591" s="5"/>
      <c r="B6591" s="4"/>
      <c r="C6591" s="4"/>
      <c r="D6591" s="82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17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</row>
    <row r="6592" spans="1:38" x14ac:dyDescent="0.3">
      <c r="A6592" s="5"/>
      <c r="B6592" s="4"/>
      <c r="C6592" s="4"/>
      <c r="D6592" s="82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17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</row>
    <row r="6593" spans="1:38" x14ac:dyDescent="0.3">
      <c r="A6593" s="5"/>
      <c r="B6593" s="4"/>
      <c r="C6593" s="4"/>
      <c r="D6593" s="82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17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</row>
    <row r="6594" spans="1:38" x14ac:dyDescent="0.3">
      <c r="A6594" s="5"/>
      <c r="B6594" s="4"/>
      <c r="C6594" s="4"/>
      <c r="D6594" s="82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17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</row>
    <row r="6595" spans="1:38" x14ac:dyDescent="0.3">
      <c r="A6595" s="5"/>
      <c r="B6595" s="4"/>
      <c r="C6595" s="4"/>
      <c r="D6595" s="82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17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</row>
    <row r="6596" spans="1:38" x14ac:dyDescent="0.3">
      <c r="A6596" s="5"/>
      <c r="B6596" s="4"/>
      <c r="C6596" s="4"/>
      <c r="D6596" s="82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17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</row>
    <row r="6597" spans="1:38" x14ac:dyDescent="0.3">
      <c r="A6597" s="5"/>
      <c r="B6597" s="4"/>
      <c r="C6597" s="4"/>
      <c r="D6597" s="82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17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</row>
    <row r="6598" spans="1:38" x14ac:dyDescent="0.3">
      <c r="A6598" s="5"/>
      <c r="B6598" s="4"/>
      <c r="C6598" s="4"/>
      <c r="D6598" s="82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17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</row>
    <row r="6599" spans="1:38" x14ac:dyDescent="0.3">
      <c r="A6599" s="5"/>
      <c r="B6599" s="4"/>
      <c r="C6599" s="4"/>
      <c r="D6599" s="82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17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</row>
    <row r="6600" spans="1:38" x14ac:dyDescent="0.3">
      <c r="A6600" s="5"/>
      <c r="B6600" s="4"/>
      <c r="C6600" s="4"/>
      <c r="D6600" s="82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17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</row>
    <row r="6601" spans="1:38" x14ac:dyDescent="0.3">
      <c r="A6601" s="5"/>
      <c r="B6601" s="4"/>
      <c r="C6601" s="4"/>
      <c r="D6601" s="82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17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</row>
    <row r="6602" spans="1:38" x14ac:dyDescent="0.3">
      <c r="A6602" s="5"/>
      <c r="B6602" s="4"/>
      <c r="C6602" s="4"/>
      <c r="D6602" s="82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17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</row>
    <row r="6603" spans="1:38" x14ac:dyDescent="0.3">
      <c r="A6603" s="5"/>
      <c r="B6603" s="4"/>
      <c r="C6603" s="4"/>
      <c r="D6603" s="82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17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</row>
    <row r="6604" spans="1:38" x14ac:dyDescent="0.3">
      <c r="A6604" s="5"/>
      <c r="B6604" s="4"/>
      <c r="C6604" s="4"/>
      <c r="D6604" s="82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17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</row>
    <row r="6605" spans="1:38" x14ac:dyDescent="0.3">
      <c r="A6605" s="5"/>
      <c r="B6605" s="4"/>
      <c r="C6605" s="4"/>
      <c r="D6605" s="82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17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</row>
    <row r="6606" spans="1:38" x14ac:dyDescent="0.3">
      <c r="A6606" s="5"/>
      <c r="B6606" s="4"/>
      <c r="C6606" s="4"/>
      <c r="D6606" s="82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17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</row>
    <row r="6607" spans="1:38" x14ac:dyDescent="0.3">
      <c r="A6607" s="5"/>
      <c r="B6607" s="4"/>
      <c r="C6607" s="4"/>
      <c r="D6607" s="82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17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</row>
    <row r="6608" spans="1:38" x14ac:dyDescent="0.3">
      <c r="A6608" s="5"/>
      <c r="B6608" s="4"/>
      <c r="C6608" s="4"/>
      <c r="D6608" s="82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17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</row>
    <row r="6609" spans="1:38" x14ac:dyDescent="0.3">
      <c r="A6609" s="5"/>
      <c r="B6609" s="4"/>
      <c r="C6609" s="4"/>
      <c r="D6609" s="82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17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</row>
    <row r="6610" spans="1:38" x14ac:dyDescent="0.3">
      <c r="A6610" s="5"/>
      <c r="B6610" s="4"/>
      <c r="C6610" s="4"/>
      <c r="D6610" s="82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17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</row>
    <row r="6611" spans="1:38" x14ac:dyDescent="0.3">
      <c r="A6611" s="5"/>
      <c r="B6611" s="4"/>
      <c r="C6611" s="4"/>
      <c r="D6611" s="82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17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</row>
    <row r="6612" spans="1:38" x14ac:dyDescent="0.3">
      <c r="A6612" s="5"/>
      <c r="B6612" s="4"/>
      <c r="C6612" s="4"/>
      <c r="D6612" s="82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17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</row>
    <row r="6613" spans="1:38" x14ac:dyDescent="0.3">
      <c r="A6613" s="5"/>
      <c r="B6613" s="4"/>
      <c r="C6613" s="4"/>
      <c r="D6613" s="82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17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</row>
    <row r="6614" spans="1:38" x14ac:dyDescent="0.3">
      <c r="A6614" s="5"/>
      <c r="B6614" s="4"/>
      <c r="C6614" s="4"/>
      <c r="D6614" s="82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17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</row>
    <row r="6615" spans="1:38" x14ac:dyDescent="0.3">
      <c r="A6615" s="5"/>
      <c r="B6615" s="4"/>
      <c r="C6615" s="4"/>
      <c r="D6615" s="82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17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</row>
    <row r="6616" spans="1:38" x14ac:dyDescent="0.3">
      <c r="A6616" s="5"/>
      <c r="B6616" s="4"/>
      <c r="C6616" s="4"/>
      <c r="D6616" s="82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17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</row>
    <row r="6617" spans="1:38" x14ac:dyDescent="0.3">
      <c r="A6617" s="5"/>
      <c r="B6617" s="4"/>
      <c r="C6617" s="4"/>
      <c r="D6617" s="82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17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</row>
    <row r="6618" spans="1:38" x14ac:dyDescent="0.3">
      <c r="A6618" s="5"/>
      <c r="B6618" s="4"/>
      <c r="C6618" s="4"/>
      <c r="D6618" s="82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17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</row>
    <row r="6619" spans="1:38" x14ac:dyDescent="0.3">
      <c r="A6619" s="5"/>
      <c r="B6619" s="4"/>
      <c r="C6619" s="4"/>
      <c r="D6619" s="82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17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</row>
    <row r="6620" spans="1:38" x14ac:dyDescent="0.3">
      <c r="A6620" s="5"/>
      <c r="B6620" s="4"/>
      <c r="C6620" s="4"/>
      <c r="D6620" s="82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17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</row>
    <row r="6621" spans="1:38" x14ac:dyDescent="0.3">
      <c r="A6621" s="5"/>
      <c r="B6621" s="4"/>
      <c r="C6621" s="4"/>
      <c r="D6621" s="82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17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</row>
    <row r="6622" spans="1:38" x14ac:dyDescent="0.3">
      <c r="A6622" s="5"/>
      <c r="B6622" s="4"/>
      <c r="C6622" s="4"/>
      <c r="D6622" s="82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17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</row>
    <row r="6623" spans="1:38" x14ac:dyDescent="0.3">
      <c r="A6623" s="5"/>
      <c r="B6623" s="4"/>
      <c r="C6623" s="4"/>
      <c r="D6623" s="82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17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</row>
    <row r="6624" spans="1:38" x14ac:dyDescent="0.3">
      <c r="A6624" s="5"/>
      <c r="B6624" s="4"/>
      <c r="C6624" s="4"/>
      <c r="D6624" s="82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17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</row>
    <row r="6625" spans="1:38" x14ac:dyDescent="0.3">
      <c r="A6625" s="5"/>
      <c r="B6625" s="4"/>
      <c r="C6625" s="4"/>
      <c r="D6625" s="82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17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</row>
    <row r="6626" spans="1:38" x14ac:dyDescent="0.3">
      <c r="A6626" s="5"/>
      <c r="B6626" s="4"/>
      <c r="C6626" s="4"/>
      <c r="D6626" s="82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17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</row>
    <row r="6627" spans="1:38" x14ac:dyDescent="0.3">
      <c r="A6627" s="5"/>
      <c r="B6627" s="4"/>
      <c r="C6627" s="4"/>
      <c r="D6627" s="82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17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</row>
    <row r="6628" spans="1:38" x14ac:dyDescent="0.3">
      <c r="A6628" s="5"/>
      <c r="B6628" s="4"/>
      <c r="C6628" s="4"/>
      <c r="D6628" s="82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17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</row>
    <row r="6629" spans="1:38" x14ac:dyDescent="0.3">
      <c r="A6629" s="5"/>
      <c r="B6629" s="4"/>
      <c r="C6629" s="4"/>
      <c r="D6629" s="82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17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</row>
    <row r="6630" spans="1:38" x14ac:dyDescent="0.3">
      <c r="A6630" s="5"/>
      <c r="B6630" s="4"/>
      <c r="C6630" s="4"/>
      <c r="D6630" s="82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17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</row>
    <row r="6631" spans="1:38" x14ac:dyDescent="0.3">
      <c r="A6631" s="5"/>
      <c r="B6631" s="4"/>
      <c r="C6631" s="4"/>
      <c r="D6631" s="82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17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</row>
    <row r="6632" spans="1:38" x14ac:dyDescent="0.3">
      <c r="A6632" s="5"/>
      <c r="B6632" s="4"/>
      <c r="C6632" s="4"/>
      <c r="D6632" s="82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17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</row>
    <row r="6633" spans="1:38" x14ac:dyDescent="0.3">
      <c r="A6633" s="5"/>
      <c r="B6633" s="4"/>
      <c r="C6633" s="4"/>
      <c r="D6633" s="82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17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</row>
    <row r="6634" spans="1:38" x14ac:dyDescent="0.3">
      <c r="A6634" s="5"/>
      <c r="B6634" s="4"/>
      <c r="C6634" s="4"/>
      <c r="D6634" s="82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17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</row>
    <row r="6635" spans="1:38" x14ac:dyDescent="0.3">
      <c r="A6635" s="5"/>
      <c r="B6635" s="4"/>
      <c r="C6635" s="4"/>
      <c r="D6635" s="82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17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</row>
    <row r="6636" spans="1:38" x14ac:dyDescent="0.3">
      <c r="A6636" s="5"/>
      <c r="B6636" s="4"/>
      <c r="C6636" s="4"/>
      <c r="D6636" s="82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17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</row>
    <row r="6637" spans="1:38" x14ac:dyDescent="0.3">
      <c r="A6637" s="5"/>
      <c r="B6637" s="4"/>
      <c r="C6637" s="4"/>
      <c r="D6637" s="82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17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</row>
    <row r="6638" spans="1:38" x14ac:dyDescent="0.3">
      <c r="A6638" s="5"/>
      <c r="B6638" s="4"/>
      <c r="C6638" s="4"/>
      <c r="D6638" s="82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17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</row>
    <row r="6639" spans="1:38" x14ac:dyDescent="0.3">
      <c r="A6639" s="5"/>
      <c r="B6639" s="4"/>
      <c r="C6639" s="4"/>
      <c r="D6639" s="82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17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</row>
    <row r="6640" spans="1:38" x14ac:dyDescent="0.3">
      <c r="A6640" s="5"/>
      <c r="B6640" s="4"/>
      <c r="C6640" s="4"/>
      <c r="D6640" s="82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17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</row>
    <row r="6641" spans="1:38" x14ac:dyDescent="0.3">
      <c r="A6641" s="5"/>
      <c r="B6641" s="4"/>
      <c r="C6641" s="4"/>
      <c r="D6641" s="82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17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</row>
    <row r="6642" spans="1:38" x14ac:dyDescent="0.3">
      <c r="A6642" s="5"/>
      <c r="B6642" s="4"/>
      <c r="C6642" s="4"/>
      <c r="D6642" s="82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17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</row>
    <row r="6643" spans="1:38" x14ac:dyDescent="0.3">
      <c r="A6643" s="5"/>
      <c r="B6643" s="4"/>
      <c r="C6643" s="4"/>
      <c r="D6643" s="82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17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</row>
    <row r="6644" spans="1:38" x14ac:dyDescent="0.3">
      <c r="A6644" s="5"/>
      <c r="B6644" s="4"/>
      <c r="C6644" s="4"/>
      <c r="D6644" s="82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17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</row>
    <row r="6645" spans="1:38" x14ac:dyDescent="0.3">
      <c r="A6645" s="5"/>
      <c r="B6645" s="4"/>
      <c r="C6645" s="4"/>
      <c r="D6645" s="82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17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</row>
    <row r="6646" spans="1:38" x14ac:dyDescent="0.3">
      <c r="A6646" s="5"/>
      <c r="B6646" s="4"/>
      <c r="C6646" s="4"/>
      <c r="D6646" s="82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17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</row>
    <row r="6647" spans="1:38" x14ac:dyDescent="0.3">
      <c r="A6647" s="5"/>
      <c r="B6647" s="4"/>
      <c r="C6647" s="4"/>
      <c r="D6647" s="82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17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</row>
    <row r="6648" spans="1:38" x14ac:dyDescent="0.3">
      <c r="A6648" s="5"/>
      <c r="B6648" s="4"/>
      <c r="C6648" s="4"/>
      <c r="D6648" s="82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17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</row>
    <row r="6649" spans="1:38" x14ac:dyDescent="0.3">
      <c r="A6649" s="5"/>
      <c r="B6649" s="4"/>
      <c r="C6649" s="4"/>
      <c r="D6649" s="82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17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</row>
    <row r="6650" spans="1:38" x14ac:dyDescent="0.3">
      <c r="A6650" s="5"/>
      <c r="B6650" s="4"/>
      <c r="C6650" s="4"/>
      <c r="D6650" s="82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17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</row>
    <row r="6651" spans="1:38" x14ac:dyDescent="0.3">
      <c r="A6651" s="5"/>
      <c r="B6651" s="4"/>
      <c r="C6651" s="4"/>
      <c r="D6651" s="82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17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</row>
    <row r="6652" spans="1:38" x14ac:dyDescent="0.3">
      <c r="A6652" s="5"/>
      <c r="B6652" s="4"/>
      <c r="C6652" s="4"/>
      <c r="D6652" s="82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17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</row>
    <row r="6653" spans="1:38" x14ac:dyDescent="0.3">
      <c r="A6653" s="5"/>
      <c r="B6653" s="4"/>
      <c r="C6653" s="4"/>
      <c r="D6653" s="82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17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</row>
    <row r="6654" spans="1:38" x14ac:dyDescent="0.3">
      <c r="A6654" s="5"/>
      <c r="B6654" s="4"/>
      <c r="C6654" s="4"/>
      <c r="D6654" s="82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17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</row>
    <row r="6655" spans="1:38" x14ac:dyDescent="0.3">
      <c r="A6655" s="5"/>
      <c r="B6655" s="4"/>
      <c r="C6655" s="4"/>
      <c r="D6655" s="82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17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</row>
    <row r="6656" spans="1:38" x14ac:dyDescent="0.3">
      <c r="A6656" s="5"/>
      <c r="B6656" s="4"/>
      <c r="C6656" s="4"/>
      <c r="D6656" s="82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17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</row>
    <row r="6657" spans="1:38" x14ac:dyDescent="0.3">
      <c r="A6657" s="5"/>
      <c r="B6657" s="4"/>
      <c r="C6657" s="4"/>
      <c r="D6657" s="82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17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</row>
    <row r="6658" spans="1:38" x14ac:dyDescent="0.3">
      <c r="A6658" s="5"/>
      <c r="B6658" s="4"/>
      <c r="C6658" s="4"/>
      <c r="D6658" s="82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17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</row>
    <row r="6659" spans="1:38" x14ac:dyDescent="0.3">
      <c r="A6659" s="5"/>
      <c r="B6659" s="4"/>
      <c r="C6659" s="4"/>
      <c r="D6659" s="82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17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</row>
    <row r="6660" spans="1:38" x14ac:dyDescent="0.3">
      <c r="A6660" s="5"/>
      <c r="B6660" s="4"/>
      <c r="C6660" s="4"/>
      <c r="D6660" s="82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17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</row>
    <row r="6661" spans="1:38" x14ac:dyDescent="0.3">
      <c r="A6661" s="5"/>
      <c r="B6661" s="4"/>
      <c r="C6661" s="4"/>
      <c r="D6661" s="82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17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</row>
    <row r="6662" spans="1:38" x14ac:dyDescent="0.3">
      <c r="A6662" s="5"/>
      <c r="B6662" s="4"/>
      <c r="C6662" s="4"/>
      <c r="D6662" s="82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17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</row>
    <row r="6663" spans="1:38" x14ac:dyDescent="0.3">
      <c r="A6663" s="5"/>
      <c r="B6663" s="4"/>
      <c r="C6663" s="4"/>
      <c r="D6663" s="82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17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</row>
    <row r="6664" spans="1:38" x14ac:dyDescent="0.3">
      <c r="A6664" s="5"/>
      <c r="B6664" s="4"/>
      <c r="C6664" s="4"/>
      <c r="D6664" s="82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17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</row>
    <row r="6665" spans="1:38" x14ac:dyDescent="0.3">
      <c r="A6665" s="5"/>
      <c r="B6665" s="4"/>
      <c r="C6665" s="4"/>
      <c r="D6665" s="82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17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</row>
    <row r="6666" spans="1:38" x14ac:dyDescent="0.3">
      <c r="A6666" s="5"/>
      <c r="B6666" s="4"/>
      <c r="C6666" s="4"/>
      <c r="D6666" s="82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17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</row>
    <row r="6667" spans="1:38" x14ac:dyDescent="0.3">
      <c r="A6667" s="5"/>
      <c r="B6667" s="4"/>
      <c r="C6667" s="4"/>
      <c r="D6667" s="82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17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</row>
    <row r="6668" spans="1:38" x14ac:dyDescent="0.3">
      <c r="A6668" s="5"/>
      <c r="B6668" s="4"/>
      <c r="C6668" s="4"/>
      <c r="D6668" s="82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17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</row>
    <row r="6669" spans="1:38" x14ac:dyDescent="0.3">
      <c r="A6669" s="5"/>
      <c r="B6669" s="4"/>
      <c r="C6669" s="4"/>
      <c r="D6669" s="82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17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</row>
    <row r="6670" spans="1:38" x14ac:dyDescent="0.3">
      <c r="A6670" s="5"/>
      <c r="B6670" s="4"/>
      <c r="C6670" s="4"/>
      <c r="D6670" s="82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17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</row>
    <row r="6671" spans="1:38" x14ac:dyDescent="0.3">
      <c r="A6671" s="5"/>
      <c r="B6671" s="4"/>
      <c r="C6671" s="4"/>
      <c r="D6671" s="82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17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</row>
    <row r="6672" spans="1:38" x14ac:dyDescent="0.3">
      <c r="A6672" s="5"/>
      <c r="B6672" s="4"/>
      <c r="C6672" s="4"/>
      <c r="D6672" s="82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17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</row>
    <row r="6673" spans="1:38" x14ac:dyDescent="0.3">
      <c r="A6673" s="5"/>
      <c r="B6673" s="4"/>
      <c r="C6673" s="4"/>
      <c r="D6673" s="82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17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</row>
    <row r="6674" spans="1:38" x14ac:dyDescent="0.3">
      <c r="A6674" s="5"/>
      <c r="B6674" s="4"/>
      <c r="C6674" s="4"/>
      <c r="D6674" s="82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17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</row>
    <row r="6675" spans="1:38" x14ac:dyDescent="0.3">
      <c r="A6675" s="5"/>
      <c r="B6675" s="4"/>
      <c r="C6675" s="4"/>
      <c r="D6675" s="82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17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</row>
    <row r="6676" spans="1:38" x14ac:dyDescent="0.3">
      <c r="A6676" s="5"/>
      <c r="B6676" s="4"/>
      <c r="C6676" s="4"/>
      <c r="D6676" s="82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17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</row>
    <row r="6677" spans="1:38" x14ac:dyDescent="0.3">
      <c r="A6677" s="5"/>
      <c r="B6677" s="4"/>
      <c r="C6677" s="4"/>
      <c r="D6677" s="82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17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</row>
    <row r="6678" spans="1:38" x14ac:dyDescent="0.3">
      <c r="A6678" s="5"/>
      <c r="B6678" s="4"/>
      <c r="C6678" s="4"/>
      <c r="D6678" s="82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17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</row>
    <row r="6679" spans="1:38" x14ac:dyDescent="0.3">
      <c r="A6679" s="5"/>
      <c r="B6679" s="4"/>
      <c r="C6679" s="4"/>
      <c r="D6679" s="82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17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</row>
    <row r="6680" spans="1:38" x14ac:dyDescent="0.3">
      <c r="A6680" s="5"/>
      <c r="B6680" s="4"/>
      <c r="C6680" s="4"/>
      <c r="D6680" s="82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17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</row>
    <row r="6681" spans="1:38" x14ac:dyDescent="0.3">
      <c r="A6681" s="5"/>
      <c r="B6681" s="4"/>
      <c r="C6681" s="4"/>
      <c r="D6681" s="82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17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</row>
    <row r="6682" spans="1:38" x14ac:dyDescent="0.3">
      <c r="A6682" s="5"/>
      <c r="B6682" s="4"/>
      <c r="C6682" s="4"/>
      <c r="D6682" s="82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17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</row>
    <row r="6683" spans="1:38" x14ac:dyDescent="0.3">
      <c r="A6683" s="5"/>
      <c r="B6683" s="4"/>
      <c r="C6683" s="4"/>
      <c r="D6683" s="82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17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</row>
    <row r="6684" spans="1:38" x14ac:dyDescent="0.3">
      <c r="A6684" s="5"/>
      <c r="B6684" s="4"/>
      <c r="C6684" s="4"/>
      <c r="D6684" s="82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17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</row>
    <row r="6685" spans="1:38" x14ac:dyDescent="0.3">
      <c r="A6685" s="5"/>
      <c r="B6685" s="4"/>
      <c r="C6685" s="4"/>
      <c r="D6685" s="82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17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</row>
    <row r="6686" spans="1:38" x14ac:dyDescent="0.3">
      <c r="A6686" s="5"/>
      <c r="B6686" s="4"/>
      <c r="C6686" s="4"/>
      <c r="D6686" s="82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17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</row>
    <row r="6687" spans="1:38" x14ac:dyDescent="0.3">
      <c r="A6687" s="5"/>
      <c r="B6687" s="4"/>
      <c r="C6687" s="4"/>
      <c r="D6687" s="82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17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</row>
    <row r="6688" spans="1:38" x14ac:dyDescent="0.3">
      <c r="A6688" s="5"/>
      <c r="B6688" s="4"/>
      <c r="C6688" s="4"/>
      <c r="D6688" s="82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17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</row>
    <row r="6689" spans="1:38" x14ac:dyDescent="0.3">
      <c r="A6689" s="5"/>
      <c r="B6689" s="4"/>
      <c r="C6689" s="4"/>
      <c r="D6689" s="82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17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</row>
    <row r="6690" spans="1:38" x14ac:dyDescent="0.3">
      <c r="A6690" s="5"/>
      <c r="B6690" s="4"/>
      <c r="C6690" s="4"/>
      <c r="D6690" s="82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17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</row>
    <row r="6691" spans="1:38" x14ac:dyDescent="0.3">
      <c r="A6691" s="5"/>
      <c r="B6691" s="4"/>
      <c r="C6691" s="4"/>
      <c r="D6691" s="82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17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</row>
    <row r="6692" spans="1:38" x14ac:dyDescent="0.3">
      <c r="A6692" s="5"/>
      <c r="B6692" s="4"/>
      <c r="C6692" s="4"/>
      <c r="D6692" s="82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17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</row>
    <row r="6693" spans="1:38" x14ac:dyDescent="0.3">
      <c r="A6693" s="5"/>
      <c r="B6693" s="4"/>
      <c r="C6693" s="4"/>
      <c r="D6693" s="82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17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</row>
    <row r="6694" spans="1:38" x14ac:dyDescent="0.3">
      <c r="A6694" s="5"/>
      <c r="B6694" s="4"/>
      <c r="C6694" s="4"/>
      <c r="D6694" s="82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17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</row>
    <row r="6695" spans="1:38" x14ac:dyDescent="0.3">
      <c r="A6695" s="5"/>
      <c r="B6695" s="4"/>
      <c r="C6695" s="4"/>
      <c r="D6695" s="82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17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</row>
    <row r="6696" spans="1:38" x14ac:dyDescent="0.3">
      <c r="A6696" s="5"/>
      <c r="B6696" s="4"/>
      <c r="C6696" s="4"/>
      <c r="D6696" s="82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17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</row>
    <row r="6697" spans="1:38" x14ac:dyDescent="0.3">
      <c r="A6697" s="5"/>
      <c r="B6697" s="4"/>
      <c r="C6697" s="4"/>
      <c r="D6697" s="82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17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</row>
    <row r="6698" spans="1:38" x14ac:dyDescent="0.3">
      <c r="A6698" s="5"/>
      <c r="B6698" s="4"/>
      <c r="C6698" s="4"/>
      <c r="D6698" s="82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17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</row>
    <row r="6699" spans="1:38" x14ac:dyDescent="0.3">
      <c r="A6699" s="5"/>
      <c r="B6699" s="4"/>
      <c r="C6699" s="4"/>
      <c r="D6699" s="82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17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</row>
    <row r="6700" spans="1:38" x14ac:dyDescent="0.3">
      <c r="A6700" s="5"/>
      <c r="B6700" s="4"/>
      <c r="C6700" s="4"/>
      <c r="D6700" s="82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17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</row>
    <row r="6701" spans="1:38" x14ac:dyDescent="0.3">
      <c r="A6701" s="5"/>
      <c r="B6701" s="4"/>
      <c r="C6701" s="4"/>
      <c r="D6701" s="82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17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</row>
    <row r="6702" spans="1:38" x14ac:dyDescent="0.3">
      <c r="A6702" s="5"/>
      <c r="B6702" s="4"/>
      <c r="C6702" s="4"/>
      <c r="D6702" s="82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17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</row>
    <row r="6703" spans="1:38" x14ac:dyDescent="0.3">
      <c r="A6703" s="5"/>
      <c r="B6703" s="4"/>
      <c r="C6703" s="4"/>
      <c r="D6703" s="82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17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</row>
    <row r="6704" spans="1:38" x14ac:dyDescent="0.3">
      <c r="A6704" s="5"/>
      <c r="B6704" s="4"/>
      <c r="C6704" s="4"/>
      <c r="D6704" s="82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17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</row>
    <row r="6705" spans="1:38" x14ac:dyDescent="0.3">
      <c r="A6705" s="5"/>
      <c r="B6705" s="4"/>
      <c r="C6705" s="4"/>
      <c r="D6705" s="82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17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</row>
    <row r="6706" spans="1:38" x14ac:dyDescent="0.3">
      <c r="A6706" s="5"/>
      <c r="B6706" s="4"/>
      <c r="C6706" s="4"/>
      <c r="D6706" s="82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17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</row>
    <row r="6707" spans="1:38" x14ac:dyDescent="0.3">
      <c r="A6707" s="5"/>
      <c r="B6707" s="4"/>
      <c r="C6707" s="4"/>
      <c r="D6707" s="82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17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</row>
    <row r="6708" spans="1:38" x14ac:dyDescent="0.3">
      <c r="A6708" s="5"/>
      <c r="B6708" s="4"/>
      <c r="C6708" s="4"/>
      <c r="D6708" s="82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17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</row>
    <row r="6709" spans="1:38" x14ac:dyDescent="0.3">
      <c r="A6709" s="5"/>
      <c r="B6709" s="4"/>
      <c r="C6709" s="4"/>
      <c r="D6709" s="82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17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</row>
    <row r="6710" spans="1:38" x14ac:dyDescent="0.3">
      <c r="A6710" s="5"/>
      <c r="B6710" s="4"/>
      <c r="C6710" s="4"/>
      <c r="D6710" s="82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17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</row>
    <row r="6711" spans="1:38" x14ac:dyDescent="0.3">
      <c r="A6711" s="5"/>
      <c r="B6711" s="4"/>
      <c r="C6711" s="4"/>
      <c r="D6711" s="82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17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</row>
    <row r="6712" spans="1:38" x14ac:dyDescent="0.3">
      <c r="A6712" s="5"/>
      <c r="B6712" s="4"/>
      <c r="C6712" s="4"/>
      <c r="D6712" s="82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17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</row>
    <row r="6713" spans="1:38" x14ac:dyDescent="0.3">
      <c r="A6713" s="5"/>
      <c r="B6713" s="4"/>
      <c r="C6713" s="4"/>
      <c r="D6713" s="82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17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</row>
    <row r="6714" spans="1:38" x14ac:dyDescent="0.3">
      <c r="A6714" s="5"/>
      <c r="B6714" s="4"/>
      <c r="C6714" s="4"/>
      <c r="D6714" s="82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17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</row>
    <row r="6715" spans="1:38" x14ac:dyDescent="0.3">
      <c r="A6715" s="5"/>
      <c r="B6715" s="4"/>
      <c r="C6715" s="4"/>
      <c r="D6715" s="82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17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</row>
    <row r="6716" spans="1:38" x14ac:dyDescent="0.3">
      <c r="A6716" s="5"/>
      <c r="B6716" s="4"/>
      <c r="C6716" s="4"/>
      <c r="D6716" s="82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17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</row>
    <row r="6717" spans="1:38" x14ac:dyDescent="0.3">
      <c r="A6717" s="5"/>
      <c r="B6717" s="4"/>
      <c r="C6717" s="4"/>
      <c r="D6717" s="82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17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</row>
    <row r="6718" spans="1:38" x14ac:dyDescent="0.3">
      <c r="A6718" s="5"/>
      <c r="B6718" s="4"/>
      <c r="C6718" s="4"/>
      <c r="D6718" s="82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17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</row>
    <row r="6719" spans="1:38" x14ac:dyDescent="0.3">
      <c r="A6719" s="5"/>
      <c r="B6719" s="4"/>
      <c r="C6719" s="4"/>
      <c r="D6719" s="82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17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</row>
    <row r="6720" spans="1:38" x14ac:dyDescent="0.3">
      <c r="A6720" s="5"/>
      <c r="B6720" s="4"/>
      <c r="C6720" s="4"/>
      <c r="D6720" s="82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17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</row>
    <row r="6721" spans="1:38" x14ac:dyDescent="0.3">
      <c r="A6721" s="5"/>
      <c r="B6721" s="4"/>
      <c r="C6721" s="4"/>
      <c r="D6721" s="82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17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</row>
    <row r="6722" spans="1:38" x14ac:dyDescent="0.3">
      <c r="A6722" s="5"/>
      <c r="B6722" s="4"/>
      <c r="C6722" s="4"/>
      <c r="D6722" s="82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17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</row>
    <row r="6723" spans="1:38" x14ac:dyDescent="0.3">
      <c r="A6723" s="5"/>
      <c r="B6723" s="4"/>
      <c r="C6723" s="4"/>
      <c r="D6723" s="82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17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</row>
    <row r="6724" spans="1:38" x14ac:dyDescent="0.3">
      <c r="A6724" s="5"/>
      <c r="B6724" s="4"/>
      <c r="C6724" s="4"/>
      <c r="D6724" s="82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17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</row>
    <row r="6725" spans="1:38" x14ac:dyDescent="0.3">
      <c r="A6725" s="5"/>
      <c r="B6725" s="4"/>
      <c r="C6725" s="4"/>
      <c r="D6725" s="82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17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</row>
    <row r="6726" spans="1:38" x14ac:dyDescent="0.3">
      <c r="A6726" s="5"/>
      <c r="B6726" s="4"/>
      <c r="C6726" s="4"/>
      <c r="D6726" s="82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17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</row>
    <row r="6727" spans="1:38" x14ac:dyDescent="0.3">
      <c r="A6727" s="5"/>
      <c r="B6727" s="4"/>
      <c r="C6727" s="4"/>
      <c r="D6727" s="82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17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</row>
    <row r="6728" spans="1:38" x14ac:dyDescent="0.3">
      <c r="A6728" s="5"/>
      <c r="B6728" s="4"/>
      <c r="C6728" s="4"/>
      <c r="D6728" s="82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17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</row>
    <row r="6729" spans="1:38" x14ac:dyDescent="0.3">
      <c r="A6729" s="5"/>
      <c r="B6729" s="4"/>
      <c r="C6729" s="4"/>
      <c r="D6729" s="82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17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</row>
    <row r="6730" spans="1:38" x14ac:dyDescent="0.3">
      <c r="A6730" s="5"/>
      <c r="B6730" s="4"/>
      <c r="C6730" s="4"/>
      <c r="D6730" s="82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17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</row>
    <row r="6731" spans="1:38" x14ac:dyDescent="0.3">
      <c r="A6731" s="5"/>
      <c r="B6731" s="4"/>
      <c r="C6731" s="4"/>
      <c r="D6731" s="82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17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</row>
    <row r="6732" spans="1:38" x14ac:dyDescent="0.3">
      <c r="A6732" s="5"/>
      <c r="B6732" s="4"/>
      <c r="C6732" s="4"/>
      <c r="D6732" s="82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17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</row>
    <row r="6733" spans="1:38" x14ac:dyDescent="0.3">
      <c r="A6733" s="5"/>
      <c r="B6733" s="4"/>
      <c r="C6733" s="4"/>
      <c r="D6733" s="82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17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</row>
    <row r="6734" spans="1:38" x14ac:dyDescent="0.3">
      <c r="A6734" s="5"/>
      <c r="B6734" s="4"/>
      <c r="C6734" s="4"/>
      <c r="D6734" s="82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17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</row>
    <row r="6735" spans="1:38" x14ac:dyDescent="0.3">
      <c r="A6735" s="5"/>
      <c r="B6735" s="4"/>
      <c r="C6735" s="4"/>
      <c r="D6735" s="82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17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</row>
    <row r="6736" spans="1:38" x14ac:dyDescent="0.3">
      <c r="A6736" s="5"/>
      <c r="B6736" s="4"/>
      <c r="C6736" s="4"/>
      <c r="D6736" s="82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17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</row>
    <row r="6737" spans="1:38" x14ac:dyDescent="0.3">
      <c r="A6737" s="5"/>
      <c r="B6737" s="4"/>
      <c r="C6737" s="4"/>
      <c r="D6737" s="82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17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</row>
    <row r="6738" spans="1:38" x14ac:dyDescent="0.3">
      <c r="A6738" s="5"/>
      <c r="B6738" s="4"/>
      <c r="C6738" s="4"/>
      <c r="D6738" s="82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17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</row>
    <row r="6739" spans="1:38" x14ac:dyDescent="0.3">
      <c r="A6739" s="5"/>
      <c r="B6739" s="4"/>
      <c r="C6739" s="4"/>
      <c r="D6739" s="82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17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</row>
    <row r="6740" spans="1:38" x14ac:dyDescent="0.3">
      <c r="A6740" s="5"/>
      <c r="B6740" s="4"/>
      <c r="C6740" s="4"/>
      <c r="D6740" s="82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17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</row>
    <row r="6741" spans="1:38" x14ac:dyDescent="0.3">
      <c r="A6741" s="5"/>
      <c r="B6741" s="4"/>
      <c r="C6741" s="4"/>
      <c r="D6741" s="82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17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</row>
    <row r="6742" spans="1:38" x14ac:dyDescent="0.3">
      <c r="A6742" s="5"/>
      <c r="B6742" s="4"/>
      <c r="C6742" s="4"/>
      <c r="D6742" s="82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17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</row>
    <row r="6743" spans="1:38" x14ac:dyDescent="0.3">
      <c r="A6743" s="5"/>
      <c r="B6743" s="4"/>
      <c r="C6743" s="4"/>
      <c r="D6743" s="82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17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</row>
    <row r="6744" spans="1:38" x14ac:dyDescent="0.3">
      <c r="A6744" s="5"/>
      <c r="B6744" s="4"/>
      <c r="C6744" s="4"/>
      <c r="D6744" s="82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17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</row>
    <row r="6745" spans="1:38" x14ac:dyDescent="0.3">
      <c r="A6745" s="5"/>
      <c r="B6745" s="4"/>
      <c r="C6745" s="4"/>
      <c r="D6745" s="82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17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</row>
    <row r="6746" spans="1:38" x14ac:dyDescent="0.3">
      <c r="A6746" s="5"/>
      <c r="B6746" s="4"/>
      <c r="C6746" s="4"/>
      <c r="D6746" s="82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17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</row>
    <row r="6747" spans="1:38" x14ac:dyDescent="0.3">
      <c r="A6747" s="5"/>
      <c r="B6747" s="4"/>
      <c r="C6747" s="4"/>
      <c r="D6747" s="82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17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</row>
    <row r="6748" spans="1:38" x14ac:dyDescent="0.3">
      <c r="A6748" s="5"/>
      <c r="B6748" s="4"/>
      <c r="C6748" s="4"/>
      <c r="D6748" s="82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17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</row>
    <row r="6749" spans="1:38" x14ac:dyDescent="0.3">
      <c r="A6749" s="5"/>
      <c r="B6749" s="4"/>
      <c r="C6749" s="4"/>
      <c r="D6749" s="82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17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</row>
    <row r="6750" spans="1:38" x14ac:dyDescent="0.3">
      <c r="A6750" s="5"/>
      <c r="B6750" s="4"/>
      <c r="C6750" s="4"/>
      <c r="D6750" s="82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17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</row>
    <row r="6751" spans="1:38" x14ac:dyDescent="0.3">
      <c r="A6751" s="5"/>
      <c r="B6751" s="4"/>
      <c r="C6751" s="4"/>
      <c r="D6751" s="82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17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</row>
    <row r="6752" spans="1:38" x14ac:dyDescent="0.3">
      <c r="A6752" s="5"/>
      <c r="B6752" s="4"/>
      <c r="C6752" s="4"/>
      <c r="D6752" s="82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17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</row>
    <row r="6753" spans="1:38" x14ac:dyDescent="0.3">
      <c r="A6753" s="5"/>
      <c r="B6753" s="4"/>
      <c r="C6753" s="4"/>
      <c r="D6753" s="82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17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</row>
    <row r="6754" spans="1:38" x14ac:dyDescent="0.3">
      <c r="A6754" s="5"/>
      <c r="B6754" s="4"/>
      <c r="C6754" s="4"/>
      <c r="D6754" s="82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17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</row>
    <row r="6755" spans="1:38" x14ac:dyDescent="0.3">
      <c r="A6755" s="5"/>
      <c r="B6755" s="4"/>
      <c r="C6755" s="4"/>
      <c r="D6755" s="82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17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</row>
    <row r="6756" spans="1:38" x14ac:dyDescent="0.3">
      <c r="A6756" s="5"/>
      <c r="B6756" s="4"/>
      <c r="C6756" s="4"/>
      <c r="D6756" s="82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17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</row>
    <row r="6757" spans="1:38" x14ac:dyDescent="0.3">
      <c r="A6757" s="5"/>
      <c r="B6757" s="4"/>
      <c r="C6757" s="4"/>
      <c r="D6757" s="82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17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</row>
    <row r="6758" spans="1:38" x14ac:dyDescent="0.3">
      <c r="A6758" s="5"/>
      <c r="B6758" s="4"/>
      <c r="C6758" s="4"/>
      <c r="D6758" s="82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17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</row>
    <row r="6759" spans="1:38" x14ac:dyDescent="0.3">
      <c r="A6759" s="5"/>
      <c r="B6759" s="4"/>
      <c r="C6759" s="4"/>
      <c r="D6759" s="82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17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</row>
    <row r="6760" spans="1:38" x14ac:dyDescent="0.3">
      <c r="A6760" s="5"/>
      <c r="B6760" s="4"/>
      <c r="C6760" s="4"/>
      <c r="D6760" s="82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17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</row>
    <row r="6761" spans="1:38" x14ac:dyDescent="0.3">
      <c r="A6761" s="5"/>
      <c r="B6761" s="4"/>
      <c r="C6761" s="4"/>
      <c r="D6761" s="82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17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</row>
    <row r="6762" spans="1:38" x14ac:dyDescent="0.3">
      <c r="A6762" s="5"/>
      <c r="B6762" s="4"/>
      <c r="C6762" s="4"/>
      <c r="D6762" s="82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17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</row>
    <row r="6763" spans="1:38" x14ac:dyDescent="0.3">
      <c r="A6763" s="5"/>
      <c r="B6763" s="4"/>
      <c r="C6763" s="4"/>
      <c r="D6763" s="82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17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</row>
    <row r="6764" spans="1:38" x14ac:dyDescent="0.3">
      <c r="A6764" s="5"/>
      <c r="B6764" s="4"/>
      <c r="C6764" s="4"/>
      <c r="D6764" s="82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17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</row>
    <row r="6765" spans="1:38" x14ac:dyDescent="0.3">
      <c r="A6765" s="5"/>
      <c r="B6765" s="4"/>
      <c r="C6765" s="4"/>
      <c r="D6765" s="82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17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</row>
    <row r="6766" spans="1:38" x14ac:dyDescent="0.3">
      <c r="A6766" s="5"/>
      <c r="B6766" s="4"/>
      <c r="C6766" s="4"/>
      <c r="D6766" s="82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17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</row>
    <row r="6767" spans="1:38" x14ac:dyDescent="0.3">
      <c r="A6767" s="5"/>
      <c r="B6767" s="4"/>
      <c r="C6767" s="4"/>
      <c r="D6767" s="82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17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</row>
    <row r="6768" spans="1:38" x14ac:dyDescent="0.3">
      <c r="A6768" s="5"/>
      <c r="B6768" s="4"/>
      <c r="C6768" s="4"/>
      <c r="D6768" s="82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17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</row>
    <row r="6769" spans="1:38" x14ac:dyDescent="0.3">
      <c r="A6769" s="5"/>
      <c r="B6769" s="4"/>
      <c r="C6769" s="4"/>
      <c r="D6769" s="82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17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</row>
    <row r="6770" spans="1:38" x14ac:dyDescent="0.3">
      <c r="A6770" s="5"/>
      <c r="B6770" s="4"/>
      <c r="C6770" s="4"/>
      <c r="D6770" s="82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17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</row>
    <row r="6771" spans="1:38" x14ac:dyDescent="0.3">
      <c r="A6771" s="5"/>
      <c r="B6771" s="4"/>
      <c r="C6771" s="4"/>
      <c r="D6771" s="82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17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</row>
    <row r="6772" spans="1:38" x14ac:dyDescent="0.3">
      <c r="A6772" s="5"/>
      <c r="B6772" s="4"/>
      <c r="C6772" s="4"/>
      <c r="D6772" s="82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17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</row>
    <row r="6773" spans="1:38" x14ac:dyDescent="0.3">
      <c r="A6773" s="5"/>
      <c r="B6773" s="4"/>
      <c r="C6773" s="4"/>
      <c r="D6773" s="82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17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</row>
    <row r="6774" spans="1:38" x14ac:dyDescent="0.3">
      <c r="A6774" s="5"/>
      <c r="B6774" s="4"/>
      <c r="C6774" s="4"/>
      <c r="D6774" s="82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17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</row>
    <row r="6775" spans="1:38" x14ac:dyDescent="0.3">
      <c r="A6775" s="5"/>
      <c r="B6775" s="4"/>
      <c r="C6775" s="4"/>
      <c r="D6775" s="82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17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</row>
    <row r="6776" spans="1:38" x14ac:dyDescent="0.3">
      <c r="A6776" s="5"/>
      <c r="B6776" s="4"/>
      <c r="C6776" s="4"/>
      <c r="D6776" s="82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17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</row>
    <row r="6777" spans="1:38" x14ac:dyDescent="0.3">
      <c r="A6777" s="5"/>
      <c r="B6777" s="4"/>
      <c r="C6777" s="4"/>
      <c r="D6777" s="82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17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</row>
    <row r="6778" spans="1:38" x14ac:dyDescent="0.3">
      <c r="A6778" s="5"/>
      <c r="B6778" s="4"/>
      <c r="C6778" s="4"/>
      <c r="D6778" s="82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17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</row>
    <row r="6779" spans="1:38" x14ac:dyDescent="0.3">
      <c r="A6779" s="5"/>
      <c r="B6779" s="4"/>
      <c r="C6779" s="4"/>
      <c r="D6779" s="82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17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</row>
    <row r="6780" spans="1:38" x14ac:dyDescent="0.3">
      <c r="A6780" s="5"/>
      <c r="B6780" s="4"/>
      <c r="C6780" s="4"/>
      <c r="D6780" s="82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17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</row>
    <row r="6781" spans="1:38" x14ac:dyDescent="0.3">
      <c r="A6781" s="5"/>
      <c r="B6781" s="4"/>
      <c r="C6781" s="4"/>
      <c r="D6781" s="82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17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</row>
    <row r="6782" spans="1:38" x14ac:dyDescent="0.3">
      <c r="A6782" s="5"/>
      <c r="B6782" s="4"/>
      <c r="C6782" s="4"/>
      <c r="D6782" s="82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17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</row>
    <row r="6783" spans="1:38" x14ac:dyDescent="0.3">
      <c r="A6783" s="5"/>
      <c r="B6783" s="4"/>
      <c r="C6783" s="4"/>
      <c r="D6783" s="82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17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</row>
    <row r="6784" spans="1:38" x14ac:dyDescent="0.3">
      <c r="A6784" s="5"/>
      <c r="B6784" s="4"/>
      <c r="C6784" s="4"/>
      <c r="D6784" s="82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17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</row>
    <row r="6785" spans="1:38" x14ac:dyDescent="0.3">
      <c r="A6785" s="5"/>
      <c r="B6785" s="4"/>
      <c r="C6785" s="4"/>
      <c r="D6785" s="82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17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</row>
    <row r="6786" spans="1:38" x14ac:dyDescent="0.3">
      <c r="A6786" s="5"/>
      <c r="B6786" s="4"/>
      <c r="C6786" s="4"/>
      <c r="D6786" s="82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17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</row>
    <row r="6787" spans="1:38" x14ac:dyDescent="0.3">
      <c r="A6787" s="5"/>
      <c r="B6787" s="4"/>
      <c r="C6787" s="4"/>
      <c r="D6787" s="82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17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</row>
    <row r="6788" spans="1:38" x14ac:dyDescent="0.3">
      <c r="A6788" s="5"/>
      <c r="B6788" s="4"/>
      <c r="C6788" s="4"/>
      <c r="D6788" s="82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17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</row>
    <row r="6789" spans="1:38" x14ac:dyDescent="0.3">
      <c r="A6789" s="5"/>
      <c r="B6789" s="4"/>
      <c r="C6789" s="4"/>
      <c r="D6789" s="82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17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</row>
    <row r="6790" spans="1:38" x14ac:dyDescent="0.3">
      <c r="A6790" s="5"/>
      <c r="B6790" s="4"/>
      <c r="C6790" s="4"/>
      <c r="D6790" s="82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17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</row>
    <row r="6791" spans="1:38" x14ac:dyDescent="0.3">
      <c r="A6791" s="5"/>
      <c r="B6791" s="4"/>
      <c r="C6791" s="4"/>
      <c r="D6791" s="82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17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</row>
    <row r="6792" spans="1:38" x14ac:dyDescent="0.3">
      <c r="A6792" s="5"/>
      <c r="B6792" s="4"/>
      <c r="C6792" s="4"/>
      <c r="D6792" s="82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17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</row>
    <row r="6793" spans="1:38" x14ac:dyDescent="0.3">
      <c r="A6793" s="5"/>
      <c r="B6793" s="4"/>
      <c r="C6793" s="4"/>
      <c r="D6793" s="82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17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</row>
    <row r="6794" spans="1:38" x14ac:dyDescent="0.3">
      <c r="A6794" s="5"/>
      <c r="B6794" s="4"/>
      <c r="C6794" s="4"/>
      <c r="D6794" s="82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17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</row>
    <row r="6795" spans="1:38" x14ac:dyDescent="0.3">
      <c r="A6795" s="5"/>
      <c r="B6795" s="4"/>
      <c r="C6795" s="4"/>
      <c r="D6795" s="82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17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</row>
    <row r="6796" spans="1:38" x14ac:dyDescent="0.3">
      <c r="A6796" s="5"/>
      <c r="B6796" s="4"/>
      <c r="C6796" s="4"/>
      <c r="D6796" s="82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17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</row>
    <row r="6797" spans="1:38" x14ac:dyDescent="0.3">
      <c r="A6797" s="5"/>
      <c r="B6797" s="4"/>
      <c r="C6797" s="4"/>
      <c r="D6797" s="82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17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</row>
    <row r="6798" spans="1:38" x14ac:dyDescent="0.3">
      <c r="A6798" s="5"/>
      <c r="B6798" s="4"/>
      <c r="C6798" s="4"/>
      <c r="D6798" s="82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17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</row>
    <row r="6799" spans="1:38" x14ac:dyDescent="0.3">
      <c r="A6799" s="5"/>
      <c r="B6799" s="4"/>
      <c r="C6799" s="4"/>
      <c r="D6799" s="82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17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</row>
    <row r="6800" spans="1:38" x14ac:dyDescent="0.3">
      <c r="A6800" s="5"/>
      <c r="B6800" s="4"/>
      <c r="C6800" s="4"/>
      <c r="D6800" s="82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17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</row>
    <row r="6801" spans="1:38" x14ac:dyDescent="0.3">
      <c r="A6801" s="5"/>
      <c r="B6801" s="4"/>
      <c r="C6801" s="4"/>
      <c r="D6801" s="82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17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</row>
    <row r="6802" spans="1:38" x14ac:dyDescent="0.3">
      <c r="A6802" s="5"/>
      <c r="B6802" s="4"/>
      <c r="C6802" s="4"/>
      <c r="D6802" s="82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17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</row>
    <row r="6803" spans="1:38" x14ac:dyDescent="0.3">
      <c r="A6803" s="5"/>
      <c r="B6803" s="4"/>
      <c r="C6803" s="4"/>
      <c r="D6803" s="82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17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</row>
    <row r="6804" spans="1:38" x14ac:dyDescent="0.3">
      <c r="A6804" s="5"/>
      <c r="B6804" s="4"/>
      <c r="C6804" s="4"/>
      <c r="D6804" s="82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17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</row>
    <row r="6805" spans="1:38" x14ac:dyDescent="0.3">
      <c r="A6805" s="5"/>
      <c r="B6805" s="4"/>
      <c r="C6805" s="4"/>
      <c r="D6805" s="82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17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</row>
    <row r="6806" spans="1:38" x14ac:dyDescent="0.3">
      <c r="A6806" s="5"/>
      <c r="B6806" s="4"/>
      <c r="C6806" s="4"/>
      <c r="D6806" s="82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17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</row>
    <row r="6807" spans="1:38" x14ac:dyDescent="0.3">
      <c r="A6807" s="5"/>
      <c r="B6807" s="4"/>
      <c r="C6807" s="4"/>
      <c r="D6807" s="82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17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</row>
    <row r="6808" spans="1:38" x14ac:dyDescent="0.3">
      <c r="A6808" s="5"/>
      <c r="B6808" s="4"/>
      <c r="C6808" s="4"/>
      <c r="D6808" s="82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17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</row>
    <row r="6809" spans="1:38" x14ac:dyDescent="0.3">
      <c r="A6809" s="5"/>
      <c r="B6809" s="4"/>
      <c r="C6809" s="4"/>
      <c r="D6809" s="82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17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</row>
    <row r="6810" spans="1:38" x14ac:dyDescent="0.3">
      <c r="A6810" s="5"/>
      <c r="B6810" s="4"/>
      <c r="C6810" s="4"/>
      <c r="D6810" s="82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17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</row>
    <row r="6811" spans="1:38" x14ac:dyDescent="0.3">
      <c r="A6811" s="5"/>
      <c r="B6811" s="4"/>
      <c r="C6811" s="4"/>
      <c r="D6811" s="82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17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</row>
    <row r="6812" spans="1:38" x14ac:dyDescent="0.3">
      <c r="A6812" s="5"/>
      <c r="B6812" s="4"/>
      <c r="C6812" s="4"/>
      <c r="D6812" s="82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17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</row>
    <row r="6813" spans="1:38" x14ac:dyDescent="0.3">
      <c r="A6813" s="5"/>
      <c r="B6813" s="4"/>
      <c r="C6813" s="4"/>
      <c r="D6813" s="82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17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</row>
    <row r="6814" spans="1:38" x14ac:dyDescent="0.3">
      <c r="A6814" s="5"/>
      <c r="B6814" s="4"/>
      <c r="C6814" s="4"/>
      <c r="D6814" s="82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17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</row>
    <row r="6815" spans="1:38" x14ac:dyDescent="0.3">
      <c r="A6815" s="5"/>
      <c r="B6815" s="4"/>
      <c r="C6815" s="4"/>
      <c r="D6815" s="82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17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</row>
    <row r="6816" spans="1:38" x14ac:dyDescent="0.3">
      <c r="A6816" s="5"/>
      <c r="B6816" s="4"/>
      <c r="C6816" s="4"/>
      <c r="D6816" s="82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17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</row>
    <row r="6817" spans="1:38" x14ac:dyDescent="0.3">
      <c r="A6817" s="5"/>
      <c r="B6817" s="4"/>
      <c r="C6817" s="4"/>
      <c r="D6817" s="82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17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</row>
    <row r="6818" spans="1:38" x14ac:dyDescent="0.3">
      <c r="A6818" s="5"/>
      <c r="B6818" s="4"/>
      <c r="C6818" s="4"/>
      <c r="D6818" s="82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17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</row>
    <row r="6819" spans="1:38" x14ac:dyDescent="0.3">
      <c r="A6819" s="5"/>
      <c r="B6819" s="4"/>
      <c r="C6819" s="4"/>
      <c r="D6819" s="82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17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</row>
    <row r="6820" spans="1:38" x14ac:dyDescent="0.3">
      <c r="A6820" s="5"/>
      <c r="B6820" s="4"/>
      <c r="C6820" s="4"/>
      <c r="D6820" s="82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17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</row>
    <row r="6821" spans="1:38" x14ac:dyDescent="0.3">
      <c r="A6821" s="5"/>
      <c r="B6821" s="4"/>
      <c r="C6821" s="4"/>
      <c r="D6821" s="82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17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</row>
    <row r="6822" spans="1:38" x14ac:dyDescent="0.3">
      <c r="A6822" s="5"/>
      <c r="B6822" s="4"/>
      <c r="C6822" s="4"/>
      <c r="D6822" s="82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17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</row>
    <row r="6823" spans="1:38" x14ac:dyDescent="0.3">
      <c r="A6823" s="5"/>
      <c r="B6823" s="4"/>
      <c r="C6823" s="4"/>
      <c r="D6823" s="82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17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</row>
    <row r="6824" spans="1:38" x14ac:dyDescent="0.3">
      <c r="A6824" s="5"/>
      <c r="B6824" s="4"/>
      <c r="C6824" s="4"/>
      <c r="D6824" s="82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17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</row>
    <row r="6825" spans="1:38" x14ac:dyDescent="0.3">
      <c r="A6825" s="5"/>
      <c r="B6825" s="4"/>
      <c r="C6825" s="4"/>
      <c r="D6825" s="82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17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</row>
    <row r="6826" spans="1:38" x14ac:dyDescent="0.3">
      <c r="A6826" s="5"/>
      <c r="B6826" s="4"/>
      <c r="C6826" s="4"/>
      <c r="D6826" s="82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17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</row>
    <row r="6827" spans="1:38" x14ac:dyDescent="0.3">
      <c r="A6827" s="5"/>
      <c r="B6827" s="4"/>
      <c r="C6827" s="4"/>
      <c r="D6827" s="82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17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</row>
    <row r="6828" spans="1:38" x14ac:dyDescent="0.3">
      <c r="A6828" s="5"/>
      <c r="B6828" s="4"/>
      <c r="C6828" s="4"/>
      <c r="D6828" s="82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17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</row>
    <row r="6829" spans="1:38" x14ac:dyDescent="0.3">
      <c r="A6829" s="5"/>
      <c r="B6829" s="4"/>
      <c r="C6829" s="4"/>
      <c r="D6829" s="82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17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</row>
    <row r="6830" spans="1:38" x14ac:dyDescent="0.3">
      <c r="A6830" s="5"/>
      <c r="B6830" s="4"/>
      <c r="C6830" s="4"/>
      <c r="D6830" s="82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17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</row>
    <row r="6831" spans="1:38" x14ac:dyDescent="0.3">
      <c r="A6831" s="5"/>
      <c r="B6831" s="4"/>
      <c r="C6831" s="4"/>
      <c r="D6831" s="82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17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</row>
    <row r="6832" spans="1:38" x14ac:dyDescent="0.3">
      <c r="A6832" s="5"/>
      <c r="B6832" s="4"/>
      <c r="C6832" s="4"/>
      <c r="D6832" s="82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17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</row>
    <row r="6833" spans="1:38" x14ac:dyDescent="0.3">
      <c r="A6833" s="5"/>
      <c r="B6833" s="4"/>
      <c r="C6833" s="4"/>
      <c r="D6833" s="82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17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</row>
    <row r="6834" spans="1:38" x14ac:dyDescent="0.3">
      <c r="A6834" s="5"/>
      <c r="B6834" s="4"/>
      <c r="C6834" s="4"/>
      <c r="D6834" s="82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17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</row>
    <row r="6835" spans="1:38" x14ac:dyDescent="0.3">
      <c r="A6835" s="5"/>
      <c r="B6835" s="4"/>
      <c r="C6835" s="4"/>
      <c r="D6835" s="82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17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</row>
    <row r="6836" spans="1:38" x14ac:dyDescent="0.3">
      <c r="A6836" s="5"/>
      <c r="B6836" s="4"/>
      <c r="C6836" s="4"/>
      <c r="D6836" s="82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17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</row>
    <row r="6837" spans="1:38" x14ac:dyDescent="0.3">
      <c r="A6837" s="5"/>
      <c r="B6837" s="4"/>
      <c r="C6837" s="4"/>
      <c r="D6837" s="82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17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</row>
    <row r="6838" spans="1:38" x14ac:dyDescent="0.3">
      <c r="A6838" s="5"/>
      <c r="B6838" s="4"/>
      <c r="C6838" s="4"/>
      <c r="D6838" s="82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17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</row>
    <row r="6839" spans="1:38" x14ac:dyDescent="0.3">
      <c r="A6839" s="5"/>
      <c r="B6839" s="4"/>
      <c r="C6839" s="4"/>
      <c r="D6839" s="82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17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</row>
    <row r="6840" spans="1:38" x14ac:dyDescent="0.3">
      <c r="A6840" s="5"/>
      <c r="B6840" s="4"/>
      <c r="C6840" s="4"/>
      <c r="D6840" s="82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17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</row>
    <row r="6841" spans="1:38" x14ac:dyDescent="0.3">
      <c r="A6841" s="5"/>
      <c r="B6841" s="4"/>
      <c r="C6841" s="4"/>
      <c r="D6841" s="82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17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</row>
    <row r="6842" spans="1:38" x14ac:dyDescent="0.3">
      <c r="A6842" s="5"/>
      <c r="B6842" s="4"/>
      <c r="C6842" s="4"/>
      <c r="D6842" s="82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17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</row>
    <row r="6843" spans="1:38" x14ac:dyDescent="0.3">
      <c r="A6843" s="5"/>
      <c r="B6843" s="4"/>
      <c r="C6843" s="4"/>
      <c r="D6843" s="82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17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</row>
    <row r="6844" spans="1:38" x14ac:dyDescent="0.3">
      <c r="A6844" s="5"/>
      <c r="B6844" s="4"/>
      <c r="C6844" s="4"/>
      <c r="D6844" s="82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17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</row>
    <row r="6845" spans="1:38" x14ac:dyDescent="0.3">
      <c r="A6845" s="5"/>
      <c r="B6845" s="4"/>
      <c r="C6845" s="4"/>
      <c r="D6845" s="82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17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</row>
    <row r="6846" spans="1:38" x14ac:dyDescent="0.3">
      <c r="A6846" s="5"/>
      <c r="B6846" s="4"/>
      <c r="C6846" s="4"/>
      <c r="D6846" s="82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17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</row>
    <row r="6847" spans="1:38" x14ac:dyDescent="0.3">
      <c r="A6847" s="5"/>
      <c r="B6847" s="4"/>
      <c r="C6847" s="4"/>
      <c r="D6847" s="82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17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</row>
    <row r="6848" spans="1:38" x14ac:dyDescent="0.3">
      <c r="A6848" s="5"/>
      <c r="B6848" s="4"/>
      <c r="C6848" s="4"/>
      <c r="D6848" s="82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17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</row>
    <row r="6849" spans="1:38" x14ac:dyDescent="0.3">
      <c r="A6849" s="5"/>
      <c r="B6849" s="4"/>
      <c r="C6849" s="4"/>
      <c r="D6849" s="82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17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</row>
    <row r="6850" spans="1:38" x14ac:dyDescent="0.3">
      <c r="A6850" s="5"/>
      <c r="B6850" s="4"/>
      <c r="C6850" s="4"/>
      <c r="D6850" s="82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17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</row>
    <row r="6851" spans="1:38" x14ac:dyDescent="0.3">
      <c r="A6851" s="5"/>
      <c r="B6851" s="4"/>
      <c r="C6851" s="4"/>
      <c r="D6851" s="82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17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</row>
    <row r="6852" spans="1:38" x14ac:dyDescent="0.3">
      <c r="A6852" s="5"/>
      <c r="B6852" s="4"/>
      <c r="C6852" s="4"/>
      <c r="D6852" s="82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17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</row>
    <row r="6853" spans="1:38" x14ac:dyDescent="0.3">
      <c r="A6853" s="5"/>
      <c r="B6853" s="4"/>
      <c r="C6853" s="4"/>
      <c r="D6853" s="82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17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</row>
    <row r="6854" spans="1:38" x14ac:dyDescent="0.3">
      <c r="A6854" s="5"/>
      <c r="B6854" s="4"/>
      <c r="C6854" s="4"/>
      <c r="D6854" s="82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17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</row>
    <row r="6855" spans="1:38" x14ac:dyDescent="0.3">
      <c r="A6855" s="5"/>
      <c r="B6855" s="4"/>
      <c r="C6855" s="4"/>
      <c r="D6855" s="82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17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</row>
    <row r="6856" spans="1:38" x14ac:dyDescent="0.3">
      <c r="A6856" s="5"/>
      <c r="B6856" s="4"/>
      <c r="C6856" s="4"/>
      <c r="D6856" s="82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17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</row>
    <row r="6857" spans="1:38" x14ac:dyDescent="0.3">
      <c r="A6857" s="5"/>
      <c r="B6857" s="4"/>
      <c r="C6857" s="4"/>
      <c r="D6857" s="82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17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</row>
    <row r="6858" spans="1:38" x14ac:dyDescent="0.3">
      <c r="A6858" s="5"/>
      <c r="B6858" s="4"/>
      <c r="C6858" s="4"/>
      <c r="D6858" s="82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17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</row>
    <row r="6859" spans="1:38" x14ac:dyDescent="0.3">
      <c r="A6859" s="5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17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</row>
    <row r="6860" spans="1:38" x14ac:dyDescent="0.3">
      <c r="A6860" s="5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17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</row>
    <row r="6861" spans="1:38" x14ac:dyDescent="0.3">
      <c r="A6861" s="5"/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17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</row>
    <row r="6862" spans="1:38" x14ac:dyDescent="0.3">
      <c r="A6862" s="5"/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17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</row>
    <row r="6863" spans="1:38" ht="27.6" x14ac:dyDescent="0.3">
      <c r="A6863" s="5">
        <v>1</v>
      </c>
      <c r="B6863" s="4"/>
      <c r="C6863" s="4"/>
      <c r="D6863" s="82" t="s">
        <v>210</v>
      </c>
      <c r="E6863" s="82" t="s">
        <v>204</v>
      </c>
      <c r="F6863" s="82" t="s">
        <v>205</v>
      </c>
      <c r="G6863" s="4"/>
      <c r="H6863" s="4" t="s">
        <v>256</v>
      </c>
      <c r="I6863" s="4" t="s">
        <v>202</v>
      </c>
      <c r="J6863" s="4"/>
      <c r="K6863" s="8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17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</row>
    <row r="6864" spans="1:38" ht="27.6" x14ac:dyDescent="0.3">
      <c r="A6864" s="5">
        <v>2</v>
      </c>
      <c r="B6864" s="4"/>
      <c r="C6864" s="4"/>
      <c r="D6864" s="82" t="s">
        <v>210</v>
      </c>
      <c r="E6864" s="82" t="s">
        <v>204</v>
      </c>
      <c r="F6864" s="82" t="s">
        <v>206</v>
      </c>
      <c r="G6864" s="4"/>
      <c r="H6864" s="4" t="s">
        <v>238</v>
      </c>
      <c r="I6864" s="4" t="s">
        <v>202</v>
      </c>
      <c r="J6864" s="4"/>
      <c r="K6864" s="8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17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</row>
    <row r="6865" spans="1:38" ht="27.6" x14ac:dyDescent="0.3">
      <c r="A6865" s="5">
        <v>3</v>
      </c>
      <c r="B6865" s="4"/>
      <c r="C6865" s="4"/>
      <c r="D6865" s="82" t="s">
        <v>210</v>
      </c>
      <c r="E6865" s="82" t="s">
        <v>204</v>
      </c>
      <c r="F6865" s="82" t="s">
        <v>207</v>
      </c>
      <c r="G6865" s="4"/>
      <c r="H6865" s="4" t="s">
        <v>237</v>
      </c>
      <c r="I6865" s="4" t="s">
        <v>202</v>
      </c>
      <c r="J6865" s="4"/>
      <c r="K6865" s="8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17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</row>
    <row r="6866" spans="1:38" ht="27.6" x14ac:dyDescent="0.3">
      <c r="A6866" s="5">
        <v>4</v>
      </c>
      <c r="B6866" s="4"/>
      <c r="C6866" s="4"/>
      <c r="D6866" s="82" t="s">
        <v>210</v>
      </c>
      <c r="E6866" s="82" t="s">
        <v>204</v>
      </c>
      <c r="F6866" s="82" t="s">
        <v>208</v>
      </c>
      <c r="G6866" s="4"/>
      <c r="H6866" s="4" t="s">
        <v>241</v>
      </c>
      <c r="I6866" s="4" t="s">
        <v>202</v>
      </c>
      <c r="J6866" s="4"/>
      <c r="K6866" s="8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17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</row>
    <row r="6867" spans="1:38" ht="27.6" x14ac:dyDescent="0.3">
      <c r="A6867" s="5">
        <v>5</v>
      </c>
      <c r="B6867" s="4"/>
      <c r="C6867" s="4"/>
      <c r="D6867" s="82" t="s">
        <v>210</v>
      </c>
      <c r="E6867" s="82" t="s">
        <v>204</v>
      </c>
      <c r="F6867" s="82" t="s">
        <v>209</v>
      </c>
      <c r="G6867" s="4"/>
      <c r="H6867" s="4" t="s">
        <v>239</v>
      </c>
      <c r="I6867" s="4" t="s">
        <v>202</v>
      </c>
      <c r="J6867" s="4"/>
      <c r="K6867" s="8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17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</row>
    <row r="6868" spans="1:38" ht="27.6" x14ac:dyDescent="0.3">
      <c r="A6868" s="5">
        <v>6</v>
      </c>
      <c r="B6868" s="4"/>
      <c r="C6868" s="4"/>
      <c r="D6868" s="82" t="s">
        <v>210</v>
      </c>
      <c r="E6868" s="82">
        <v>34</v>
      </c>
      <c r="F6868" s="82" t="s">
        <v>200</v>
      </c>
      <c r="G6868" s="4"/>
      <c r="H6868" s="4" t="s">
        <v>240</v>
      </c>
      <c r="I6868" s="4" t="s">
        <v>202</v>
      </c>
      <c r="J6868" s="4"/>
      <c r="K6868" s="8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17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</row>
    <row r="6869" spans="1:38" ht="47.25" customHeight="1" x14ac:dyDescent="0.3">
      <c r="A6869" s="5">
        <v>7</v>
      </c>
      <c r="B6869" s="4"/>
      <c r="C6869" s="4"/>
      <c r="D6869" s="82" t="s">
        <v>212</v>
      </c>
      <c r="E6869" s="82" t="s">
        <v>211</v>
      </c>
      <c r="F6869" s="82" t="s">
        <v>200</v>
      </c>
      <c r="G6869" s="82"/>
      <c r="H6869" s="4" t="s">
        <v>247</v>
      </c>
      <c r="I6869" s="4" t="s">
        <v>202</v>
      </c>
      <c r="J6869" s="4"/>
      <c r="K6869" s="8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17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</row>
    <row r="6870" spans="1:38" ht="27.6" x14ac:dyDescent="0.3">
      <c r="A6870" s="5">
        <v>8</v>
      </c>
      <c r="B6870" s="4"/>
      <c r="C6870" s="4"/>
      <c r="D6870" s="82" t="s">
        <v>213</v>
      </c>
      <c r="E6870" s="82">
        <v>6</v>
      </c>
      <c r="F6870" s="82" t="s">
        <v>200</v>
      </c>
      <c r="G6870" s="82"/>
      <c r="H6870" s="4" t="s">
        <v>242</v>
      </c>
      <c r="I6870" s="4" t="s">
        <v>202</v>
      </c>
      <c r="J6870" s="4"/>
      <c r="K6870" s="8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17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</row>
    <row r="6871" spans="1:38" x14ac:dyDescent="0.3">
      <c r="A6871" s="5">
        <v>9</v>
      </c>
      <c r="B6871" s="83"/>
      <c r="C6871" s="83"/>
      <c r="D6871" s="82" t="s">
        <v>214</v>
      </c>
      <c r="E6871" s="82">
        <v>10</v>
      </c>
      <c r="F6871" s="82" t="s">
        <v>200</v>
      </c>
      <c r="G6871" s="82"/>
      <c r="H6871" s="4" t="s">
        <v>243</v>
      </c>
      <c r="I6871" s="4" t="s">
        <v>202</v>
      </c>
      <c r="J6871" s="83"/>
      <c r="K6871" s="85"/>
      <c r="L6871" s="83"/>
      <c r="M6871" s="83"/>
      <c r="N6871" s="83"/>
      <c r="O6871" s="83"/>
      <c r="P6871" s="83"/>
      <c r="Q6871" s="83"/>
      <c r="R6871" s="83"/>
      <c r="S6871" s="83"/>
      <c r="T6871" s="83"/>
      <c r="U6871" s="4"/>
      <c r="V6871" s="4"/>
      <c r="W6871" s="4"/>
      <c r="X6871" s="4"/>
      <c r="Y6871" s="4"/>
      <c r="Z6871" s="17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</row>
    <row r="6872" spans="1:38" x14ac:dyDescent="0.3">
      <c r="A6872" s="5">
        <v>10</v>
      </c>
      <c r="B6872" s="83"/>
      <c r="C6872" s="83"/>
      <c r="D6872" s="82" t="s">
        <v>214</v>
      </c>
      <c r="E6872" s="82">
        <v>10</v>
      </c>
      <c r="F6872" s="82" t="s">
        <v>205</v>
      </c>
      <c r="G6872" s="82"/>
      <c r="H6872" s="4" t="s">
        <v>244</v>
      </c>
      <c r="I6872" s="4" t="s">
        <v>202</v>
      </c>
      <c r="J6872" s="83"/>
      <c r="K6872" s="85"/>
      <c r="L6872" s="83"/>
      <c r="M6872" s="83"/>
      <c r="N6872" s="83"/>
      <c r="O6872" s="83"/>
      <c r="P6872" s="83"/>
      <c r="Q6872" s="83"/>
      <c r="R6872" s="83"/>
      <c r="S6872" s="83"/>
      <c r="T6872" s="83"/>
      <c r="U6872" s="4"/>
      <c r="V6872" s="4"/>
      <c r="W6872" s="4"/>
      <c r="X6872" s="4"/>
      <c r="Y6872" s="4"/>
      <c r="Z6872" s="17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</row>
    <row r="6873" spans="1:38" x14ac:dyDescent="0.3">
      <c r="A6873" s="5">
        <v>11</v>
      </c>
      <c r="B6873" s="83"/>
      <c r="C6873" s="83"/>
      <c r="D6873" s="82" t="s">
        <v>214</v>
      </c>
      <c r="E6873" s="82" t="s">
        <v>215</v>
      </c>
      <c r="F6873" s="82" t="s">
        <v>200</v>
      </c>
      <c r="G6873" s="4"/>
      <c r="H6873" s="4" t="s">
        <v>253</v>
      </c>
      <c r="I6873" s="4" t="s">
        <v>202</v>
      </c>
      <c r="J6873" s="83"/>
      <c r="K6873" s="85"/>
      <c r="L6873" s="83"/>
      <c r="M6873" s="83"/>
      <c r="N6873" s="83"/>
      <c r="O6873" s="83"/>
      <c r="P6873" s="83"/>
      <c r="Q6873" s="83"/>
      <c r="R6873" s="83"/>
      <c r="S6873" s="83"/>
      <c r="T6873" s="83"/>
      <c r="U6873" s="4"/>
      <c r="V6873" s="4"/>
      <c r="W6873" s="4"/>
      <c r="X6873" s="4"/>
      <c r="Y6873" s="4"/>
      <c r="Z6873" s="17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</row>
    <row r="6874" spans="1:38" x14ac:dyDescent="0.3">
      <c r="A6874" s="5">
        <v>12</v>
      </c>
      <c r="B6874" s="86"/>
      <c r="C6874" s="86"/>
      <c r="D6874" s="82" t="s">
        <v>214</v>
      </c>
      <c r="E6874" s="82">
        <v>8</v>
      </c>
      <c r="F6874" s="82" t="s">
        <v>200</v>
      </c>
      <c r="G6874" s="4"/>
      <c r="H6874" s="4" t="s">
        <v>245</v>
      </c>
      <c r="I6874" s="4" t="s">
        <v>202</v>
      </c>
      <c r="J6874" s="83"/>
      <c r="K6874" s="85"/>
      <c r="L6874" s="83"/>
      <c r="M6874" s="83"/>
      <c r="N6874" s="83"/>
      <c r="O6874" s="83"/>
      <c r="P6874" s="83"/>
      <c r="Q6874" s="83"/>
      <c r="R6874" s="83"/>
      <c r="S6874" s="83"/>
      <c r="T6874" s="83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</row>
    <row r="6875" spans="1:38" x14ac:dyDescent="0.3">
      <c r="A6875" s="5">
        <v>13</v>
      </c>
      <c r="B6875" s="87"/>
      <c r="C6875" s="87"/>
      <c r="D6875" s="82" t="s">
        <v>216</v>
      </c>
      <c r="E6875" s="87">
        <v>2</v>
      </c>
      <c r="F6875" s="87" t="s">
        <v>200</v>
      </c>
      <c r="G6875" s="87"/>
      <c r="H6875" s="4" t="s">
        <v>257</v>
      </c>
      <c r="I6875" s="4" t="s">
        <v>202</v>
      </c>
      <c r="J6875" s="4"/>
      <c r="K6875" s="33"/>
      <c r="L6875" s="33"/>
      <c r="M6875" s="33"/>
      <c r="N6875" s="33"/>
      <c r="O6875" s="33"/>
      <c r="P6875" s="33"/>
      <c r="Q6875" s="33"/>
      <c r="R6875" s="33"/>
      <c r="S6875" s="33"/>
      <c r="T6875" s="33"/>
      <c r="U6875" s="33"/>
      <c r="V6875" s="33"/>
      <c r="W6875" s="33"/>
      <c r="X6875" s="33"/>
      <c r="Y6875" s="33"/>
      <c r="Z6875" s="33"/>
      <c r="AA6875" s="33"/>
      <c r="AB6875" s="33"/>
      <c r="AC6875" s="33"/>
      <c r="AD6875" s="33"/>
      <c r="AE6875" s="33"/>
      <c r="AF6875" s="33"/>
      <c r="AG6875" s="33"/>
      <c r="AH6875" s="33"/>
      <c r="AI6875" s="33"/>
      <c r="AJ6875" s="33"/>
      <c r="AK6875" s="33"/>
      <c r="AL6875" s="33"/>
    </row>
    <row r="6876" spans="1:38" x14ac:dyDescent="0.3">
      <c r="A6876" s="5">
        <v>14</v>
      </c>
      <c r="B6876" s="4"/>
      <c r="C6876" s="4"/>
      <c r="D6876" s="82" t="s">
        <v>218</v>
      </c>
      <c r="E6876" s="82">
        <v>4</v>
      </c>
      <c r="F6876" s="82" t="s">
        <v>217</v>
      </c>
      <c r="G6876" s="4"/>
      <c r="H6876" s="4" t="s">
        <v>246</v>
      </c>
      <c r="I6876" s="4" t="s">
        <v>202</v>
      </c>
      <c r="J6876" s="4"/>
    </row>
    <row r="6877" spans="1:38" x14ac:dyDescent="0.3">
      <c r="A6877" s="5">
        <v>15</v>
      </c>
      <c r="B6877" s="4"/>
      <c r="C6877" s="4"/>
      <c r="D6877" s="82" t="s">
        <v>218</v>
      </c>
      <c r="E6877" s="82">
        <v>4</v>
      </c>
      <c r="F6877" s="82" t="s">
        <v>209</v>
      </c>
      <c r="G6877" s="4"/>
      <c r="H6877" s="4" t="s">
        <v>248</v>
      </c>
      <c r="I6877" s="4" t="s">
        <v>202</v>
      </c>
      <c r="J6877" s="4"/>
    </row>
    <row r="6878" spans="1:38" x14ac:dyDescent="0.3">
      <c r="A6878" s="5">
        <v>16</v>
      </c>
      <c r="B6878" s="4"/>
      <c r="C6878" s="4"/>
      <c r="D6878" s="82" t="s">
        <v>219</v>
      </c>
      <c r="E6878" s="82">
        <v>13</v>
      </c>
      <c r="F6878" s="82" t="s">
        <v>200</v>
      </c>
      <c r="G6878" s="4"/>
      <c r="H6878" s="4" t="s">
        <v>258</v>
      </c>
      <c r="I6878" s="4" t="s">
        <v>202</v>
      </c>
      <c r="J6878" s="4"/>
    </row>
    <row r="6879" spans="1:38" x14ac:dyDescent="0.3">
      <c r="A6879" s="5">
        <v>17</v>
      </c>
      <c r="B6879" s="4"/>
      <c r="C6879" s="4"/>
      <c r="D6879" s="82" t="s">
        <v>219</v>
      </c>
      <c r="E6879" s="82" t="s">
        <v>220</v>
      </c>
      <c r="F6879" s="82" t="s">
        <v>200</v>
      </c>
      <c r="G6879" s="4"/>
      <c r="H6879" s="4" t="s">
        <v>249</v>
      </c>
      <c r="I6879" s="4" t="s">
        <v>202</v>
      </c>
      <c r="J6879" s="4"/>
    </row>
    <row r="6880" spans="1:38" ht="27.6" x14ac:dyDescent="0.3">
      <c r="A6880" s="5">
        <v>18</v>
      </c>
      <c r="B6880" s="4"/>
      <c r="C6880" s="4"/>
      <c r="D6880" s="82" t="s">
        <v>221</v>
      </c>
      <c r="E6880" s="82">
        <v>7</v>
      </c>
      <c r="F6880" s="82" t="s">
        <v>200</v>
      </c>
      <c r="G6880" s="4"/>
      <c r="H6880" s="4" t="s">
        <v>250</v>
      </c>
      <c r="I6880" s="4" t="s">
        <v>202</v>
      </c>
      <c r="J6880" s="4"/>
    </row>
    <row r="6881" spans="1:10" ht="27.6" x14ac:dyDescent="0.3">
      <c r="A6881" s="5">
        <v>19</v>
      </c>
      <c r="B6881" s="4"/>
      <c r="C6881" s="4"/>
      <c r="D6881" s="82" t="s">
        <v>222</v>
      </c>
      <c r="E6881" s="82">
        <v>10</v>
      </c>
      <c r="F6881" s="82" t="s">
        <v>200</v>
      </c>
      <c r="G6881" s="4"/>
      <c r="H6881" s="4" t="s">
        <v>251</v>
      </c>
      <c r="I6881" s="4" t="s">
        <v>202</v>
      </c>
      <c r="J6881" s="4"/>
    </row>
    <row r="6882" spans="1:10" ht="27.6" x14ac:dyDescent="0.3">
      <c r="A6882" s="5">
        <v>20</v>
      </c>
      <c r="B6882" s="4"/>
      <c r="C6882" s="4"/>
      <c r="D6882" s="82" t="s">
        <v>222</v>
      </c>
      <c r="E6882" s="82">
        <v>34</v>
      </c>
      <c r="F6882" s="82" t="s">
        <v>200</v>
      </c>
      <c r="G6882" s="4"/>
      <c r="H6882" s="4" t="s">
        <v>259</v>
      </c>
      <c r="I6882" s="4" t="s">
        <v>202</v>
      </c>
      <c r="J6882" s="4"/>
    </row>
    <row r="6883" spans="1:10" ht="27.6" x14ac:dyDescent="0.3">
      <c r="A6883" s="5">
        <v>21</v>
      </c>
      <c r="B6883" s="4"/>
      <c r="C6883" s="4"/>
      <c r="D6883" s="82" t="s">
        <v>222</v>
      </c>
      <c r="E6883" s="82">
        <v>5</v>
      </c>
      <c r="F6883" s="82" t="s">
        <v>200</v>
      </c>
      <c r="G6883" s="4"/>
      <c r="H6883" s="4" t="s">
        <v>252</v>
      </c>
      <c r="I6883" s="4" t="s">
        <v>226</v>
      </c>
      <c r="J6883" s="4"/>
    </row>
    <row r="6884" spans="1:10" ht="27.6" x14ac:dyDescent="0.3">
      <c r="A6884" s="5">
        <v>22</v>
      </c>
      <c r="B6884" s="4"/>
      <c r="C6884" s="4"/>
      <c r="D6884" s="82" t="s">
        <v>222</v>
      </c>
      <c r="E6884" s="82">
        <v>5</v>
      </c>
      <c r="F6884" s="82" t="s">
        <v>205</v>
      </c>
      <c r="G6884" s="4"/>
      <c r="H6884" s="4" t="s">
        <v>260</v>
      </c>
      <c r="I6884" s="4" t="s">
        <v>226</v>
      </c>
      <c r="J6884" s="4"/>
    </row>
    <row r="6885" spans="1:10" ht="27.6" x14ac:dyDescent="0.3">
      <c r="A6885" s="5">
        <v>23</v>
      </c>
      <c r="B6885" s="4"/>
      <c r="C6885" s="4"/>
      <c r="D6885" s="82" t="s">
        <v>222</v>
      </c>
      <c r="E6885" s="82" t="s">
        <v>223</v>
      </c>
      <c r="F6885" s="82" t="s">
        <v>200</v>
      </c>
      <c r="G6885" s="4"/>
      <c r="H6885" s="4" t="s">
        <v>254</v>
      </c>
      <c r="I6885" s="4" t="s">
        <v>202</v>
      </c>
      <c r="J6885" s="84"/>
    </row>
    <row r="6886" spans="1:10" ht="27.6" x14ac:dyDescent="0.3">
      <c r="A6886" s="5">
        <v>24</v>
      </c>
      <c r="B6886" s="4"/>
      <c r="C6886" s="4"/>
      <c r="D6886" s="82" t="s">
        <v>225</v>
      </c>
      <c r="E6886" s="82" t="s">
        <v>224</v>
      </c>
      <c r="F6886" s="82" t="s">
        <v>200</v>
      </c>
      <c r="G6886" s="4"/>
      <c r="H6886" s="4" t="s">
        <v>255</v>
      </c>
      <c r="I6886" s="4" t="s">
        <v>202</v>
      </c>
      <c r="J6886" s="84"/>
    </row>
    <row r="6887" spans="1:10" ht="27.6" x14ac:dyDescent="0.3">
      <c r="A6887" s="5">
        <v>25</v>
      </c>
      <c r="B6887" s="4"/>
      <c r="C6887" s="4"/>
      <c r="D6887" s="82" t="s">
        <v>225</v>
      </c>
      <c r="E6887" s="82">
        <v>6</v>
      </c>
      <c r="F6887" s="82" t="s">
        <v>200</v>
      </c>
      <c r="G6887" s="4"/>
      <c r="H6887" s="4" t="s">
        <v>261</v>
      </c>
      <c r="I6887" s="4" t="s">
        <v>202</v>
      </c>
      <c r="J6887" s="84"/>
    </row>
    <row r="6888" spans="1:10" ht="27.6" x14ac:dyDescent="0.3">
      <c r="A6888" s="5">
        <v>26</v>
      </c>
      <c r="B6888" s="4"/>
      <c r="C6888" s="4"/>
      <c r="D6888" s="82" t="s">
        <v>227</v>
      </c>
      <c r="E6888" s="82">
        <v>39</v>
      </c>
      <c r="F6888" s="82" t="s">
        <v>200</v>
      </c>
      <c r="G6888" s="4"/>
      <c r="H6888" s="4" t="s">
        <v>262</v>
      </c>
      <c r="I6888" s="4" t="s">
        <v>202</v>
      </c>
    </row>
    <row r="6889" spans="1:10" ht="27.6" x14ac:dyDescent="0.3">
      <c r="A6889" s="5">
        <v>27</v>
      </c>
      <c r="B6889" s="4"/>
      <c r="C6889" s="4"/>
      <c r="D6889" s="82" t="s">
        <v>227</v>
      </c>
      <c r="E6889" s="82">
        <v>44</v>
      </c>
      <c r="F6889" s="82" t="s">
        <v>200</v>
      </c>
      <c r="G6889" s="4"/>
      <c r="H6889" s="4" t="s">
        <v>263</v>
      </c>
      <c r="I6889" s="4" t="s">
        <v>228</v>
      </c>
    </row>
    <row r="6890" spans="1:10" ht="27.6" x14ac:dyDescent="0.3">
      <c r="A6890" s="5">
        <v>28</v>
      </c>
      <c r="B6890" s="4"/>
      <c r="C6890" s="4"/>
      <c r="D6890" s="82" t="s">
        <v>227</v>
      </c>
      <c r="E6890" s="82">
        <v>48</v>
      </c>
      <c r="F6890" s="82" t="s">
        <v>206</v>
      </c>
      <c r="G6890" s="4"/>
      <c r="H6890" s="4" t="s">
        <v>264</v>
      </c>
      <c r="I6890" s="4" t="s">
        <v>228</v>
      </c>
    </row>
    <row r="6891" spans="1:10" ht="41.4" x14ac:dyDescent="0.3">
      <c r="A6891" s="5">
        <v>29</v>
      </c>
      <c r="B6891" s="4"/>
      <c r="C6891" s="4"/>
      <c r="D6891" s="82" t="s">
        <v>229</v>
      </c>
      <c r="E6891" s="82">
        <v>11</v>
      </c>
      <c r="F6891" s="82" t="s">
        <v>200</v>
      </c>
      <c r="G6891" s="4"/>
      <c r="H6891" s="4" t="s">
        <v>265</v>
      </c>
      <c r="I6891" s="4" t="s">
        <v>202</v>
      </c>
    </row>
    <row r="6892" spans="1:10" ht="41.4" x14ac:dyDescent="0.3">
      <c r="A6892" s="5">
        <v>30</v>
      </c>
      <c r="B6892" s="4"/>
      <c r="C6892" s="4"/>
      <c r="D6892" s="82" t="s">
        <v>229</v>
      </c>
      <c r="E6892" s="82">
        <v>19</v>
      </c>
      <c r="F6892" s="82" t="s">
        <v>200</v>
      </c>
      <c r="G6892" s="4"/>
      <c r="H6892" s="4" t="s">
        <v>266</v>
      </c>
      <c r="I6892" s="4" t="s">
        <v>202</v>
      </c>
    </row>
    <row r="6893" spans="1:10" ht="41.4" x14ac:dyDescent="0.3">
      <c r="A6893" s="5">
        <v>31</v>
      </c>
      <c r="B6893" s="4"/>
      <c r="C6893" s="4"/>
      <c r="D6893" s="82" t="s">
        <v>229</v>
      </c>
      <c r="E6893" s="82">
        <v>3</v>
      </c>
      <c r="F6893" s="82" t="s">
        <v>200</v>
      </c>
      <c r="G6893" s="4"/>
      <c r="H6893" s="4" t="s">
        <v>267</v>
      </c>
      <c r="I6893" s="4" t="s">
        <v>202</v>
      </c>
    </row>
    <row r="6894" spans="1:10" ht="27.6" x14ac:dyDescent="0.3">
      <c r="A6894" s="5">
        <v>32</v>
      </c>
      <c r="B6894" s="4"/>
      <c r="C6894" s="4"/>
      <c r="D6894" s="82" t="s">
        <v>230</v>
      </c>
      <c r="E6894" s="82" t="s">
        <v>231</v>
      </c>
      <c r="F6894" s="82" t="s">
        <v>200</v>
      </c>
      <c r="G6894" s="4"/>
      <c r="H6894" s="4" t="s">
        <v>268</v>
      </c>
      <c r="I6894" s="4" t="s">
        <v>202</v>
      </c>
    </row>
    <row r="6895" spans="1:10" ht="27.6" x14ac:dyDescent="0.3">
      <c r="A6895" s="5">
        <v>33</v>
      </c>
      <c r="B6895" s="4"/>
      <c r="C6895" s="4"/>
      <c r="D6895" s="82" t="s">
        <v>230</v>
      </c>
      <c r="E6895" s="82">
        <v>71</v>
      </c>
      <c r="F6895" s="82" t="s">
        <v>200</v>
      </c>
      <c r="G6895" s="4"/>
      <c r="H6895" s="4" t="s">
        <v>269</v>
      </c>
      <c r="I6895" s="4" t="s">
        <v>202</v>
      </c>
    </row>
    <row r="6896" spans="1:10" ht="27.6" x14ac:dyDescent="0.3">
      <c r="A6896" s="5">
        <v>34</v>
      </c>
      <c r="B6896" s="4"/>
      <c r="C6896" s="4"/>
      <c r="D6896" s="82" t="s">
        <v>230</v>
      </c>
      <c r="E6896" s="82">
        <v>74</v>
      </c>
      <c r="F6896" s="82" t="s">
        <v>200</v>
      </c>
      <c r="G6896" s="4"/>
      <c r="H6896" s="4" t="s">
        <v>270</v>
      </c>
      <c r="I6896" s="4" t="s">
        <v>202</v>
      </c>
    </row>
    <row r="6897" spans="1:17" ht="27.6" x14ac:dyDescent="0.3">
      <c r="A6897" s="5">
        <v>35</v>
      </c>
      <c r="B6897" s="4"/>
      <c r="C6897" s="4"/>
      <c r="D6897" s="82" t="s">
        <v>230</v>
      </c>
      <c r="E6897" s="82">
        <v>79</v>
      </c>
      <c r="F6897" s="82" t="s">
        <v>200</v>
      </c>
      <c r="G6897" s="4"/>
      <c r="H6897" s="4" t="s">
        <v>271</v>
      </c>
      <c r="I6897" s="4" t="s">
        <v>202</v>
      </c>
    </row>
    <row r="6898" spans="1:17" ht="27.6" x14ac:dyDescent="0.3">
      <c r="A6898" s="5">
        <v>36</v>
      </c>
      <c r="B6898" s="4"/>
      <c r="C6898" s="4"/>
      <c r="D6898" s="82" t="s">
        <v>230</v>
      </c>
      <c r="E6898" s="82" t="s">
        <v>232</v>
      </c>
      <c r="F6898" s="82" t="s">
        <v>200</v>
      </c>
      <c r="G6898" s="4"/>
      <c r="H6898" s="4" t="s">
        <v>272</v>
      </c>
      <c r="I6898" s="4" t="s">
        <v>202</v>
      </c>
    </row>
    <row r="6899" spans="1:17" x14ac:dyDescent="0.3">
      <c r="A6899" s="5"/>
      <c r="B6899" s="4"/>
      <c r="C6899" s="4"/>
      <c r="D6899" s="82"/>
      <c r="E6899" s="82"/>
      <c r="F6899" s="82"/>
      <c r="G6899" s="4"/>
      <c r="H6899" s="4"/>
      <c r="I6899" s="4"/>
    </row>
    <row r="6900" spans="1:17" x14ac:dyDescent="0.3">
      <c r="A6900" s="5">
        <v>37</v>
      </c>
      <c r="B6900" s="4"/>
      <c r="C6900" s="4"/>
      <c r="D6900" s="82" t="s">
        <v>233</v>
      </c>
      <c r="E6900" s="82">
        <v>3</v>
      </c>
      <c r="F6900" s="82" t="s">
        <v>205</v>
      </c>
      <c r="G6900" s="4"/>
      <c r="H6900" s="4" t="s">
        <v>273</v>
      </c>
      <c r="I6900" s="4" t="s">
        <v>202</v>
      </c>
    </row>
    <row r="6901" spans="1:17" ht="41.4" x14ac:dyDescent="0.3">
      <c r="A6901" s="5">
        <v>38</v>
      </c>
      <c r="B6901" s="4"/>
      <c r="C6901" s="4"/>
      <c r="D6901" s="82" t="s">
        <v>234</v>
      </c>
      <c r="E6901" s="82">
        <v>13</v>
      </c>
      <c r="F6901" s="82" t="s">
        <v>200</v>
      </c>
      <c r="G6901" s="4"/>
      <c r="H6901" s="4" t="s">
        <v>275</v>
      </c>
      <c r="I6901" s="4" t="s">
        <v>202</v>
      </c>
    </row>
    <row r="6902" spans="1:17" x14ac:dyDescent="0.3">
      <c r="A6902" s="5">
        <v>39</v>
      </c>
      <c r="B6902" s="4"/>
      <c r="C6902" s="4"/>
      <c r="D6902" s="82" t="s">
        <v>236</v>
      </c>
      <c r="E6902" s="82" t="s">
        <v>235</v>
      </c>
      <c r="F6902" s="82" t="s">
        <v>200</v>
      </c>
      <c r="G6902" s="4"/>
      <c r="H6902" s="4" t="s">
        <v>274</v>
      </c>
      <c r="I6902" s="4" t="s">
        <v>276</v>
      </c>
    </row>
    <row r="6903" spans="1:17" x14ac:dyDescent="0.3">
      <c r="A6903" s="5">
        <v>40</v>
      </c>
      <c r="B6903" s="4"/>
      <c r="C6903" s="4"/>
      <c r="D6903" s="82" t="s">
        <v>236</v>
      </c>
      <c r="E6903" s="82" t="s">
        <v>235</v>
      </c>
      <c r="F6903" s="82" t="s">
        <v>205</v>
      </c>
      <c r="G6903" s="4"/>
      <c r="H6903" s="4" t="s">
        <v>277</v>
      </c>
      <c r="I6903" s="4" t="s">
        <v>276</v>
      </c>
    </row>
    <row r="6904" spans="1:17" x14ac:dyDescent="0.3">
      <c r="A6904" s="5">
        <v>41</v>
      </c>
      <c r="B6904" s="4"/>
      <c r="C6904" s="4"/>
      <c r="D6904" s="82" t="s">
        <v>236</v>
      </c>
      <c r="E6904" s="82" t="s">
        <v>235</v>
      </c>
      <c r="F6904" s="82" t="s">
        <v>206</v>
      </c>
      <c r="G6904" s="4"/>
      <c r="H6904" s="4" t="s">
        <v>278</v>
      </c>
      <c r="I6904" s="4" t="s">
        <v>276</v>
      </c>
    </row>
    <row r="6905" spans="1:17" x14ac:dyDescent="0.3">
      <c r="A6905" s="5">
        <v>42</v>
      </c>
      <c r="B6905" s="4"/>
      <c r="C6905" s="4"/>
      <c r="D6905" s="82" t="s">
        <v>236</v>
      </c>
      <c r="E6905" s="82">
        <v>6</v>
      </c>
      <c r="F6905" s="82" t="s">
        <v>200</v>
      </c>
      <c r="G6905" s="4"/>
      <c r="H6905" s="4" t="s">
        <v>280</v>
      </c>
      <c r="I6905" s="4" t="s">
        <v>228</v>
      </c>
      <c r="P6905" s="1" t="s">
        <v>280</v>
      </c>
      <c r="Q6905" s="1" t="s">
        <v>228</v>
      </c>
    </row>
    <row r="6906" spans="1:17" x14ac:dyDescent="0.3">
      <c r="A6906" s="5">
        <v>43</v>
      </c>
      <c r="B6906" s="4"/>
      <c r="C6906" s="4"/>
      <c r="D6906" s="82" t="s">
        <v>281</v>
      </c>
      <c r="E6906" s="82">
        <v>10</v>
      </c>
      <c r="F6906" s="82" t="s">
        <v>200</v>
      </c>
      <c r="G6906" s="4"/>
      <c r="H6906" s="4" t="s">
        <v>282</v>
      </c>
      <c r="I6906" s="4" t="s">
        <v>202</v>
      </c>
      <c r="P6906" s="1" t="s">
        <v>302</v>
      </c>
      <c r="Q6906" s="4" t="s">
        <v>202</v>
      </c>
    </row>
    <row r="6907" spans="1:17" x14ac:dyDescent="0.3">
      <c r="A6907" s="5">
        <v>44</v>
      </c>
      <c r="B6907" s="4"/>
      <c r="C6907" s="4"/>
      <c r="D6907" s="82" t="s">
        <v>281</v>
      </c>
      <c r="E6907" s="82">
        <v>13</v>
      </c>
      <c r="F6907" s="82" t="s">
        <v>200</v>
      </c>
      <c r="G6907" s="4"/>
      <c r="H6907" s="4" t="s">
        <v>279</v>
      </c>
      <c r="I6907" s="4" t="s">
        <v>276</v>
      </c>
      <c r="P6907" s="4" t="s">
        <v>274</v>
      </c>
      <c r="Q6907" s="4" t="s">
        <v>276</v>
      </c>
    </row>
    <row r="6908" spans="1:17" ht="78" x14ac:dyDescent="0.3">
      <c r="A6908" s="5">
        <v>45</v>
      </c>
      <c r="B6908" s="4"/>
      <c r="C6908" s="4"/>
      <c r="D6908" s="82" t="s">
        <v>283</v>
      </c>
      <c r="E6908" s="82">
        <v>3</v>
      </c>
      <c r="F6908" s="82" t="s">
        <v>200</v>
      </c>
      <c r="G6908" s="4"/>
      <c r="H6908" s="4" t="s">
        <v>284</v>
      </c>
      <c r="I6908" s="4" t="s">
        <v>202</v>
      </c>
      <c r="P6908" s="1" t="s">
        <v>303</v>
      </c>
      <c r="Q6908" s="3" t="s">
        <v>301</v>
      </c>
    </row>
    <row r="6909" spans="1:17" ht="62.4" x14ac:dyDescent="0.3">
      <c r="A6909" s="5">
        <v>46</v>
      </c>
      <c r="B6909" s="4"/>
      <c r="C6909" s="4"/>
      <c r="D6909" s="82" t="s">
        <v>283</v>
      </c>
      <c r="E6909" s="82">
        <v>5</v>
      </c>
      <c r="F6909" s="82" t="s">
        <v>200</v>
      </c>
      <c r="G6909" s="4"/>
      <c r="H6909" s="4" t="s">
        <v>285</v>
      </c>
      <c r="I6909" s="4" t="s">
        <v>202</v>
      </c>
      <c r="P6909" s="1" t="s">
        <v>433</v>
      </c>
      <c r="Q6909" s="11" t="s">
        <v>432</v>
      </c>
    </row>
    <row r="6910" spans="1:17" ht="31.2" x14ac:dyDescent="0.3">
      <c r="A6910" s="5">
        <v>47</v>
      </c>
      <c r="B6910" s="4"/>
      <c r="C6910" s="4"/>
      <c r="D6910" s="82" t="s">
        <v>286</v>
      </c>
      <c r="E6910" s="82">
        <v>2</v>
      </c>
      <c r="F6910" s="82" t="s">
        <v>200</v>
      </c>
      <c r="G6910" s="4"/>
      <c r="H6910" s="4" t="s">
        <v>287</v>
      </c>
      <c r="I6910" s="4" t="s">
        <v>202</v>
      </c>
      <c r="P6910" s="88" t="s">
        <v>444</v>
      </c>
      <c r="Q6910" s="3" t="s">
        <v>443</v>
      </c>
    </row>
    <row r="6911" spans="1:17" x14ac:dyDescent="0.3">
      <c r="A6911" s="5">
        <v>48</v>
      </c>
      <c r="B6911" s="4"/>
      <c r="C6911" s="4"/>
      <c r="D6911" s="82" t="s">
        <v>288</v>
      </c>
      <c r="E6911" s="82">
        <v>12</v>
      </c>
      <c r="F6911" s="82" t="s">
        <v>200</v>
      </c>
      <c r="G6911" s="4"/>
      <c r="H6911" s="4" t="s">
        <v>289</v>
      </c>
      <c r="I6911" s="4" t="s">
        <v>202</v>
      </c>
    </row>
    <row r="6912" spans="1:17" x14ac:dyDescent="0.3">
      <c r="A6912" s="5">
        <v>49</v>
      </c>
      <c r="B6912" s="4"/>
      <c r="C6912" s="4"/>
      <c r="D6912" s="82" t="s">
        <v>288</v>
      </c>
      <c r="E6912" s="82">
        <v>22</v>
      </c>
      <c r="F6912" s="82" t="s">
        <v>200</v>
      </c>
      <c r="G6912" s="4"/>
      <c r="H6912" s="4" t="s">
        <v>290</v>
      </c>
      <c r="I6912" s="4" t="s">
        <v>202</v>
      </c>
    </row>
    <row r="6913" spans="1:9" x14ac:dyDescent="0.3">
      <c r="A6913" s="5">
        <v>50</v>
      </c>
      <c r="B6913" s="4"/>
      <c r="C6913" s="4"/>
      <c r="D6913" s="82" t="s">
        <v>288</v>
      </c>
      <c r="E6913" s="82">
        <v>23</v>
      </c>
      <c r="F6913" s="82" t="s">
        <v>200</v>
      </c>
      <c r="G6913" s="4"/>
      <c r="H6913" s="4" t="s">
        <v>291</v>
      </c>
      <c r="I6913" s="4" t="s">
        <v>202</v>
      </c>
    </row>
    <row r="6914" spans="1:9" x14ac:dyDescent="0.3">
      <c r="A6914" s="5">
        <v>51</v>
      </c>
      <c r="B6914" s="4"/>
      <c r="C6914" s="4"/>
      <c r="D6914" s="82" t="s">
        <v>288</v>
      </c>
      <c r="E6914" s="82">
        <v>4</v>
      </c>
      <c r="F6914" s="82" t="s">
        <v>200</v>
      </c>
      <c r="G6914" s="4"/>
      <c r="H6914" s="4" t="s">
        <v>292</v>
      </c>
      <c r="I6914" s="4" t="s">
        <v>202</v>
      </c>
    </row>
    <row r="6915" spans="1:9" ht="27.6" x14ac:dyDescent="0.3">
      <c r="A6915" s="5">
        <v>52</v>
      </c>
      <c r="B6915" s="4"/>
      <c r="C6915" s="4"/>
      <c r="D6915" s="82" t="s">
        <v>293</v>
      </c>
      <c r="E6915" s="82">
        <v>19</v>
      </c>
      <c r="F6915" s="82" t="s">
        <v>200</v>
      </c>
      <c r="G6915" s="4"/>
      <c r="H6915" s="4" t="s">
        <v>294</v>
      </c>
      <c r="I6915" s="4" t="s">
        <v>202</v>
      </c>
    </row>
    <row r="6916" spans="1:9" ht="27.6" x14ac:dyDescent="0.3">
      <c r="A6916" s="5">
        <v>53</v>
      </c>
      <c r="B6916" s="4"/>
      <c r="C6916" s="4"/>
      <c r="D6916" s="82" t="s">
        <v>293</v>
      </c>
      <c r="E6916" s="82">
        <v>2</v>
      </c>
      <c r="F6916" s="82" t="s">
        <v>200</v>
      </c>
      <c r="G6916" s="82"/>
      <c r="H6916" s="4" t="s">
        <v>296</v>
      </c>
      <c r="I6916" s="4" t="s">
        <v>202</v>
      </c>
    </row>
    <row r="6917" spans="1:9" ht="27.6" x14ac:dyDescent="0.3">
      <c r="A6917" s="5">
        <v>54</v>
      </c>
      <c r="B6917" s="4"/>
      <c r="C6917" s="4"/>
      <c r="D6917" s="82" t="s">
        <v>293</v>
      </c>
      <c r="E6917" s="82" t="s">
        <v>295</v>
      </c>
      <c r="F6917" s="82" t="s">
        <v>200</v>
      </c>
      <c r="G6917" s="82"/>
      <c r="H6917" s="4" t="s">
        <v>297</v>
      </c>
      <c r="I6917" s="4" t="s">
        <v>202</v>
      </c>
    </row>
    <row r="6918" spans="1:9" ht="27.6" x14ac:dyDescent="0.3">
      <c r="A6918" s="5">
        <v>55</v>
      </c>
      <c r="B6918" s="4"/>
      <c r="C6918" s="4"/>
      <c r="D6918" s="82" t="s">
        <v>293</v>
      </c>
      <c r="E6918" s="82" t="s">
        <v>295</v>
      </c>
      <c r="F6918" s="82" t="s">
        <v>206</v>
      </c>
      <c r="G6918" s="82"/>
      <c r="H6918" s="4" t="s">
        <v>298</v>
      </c>
      <c r="I6918" s="4" t="s">
        <v>202</v>
      </c>
    </row>
    <row r="6919" spans="1:9" x14ac:dyDescent="0.3">
      <c r="A6919" s="5">
        <v>56</v>
      </c>
      <c r="B6919" s="4"/>
      <c r="C6919" s="4"/>
      <c r="D6919" s="82" t="s">
        <v>299</v>
      </c>
      <c r="E6919" s="82">
        <v>10</v>
      </c>
      <c r="F6919" s="82" t="s">
        <v>200</v>
      </c>
      <c r="G6919" s="4"/>
      <c r="H6919" s="4" t="s">
        <v>302</v>
      </c>
      <c r="I6919" s="4" t="s">
        <v>202</v>
      </c>
    </row>
    <row r="6920" spans="1:9" ht="46.8" x14ac:dyDescent="0.3">
      <c r="A6920" s="5">
        <v>57</v>
      </c>
      <c r="B6920" s="4"/>
      <c r="C6920" s="4"/>
      <c r="D6920" s="82" t="s">
        <v>300</v>
      </c>
      <c r="E6920" s="82">
        <v>18</v>
      </c>
      <c r="F6920" s="82" t="s">
        <v>200</v>
      </c>
      <c r="G6920" s="4"/>
      <c r="H6920" s="4" t="s">
        <v>303</v>
      </c>
      <c r="I6920" s="11" t="s">
        <v>301</v>
      </c>
    </row>
    <row r="6921" spans="1:9" x14ac:dyDescent="0.3">
      <c r="A6921" s="5">
        <v>58</v>
      </c>
      <c r="B6921" s="4"/>
      <c r="C6921" s="4"/>
      <c r="D6921" s="82" t="s">
        <v>300</v>
      </c>
      <c r="E6921" s="82">
        <v>22</v>
      </c>
      <c r="F6921" s="82" t="s">
        <v>200</v>
      </c>
      <c r="G6921" s="4"/>
      <c r="H6921" s="4" t="s">
        <v>304</v>
      </c>
      <c r="I6921" s="4" t="s">
        <v>202</v>
      </c>
    </row>
    <row r="6922" spans="1:9" x14ac:dyDescent="0.3">
      <c r="A6922" s="5">
        <v>59</v>
      </c>
      <c r="B6922" s="4"/>
      <c r="C6922" s="4"/>
      <c r="D6922" s="82" t="s">
        <v>300</v>
      </c>
      <c r="E6922" s="82">
        <v>31</v>
      </c>
      <c r="F6922" s="82" t="s">
        <v>200</v>
      </c>
      <c r="G6922" s="4"/>
      <c r="H6922" s="4" t="s">
        <v>305</v>
      </c>
      <c r="I6922" s="4" t="s">
        <v>202</v>
      </c>
    </row>
    <row r="6923" spans="1:9" x14ac:dyDescent="0.3">
      <c r="A6923" s="5">
        <v>60</v>
      </c>
      <c r="B6923" s="4"/>
      <c r="C6923" s="4"/>
      <c r="D6923" s="82" t="s">
        <v>300</v>
      </c>
      <c r="E6923" s="82">
        <v>5</v>
      </c>
      <c r="F6923" s="82" t="s">
        <v>205</v>
      </c>
      <c r="G6923" s="4"/>
      <c r="H6923" s="4" t="s">
        <v>306</v>
      </c>
      <c r="I6923" s="4" t="s">
        <v>202</v>
      </c>
    </row>
    <row r="6924" spans="1:9" ht="27.6" x14ac:dyDescent="0.3">
      <c r="A6924" s="5">
        <v>61</v>
      </c>
      <c r="B6924" s="4"/>
      <c r="C6924" s="4"/>
      <c r="D6924" s="82" t="s">
        <v>203</v>
      </c>
      <c r="E6924" s="82" t="s">
        <v>307</v>
      </c>
      <c r="F6924" s="82" t="s">
        <v>200</v>
      </c>
      <c r="G6924" s="4"/>
      <c r="H6924" s="4" t="s">
        <v>310</v>
      </c>
      <c r="I6924" s="4" t="s">
        <v>202</v>
      </c>
    </row>
    <row r="6925" spans="1:9" ht="27.6" x14ac:dyDescent="0.3">
      <c r="A6925" s="5">
        <v>62</v>
      </c>
      <c r="B6925" s="4"/>
      <c r="C6925" s="4"/>
      <c r="D6925" s="82" t="s">
        <v>203</v>
      </c>
      <c r="E6925" s="82" t="s">
        <v>308</v>
      </c>
      <c r="F6925" s="82" t="s">
        <v>200</v>
      </c>
      <c r="G6925" s="4"/>
      <c r="H6925" s="4" t="s">
        <v>311</v>
      </c>
      <c r="I6925" s="4" t="s">
        <v>202</v>
      </c>
    </row>
    <row r="6926" spans="1:9" ht="27.6" x14ac:dyDescent="0.3">
      <c r="A6926" s="5">
        <v>63</v>
      </c>
      <c r="B6926" s="4"/>
      <c r="C6926" s="4"/>
      <c r="D6926" s="82" t="s">
        <v>203</v>
      </c>
      <c r="E6926" s="82" t="s">
        <v>308</v>
      </c>
      <c r="F6926" s="82" t="s">
        <v>206</v>
      </c>
      <c r="G6926" s="4"/>
      <c r="H6926" s="4" t="s">
        <v>312</v>
      </c>
      <c r="I6926" s="4" t="s">
        <v>202</v>
      </c>
    </row>
    <row r="6927" spans="1:9" ht="27.6" x14ac:dyDescent="0.3">
      <c r="A6927" s="5">
        <v>64</v>
      </c>
      <c r="B6927" s="4"/>
      <c r="C6927" s="4"/>
      <c r="D6927" s="82" t="s">
        <v>203</v>
      </c>
      <c r="E6927" s="82">
        <v>27</v>
      </c>
      <c r="F6927" s="82" t="s">
        <v>205</v>
      </c>
      <c r="G6927" s="4"/>
      <c r="H6927" s="4" t="s">
        <v>313</v>
      </c>
      <c r="I6927" s="4" t="s">
        <v>202</v>
      </c>
    </row>
    <row r="6928" spans="1:9" ht="27.6" x14ac:dyDescent="0.3">
      <c r="A6928" s="5">
        <v>65</v>
      </c>
      <c r="B6928" s="4"/>
      <c r="C6928" s="4"/>
      <c r="D6928" s="82" t="s">
        <v>203</v>
      </c>
      <c r="E6928" s="82">
        <v>2</v>
      </c>
      <c r="F6928" s="82" t="s">
        <v>200</v>
      </c>
      <c r="G6928" s="4"/>
      <c r="H6928" s="4" t="s">
        <v>314</v>
      </c>
      <c r="I6928" s="4" t="s">
        <v>202</v>
      </c>
    </row>
    <row r="6929" spans="1:9" ht="27.6" x14ac:dyDescent="0.3">
      <c r="A6929" s="5">
        <v>66</v>
      </c>
      <c r="B6929" s="4"/>
      <c r="C6929" s="4"/>
      <c r="D6929" s="82" t="s">
        <v>203</v>
      </c>
      <c r="E6929" s="82">
        <v>34</v>
      </c>
      <c r="F6929" s="82" t="s">
        <v>200</v>
      </c>
      <c r="G6929" s="4"/>
      <c r="H6929" s="4" t="s">
        <v>315</v>
      </c>
      <c r="I6929" s="4" t="s">
        <v>202</v>
      </c>
    </row>
    <row r="6930" spans="1:9" ht="27.6" x14ac:dyDescent="0.3">
      <c r="A6930" s="5">
        <v>67</v>
      </c>
      <c r="B6930" s="4"/>
      <c r="C6930" s="4"/>
      <c r="D6930" s="82" t="s">
        <v>203</v>
      </c>
      <c r="E6930" s="82" t="s">
        <v>309</v>
      </c>
      <c r="F6930" s="82"/>
      <c r="G6930" s="4"/>
      <c r="H6930" s="4" t="s">
        <v>316</v>
      </c>
      <c r="I6930" s="4" t="s">
        <v>202</v>
      </c>
    </row>
    <row r="6931" spans="1:9" ht="27.6" x14ac:dyDescent="0.3">
      <c r="A6931" s="5">
        <v>68</v>
      </c>
      <c r="B6931" s="4"/>
      <c r="C6931" s="4"/>
      <c r="D6931" s="82" t="s">
        <v>203</v>
      </c>
      <c r="E6931" s="82">
        <v>4</v>
      </c>
      <c r="F6931" s="82" t="s">
        <v>200</v>
      </c>
      <c r="G6931" s="4"/>
      <c r="H6931" s="4" t="s">
        <v>317</v>
      </c>
      <c r="I6931" s="4" t="s">
        <v>202</v>
      </c>
    </row>
    <row r="6932" spans="1:9" ht="27.6" x14ac:dyDescent="0.3">
      <c r="A6932" s="5">
        <v>69</v>
      </c>
      <c r="B6932" s="4"/>
      <c r="C6932" s="4"/>
      <c r="D6932" s="82" t="s">
        <v>203</v>
      </c>
      <c r="E6932" s="82">
        <v>56</v>
      </c>
      <c r="F6932" s="82" t="s">
        <v>200</v>
      </c>
      <c r="G6932" s="4"/>
      <c r="H6932" s="4" t="s">
        <v>318</v>
      </c>
      <c r="I6932" s="4" t="s">
        <v>202</v>
      </c>
    </row>
    <row r="6933" spans="1:9" ht="27.6" x14ac:dyDescent="0.3">
      <c r="A6933" s="5">
        <v>70</v>
      </c>
      <c r="B6933" s="4"/>
      <c r="C6933" s="4"/>
      <c r="D6933" s="82" t="s">
        <v>203</v>
      </c>
      <c r="E6933" s="82">
        <v>56</v>
      </c>
      <c r="F6933" s="82" t="s">
        <v>200</v>
      </c>
      <c r="G6933" s="4"/>
      <c r="H6933" s="4" t="s">
        <v>319</v>
      </c>
      <c r="I6933" s="4" t="s">
        <v>202</v>
      </c>
    </row>
    <row r="6934" spans="1:9" ht="27.6" x14ac:dyDescent="0.3">
      <c r="A6934" s="5"/>
      <c r="B6934" s="4"/>
      <c r="C6934" s="4"/>
      <c r="D6934" s="91" t="s">
        <v>203</v>
      </c>
      <c r="E6934" s="91">
        <v>62</v>
      </c>
      <c r="F6934" s="91" t="s">
        <v>200</v>
      </c>
      <c r="G6934" s="90"/>
      <c r="H6934" s="90" t="s">
        <v>482</v>
      </c>
      <c r="I6934" s="90" t="s">
        <v>202</v>
      </c>
    </row>
    <row r="6935" spans="1:9" ht="27.6" x14ac:dyDescent="0.3">
      <c r="A6935" s="5">
        <v>71</v>
      </c>
      <c r="B6935" s="4"/>
      <c r="C6935" s="4"/>
      <c r="D6935" s="82" t="s">
        <v>203</v>
      </c>
      <c r="E6935" s="82">
        <v>63</v>
      </c>
      <c r="F6935" s="82" t="s">
        <v>200</v>
      </c>
      <c r="G6935" s="4"/>
      <c r="H6935" s="4" t="s">
        <v>320</v>
      </c>
      <c r="I6935" s="4" t="s">
        <v>202</v>
      </c>
    </row>
    <row r="6936" spans="1:9" ht="27.6" x14ac:dyDescent="0.3">
      <c r="A6936" s="5">
        <v>72</v>
      </c>
      <c r="B6936" s="4"/>
      <c r="C6936" s="4"/>
      <c r="D6936" s="82" t="s">
        <v>203</v>
      </c>
      <c r="E6936" s="82">
        <v>64</v>
      </c>
      <c r="F6936" s="82" t="s">
        <v>200</v>
      </c>
      <c r="G6936" s="4"/>
      <c r="H6936" s="4" t="s">
        <v>321</v>
      </c>
      <c r="I6936" s="4" t="s">
        <v>202</v>
      </c>
    </row>
    <row r="6937" spans="1:9" ht="27.6" x14ac:dyDescent="0.3">
      <c r="A6937" s="5">
        <v>73</v>
      </c>
      <c r="B6937" s="4"/>
      <c r="C6937" s="4"/>
      <c r="D6937" s="82" t="s">
        <v>203</v>
      </c>
      <c r="E6937" s="82">
        <v>8</v>
      </c>
      <c r="F6937" s="82" t="s">
        <v>200</v>
      </c>
      <c r="G6937" s="4"/>
      <c r="H6937" s="4" t="s">
        <v>322</v>
      </c>
      <c r="I6937" s="4" t="s">
        <v>202</v>
      </c>
    </row>
    <row r="6938" spans="1:9" x14ac:dyDescent="0.3">
      <c r="A6938" s="5">
        <v>74</v>
      </c>
      <c r="B6938" s="4"/>
      <c r="C6938" s="4"/>
      <c r="D6938" s="82" t="s">
        <v>323</v>
      </c>
      <c r="E6938" s="82">
        <v>14</v>
      </c>
      <c r="F6938" s="82" t="s">
        <v>200</v>
      </c>
      <c r="G6938" s="4"/>
      <c r="H6938" s="4" t="s">
        <v>324</v>
      </c>
      <c r="I6938" s="4" t="s">
        <v>202</v>
      </c>
    </row>
    <row r="6939" spans="1:9" x14ac:dyDescent="0.3">
      <c r="A6939" s="5">
        <v>75</v>
      </c>
      <c r="B6939" s="4"/>
      <c r="C6939" s="4"/>
      <c r="D6939" s="82" t="s">
        <v>323</v>
      </c>
      <c r="E6939" s="82">
        <v>1</v>
      </c>
      <c r="F6939" s="82" t="s">
        <v>200</v>
      </c>
      <c r="G6939" s="4"/>
      <c r="H6939" s="4" t="s">
        <v>325</v>
      </c>
      <c r="I6939" s="4" t="s">
        <v>202</v>
      </c>
    </row>
    <row r="6940" spans="1:9" x14ac:dyDescent="0.3">
      <c r="A6940" s="5">
        <v>76</v>
      </c>
      <c r="B6940" s="4"/>
      <c r="C6940" s="4"/>
      <c r="D6940" s="82" t="s">
        <v>323</v>
      </c>
      <c r="E6940" s="82">
        <v>7</v>
      </c>
      <c r="F6940" s="82" t="s">
        <v>200</v>
      </c>
      <c r="G6940" s="4"/>
      <c r="H6940" s="4" t="s">
        <v>326</v>
      </c>
      <c r="I6940" s="4" t="s">
        <v>202</v>
      </c>
    </row>
    <row r="6941" spans="1:9" x14ac:dyDescent="0.3">
      <c r="A6941" s="5">
        <v>77</v>
      </c>
      <c r="B6941" s="4"/>
      <c r="C6941" s="4"/>
      <c r="D6941" s="82" t="s">
        <v>327</v>
      </c>
      <c r="E6941" s="82">
        <v>7</v>
      </c>
      <c r="F6941" s="82" t="s">
        <v>200</v>
      </c>
      <c r="G6941" s="4"/>
      <c r="H6941" s="4" t="s">
        <v>328</v>
      </c>
      <c r="I6941" s="4" t="s">
        <v>202</v>
      </c>
    </row>
    <row r="6942" spans="1:9" x14ac:dyDescent="0.3">
      <c r="A6942" s="5">
        <v>78</v>
      </c>
      <c r="B6942" s="4"/>
      <c r="C6942" s="4"/>
      <c r="D6942" s="82" t="s">
        <v>329</v>
      </c>
      <c r="E6942" s="82">
        <v>1</v>
      </c>
      <c r="F6942" s="82" t="s">
        <v>200</v>
      </c>
      <c r="G6942" s="4"/>
      <c r="H6942" s="4" t="s">
        <v>330</v>
      </c>
      <c r="I6942" s="4" t="s">
        <v>202</v>
      </c>
    </row>
    <row r="6943" spans="1:9" ht="27.6" x14ac:dyDescent="0.3">
      <c r="A6943" s="5">
        <v>79</v>
      </c>
      <c r="B6943" s="4"/>
      <c r="C6943" s="4"/>
      <c r="D6943" s="82" t="s">
        <v>332</v>
      </c>
      <c r="E6943" s="82" t="s">
        <v>331</v>
      </c>
      <c r="F6943" s="82" t="s">
        <v>200</v>
      </c>
      <c r="G6943" s="4"/>
      <c r="H6943" s="4" t="s">
        <v>333</v>
      </c>
      <c r="I6943" s="4" t="s">
        <v>202</v>
      </c>
    </row>
    <row r="6944" spans="1:9" ht="27.6" x14ac:dyDescent="0.3">
      <c r="A6944" s="5">
        <v>80</v>
      </c>
      <c r="B6944" s="4"/>
      <c r="C6944" s="4"/>
      <c r="D6944" s="82" t="s">
        <v>332</v>
      </c>
      <c r="E6944" s="82">
        <v>26</v>
      </c>
      <c r="F6944" s="82" t="s">
        <v>200</v>
      </c>
      <c r="G6944" s="4"/>
      <c r="H6944" s="4" t="s">
        <v>335</v>
      </c>
      <c r="I6944" s="4" t="s">
        <v>202</v>
      </c>
    </row>
    <row r="6945" spans="1:9" ht="27.6" x14ac:dyDescent="0.3">
      <c r="A6945" s="5">
        <v>81</v>
      </c>
      <c r="B6945" s="4"/>
      <c r="C6945" s="4"/>
      <c r="D6945" s="82" t="s">
        <v>334</v>
      </c>
      <c r="E6945" s="82">
        <v>4</v>
      </c>
      <c r="F6945" s="82" t="s">
        <v>200</v>
      </c>
      <c r="G6945" s="4"/>
      <c r="H6945" s="4" t="s">
        <v>336</v>
      </c>
      <c r="I6945" s="4" t="s">
        <v>228</v>
      </c>
    </row>
    <row r="6946" spans="1:9" x14ac:dyDescent="0.3">
      <c r="A6946" s="5">
        <v>82</v>
      </c>
      <c r="B6946" s="4"/>
      <c r="C6946" s="4"/>
      <c r="D6946" s="82" t="s">
        <v>337</v>
      </c>
      <c r="E6946" s="82">
        <v>13</v>
      </c>
      <c r="F6946" s="82" t="s">
        <v>200</v>
      </c>
      <c r="G6946" s="4"/>
      <c r="H6946" s="4" t="s">
        <v>338</v>
      </c>
      <c r="I6946" s="4" t="s">
        <v>202</v>
      </c>
    </row>
    <row r="6947" spans="1:9" x14ac:dyDescent="0.3">
      <c r="A6947" s="5">
        <v>83</v>
      </c>
      <c r="B6947" s="4"/>
      <c r="C6947" s="4"/>
      <c r="D6947" s="82" t="s">
        <v>337</v>
      </c>
      <c r="E6947" s="82">
        <v>13</v>
      </c>
      <c r="F6947" s="82" t="s">
        <v>205</v>
      </c>
      <c r="G6947" s="4"/>
      <c r="H6947" s="4" t="s">
        <v>339</v>
      </c>
      <c r="I6947" s="4" t="s">
        <v>202</v>
      </c>
    </row>
    <row r="6948" spans="1:9" x14ac:dyDescent="0.3">
      <c r="A6948" s="5">
        <v>84</v>
      </c>
      <c r="B6948" s="4"/>
      <c r="C6948" s="4"/>
      <c r="D6948" s="82" t="s">
        <v>337</v>
      </c>
      <c r="E6948" s="82">
        <v>15</v>
      </c>
      <c r="F6948" s="82" t="s">
        <v>200</v>
      </c>
      <c r="G6948" s="4"/>
      <c r="H6948" s="4" t="s">
        <v>340</v>
      </c>
      <c r="I6948" s="4" t="s">
        <v>202</v>
      </c>
    </row>
    <row r="6949" spans="1:9" x14ac:dyDescent="0.3">
      <c r="A6949" s="5">
        <v>85</v>
      </c>
      <c r="B6949" s="4"/>
      <c r="C6949" s="4"/>
      <c r="D6949" s="82" t="s">
        <v>337</v>
      </c>
      <c r="E6949" s="82">
        <v>26</v>
      </c>
      <c r="F6949" s="82" t="s">
        <v>200</v>
      </c>
      <c r="G6949" s="4"/>
      <c r="H6949" s="4" t="s">
        <v>341</v>
      </c>
      <c r="I6949" s="4" t="s">
        <v>202</v>
      </c>
    </row>
    <row r="6950" spans="1:9" x14ac:dyDescent="0.3">
      <c r="A6950" s="5">
        <v>86</v>
      </c>
      <c r="B6950" s="4"/>
      <c r="C6950" s="4"/>
      <c r="D6950" s="82" t="s">
        <v>337</v>
      </c>
      <c r="E6950" s="82">
        <v>30</v>
      </c>
      <c r="F6950" s="82" t="s">
        <v>200</v>
      </c>
      <c r="G6950" s="4"/>
      <c r="H6950" s="4" t="s">
        <v>342</v>
      </c>
      <c r="I6950" s="4" t="s">
        <v>202</v>
      </c>
    </row>
    <row r="6951" spans="1:9" x14ac:dyDescent="0.3">
      <c r="A6951" s="5">
        <v>87</v>
      </c>
      <c r="B6951" s="4"/>
      <c r="C6951" s="4"/>
      <c r="D6951" s="82" t="s">
        <v>337</v>
      </c>
      <c r="E6951" s="82">
        <v>4</v>
      </c>
      <c r="F6951" s="82" t="s">
        <v>205</v>
      </c>
      <c r="G6951" s="4"/>
      <c r="H6951" s="4" t="s">
        <v>343</v>
      </c>
      <c r="I6951" s="4" t="s">
        <v>202</v>
      </c>
    </row>
    <row r="6952" spans="1:9" ht="27.6" x14ac:dyDescent="0.3">
      <c r="A6952" s="5">
        <v>88</v>
      </c>
      <c r="B6952" s="4"/>
      <c r="C6952" s="4"/>
      <c r="D6952" s="82" t="s">
        <v>345</v>
      </c>
      <c r="E6952" s="82" t="s">
        <v>344</v>
      </c>
      <c r="F6952" s="82" t="s">
        <v>200</v>
      </c>
      <c r="G6952" s="4"/>
      <c r="H6952" s="4" t="s">
        <v>346</v>
      </c>
      <c r="I6952" s="4" t="s">
        <v>202</v>
      </c>
    </row>
    <row r="6953" spans="1:9" ht="27.6" x14ac:dyDescent="0.3">
      <c r="A6953" s="5">
        <v>89</v>
      </c>
      <c r="B6953" s="4"/>
      <c r="C6953" s="4"/>
      <c r="D6953" s="82" t="s">
        <v>345</v>
      </c>
      <c r="E6953" s="82">
        <v>5</v>
      </c>
      <c r="F6953" s="82" t="s">
        <v>200</v>
      </c>
      <c r="G6953" s="4"/>
      <c r="H6953" s="4" t="s">
        <v>347</v>
      </c>
      <c r="I6953" s="4" t="s">
        <v>202</v>
      </c>
    </row>
    <row r="6954" spans="1:9" ht="27.6" x14ac:dyDescent="0.3">
      <c r="A6954" s="5">
        <v>90</v>
      </c>
      <c r="B6954" s="4"/>
      <c r="C6954" s="4"/>
      <c r="D6954" s="82" t="s">
        <v>349</v>
      </c>
      <c r="E6954" s="82" t="s">
        <v>348</v>
      </c>
      <c r="F6954" s="82" t="s">
        <v>205</v>
      </c>
      <c r="G6954" s="4"/>
      <c r="H6954" s="4" t="s">
        <v>351</v>
      </c>
      <c r="I6954" s="4" t="s">
        <v>202</v>
      </c>
    </row>
    <row r="6955" spans="1:9" ht="27.6" x14ac:dyDescent="0.3">
      <c r="A6955" s="5">
        <v>91</v>
      </c>
      <c r="B6955" s="4"/>
      <c r="C6955" s="4"/>
      <c r="D6955" s="82" t="s">
        <v>349</v>
      </c>
      <c r="E6955" s="82" t="s">
        <v>348</v>
      </c>
      <c r="F6955" s="82" t="s">
        <v>207</v>
      </c>
      <c r="G6955" s="4"/>
      <c r="H6955" s="4" t="s">
        <v>352</v>
      </c>
      <c r="I6955" s="4" t="s">
        <v>202</v>
      </c>
    </row>
    <row r="6956" spans="1:9" ht="27.6" x14ac:dyDescent="0.3">
      <c r="A6956" s="5">
        <v>92</v>
      </c>
      <c r="B6956" s="4"/>
      <c r="C6956" s="4"/>
      <c r="D6956" s="82" t="s">
        <v>349</v>
      </c>
      <c r="E6956" s="82">
        <v>4</v>
      </c>
      <c r="F6956" s="82" t="s">
        <v>200</v>
      </c>
      <c r="G6956" s="4"/>
      <c r="H6956" s="4" t="s">
        <v>353</v>
      </c>
      <c r="I6956" s="4" t="s">
        <v>202</v>
      </c>
    </row>
    <row r="6957" spans="1:9" ht="27.6" x14ac:dyDescent="0.3">
      <c r="A6957" s="5">
        <v>93</v>
      </c>
      <c r="B6957" s="4"/>
      <c r="C6957" s="4"/>
      <c r="D6957" s="82" t="s">
        <v>349</v>
      </c>
      <c r="E6957" s="82">
        <v>8</v>
      </c>
      <c r="F6957" s="82" t="s">
        <v>200</v>
      </c>
      <c r="G6957" s="4"/>
      <c r="H6957" s="4" t="s">
        <v>354</v>
      </c>
      <c r="I6957" s="4" t="s">
        <v>202</v>
      </c>
    </row>
    <row r="6958" spans="1:9" ht="27.6" x14ac:dyDescent="0.3">
      <c r="A6958" s="5"/>
      <c r="B6958" s="4"/>
      <c r="C6958" s="4"/>
      <c r="D6958" s="91" t="s">
        <v>201</v>
      </c>
      <c r="E6958" s="91">
        <v>9</v>
      </c>
      <c r="F6958" s="91" t="s">
        <v>200</v>
      </c>
      <c r="G6958" s="90"/>
      <c r="H6958" s="90" t="s">
        <v>481</v>
      </c>
      <c r="I6958" s="92" t="s">
        <v>276</v>
      </c>
    </row>
    <row r="6959" spans="1:9" ht="27.6" x14ac:dyDescent="0.3">
      <c r="A6959" s="5">
        <v>94</v>
      </c>
      <c r="B6959" s="4"/>
      <c r="C6959" s="4"/>
      <c r="D6959" s="82" t="s">
        <v>201</v>
      </c>
      <c r="E6959" s="82" t="s">
        <v>350</v>
      </c>
      <c r="F6959" s="82" t="s">
        <v>200</v>
      </c>
      <c r="G6959" s="4"/>
      <c r="H6959" s="4" t="s">
        <v>355</v>
      </c>
      <c r="I6959" s="4" t="s">
        <v>202</v>
      </c>
    </row>
    <row r="6960" spans="1:9" ht="27.6" x14ac:dyDescent="0.3">
      <c r="A6960" s="5">
        <v>95</v>
      </c>
      <c r="B6960" s="4"/>
      <c r="C6960" s="4"/>
      <c r="D6960" s="82" t="s">
        <v>201</v>
      </c>
      <c r="E6960" s="82">
        <v>25</v>
      </c>
      <c r="F6960" s="82" t="s">
        <v>200</v>
      </c>
      <c r="G6960" s="4"/>
      <c r="H6960" s="4" t="s">
        <v>356</v>
      </c>
      <c r="I6960" s="4" t="s">
        <v>202</v>
      </c>
    </row>
    <row r="6961" spans="1:9" ht="27.6" x14ac:dyDescent="0.3">
      <c r="A6961" s="5">
        <v>96</v>
      </c>
      <c r="B6961" s="4"/>
      <c r="C6961" s="4"/>
      <c r="D6961" s="82" t="s">
        <v>201</v>
      </c>
      <c r="E6961" s="82">
        <v>31</v>
      </c>
      <c r="F6961" s="82" t="s">
        <v>200</v>
      </c>
      <c r="G6961" s="4"/>
      <c r="H6961" s="4" t="s">
        <v>357</v>
      </c>
      <c r="I6961" s="4" t="s">
        <v>202</v>
      </c>
    </row>
    <row r="6962" spans="1:9" x14ac:dyDescent="0.3">
      <c r="A6962" s="5">
        <v>97</v>
      </c>
      <c r="B6962" s="4"/>
      <c r="C6962" s="4"/>
      <c r="D6962" s="82" t="s">
        <v>359</v>
      </c>
      <c r="E6962" s="82">
        <v>24</v>
      </c>
      <c r="F6962" s="82" t="s">
        <v>200</v>
      </c>
      <c r="G6962" s="24"/>
      <c r="H6962" s="82" t="s">
        <v>358</v>
      </c>
      <c r="I6962" s="4" t="s">
        <v>202</v>
      </c>
    </row>
    <row r="6963" spans="1:9" x14ac:dyDescent="0.3">
      <c r="A6963" s="5">
        <v>98</v>
      </c>
      <c r="B6963" s="4"/>
      <c r="C6963" s="4"/>
      <c r="D6963" s="82" t="s">
        <v>359</v>
      </c>
      <c r="E6963" s="82">
        <v>24</v>
      </c>
      <c r="F6963" s="82" t="s">
        <v>205</v>
      </c>
      <c r="G6963" s="24"/>
      <c r="H6963" s="24" t="s">
        <v>360</v>
      </c>
      <c r="I6963" s="4" t="s">
        <v>202</v>
      </c>
    </row>
    <row r="6964" spans="1:9" x14ac:dyDescent="0.3">
      <c r="A6964" s="5">
        <v>99</v>
      </c>
      <c r="B6964" s="4"/>
      <c r="C6964" s="4"/>
      <c r="D6964" s="82" t="s">
        <v>362</v>
      </c>
      <c r="E6964" s="82">
        <v>26</v>
      </c>
      <c r="F6964" s="4" t="s">
        <v>361</v>
      </c>
      <c r="G6964" s="82"/>
      <c r="H6964" s="82" t="s">
        <v>363</v>
      </c>
      <c r="I6964" s="4" t="s">
        <v>202</v>
      </c>
    </row>
    <row r="6965" spans="1:9" x14ac:dyDescent="0.3">
      <c r="A6965" s="5">
        <v>100</v>
      </c>
      <c r="B6965" s="4"/>
      <c r="C6965" s="4"/>
      <c r="D6965" s="82" t="s">
        <v>362</v>
      </c>
      <c r="E6965" s="82" t="s">
        <v>364</v>
      </c>
      <c r="F6965" s="82" t="s">
        <v>205</v>
      </c>
      <c r="G6965" s="4"/>
      <c r="H6965" s="4" t="s">
        <v>365</v>
      </c>
      <c r="I6965" s="4" t="s">
        <v>202</v>
      </c>
    </row>
    <row r="6966" spans="1:9" x14ac:dyDescent="0.3">
      <c r="A6966" s="5">
        <v>101</v>
      </c>
      <c r="B6966" s="4"/>
      <c r="C6966" s="4"/>
      <c r="D6966" s="82" t="s">
        <v>366</v>
      </c>
      <c r="E6966" s="82">
        <v>15</v>
      </c>
      <c r="F6966" s="82" t="s">
        <v>200</v>
      </c>
      <c r="G6966" s="4"/>
      <c r="H6966" s="4" t="s">
        <v>367</v>
      </c>
      <c r="I6966" s="4" t="s">
        <v>202</v>
      </c>
    </row>
    <row r="6967" spans="1:9" x14ac:dyDescent="0.3">
      <c r="A6967" s="5">
        <v>102</v>
      </c>
      <c r="B6967" s="4"/>
      <c r="C6967" s="4"/>
      <c r="D6967" s="82" t="s">
        <v>366</v>
      </c>
      <c r="E6967" s="82">
        <v>21</v>
      </c>
      <c r="F6967" s="82"/>
      <c r="G6967" s="82"/>
      <c r="H6967" s="4" t="s">
        <v>368</v>
      </c>
      <c r="I6967" s="4" t="s">
        <v>202</v>
      </c>
    </row>
    <row r="6968" spans="1:9" x14ac:dyDescent="0.3">
      <c r="A6968" s="5">
        <v>103</v>
      </c>
      <c r="B6968" s="4"/>
      <c r="C6968" s="4"/>
      <c r="D6968" s="82" t="s">
        <v>366</v>
      </c>
      <c r="E6968" s="82">
        <v>4</v>
      </c>
      <c r="F6968" s="82" t="s">
        <v>200</v>
      </c>
      <c r="G6968" s="4"/>
      <c r="H6968" s="4" t="s">
        <v>369</v>
      </c>
      <c r="I6968" s="4" t="s">
        <v>202</v>
      </c>
    </row>
    <row r="6969" spans="1:9" x14ac:dyDescent="0.3">
      <c r="A6969" s="5">
        <v>104</v>
      </c>
      <c r="B6969" s="4"/>
      <c r="C6969" s="4"/>
      <c r="D6969" s="82" t="s">
        <v>366</v>
      </c>
      <c r="E6969" s="82">
        <v>4</v>
      </c>
      <c r="F6969" s="82" t="s">
        <v>205</v>
      </c>
      <c r="G6969" s="4"/>
      <c r="H6969" s="4" t="s">
        <v>370</v>
      </c>
      <c r="I6969" s="4" t="s">
        <v>202</v>
      </c>
    </row>
    <row r="6970" spans="1:9" x14ac:dyDescent="0.3">
      <c r="A6970" s="5">
        <v>105</v>
      </c>
      <c r="B6970" s="4"/>
      <c r="C6970" s="4"/>
      <c r="D6970" s="82" t="s">
        <v>371</v>
      </c>
      <c r="E6970" s="82">
        <v>22</v>
      </c>
      <c r="F6970" s="82" t="s">
        <v>200</v>
      </c>
      <c r="G6970" s="4"/>
      <c r="H6970" s="4" t="s">
        <v>373</v>
      </c>
      <c r="I6970" s="4" t="s">
        <v>202</v>
      </c>
    </row>
    <row r="6971" spans="1:9" x14ac:dyDescent="0.3">
      <c r="A6971" s="5">
        <v>106</v>
      </c>
      <c r="B6971" s="4"/>
      <c r="C6971" s="4"/>
      <c r="D6971" s="82" t="s">
        <v>371</v>
      </c>
      <c r="E6971" s="82">
        <v>43</v>
      </c>
      <c r="F6971" s="82" t="s">
        <v>200</v>
      </c>
      <c r="G6971" s="4"/>
      <c r="H6971" s="4" t="s">
        <v>374</v>
      </c>
      <c r="I6971" s="4" t="s">
        <v>202</v>
      </c>
    </row>
    <row r="6972" spans="1:9" x14ac:dyDescent="0.3">
      <c r="A6972" s="5">
        <v>107</v>
      </c>
      <c r="B6972" s="4"/>
      <c r="C6972" s="4"/>
      <c r="D6972" s="82" t="s">
        <v>371</v>
      </c>
      <c r="E6972" s="82" t="s">
        <v>372</v>
      </c>
      <c r="F6972" s="82" t="s">
        <v>200</v>
      </c>
      <c r="G6972" s="4"/>
      <c r="H6972" s="4" t="s">
        <v>375</v>
      </c>
      <c r="I6972" s="4" t="s">
        <v>202</v>
      </c>
    </row>
    <row r="6973" spans="1:9" ht="27.6" x14ac:dyDescent="0.3">
      <c r="A6973" s="5">
        <v>108</v>
      </c>
      <c r="B6973" s="4"/>
      <c r="C6973" s="4"/>
      <c r="D6973" s="82" t="s">
        <v>376</v>
      </c>
      <c r="E6973" s="82">
        <v>19</v>
      </c>
      <c r="F6973" s="82" t="s">
        <v>200</v>
      </c>
      <c r="G6973" s="4"/>
      <c r="H6973" s="4" t="s">
        <v>380</v>
      </c>
      <c r="I6973" s="4" t="s">
        <v>202</v>
      </c>
    </row>
    <row r="6974" spans="1:9" ht="27.6" x14ac:dyDescent="0.3">
      <c r="A6974" s="5">
        <v>109</v>
      </c>
      <c r="B6974" s="4"/>
      <c r="C6974" s="4"/>
      <c r="D6974" s="82" t="s">
        <v>376</v>
      </c>
      <c r="E6974" s="82">
        <v>20</v>
      </c>
      <c r="F6974" s="82" t="s">
        <v>200</v>
      </c>
      <c r="G6974" s="4"/>
      <c r="H6974" s="4" t="s">
        <v>381</v>
      </c>
      <c r="I6974" s="4" t="s">
        <v>202</v>
      </c>
    </row>
    <row r="6975" spans="1:9" ht="27.6" x14ac:dyDescent="0.3">
      <c r="A6975" s="5">
        <v>110</v>
      </c>
      <c r="B6975" s="4"/>
      <c r="C6975" s="4"/>
      <c r="D6975" s="82" t="s">
        <v>377</v>
      </c>
      <c r="E6975" s="82">
        <v>2</v>
      </c>
      <c r="F6975" s="82" t="s">
        <v>200</v>
      </c>
      <c r="G6975" s="4"/>
      <c r="H6975" s="4" t="s">
        <v>382</v>
      </c>
      <c r="I6975" s="4" t="s">
        <v>202</v>
      </c>
    </row>
    <row r="6976" spans="1:9" ht="27.6" x14ac:dyDescent="0.3">
      <c r="A6976" s="5">
        <v>111</v>
      </c>
      <c r="B6976" s="4"/>
      <c r="C6976" s="4"/>
      <c r="D6976" s="82" t="s">
        <v>378</v>
      </c>
      <c r="E6976" s="82">
        <v>15</v>
      </c>
      <c r="F6976" s="82" t="s">
        <v>200</v>
      </c>
      <c r="G6976" s="4"/>
      <c r="H6976" s="4" t="s">
        <v>383</v>
      </c>
      <c r="I6976" s="4" t="s">
        <v>202</v>
      </c>
    </row>
    <row r="6977" spans="1:9" ht="27.6" x14ac:dyDescent="0.3">
      <c r="A6977" s="5">
        <v>112</v>
      </c>
      <c r="B6977" s="4"/>
      <c r="C6977" s="4"/>
      <c r="D6977" s="82" t="s">
        <v>378</v>
      </c>
      <c r="E6977" s="82">
        <v>15</v>
      </c>
      <c r="F6977" s="82" t="s">
        <v>205</v>
      </c>
      <c r="G6977" s="4"/>
      <c r="H6977" s="4" t="s">
        <v>384</v>
      </c>
      <c r="I6977" s="4" t="s">
        <v>202</v>
      </c>
    </row>
    <row r="6978" spans="1:9" ht="27.6" x14ac:dyDescent="0.3">
      <c r="A6978" s="5">
        <v>113</v>
      </c>
      <c r="B6978" s="4"/>
      <c r="C6978" s="4"/>
      <c r="D6978" s="82" t="s">
        <v>378</v>
      </c>
      <c r="E6978" s="82">
        <v>15</v>
      </c>
      <c r="F6978" s="82" t="s">
        <v>209</v>
      </c>
      <c r="G6978" s="4"/>
      <c r="H6978" s="4" t="s">
        <v>385</v>
      </c>
      <c r="I6978" s="4" t="s">
        <v>202</v>
      </c>
    </row>
    <row r="6979" spans="1:9" ht="27.6" x14ac:dyDescent="0.3">
      <c r="A6979" s="5">
        <v>114</v>
      </c>
      <c r="B6979" s="4"/>
      <c r="C6979" s="4"/>
      <c r="D6979" s="82" t="s">
        <v>378</v>
      </c>
      <c r="E6979" s="82">
        <v>17</v>
      </c>
      <c r="F6979" s="82" t="s">
        <v>200</v>
      </c>
      <c r="G6979" s="4"/>
      <c r="H6979" s="4" t="s">
        <v>386</v>
      </c>
      <c r="I6979" s="4" t="s">
        <v>202</v>
      </c>
    </row>
    <row r="6980" spans="1:9" ht="27.6" x14ac:dyDescent="0.3">
      <c r="A6980" s="5">
        <v>115</v>
      </c>
      <c r="B6980" s="4"/>
      <c r="C6980" s="4"/>
      <c r="D6980" s="82" t="s">
        <v>378</v>
      </c>
      <c r="E6980" s="82">
        <v>17</v>
      </c>
      <c r="F6980" s="82" t="s">
        <v>206</v>
      </c>
      <c r="G6980" s="4"/>
      <c r="H6980" s="4" t="s">
        <v>387</v>
      </c>
      <c r="I6980" s="4" t="s">
        <v>202</v>
      </c>
    </row>
    <row r="6981" spans="1:9" ht="27.6" x14ac:dyDescent="0.3">
      <c r="A6981" s="5">
        <v>116</v>
      </c>
      <c r="B6981" s="4"/>
      <c r="C6981" s="4"/>
      <c r="D6981" s="82" t="s">
        <v>378</v>
      </c>
      <c r="E6981" s="82">
        <v>18</v>
      </c>
      <c r="F6981" s="82" t="s">
        <v>200</v>
      </c>
      <c r="G6981" s="4"/>
      <c r="H6981" s="4" t="s">
        <v>388</v>
      </c>
      <c r="I6981" s="4" t="s">
        <v>202</v>
      </c>
    </row>
    <row r="6982" spans="1:9" ht="27.6" x14ac:dyDescent="0.3">
      <c r="A6982" s="5">
        <v>117</v>
      </c>
      <c r="B6982" s="4"/>
      <c r="C6982" s="4"/>
      <c r="D6982" s="82" t="s">
        <v>378</v>
      </c>
      <c r="E6982" s="82" t="s">
        <v>379</v>
      </c>
      <c r="F6982" s="82" t="s">
        <v>200</v>
      </c>
      <c r="G6982" s="4"/>
      <c r="H6982" s="4" t="s">
        <v>389</v>
      </c>
      <c r="I6982" s="4" t="s">
        <v>202</v>
      </c>
    </row>
    <row r="6983" spans="1:9" ht="27.6" x14ac:dyDescent="0.3">
      <c r="A6983" s="5">
        <v>118</v>
      </c>
      <c r="B6983" s="4"/>
      <c r="C6983" s="4"/>
      <c r="D6983" s="82" t="s">
        <v>378</v>
      </c>
      <c r="E6983" s="82" t="s">
        <v>379</v>
      </c>
      <c r="F6983" s="82" t="s">
        <v>205</v>
      </c>
      <c r="G6983" s="4"/>
      <c r="H6983" s="4" t="s">
        <v>390</v>
      </c>
      <c r="I6983" s="4" t="s">
        <v>202</v>
      </c>
    </row>
    <row r="6984" spans="1:9" ht="27.6" x14ac:dyDescent="0.3">
      <c r="A6984" s="5">
        <v>119</v>
      </c>
      <c r="B6984" s="4"/>
      <c r="C6984" s="4"/>
      <c r="D6984" s="82" t="s">
        <v>378</v>
      </c>
      <c r="E6984" s="82">
        <v>6</v>
      </c>
      <c r="F6984" s="82" t="s">
        <v>200</v>
      </c>
      <c r="G6984" s="4"/>
      <c r="H6984" s="4" t="s">
        <v>391</v>
      </c>
      <c r="I6984" s="4" t="s">
        <v>202</v>
      </c>
    </row>
    <row r="6985" spans="1:9" x14ac:dyDescent="0.3">
      <c r="A6985" s="5">
        <v>120</v>
      </c>
      <c r="B6985" s="4"/>
      <c r="C6985" s="4"/>
      <c r="D6985" s="82" t="s">
        <v>392</v>
      </c>
      <c r="E6985" s="82">
        <v>12</v>
      </c>
      <c r="F6985" s="82" t="s">
        <v>200</v>
      </c>
      <c r="G6985" s="4"/>
      <c r="H6985" s="4" t="s">
        <v>393</v>
      </c>
      <c r="I6985" s="4" t="s">
        <v>202</v>
      </c>
    </row>
    <row r="6986" spans="1:9" x14ac:dyDescent="0.3">
      <c r="A6986" s="5">
        <v>121</v>
      </c>
      <c r="B6986" s="4"/>
      <c r="C6986" s="4"/>
      <c r="D6986" s="82" t="s">
        <v>395</v>
      </c>
      <c r="E6986" s="82" t="s">
        <v>394</v>
      </c>
      <c r="F6986" s="82" t="s">
        <v>200</v>
      </c>
      <c r="G6986" s="4"/>
      <c r="H6986" s="4" t="s">
        <v>396</v>
      </c>
      <c r="I6986" s="4" t="s">
        <v>202</v>
      </c>
    </row>
    <row r="6987" spans="1:9" x14ac:dyDescent="0.3">
      <c r="A6987" s="5">
        <v>122</v>
      </c>
      <c r="B6987" s="4"/>
      <c r="C6987" s="4"/>
      <c r="D6987" s="82" t="s">
        <v>397</v>
      </c>
      <c r="E6987" s="82">
        <v>4</v>
      </c>
      <c r="F6987" s="82" t="s">
        <v>200</v>
      </c>
      <c r="G6987" s="4"/>
      <c r="H6987" s="4" t="s">
        <v>398</v>
      </c>
      <c r="I6987" s="4" t="s">
        <v>202</v>
      </c>
    </row>
    <row r="6988" spans="1:9" x14ac:dyDescent="0.3">
      <c r="A6988" s="5">
        <v>123</v>
      </c>
      <c r="B6988" s="4"/>
      <c r="C6988" s="4"/>
      <c r="D6988" s="82" t="s">
        <v>397</v>
      </c>
      <c r="E6988" s="82">
        <v>62</v>
      </c>
      <c r="F6988" s="82" t="s">
        <v>200</v>
      </c>
      <c r="G6988" s="4"/>
      <c r="H6988" s="4" t="s">
        <v>399</v>
      </c>
      <c r="I6988" s="4" t="s">
        <v>202</v>
      </c>
    </row>
    <row r="6989" spans="1:9" x14ac:dyDescent="0.3">
      <c r="A6989" s="5">
        <v>124</v>
      </c>
      <c r="B6989" s="4"/>
      <c r="C6989" s="4"/>
      <c r="D6989" s="82" t="s">
        <v>397</v>
      </c>
      <c r="E6989" s="82">
        <v>62</v>
      </c>
      <c r="F6989" s="82" t="s">
        <v>205</v>
      </c>
      <c r="G6989" s="4"/>
      <c r="H6989" s="4" t="s">
        <v>400</v>
      </c>
      <c r="I6989" s="4" t="s">
        <v>202</v>
      </c>
    </row>
    <row r="6990" spans="1:9" x14ac:dyDescent="0.3">
      <c r="A6990" s="5">
        <v>125</v>
      </c>
      <c r="B6990" s="4"/>
      <c r="C6990" s="4"/>
      <c r="D6990" s="82" t="s">
        <v>397</v>
      </c>
      <c r="E6990" s="82">
        <v>62</v>
      </c>
      <c r="F6990" s="82" t="s">
        <v>206</v>
      </c>
      <c r="G6990" s="4"/>
      <c r="H6990" s="4" t="s">
        <v>401</v>
      </c>
      <c r="I6990" s="4" t="s">
        <v>202</v>
      </c>
    </row>
    <row r="6991" spans="1:9" x14ac:dyDescent="0.3">
      <c r="A6991" s="5">
        <v>126</v>
      </c>
      <c r="B6991" s="4"/>
      <c r="C6991" s="4"/>
      <c r="D6991" s="82" t="s">
        <v>397</v>
      </c>
      <c r="E6991" s="82">
        <v>6</v>
      </c>
      <c r="F6991" s="82" t="s">
        <v>200</v>
      </c>
      <c r="G6991" s="4"/>
      <c r="H6991" s="4" t="s">
        <v>402</v>
      </c>
      <c r="I6991" s="4" t="s">
        <v>202</v>
      </c>
    </row>
    <row r="6992" spans="1:9" x14ac:dyDescent="0.3">
      <c r="A6992" s="5">
        <v>127</v>
      </c>
      <c r="B6992" s="4"/>
      <c r="C6992" s="4"/>
      <c r="D6992" s="82" t="s">
        <v>397</v>
      </c>
      <c r="E6992" s="82">
        <v>74</v>
      </c>
      <c r="F6992" s="82" t="s">
        <v>200</v>
      </c>
      <c r="G6992" s="4"/>
      <c r="H6992" s="4" t="s">
        <v>403</v>
      </c>
      <c r="I6992" s="4" t="s">
        <v>202</v>
      </c>
    </row>
    <row r="6993" spans="1:9" x14ac:dyDescent="0.3">
      <c r="A6993" s="5">
        <v>128</v>
      </c>
      <c r="B6993" s="4"/>
      <c r="C6993" s="4"/>
      <c r="D6993" s="82" t="s">
        <v>397</v>
      </c>
      <c r="E6993" s="82">
        <v>74</v>
      </c>
      <c r="F6993" s="82" t="s">
        <v>205</v>
      </c>
      <c r="G6993" s="4"/>
      <c r="H6993" s="4" t="s">
        <v>404</v>
      </c>
      <c r="I6993" s="4" t="s">
        <v>202</v>
      </c>
    </row>
    <row r="6994" spans="1:9" ht="27.6" x14ac:dyDescent="0.3">
      <c r="A6994" s="5">
        <v>129</v>
      </c>
      <c r="B6994" s="4"/>
      <c r="C6994" s="4"/>
      <c r="D6994" s="82" t="s">
        <v>406</v>
      </c>
      <c r="E6994" s="82" t="s">
        <v>405</v>
      </c>
      <c r="F6994" s="82" t="s">
        <v>200</v>
      </c>
      <c r="G6994" s="4"/>
      <c r="H6994" s="4" t="s">
        <v>407</v>
      </c>
      <c r="I6994" s="4" t="s">
        <v>202</v>
      </c>
    </row>
    <row r="6995" spans="1:9" ht="27.6" x14ac:dyDescent="0.3">
      <c r="A6995" s="5">
        <v>130</v>
      </c>
      <c r="B6995" s="4"/>
      <c r="C6995" s="4"/>
      <c r="D6995" s="82" t="s">
        <v>406</v>
      </c>
      <c r="E6995" s="82">
        <v>19</v>
      </c>
      <c r="F6995" s="82" t="s">
        <v>200</v>
      </c>
      <c r="G6995" s="4"/>
      <c r="H6995" s="4" t="s">
        <v>408</v>
      </c>
      <c r="I6995" s="4" t="s">
        <v>202</v>
      </c>
    </row>
    <row r="6996" spans="1:9" ht="27.6" x14ac:dyDescent="0.3">
      <c r="A6996" s="5">
        <v>131</v>
      </c>
      <c r="B6996" s="4"/>
      <c r="C6996" s="4"/>
      <c r="D6996" s="82" t="s">
        <v>406</v>
      </c>
      <c r="E6996" s="82">
        <v>1</v>
      </c>
      <c r="F6996" s="82" t="s">
        <v>200</v>
      </c>
      <c r="G6996" s="4"/>
      <c r="H6996" s="4" t="s">
        <v>409</v>
      </c>
      <c r="I6996" s="4" t="s">
        <v>202</v>
      </c>
    </row>
    <row r="6997" spans="1:9" ht="27.6" x14ac:dyDescent="0.3">
      <c r="A6997" s="5">
        <v>132</v>
      </c>
      <c r="B6997" s="4"/>
      <c r="C6997" s="4"/>
      <c r="D6997" s="82" t="s">
        <v>406</v>
      </c>
      <c r="E6997" s="82">
        <v>4</v>
      </c>
      <c r="F6997" s="82" t="s">
        <v>200</v>
      </c>
      <c r="G6997" s="4"/>
      <c r="H6997" s="4" t="s">
        <v>410</v>
      </c>
      <c r="I6997" s="4" t="s">
        <v>202</v>
      </c>
    </row>
    <row r="6998" spans="1:9" ht="27.6" x14ac:dyDescent="0.3">
      <c r="A6998" s="5">
        <v>133</v>
      </c>
      <c r="B6998" s="4"/>
      <c r="C6998" s="4"/>
      <c r="D6998" s="82" t="s">
        <v>406</v>
      </c>
      <c r="E6998" s="82">
        <v>6</v>
      </c>
      <c r="F6998" s="82" t="s">
        <v>205</v>
      </c>
      <c r="G6998" s="4"/>
      <c r="H6998" s="4" t="s">
        <v>411</v>
      </c>
      <c r="I6998" s="4" t="s">
        <v>202</v>
      </c>
    </row>
    <row r="6999" spans="1:9" x14ac:dyDescent="0.3">
      <c r="A6999" s="4">
        <v>134</v>
      </c>
      <c r="B6999" s="4"/>
      <c r="C6999" s="4"/>
      <c r="D6999" s="82" t="s">
        <v>412</v>
      </c>
      <c r="E6999" s="82">
        <v>11</v>
      </c>
      <c r="F6999" s="82" t="s">
        <v>200</v>
      </c>
      <c r="G6999" s="4"/>
      <c r="H6999" s="82" t="s">
        <v>413</v>
      </c>
      <c r="I6999" s="4" t="s">
        <v>202</v>
      </c>
    </row>
    <row r="7000" spans="1:9" x14ac:dyDescent="0.3">
      <c r="A7000" s="4"/>
      <c r="B7000" s="4"/>
      <c r="C7000" s="4"/>
      <c r="D7000" s="82"/>
      <c r="E7000" s="82"/>
      <c r="F7000" s="82"/>
      <c r="G7000" s="4"/>
      <c r="H7000" s="82"/>
      <c r="I7000" s="4"/>
    </row>
    <row r="7001" spans="1:9" x14ac:dyDescent="0.3">
      <c r="A7001" s="4"/>
      <c r="B7001" s="4"/>
      <c r="C7001" s="4"/>
      <c r="D7001" s="82"/>
      <c r="E7001" s="82"/>
      <c r="F7001" s="82"/>
      <c r="G7001" s="4"/>
      <c r="H7001" s="82"/>
      <c r="I7001" s="4"/>
    </row>
    <row r="7002" spans="1:9" x14ac:dyDescent="0.3">
      <c r="A7002" s="4"/>
      <c r="B7002" s="4"/>
      <c r="C7002" s="4"/>
      <c r="D7002" s="82"/>
      <c r="E7002" s="82"/>
      <c r="F7002" s="82"/>
      <c r="G7002" s="4"/>
      <c r="H7002" s="82"/>
      <c r="I7002" s="4"/>
    </row>
    <row r="7003" spans="1:9" x14ac:dyDescent="0.3">
      <c r="A7003" s="4"/>
      <c r="B7003" s="4"/>
      <c r="C7003" s="4"/>
      <c r="D7003" s="82"/>
      <c r="E7003" s="82"/>
      <c r="F7003" s="82"/>
      <c r="G7003" s="4"/>
      <c r="H7003" s="82"/>
      <c r="I7003" s="4"/>
    </row>
    <row r="7004" spans="1:9" ht="27.6" x14ac:dyDescent="0.3">
      <c r="A7004" s="5">
        <v>135</v>
      </c>
      <c r="B7004" s="4"/>
      <c r="C7004" s="4"/>
      <c r="D7004" s="82" t="s">
        <v>414</v>
      </c>
      <c r="E7004" s="82">
        <v>20</v>
      </c>
      <c r="F7004" s="82" t="s">
        <v>200</v>
      </c>
      <c r="G7004" s="4"/>
      <c r="H7004" s="4" t="s">
        <v>415</v>
      </c>
      <c r="I7004" s="4" t="s">
        <v>202</v>
      </c>
    </row>
    <row r="7005" spans="1:9" ht="27.6" x14ac:dyDescent="0.3">
      <c r="A7005" s="5">
        <v>136</v>
      </c>
      <c r="B7005" s="4"/>
      <c r="C7005" s="4"/>
      <c r="D7005" s="82" t="s">
        <v>414</v>
      </c>
      <c r="E7005" s="82">
        <v>21</v>
      </c>
      <c r="F7005" s="82" t="s">
        <v>200</v>
      </c>
      <c r="G7005" s="4"/>
      <c r="H7005" s="4" t="s">
        <v>416</v>
      </c>
      <c r="I7005" s="4" t="s">
        <v>202</v>
      </c>
    </row>
    <row r="7006" spans="1:9" x14ac:dyDescent="0.3">
      <c r="A7006" s="5">
        <v>137</v>
      </c>
      <c r="B7006" s="4"/>
      <c r="C7006" s="4"/>
      <c r="D7006" s="82" t="s">
        <v>418</v>
      </c>
      <c r="E7006" s="82" t="s">
        <v>417</v>
      </c>
      <c r="F7006" s="82" t="s">
        <v>200</v>
      </c>
      <c r="G7006" s="4"/>
      <c r="H7006" s="82" t="s">
        <v>419</v>
      </c>
      <c r="I7006" s="4" t="s">
        <v>202</v>
      </c>
    </row>
    <row r="7007" spans="1:9" x14ac:dyDescent="0.3">
      <c r="A7007" s="5">
        <v>138</v>
      </c>
      <c r="B7007" s="4"/>
      <c r="C7007" s="4"/>
      <c r="D7007" s="82" t="s">
        <v>420</v>
      </c>
      <c r="E7007" s="82">
        <v>12</v>
      </c>
      <c r="F7007" s="82" t="s">
        <v>200</v>
      </c>
      <c r="G7007" s="4"/>
      <c r="H7007" s="4" t="s">
        <v>421</v>
      </c>
      <c r="I7007" s="4" t="s">
        <v>202</v>
      </c>
    </row>
    <row r="7008" spans="1:9" x14ac:dyDescent="0.3">
      <c r="A7008" s="5">
        <v>139</v>
      </c>
      <c r="B7008" s="4"/>
      <c r="C7008" s="4"/>
      <c r="D7008" s="82" t="s">
        <v>420</v>
      </c>
      <c r="E7008" s="82">
        <v>18</v>
      </c>
      <c r="F7008" s="82" t="s">
        <v>200</v>
      </c>
      <c r="G7008" s="4"/>
      <c r="H7008" s="4" t="s">
        <v>422</v>
      </c>
      <c r="I7008" s="4" t="s">
        <v>202</v>
      </c>
    </row>
    <row r="7009" spans="1:9" x14ac:dyDescent="0.3">
      <c r="A7009" s="5">
        <v>140</v>
      </c>
      <c r="B7009" s="4"/>
      <c r="C7009" s="4"/>
      <c r="D7009" s="82" t="s">
        <v>420</v>
      </c>
      <c r="E7009" s="82">
        <v>40</v>
      </c>
      <c r="F7009" s="82" t="s">
        <v>200</v>
      </c>
      <c r="G7009" s="4"/>
      <c r="H7009" s="4" t="s">
        <v>423</v>
      </c>
      <c r="I7009" s="4" t="s">
        <v>202</v>
      </c>
    </row>
    <row r="7010" spans="1:9" x14ac:dyDescent="0.3">
      <c r="A7010" s="4">
        <v>141</v>
      </c>
      <c r="B7010" s="4"/>
      <c r="C7010" s="4"/>
      <c r="D7010" s="82" t="s">
        <v>424</v>
      </c>
      <c r="E7010" s="82">
        <v>4</v>
      </c>
      <c r="F7010" s="82" t="s">
        <v>200</v>
      </c>
      <c r="G7010" s="4"/>
      <c r="H7010" s="4" t="s">
        <v>425</v>
      </c>
      <c r="I7010" s="4" t="s">
        <v>202</v>
      </c>
    </row>
    <row r="7011" spans="1:9" x14ac:dyDescent="0.3">
      <c r="A7011" s="5">
        <v>142</v>
      </c>
      <c r="B7011" s="4"/>
      <c r="C7011" s="4"/>
      <c r="D7011" s="82" t="s">
        <v>428</v>
      </c>
      <c r="E7011" s="82">
        <v>14</v>
      </c>
      <c r="F7011" s="82" t="s">
        <v>200</v>
      </c>
      <c r="G7011" s="4"/>
      <c r="H7011" s="4" t="s">
        <v>426</v>
      </c>
      <c r="I7011" s="4" t="s">
        <v>202</v>
      </c>
    </row>
    <row r="7012" spans="1:9" x14ac:dyDescent="0.3">
      <c r="A7012" s="5">
        <v>143</v>
      </c>
      <c r="B7012" s="4"/>
      <c r="C7012" s="4"/>
      <c r="D7012" s="82" t="s">
        <v>428</v>
      </c>
      <c r="E7012" s="82">
        <v>1</v>
      </c>
      <c r="F7012" s="82" t="s">
        <v>200</v>
      </c>
      <c r="G7012" s="4"/>
      <c r="H7012" s="4" t="s">
        <v>427</v>
      </c>
      <c r="I7012" s="4" t="s">
        <v>202</v>
      </c>
    </row>
    <row r="7013" spans="1:9" ht="27.6" x14ac:dyDescent="0.3">
      <c r="A7013" s="5">
        <v>144</v>
      </c>
      <c r="B7013" s="4"/>
      <c r="C7013" s="4"/>
      <c r="D7013" s="82" t="s">
        <v>429</v>
      </c>
      <c r="E7013" s="82">
        <v>13</v>
      </c>
      <c r="F7013" s="82" t="s">
        <v>200</v>
      </c>
      <c r="G7013" s="4"/>
      <c r="H7013" s="4" t="s">
        <v>430</v>
      </c>
      <c r="I7013" s="4" t="s">
        <v>202</v>
      </c>
    </row>
    <row r="7014" spans="1:9" ht="31.2" x14ac:dyDescent="0.3">
      <c r="A7014" s="4">
        <v>145</v>
      </c>
      <c r="B7014" s="4"/>
      <c r="C7014" s="4"/>
      <c r="D7014" s="82" t="s">
        <v>431</v>
      </c>
      <c r="E7014" s="82">
        <v>39</v>
      </c>
      <c r="F7014" s="82" t="s">
        <v>207</v>
      </c>
      <c r="G7014" s="4"/>
      <c r="H7014" s="4" t="s">
        <v>433</v>
      </c>
      <c r="I7014" s="11" t="s">
        <v>432</v>
      </c>
    </row>
    <row r="7015" spans="1:9" x14ac:dyDescent="0.3">
      <c r="A7015" s="5">
        <v>146</v>
      </c>
      <c r="B7015" s="4"/>
      <c r="C7015" s="4"/>
      <c r="D7015" s="82" t="s">
        <v>434</v>
      </c>
      <c r="E7015" s="82">
        <v>4</v>
      </c>
      <c r="F7015" s="82" t="s">
        <v>200</v>
      </c>
      <c r="G7015" s="4"/>
      <c r="H7015" s="4" t="s">
        <v>435</v>
      </c>
      <c r="I7015" s="4" t="s">
        <v>202</v>
      </c>
    </row>
    <row r="7016" spans="1:9" ht="27.6" x14ac:dyDescent="0.3">
      <c r="A7016" s="5">
        <v>147</v>
      </c>
      <c r="B7016" s="4"/>
      <c r="C7016" s="4"/>
      <c r="D7016" s="82" t="s">
        <v>437</v>
      </c>
      <c r="E7016" s="82" t="s">
        <v>436</v>
      </c>
      <c r="F7016" s="82" t="s">
        <v>200</v>
      </c>
      <c r="G7016" s="4"/>
      <c r="H7016" s="4" t="s">
        <v>438</v>
      </c>
      <c r="I7016" s="4" t="s">
        <v>202</v>
      </c>
    </row>
    <row r="7017" spans="1:9" x14ac:dyDescent="0.3">
      <c r="A7017" s="5">
        <v>148</v>
      </c>
      <c r="B7017" s="4"/>
      <c r="C7017" s="4"/>
      <c r="D7017" s="82" t="s">
        <v>439</v>
      </c>
      <c r="E7017" s="82">
        <v>18</v>
      </c>
      <c r="F7017" s="82" t="s">
        <v>200</v>
      </c>
      <c r="G7017" s="4"/>
      <c r="H7017" s="4" t="s">
        <v>440</v>
      </c>
      <c r="I7017" s="4" t="s">
        <v>202</v>
      </c>
    </row>
    <row r="7018" spans="1:9" x14ac:dyDescent="0.3">
      <c r="A7018" s="4">
        <v>149</v>
      </c>
      <c r="B7018" s="4"/>
      <c r="C7018" s="4"/>
      <c r="D7018" s="82" t="s">
        <v>439</v>
      </c>
      <c r="E7018" s="82">
        <v>21</v>
      </c>
      <c r="F7018" s="82" t="s">
        <v>200</v>
      </c>
      <c r="G7018" s="4"/>
      <c r="H7018" s="4" t="s">
        <v>441</v>
      </c>
      <c r="I7018" s="4" t="s">
        <v>202</v>
      </c>
    </row>
    <row r="7019" spans="1:9" ht="27.6" x14ac:dyDescent="0.3">
      <c r="A7019" s="4">
        <v>150</v>
      </c>
      <c r="B7019" s="4"/>
      <c r="C7019" s="4"/>
      <c r="D7019" s="82" t="s">
        <v>442</v>
      </c>
      <c r="E7019" s="82">
        <v>18</v>
      </c>
      <c r="F7019" s="82" t="s">
        <v>200</v>
      </c>
      <c r="G7019" s="4"/>
      <c r="H7019" s="4" t="s">
        <v>448</v>
      </c>
      <c r="I7019" s="4" t="s">
        <v>202</v>
      </c>
    </row>
    <row r="7020" spans="1:9" ht="31.2" x14ac:dyDescent="0.3">
      <c r="A7020" s="5">
        <v>151</v>
      </c>
      <c r="B7020" s="4"/>
      <c r="C7020" s="4"/>
      <c r="D7020" s="82" t="s">
        <v>442</v>
      </c>
      <c r="E7020" s="82">
        <v>1</v>
      </c>
      <c r="F7020" s="82" t="s">
        <v>200</v>
      </c>
      <c r="G7020" s="4"/>
      <c r="H7020" s="4" t="s">
        <v>444</v>
      </c>
      <c r="I7020" s="11" t="s">
        <v>443</v>
      </c>
    </row>
    <row r="7021" spans="1:9" ht="27.6" x14ac:dyDescent="0.3">
      <c r="A7021" s="5">
        <v>152</v>
      </c>
      <c r="B7021" s="4"/>
      <c r="C7021" s="4"/>
      <c r="D7021" s="82" t="s">
        <v>442</v>
      </c>
      <c r="E7021" s="82">
        <v>27</v>
      </c>
      <c r="F7021" s="82"/>
      <c r="G7021" s="4"/>
      <c r="H7021" s="4" t="s">
        <v>449</v>
      </c>
      <c r="I7021" s="4" t="s">
        <v>202</v>
      </c>
    </row>
    <row r="7022" spans="1:9" ht="31.2" x14ac:dyDescent="0.3">
      <c r="A7022" s="5">
        <v>153</v>
      </c>
      <c r="B7022" s="4"/>
      <c r="C7022" s="4"/>
      <c r="D7022" s="82" t="s">
        <v>442</v>
      </c>
      <c r="E7022" s="82">
        <v>2</v>
      </c>
      <c r="F7022" s="82" t="s">
        <v>205</v>
      </c>
      <c r="G7022" s="4"/>
      <c r="H7022" s="89" t="s">
        <v>445</v>
      </c>
      <c r="I7022" s="11" t="s">
        <v>443</v>
      </c>
    </row>
    <row r="7023" spans="1:9" ht="31.2" x14ac:dyDescent="0.3">
      <c r="A7023" s="4">
        <v>154</v>
      </c>
      <c r="B7023" s="4"/>
      <c r="C7023" s="4"/>
      <c r="D7023" s="82" t="s">
        <v>442</v>
      </c>
      <c r="E7023" s="82">
        <v>44</v>
      </c>
      <c r="F7023" s="82" t="s">
        <v>205</v>
      </c>
      <c r="G7023" s="4"/>
      <c r="H7023" s="4" t="s">
        <v>446</v>
      </c>
      <c r="I7023" s="11" t="s">
        <v>443</v>
      </c>
    </row>
    <row r="7024" spans="1:9" x14ac:dyDescent="0.3">
      <c r="A7024" s="5">
        <v>155</v>
      </c>
      <c r="B7024" s="4"/>
      <c r="C7024" s="4"/>
      <c r="D7024" s="82" t="s">
        <v>447</v>
      </c>
      <c r="E7024" s="82">
        <v>3</v>
      </c>
      <c r="F7024" s="82" t="s">
        <v>200</v>
      </c>
      <c r="G7024" s="4"/>
      <c r="H7024" s="4" t="s">
        <v>450</v>
      </c>
      <c r="I7024" s="4" t="s">
        <v>228</v>
      </c>
    </row>
    <row r="7025" spans="1:9" ht="27.6" x14ac:dyDescent="0.3">
      <c r="A7025" s="5">
        <v>156</v>
      </c>
      <c r="B7025" s="4"/>
      <c r="C7025" s="4"/>
      <c r="D7025" s="82" t="s">
        <v>451</v>
      </c>
      <c r="E7025" s="82">
        <v>10</v>
      </c>
      <c r="F7025" s="82" t="s">
        <v>200</v>
      </c>
      <c r="G7025" s="4"/>
      <c r="H7025" s="4" t="s">
        <v>453</v>
      </c>
      <c r="I7025" s="4" t="s">
        <v>202</v>
      </c>
    </row>
    <row r="7026" spans="1:9" ht="27.6" x14ac:dyDescent="0.3">
      <c r="A7026" s="4">
        <v>157</v>
      </c>
      <c r="B7026" s="4"/>
      <c r="C7026" s="4"/>
      <c r="D7026" s="82" t="s">
        <v>451</v>
      </c>
      <c r="E7026" s="82">
        <v>16</v>
      </c>
      <c r="F7026" s="82" t="s">
        <v>200</v>
      </c>
      <c r="H7026" s="4" t="s">
        <v>454</v>
      </c>
      <c r="I7026" s="4" t="s">
        <v>202</v>
      </c>
    </row>
    <row r="7027" spans="1:9" ht="27.6" x14ac:dyDescent="0.3">
      <c r="A7027" s="5">
        <v>158</v>
      </c>
      <c r="B7027" s="4"/>
      <c r="C7027" s="4"/>
      <c r="D7027" s="82" t="s">
        <v>451</v>
      </c>
      <c r="E7027" s="82">
        <v>23</v>
      </c>
      <c r="F7027" s="82" t="s">
        <v>200</v>
      </c>
      <c r="H7027" s="4" t="s">
        <v>455</v>
      </c>
      <c r="I7027" s="4" t="s">
        <v>202</v>
      </c>
    </row>
    <row r="7028" spans="1:9" ht="27.6" x14ac:dyDescent="0.3">
      <c r="A7028" s="5">
        <v>159</v>
      </c>
      <c r="B7028" s="4"/>
      <c r="C7028" s="4"/>
      <c r="D7028" s="82" t="s">
        <v>451</v>
      </c>
      <c r="E7028" s="82">
        <v>34</v>
      </c>
      <c r="F7028" s="82" t="s">
        <v>200</v>
      </c>
      <c r="H7028" s="4" t="s">
        <v>452</v>
      </c>
      <c r="I7028" s="11" t="s">
        <v>276</v>
      </c>
    </row>
    <row r="7029" spans="1:9" x14ac:dyDescent="0.3">
      <c r="D7029" s="82" t="s">
        <v>457</v>
      </c>
      <c r="E7029" s="82">
        <v>21</v>
      </c>
      <c r="F7029" s="82" t="s">
        <v>200</v>
      </c>
      <c r="H7029" s="1" t="s">
        <v>456</v>
      </c>
      <c r="I7029" s="11" t="s">
        <v>276</v>
      </c>
    </row>
    <row r="7030" spans="1:9" x14ac:dyDescent="0.3">
      <c r="D7030" s="91" t="s">
        <v>457</v>
      </c>
      <c r="E7030" s="91">
        <v>10</v>
      </c>
      <c r="F7030" s="91" t="s">
        <v>200</v>
      </c>
      <c r="G7030" s="90"/>
      <c r="H7030" s="90" t="s">
        <v>480</v>
      </c>
      <c r="I7030" s="92" t="s">
        <v>276</v>
      </c>
    </row>
    <row r="7031" spans="1:9" x14ac:dyDescent="0.3">
      <c r="D7031" s="82" t="s">
        <v>458</v>
      </c>
      <c r="E7031" s="82">
        <v>10</v>
      </c>
      <c r="F7031" s="82" t="s">
        <v>200</v>
      </c>
      <c r="H7031" s="1" t="s">
        <v>459</v>
      </c>
      <c r="I7031" s="4" t="s">
        <v>202</v>
      </c>
    </row>
    <row r="7032" spans="1:9" x14ac:dyDescent="0.3">
      <c r="D7032" s="82" t="s">
        <v>458</v>
      </c>
      <c r="E7032" s="82">
        <v>12</v>
      </c>
      <c r="F7032" s="82" t="s">
        <v>200</v>
      </c>
      <c r="H7032" s="1" t="s">
        <v>460</v>
      </c>
      <c r="I7032" s="1" t="s">
        <v>202</v>
      </c>
    </row>
    <row r="7033" spans="1:9" ht="27.6" x14ac:dyDescent="0.3">
      <c r="D7033" s="82" t="s">
        <v>461</v>
      </c>
      <c r="E7033" s="82">
        <v>12</v>
      </c>
      <c r="F7033" s="82" t="s">
        <v>200</v>
      </c>
      <c r="H7033" s="1" t="s">
        <v>462</v>
      </c>
      <c r="I7033" s="1" t="s">
        <v>202</v>
      </c>
    </row>
    <row r="7034" spans="1:9" x14ac:dyDescent="0.3">
      <c r="D7034" s="82" t="s">
        <v>463</v>
      </c>
      <c r="E7034" s="82">
        <v>11</v>
      </c>
      <c r="F7034" s="82" t="s">
        <v>200</v>
      </c>
      <c r="H7034" s="1" t="s">
        <v>464</v>
      </c>
      <c r="I7034" s="1" t="s">
        <v>202</v>
      </c>
    </row>
    <row r="7035" spans="1:9" x14ac:dyDescent="0.3">
      <c r="D7035" s="82" t="s">
        <v>463</v>
      </c>
      <c r="E7035" s="82">
        <v>36</v>
      </c>
      <c r="F7035" s="82" t="s">
        <v>200</v>
      </c>
      <c r="H7035" s="1" t="s">
        <v>465</v>
      </c>
      <c r="I7035" s="1" t="s">
        <v>202</v>
      </c>
    </row>
    <row r="7036" spans="1:9" x14ac:dyDescent="0.3">
      <c r="D7036" s="82" t="s">
        <v>467</v>
      </c>
      <c r="E7036" s="82" t="s">
        <v>466</v>
      </c>
      <c r="F7036" s="82" t="s">
        <v>200</v>
      </c>
      <c r="H7036" s="1" t="s">
        <v>468</v>
      </c>
      <c r="I7036" s="1" t="s">
        <v>202</v>
      </c>
    </row>
    <row r="7037" spans="1:9" x14ac:dyDescent="0.3">
      <c r="D7037" s="82" t="s">
        <v>469</v>
      </c>
      <c r="E7037" s="82">
        <v>27</v>
      </c>
      <c r="F7037" s="82" t="s">
        <v>200</v>
      </c>
      <c r="H7037" s="1" t="s">
        <v>470</v>
      </c>
      <c r="I7037" s="11" t="s">
        <v>276</v>
      </c>
    </row>
    <row r="7038" spans="1:9" x14ac:dyDescent="0.3">
      <c r="D7038" s="82" t="s">
        <v>471</v>
      </c>
      <c r="E7038" s="82">
        <v>13</v>
      </c>
      <c r="F7038" s="82" t="s">
        <v>200</v>
      </c>
      <c r="H7038" s="1" t="s">
        <v>472</v>
      </c>
      <c r="I7038" s="1" t="s">
        <v>202</v>
      </c>
    </row>
    <row r="7039" spans="1:9" x14ac:dyDescent="0.3">
      <c r="D7039" s="82" t="s">
        <v>471</v>
      </c>
      <c r="E7039" s="82">
        <v>14</v>
      </c>
      <c r="F7039" s="82" t="s">
        <v>200</v>
      </c>
      <c r="H7039" s="1" t="s">
        <v>473</v>
      </c>
      <c r="I7039" s="1" t="s">
        <v>202</v>
      </c>
    </row>
    <row r="7040" spans="1:9" x14ac:dyDescent="0.3">
      <c r="D7040" s="82" t="s">
        <v>474</v>
      </c>
      <c r="E7040" s="82">
        <v>1</v>
      </c>
      <c r="F7040" s="82" t="s">
        <v>200</v>
      </c>
      <c r="H7040" s="1" t="s">
        <v>475</v>
      </c>
      <c r="I7040" s="1" t="s">
        <v>202</v>
      </c>
    </row>
    <row r="7041" spans="1:9" x14ac:dyDescent="0.3">
      <c r="D7041" s="82" t="s">
        <v>476</v>
      </c>
      <c r="E7041" s="82">
        <v>12</v>
      </c>
      <c r="F7041" s="82" t="s">
        <v>200</v>
      </c>
      <c r="H7041" s="1" t="s">
        <v>477</v>
      </c>
      <c r="I7041" s="1" t="s">
        <v>202</v>
      </c>
    </row>
    <row r="7042" spans="1:9" x14ac:dyDescent="0.3">
      <c r="D7042" s="82" t="s">
        <v>478</v>
      </c>
      <c r="E7042" s="82">
        <v>11</v>
      </c>
      <c r="F7042" s="82" t="s">
        <v>200</v>
      </c>
      <c r="H7042" s="1" t="s">
        <v>479</v>
      </c>
      <c r="I7042" s="1" t="s">
        <v>202</v>
      </c>
    </row>
    <row r="7043" spans="1:9" x14ac:dyDescent="0.3">
      <c r="A7043" s="90"/>
      <c r="B7043" s="90"/>
      <c r="C7043" s="90"/>
    </row>
    <row r="7044" spans="1:9" x14ac:dyDescent="0.3">
      <c r="A7044" s="90"/>
      <c r="B7044" s="90"/>
      <c r="C7044" s="90"/>
    </row>
    <row r="7045" spans="1:9" x14ac:dyDescent="0.3">
      <c r="A7045" s="90"/>
      <c r="B7045" s="90"/>
      <c r="C7045" s="90"/>
    </row>
    <row r="7046" spans="1:9" x14ac:dyDescent="0.3">
      <c r="A7046" s="90"/>
      <c r="B7046" s="90"/>
      <c r="C7046" s="90"/>
      <c r="D7046" s="91" t="s">
        <v>412</v>
      </c>
      <c r="E7046" s="91">
        <v>28</v>
      </c>
      <c r="F7046" s="91" t="s">
        <v>200</v>
      </c>
      <c r="G7046" s="90"/>
      <c r="H7046" s="90" t="s">
        <v>483</v>
      </c>
      <c r="I7046" s="90" t="s">
        <v>202</v>
      </c>
    </row>
    <row r="7047" spans="1:9" x14ac:dyDescent="0.3">
      <c r="A7047" s="90"/>
      <c r="B7047" s="90"/>
      <c r="C7047" s="90"/>
      <c r="D7047" s="91" t="s">
        <v>412</v>
      </c>
      <c r="E7047" s="91">
        <v>24</v>
      </c>
      <c r="F7047" s="91" t="s">
        <v>200</v>
      </c>
      <c r="G7047" s="90"/>
      <c r="H7047" s="90" t="s">
        <v>484</v>
      </c>
      <c r="I7047" s="90" t="s">
        <v>202</v>
      </c>
    </row>
    <row r="7048" spans="1:9" x14ac:dyDescent="0.3">
      <c r="A7048" s="90"/>
      <c r="B7048" s="90"/>
      <c r="C7048" s="90"/>
      <c r="D7048" s="91" t="s">
        <v>412</v>
      </c>
      <c r="E7048" s="91">
        <v>33</v>
      </c>
      <c r="F7048" s="91" t="s">
        <v>200</v>
      </c>
      <c r="G7048" s="90"/>
      <c r="H7048" s="90" t="s">
        <v>485</v>
      </c>
      <c r="I7048" s="90" t="s">
        <v>202</v>
      </c>
    </row>
    <row r="7049" spans="1:9" x14ac:dyDescent="0.3">
      <c r="A7049" s="90"/>
      <c r="B7049" s="90"/>
      <c r="C7049" s="90"/>
      <c r="D7049" s="91" t="s">
        <v>412</v>
      </c>
      <c r="E7049" s="91">
        <v>15</v>
      </c>
      <c r="F7049" s="91" t="s">
        <v>200</v>
      </c>
      <c r="G7049" s="90"/>
      <c r="H7049" s="90" t="s">
        <v>486</v>
      </c>
      <c r="I7049" s="90" t="s">
        <v>202</v>
      </c>
    </row>
    <row r="7050" spans="1:9" x14ac:dyDescent="0.3">
      <c r="A7050" s="90"/>
      <c r="B7050" s="90"/>
      <c r="C7050" s="90"/>
      <c r="D7050" s="91" t="s">
        <v>337</v>
      </c>
      <c r="E7050" s="91">
        <v>10</v>
      </c>
      <c r="F7050" s="91" t="s">
        <v>200</v>
      </c>
      <c r="G7050" s="90"/>
      <c r="H7050" s="90" t="s">
        <v>487</v>
      </c>
      <c r="I7050" s="90" t="s">
        <v>202</v>
      </c>
    </row>
    <row r="7051" spans="1:9" x14ac:dyDescent="0.3">
      <c r="A7051" s="90"/>
      <c r="B7051" s="90"/>
      <c r="C7051" s="90"/>
      <c r="D7051" s="91" t="s">
        <v>488</v>
      </c>
      <c r="E7051" s="91">
        <v>21</v>
      </c>
      <c r="F7051" s="91" t="s">
        <v>200</v>
      </c>
      <c r="G7051" s="90"/>
      <c r="H7051" s="90" t="s">
        <v>489</v>
      </c>
      <c r="I7051" s="90" t="s">
        <v>202</v>
      </c>
    </row>
    <row r="7052" spans="1:9" x14ac:dyDescent="0.3">
      <c r="A7052" s="90"/>
      <c r="B7052" s="90"/>
      <c r="C7052" s="90"/>
      <c r="D7052" s="91" t="s">
        <v>490</v>
      </c>
      <c r="E7052" s="91">
        <v>30</v>
      </c>
      <c r="F7052" s="91" t="s">
        <v>200</v>
      </c>
      <c r="G7052" s="90"/>
      <c r="H7052" s="90" t="s">
        <v>491</v>
      </c>
      <c r="I7052" s="90" t="s">
        <v>202</v>
      </c>
    </row>
    <row r="7053" spans="1:9" ht="46.8" x14ac:dyDescent="0.3">
      <c r="A7053" s="90"/>
      <c r="B7053" s="90"/>
      <c r="C7053" s="90"/>
      <c r="D7053" s="91" t="s">
        <v>492</v>
      </c>
      <c r="E7053" s="91">
        <v>15</v>
      </c>
      <c r="F7053" s="91" t="s">
        <v>493</v>
      </c>
      <c r="G7053" s="91"/>
      <c r="H7053" s="90" t="s">
        <v>494</v>
      </c>
      <c r="I7053" s="93" t="s">
        <v>301</v>
      </c>
    </row>
    <row r="7054" spans="1:9" ht="46.8" x14ac:dyDescent="0.3">
      <c r="A7054" s="90"/>
      <c r="B7054" s="90"/>
      <c r="C7054" s="90"/>
      <c r="D7054" s="91" t="s">
        <v>495</v>
      </c>
      <c r="E7054" s="91">
        <v>29</v>
      </c>
      <c r="F7054" s="91" t="s">
        <v>200</v>
      </c>
      <c r="G7054" s="90"/>
      <c r="H7054" s="90" t="s">
        <v>496</v>
      </c>
      <c r="I7054" s="93" t="s">
        <v>301</v>
      </c>
    </row>
    <row r="7055" spans="1:9" ht="46.8" x14ac:dyDescent="0.3">
      <c r="D7055" s="91" t="s">
        <v>497</v>
      </c>
      <c r="E7055" s="91">
        <v>5</v>
      </c>
      <c r="F7055" s="91" t="s">
        <v>200</v>
      </c>
      <c r="G7055" s="90"/>
      <c r="H7055" s="91" t="s">
        <v>498</v>
      </c>
      <c r="I7055" s="93" t="s">
        <v>301</v>
      </c>
    </row>
    <row r="7056" spans="1:9" ht="46.8" x14ac:dyDescent="0.3">
      <c r="D7056" s="91" t="s">
        <v>377</v>
      </c>
      <c r="E7056" s="91">
        <v>7</v>
      </c>
      <c r="F7056" s="91" t="s">
        <v>200</v>
      </c>
      <c r="G7056" s="90"/>
      <c r="H7056" s="90" t="s">
        <v>499</v>
      </c>
      <c r="I7056" s="93" t="s">
        <v>301</v>
      </c>
    </row>
    <row r="7057" spans="4:9" x14ac:dyDescent="0.3">
      <c r="D7057" s="91" t="s">
        <v>500</v>
      </c>
      <c r="E7057" s="91">
        <v>12</v>
      </c>
      <c r="F7057" s="91" t="s">
        <v>200</v>
      </c>
      <c r="G7057" s="90"/>
      <c r="H7057" s="90" t="s">
        <v>501</v>
      </c>
      <c r="I7057" s="90" t="s">
        <v>202</v>
      </c>
    </row>
    <row r="7058" spans="4:9" ht="27.6" x14ac:dyDescent="0.3">
      <c r="D7058" s="91" t="s">
        <v>332</v>
      </c>
      <c r="E7058" s="91">
        <v>18</v>
      </c>
      <c r="F7058" s="91" t="s">
        <v>200</v>
      </c>
      <c r="G7058" s="90"/>
      <c r="H7058" s="90" t="s">
        <v>502</v>
      </c>
      <c r="I7058" s="90" t="s">
        <v>202</v>
      </c>
    </row>
    <row r="7059" spans="4:9" ht="27.6" x14ac:dyDescent="0.3">
      <c r="D7059" s="91" t="s">
        <v>503</v>
      </c>
      <c r="E7059" s="91">
        <v>16</v>
      </c>
      <c r="F7059" s="91" t="s">
        <v>361</v>
      </c>
      <c r="G7059" s="91"/>
      <c r="H7059" s="90" t="s">
        <v>504</v>
      </c>
      <c r="I7059" s="90" t="s">
        <v>202</v>
      </c>
    </row>
    <row r="7060" spans="4:9" ht="46.8" x14ac:dyDescent="0.3">
      <c r="D7060" s="91" t="s">
        <v>442</v>
      </c>
      <c r="E7060" s="91">
        <v>37</v>
      </c>
      <c r="F7060" s="91" t="s">
        <v>505</v>
      </c>
      <c r="G7060" s="91"/>
      <c r="H7060" s="90" t="s">
        <v>506</v>
      </c>
      <c r="I7060" s="93" t="s">
        <v>301</v>
      </c>
    </row>
    <row r="7061" spans="4:9" ht="46.8" x14ac:dyDescent="0.3">
      <c r="D7061" s="91" t="s">
        <v>332</v>
      </c>
      <c r="E7061" s="91">
        <v>23</v>
      </c>
      <c r="F7061" s="91" t="s">
        <v>200</v>
      </c>
      <c r="G7061" s="90"/>
      <c r="H7061" s="90" t="s">
        <v>507</v>
      </c>
      <c r="I7061" s="93" t="s">
        <v>301</v>
      </c>
    </row>
    <row r="7062" spans="4:9" ht="46.8" x14ac:dyDescent="0.3">
      <c r="D7062" s="91" t="s">
        <v>508</v>
      </c>
      <c r="E7062" s="91">
        <v>2</v>
      </c>
      <c r="F7062" s="91" t="s">
        <v>200</v>
      </c>
      <c r="G7062" s="90"/>
      <c r="H7062" s="90" t="s">
        <v>509</v>
      </c>
      <c r="I7062" s="93" t="s">
        <v>301</v>
      </c>
    </row>
    <row r="7063" spans="4:9" ht="46.8" x14ac:dyDescent="0.3">
      <c r="D7063" s="91" t="s">
        <v>508</v>
      </c>
      <c r="E7063" s="91">
        <v>4</v>
      </c>
      <c r="F7063" s="91" t="s">
        <v>200</v>
      </c>
      <c r="G7063" s="90"/>
      <c r="H7063" s="90" t="s">
        <v>510</v>
      </c>
      <c r="I7063" s="93" t="s">
        <v>301</v>
      </c>
    </row>
    <row r="7064" spans="4:9" ht="46.8" x14ac:dyDescent="0.3">
      <c r="D7064" s="91" t="s">
        <v>511</v>
      </c>
      <c r="E7064" s="91">
        <v>6</v>
      </c>
      <c r="F7064" s="91" t="s">
        <v>200</v>
      </c>
      <c r="G7064" s="90"/>
      <c r="H7064" s="90" t="s">
        <v>512</v>
      </c>
      <c r="I7064" s="93" t="s">
        <v>301</v>
      </c>
    </row>
    <row r="7065" spans="4:9" ht="27.6" x14ac:dyDescent="0.3">
      <c r="D7065" s="91" t="s">
        <v>513</v>
      </c>
      <c r="E7065" s="91">
        <v>5</v>
      </c>
      <c r="F7065" s="91" t="s">
        <v>200</v>
      </c>
      <c r="G7065" s="90"/>
      <c r="H7065" s="90" t="s">
        <v>515</v>
      </c>
      <c r="I7065" s="90" t="s">
        <v>202</v>
      </c>
    </row>
    <row r="7066" spans="4:9" x14ac:dyDescent="0.3">
      <c r="D7066" s="91" t="s">
        <v>514</v>
      </c>
      <c r="E7066" s="91">
        <v>34</v>
      </c>
      <c r="F7066" s="91" t="s">
        <v>200</v>
      </c>
      <c r="G7066" s="90"/>
      <c r="H7066" s="90" t="s">
        <v>516</v>
      </c>
      <c r="I7066" s="90" t="s">
        <v>202</v>
      </c>
    </row>
    <row r="7067" spans="4:9" ht="46.8" x14ac:dyDescent="0.3">
      <c r="D7067" s="91" t="s">
        <v>431</v>
      </c>
      <c r="E7067" s="91">
        <v>50</v>
      </c>
      <c r="F7067" s="91" t="s">
        <v>200</v>
      </c>
      <c r="G7067" s="90"/>
      <c r="H7067" s="90" t="s">
        <v>517</v>
      </c>
      <c r="I7067" s="93" t="s">
        <v>301</v>
      </c>
    </row>
    <row r="7068" spans="4:9" x14ac:dyDescent="0.3">
      <c r="D7068" s="91" t="s">
        <v>518</v>
      </c>
      <c r="E7068" s="91">
        <v>9</v>
      </c>
      <c r="F7068" s="91" t="s">
        <v>200</v>
      </c>
      <c r="G7068" s="90"/>
      <c r="H7068" s="90" t="s">
        <v>519</v>
      </c>
      <c r="I7068" s="90" t="s">
        <v>202</v>
      </c>
    </row>
    <row r="7069" spans="4:9" ht="27.6" x14ac:dyDescent="0.3">
      <c r="D7069" s="91" t="s">
        <v>442</v>
      </c>
      <c r="E7069" s="91">
        <v>26</v>
      </c>
      <c r="F7069" s="91" t="s">
        <v>361</v>
      </c>
      <c r="G7069" s="91"/>
      <c r="H7069" s="90" t="s">
        <v>520</v>
      </c>
      <c r="I7069" s="90" t="s">
        <v>202</v>
      </c>
    </row>
  </sheetData>
  <mergeCells count="5">
    <mergeCell ref="A5:A6"/>
    <mergeCell ref="AG5:AK5"/>
    <mergeCell ref="AL5:AL6"/>
    <mergeCell ref="K5:AF5"/>
    <mergeCell ref="B5:J5"/>
  </mergeCells>
  <pageMargins left="0.25" right="0.25" top="0.75" bottom="0.75" header="0.3" footer="0.3"/>
  <pageSetup paperSize="9" scale="30" fitToWidth="0" fitToHeight="0" orientation="landscape" r:id="rId1"/>
  <headerFooter>
    <oddFooter>Страница  &amp;P из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1"/>
  <sheetViews>
    <sheetView view="pageBreakPreview" zoomScaleNormal="60" zoomScaleSheetLayoutView="100" workbookViewId="0">
      <selection sqref="A1:Q41"/>
    </sheetView>
  </sheetViews>
  <sheetFormatPr defaultColWidth="9.109375" defaultRowHeight="15.6" x14ac:dyDescent="0.3"/>
  <cols>
    <col min="1" max="1" width="5.44140625" style="1" customWidth="1"/>
    <col min="2" max="5" width="9.6640625" style="1" customWidth="1"/>
    <col min="6" max="7" width="10.88671875" style="1" customWidth="1"/>
    <col min="8" max="9" width="9.6640625" style="1" customWidth="1"/>
    <col min="10" max="10" width="17" style="1" customWidth="1"/>
    <col min="11" max="12" width="9.6640625" style="1" customWidth="1"/>
    <col min="13" max="13" width="12.88671875" style="1" customWidth="1"/>
    <col min="14" max="14" width="10.5546875" style="1" customWidth="1"/>
    <col min="15" max="15" width="16.88671875" style="1" customWidth="1"/>
    <col min="16" max="18" width="9.6640625" style="1" customWidth="1"/>
    <col min="19" max="20" width="8.6640625" style="1" customWidth="1"/>
    <col min="21" max="22" width="8.88671875" style="1" customWidth="1"/>
    <col min="23" max="23" width="10.44140625" style="1" customWidth="1"/>
    <col min="24" max="25" width="9.6640625" style="1" customWidth="1"/>
    <col min="26" max="26" width="11.44140625" style="1" customWidth="1"/>
    <col min="27" max="27" width="9.6640625" style="1" customWidth="1"/>
    <col min="28" max="28" width="18.44140625" style="1" customWidth="1"/>
    <col min="29" max="16384" width="9.109375" style="1"/>
  </cols>
  <sheetData>
    <row r="1" spans="1:22" x14ac:dyDescent="0.3">
      <c r="A1" s="1" t="s">
        <v>122</v>
      </c>
      <c r="M1" s="47" t="s">
        <v>119</v>
      </c>
      <c r="U1" s="2"/>
      <c r="V1" s="2"/>
    </row>
    <row r="2" spans="1:22" x14ac:dyDescent="0.3">
      <c r="M2" s="1" t="s">
        <v>120</v>
      </c>
      <c r="U2" s="2"/>
      <c r="V2" s="2"/>
    </row>
    <row r="3" spans="1:22" x14ac:dyDescent="0.3">
      <c r="A3" s="63"/>
      <c r="B3" s="18" t="s">
        <v>33</v>
      </c>
      <c r="M3" s="1" t="s">
        <v>121</v>
      </c>
    </row>
    <row r="4" spans="1:22" x14ac:dyDescent="0.3">
      <c r="A4" s="63"/>
      <c r="B4" s="18" t="s">
        <v>115</v>
      </c>
      <c r="M4" s="56" t="s">
        <v>118</v>
      </c>
    </row>
    <row r="5" spans="1:22" x14ac:dyDescent="0.3">
      <c r="A5" s="63"/>
      <c r="B5" s="18" t="s">
        <v>116</v>
      </c>
      <c r="M5" s="56"/>
    </row>
    <row r="6" spans="1:22" x14ac:dyDescent="0.3">
      <c r="A6" s="70"/>
      <c r="B6" s="18" t="s">
        <v>151</v>
      </c>
    </row>
    <row r="7" spans="1:22" x14ac:dyDescent="0.3">
      <c r="A7" s="63"/>
      <c r="B7" s="18" t="s">
        <v>150</v>
      </c>
    </row>
    <row r="8" spans="1:22" x14ac:dyDescent="0.3">
      <c r="A8" s="63"/>
      <c r="B8" s="77" t="s">
        <v>155</v>
      </c>
    </row>
    <row r="9" spans="1:22" x14ac:dyDescent="0.3">
      <c r="A9" s="63"/>
      <c r="B9" s="77" t="s">
        <v>152</v>
      </c>
    </row>
    <row r="10" spans="1:22" x14ac:dyDescent="0.3">
      <c r="A10" s="63"/>
      <c r="B10" s="18"/>
      <c r="C10" s="1" t="s">
        <v>147</v>
      </c>
    </row>
    <row r="11" spans="1:22" x14ac:dyDescent="0.3">
      <c r="A11" s="63"/>
      <c r="B11" s="77" t="s">
        <v>156</v>
      </c>
    </row>
    <row r="12" spans="1:22" x14ac:dyDescent="0.3">
      <c r="A12" s="63"/>
      <c r="C12" s="18" t="s">
        <v>157</v>
      </c>
    </row>
    <row r="13" spans="1:22" x14ac:dyDescent="0.3">
      <c r="A13" s="63"/>
      <c r="C13" s="18" t="s">
        <v>148</v>
      </c>
    </row>
    <row r="14" spans="1:22" x14ac:dyDescent="0.3">
      <c r="A14" s="63"/>
      <c r="B14" s="18" t="s">
        <v>63</v>
      </c>
    </row>
    <row r="15" spans="1:22" x14ac:dyDescent="0.3">
      <c r="A15" s="64"/>
      <c r="B15" s="18" t="s">
        <v>64</v>
      </c>
    </row>
    <row r="16" spans="1:22" x14ac:dyDescent="0.3">
      <c r="A16" s="64"/>
      <c r="B16" s="18" t="s">
        <v>65</v>
      </c>
    </row>
    <row r="17" spans="1:17" x14ac:dyDescent="0.3">
      <c r="A17" s="64"/>
      <c r="B17" s="18" t="s">
        <v>66</v>
      </c>
    </row>
    <row r="18" spans="1:17" x14ac:dyDescent="0.3">
      <c r="A18" s="64"/>
      <c r="B18" s="18" t="s">
        <v>136</v>
      </c>
    </row>
    <row r="19" spans="1:17" x14ac:dyDescent="0.3">
      <c r="A19" s="64"/>
      <c r="B19" s="18" t="s">
        <v>67</v>
      </c>
    </row>
    <row r="20" spans="1:17" x14ac:dyDescent="0.3">
      <c r="A20" s="64"/>
      <c r="B20" s="18" t="s">
        <v>137</v>
      </c>
      <c r="M20" s="79" t="s">
        <v>158</v>
      </c>
      <c r="N20" s="78"/>
      <c r="O20" s="78"/>
      <c r="P20" s="78"/>
      <c r="Q20" s="78"/>
    </row>
    <row r="21" spans="1:17" x14ac:dyDescent="0.3">
      <c r="A21" s="64"/>
      <c r="B21" s="18" t="s">
        <v>68</v>
      </c>
      <c r="M21" s="80" t="s">
        <v>160</v>
      </c>
      <c r="N21" s="78" t="s">
        <v>178</v>
      </c>
      <c r="O21" s="78"/>
      <c r="P21" s="78"/>
      <c r="Q21" s="78"/>
    </row>
    <row r="22" spans="1:17" x14ac:dyDescent="0.3">
      <c r="A22" s="65"/>
      <c r="B22" s="18" t="s">
        <v>69</v>
      </c>
      <c r="M22" s="80" t="s">
        <v>161</v>
      </c>
      <c r="N22" s="78" t="s">
        <v>179</v>
      </c>
      <c r="O22" s="78"/>
      <c r="P22" s="78"/>
      <c r="Q22" s="78"/>
    </row>
    <row r="23" spans="1:17" x14ac:dyDescent="0.3">
      <c r="A23" s="65"/>
      <c r="B23" s="22" t="s">
        <v>88</v>
      </c>
      <c r="M23" s="80" t="s">
        <v>162</v>
      </c>
      <c r="N23" s="78" t="s">
        <v>180</v>
      </c>
      <c r="O23" s="78"/>
      <c r="P23" s="78"/>
      <c r="Q23" s="78"/>
    </row>
    <row r="24" spans="1:17" x14ac:dyDescent="0.3">
      <c r="A24" s="65"/>
      <c r="B24" s="18" t="s">
        <v>70</v>
      </c>
      <c r="M24" s="80" t="s">
        <v>163</v>
      </c>
      <c r="N24" s="78" t="s">
        <v>181</v>
      </c>
      <c r="O24" s="78"/>
      <c r="P24" s="78"/>
      <c r="Q24" s="78"/>
    </row>
    <row r="25" spans="1:17" x14ac:dyDescent="0.3">
      <c r="A25" s="65"/>
      <c r="B25" s="18" t="s">
        <v>71</v>
      </c>
      <c r="M25" s="80" t="s">
        <v>164</v>
      </c>
      <c r="N25" s="78" t="s">
        <v>182</v>
      </c>
      <c r="O25" s="78"/>
      <c r="P25" s="78"/>
      <c r="Q25" s="78"/>
    </row>
    <row r="26" spans="1:17" x14ac:dyDescent="0.3">
      <c r="A26" s="66"/>
      <c r="B26" s="22" t="s">
        <v>72</v>
      </c>
      <c r="L26" s="22"/>
      <c r="M26" s="80" t="s">
        <v>165</v>
      </c>
      <c r="N26" s="78" t="s">
        <v>183</v>
      </c>
      <c r="O26" s="78"/>
      <c r="P26" s="78"/>
      <c r="Q26" s="78"/>
    </row>
    <row r="27" spans="1:17" s="19" customFormat="1" x14ac:dyDescent="0.3">
      <c r="A27" s="67"/>
      <c r="B27" s="18" t="s">
        <v>73</v>
      </c>
      <c r="L27" s="18"/>
      <c r="M27" s="80" t="s">
        <v>166</v>
      </c>
      <c r="N27" s="78" t="s">
        <v>184</v>
      </c>
      <c r="O27" s="78"/>
      <c r="P27" s="78"/>
      <c r="Q27" s="78"/>
    </row>
    <row r="28" spans="1:17" s="19" customFormat="1" x14ac:dyDescent="0.3">
      <c r="A28" s="67"/>
      <c r="B28" s="18" t="s">
        <v>74</v>
      </c>
      <c r="L28" s="18"/>
      <c r="M28" s="80" t="s">
        <v>167</v>
      </c>
      <c r="N28" s="78" t="s">
        <v>185</v>
      </c>
      <c r="O28" s="78"/>
      <c r="P28" s="78"/>
      <c r="Q28" s="78"/>
    </row>
    <row r="29" spans="1:17" s="19" customFormat="1" x14ac:dyDescent="0.3">
      <c r="A29" s="67"/>
      <c r="B29" s="18" t="s">
        <v>75</v>
      </c>
      <c r="L29" s="18"/>
      <c r="M29" s="80" t="s">
        <v>168</v>
      </c>
      <c r="N29" s="78" t="s">
        <v>186</v>
      </c>
      <c r="O29" s="78"/>
      <c r="P29" s="78"/>
      <c r="Q29" s="78"/>
    </row>
    <row r="30" spans="1:17" s="19" customFormat="1" x14ac:dyDescent="0.3">
      <c r="A30" s="67"/>
      <c r="B30" s="18" t="s">
        <v>76</v>
      </c>
      <c r="L30" s="18"/>
      <c r="M30" s="80" t="s">
        <v>169</v>
      </c>
      <c r="N30" s="78" t="s">
        <v>187</v>
      </c>
      <c r="O30" s="78"/>
      <c r="P30" s="78"/>
      <c r="Q30" s="78"/>
    </row>
    <row r="31" spans="1:17" s="19" customFormat="1" x14ac:dyDescent="0.3">
      <c r="A31" s="67"/>
      <c r="B31" s="18" t="s">
        <v>77</v>
      </c>
      <c r="L31" s="18"/>
      <c r="M31" s="80" t="s">
        <v>170</v>
      </c>
      <c r="N31" s="78" t="s">
        <v>188</v>
      </c>
      <c r="O31" s="78"/>
      <c r="P31" s="78"/>
      <c r="Q31" s="78"/>
    </row>
    <row r="32" spans="1:17" s="19" customFormat="1" x14ac:dyDescent="0.3">
      <c r="A32" s="67"/>
      <c r="B32" s="22" t="s">
        <v>78</v>
      </c>
      <c r="L32" s="22"/>
      <c r="M32" s="80" t="s">
        <v>171</v>
      </c>
      <c r="N32" s="78" t="s">
        <v>189</v>
      </c>
      <c r="O32" s="78"/>
      <c r="P32" s="78"/>
      <c r="Q32" s="78"/>
    </row>
    <row r="33" spans="1:17" s="18" customFormat="1" x14ac:dyDescent="0.3">
      <c r="A33" s="68"/>
      <c r="B33" s="22" t="s">
        <v>79</v>
      </c>
      <c r="L33" s="22"/>
      <c r="M33" s="80" t="s">
        <v>172</v>
      </c>
      <c r="N33" s="78" t="s">
        <v>190</v>
      </c>
      <c r="O33" s="78"/>
      <c r="P33" s="78"/>
      <c r="Q33" s="78"/>
    </row>
    <row r="34" spans="1:17" s="18" customFormat="1" x14ac:dyDescent="0.3">
      <c r="A34" s="68"/>
      <c r="B34" s="22" t="s">
        <v>80</v>
      </c>
      <c r="L34" s="22"/>
      <c r="M34" s="80" t="s">
        <v>173</v>
      </c>
      <c r="N34" s="78" t="s">
        <v>191</v>
      </c>
      <c r="O34" s="78"/>
      <c r="P34" s="78"/>
      <c r="Q34" s="78"/>
    </row>
    <row r="35" spans="1:17" x14ac:dyDescent="0.3">
      <c r="A35" s="66"/>
      <c r="B35" s="1" t="s">
        <v>105</v>
      </c>
      <c r="M35" s="80" t="s">
        <v>174</v>
      </c>
      <c r="N35" s="78" t="s">
        <v>192</v>
      </c>
      <c r="O35" s="78"/>
      <c r="P35" s="78"/>
      <c r="Q35" s="78"/>
    </row>
    <row r="36" spans="1:17" x14ac:dyDescent="0.3">
      <c r="A36" s="69"/>
      <c r="B36" s="1" t="s">
        <v>106</v>
      </c>
      <c r="M36" s="80" t="s">
        <v>175</v>
      </c>
      <c r="N36" s="78" t="s">
        <v>193</v>
      </c>
      <c r="O36" s="78"/>
      <c r="P36" s="78"/>
      <c r="Q36" s="78"/>
    </row>
    <row r="37" spans="1:17" x14ac:dyDescent="0.3">
      <c r="A37" s="69"/>
      <c r="B37" s="1" t="s">
        <v>107</v>
      </c>
      <c r="M37" s="80" t="s">
        <v>176</v>
      </c>
      <c r="N37" s="78" t="s">
        <v>194</v>
      </c>
      <c r="O37" s="78"/>
      <c r="P37" s="78"/>
      <c r="Q37" s="78"/>
    </row>
    <row r="38" spans="1:17" x14ac:dyDescent="0.3">
      <c r="A38" s="69"/>
      <c r="B38" s="1" t="s">
        <v>108</v>
      </c>
      <c r="M38" s="80" t="s">
        <v>177</v>
      </c>
      <c r="N38" s="78" t="s">
        <v>195</v>
      </c>
      <c r="O38" s="78"/>
      <c r="P38" s="78"/>
      <c r="Q38" s="78"/>
    </row>
    <row r="39" spans="1:17" x14ac:dyDescent="0.3">
      <c r="A39" s="69"/>
      <c r="B39" s="1" t="s">
        <v>109</v>
      </c>
      <c r="M39" s="78"/>
      <c r="N39" s="78"/>
      <c r="O39" s="78"/>
      <c r="P39" s="78"/>
      <c r="Q39" s="78"/>
    </row>
    <row r="40" spans="1:17" x14ac:dyDescent="0.3">
      <c r="A40" s="69"/>
      <c r="B40" s="1" t="s">
        <v>110</v>
      </c>
      <c r="M40" s="78"/>
      <c r="N40" s="78"/>
      <c r="O40" s="78"/>
      <c r="P40" s="78"/>
      <c r="Q40" s="78"/>
    </row>
    <row r="41" spans="1:17" x14ac:dyDescent="0.3">
      <c r="A41" s="4"/>
      <c r="B41" s="1" t="s">
        <v>149</v>
      </c>
      <c r="M41" s="78"/>
      <c r="N41" s="78"/>
      <c r="O41" s="78"/>
      <c r="P41" s="78"/>
      <c r="Q41" s="78"/>
    </row>
  </sheetData>
  <pageMargins left="0.25" right="0.25" top="0.75" bottom="0.75" header="0.3" footer="0.3"/>
  <pageSetup paperSize="9" scale="75" fitToWidth="0" orientation="landscape" r:id="rId1"/>
  <headerFooter>
    <oddFooter>Страница  &amp;P из &amp;N</oddFooter>
  </headerFooter>
  <colBreaks count="1" manualBreakCount="1">
    <brk id="22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05"/>
  <sheetViews>
    <sheetView view="pageBreakPreview" topLeftCell="A980" zoomScale="40" zoomScaleNormal="100" zoomScaleSheetLayoutView="40" workbookViewId="0">
      <selection activeCell="A1005" sqref="A1005"/>
    </sheetView>
  </sheetViews>
  <sheetFormatPr defaultColWidth="9.109375" defaultRowHeight="13.8" x14ac:dyDescent="0.25"/>
  <cols>
    <col min="1" max="1" width="9.6640625" style="10" customWidth="1"/>
    <col min="2" max="2" width="11.5546875" style="10" customWidth="1"/>
    <col min="3" max="3" width="27.88671875" style="10" customWidth="1"/>
    <col min="4" max="4" width="17" style="10" customWidth="1"/>
    <col min="5" max="5" width="19" style="10" customWidth="1"/>
    <col min="6" max="6" width="33.33203125" style="10" customWidth="1"/>
    <col min="7" max="7" width="16.33203125" style="10" customWidth="1"/>
    <col min="8" max="8" width="12.44140625" style="10" customWidth="1"/>
    <col min="9" max="9" width="11.6640625" style="10" customWidth="1"/>
    <col min="10" max="10" width="12.33203125" style="10" customWidth="1"/>
    <col min="11" max="15" width="11.6640625" style="10" customWidth="1"/>
    <col min="16" max="16" width="10.6640625" style="10" customWidth="1"/>
    <col min="17" max="17" width="12.33203125" style="10" customWidth="1"/>
    <col min="18" max="18" width="15.5546875" style="10" customWidth="1"/>
    <col min="19" max="19" width="10.88671875" style="10" customWidth="1"/>
    <col min="20" max="20" width="10.33203125" style="10" customWidth="1"/>
    <col min="21" max="22" width="10.6640625" style="10" customWidth="1"/>
    <col min="23" max="34" width="8.6640625" style="10" customWidth="1"/>
    <col min="35" max="40" width="7.33203125" style="10" customWidth="1"/>
    <col min="41" max="41" width="9" style="10" customWidth="1"/>
    <col min="42" max="42" width="7.33203125" style="10" customWidth="1"/>
    <col min="43" max="43" width="9.6640625" style="10" customWidth="1"/>
    <col min="44" max="44" width="7.33203125" style="10" customWidth="1"/>
    <col min="45" max="45" width="9.109375" style="10" customWidth="1"/>
    <col min="46" max="46" width="7.33203125" style="10" customWidth="1"/>
    <col min="47" max="47" width="13.88671875" style="10" customWidth="1"/>
    <col min="48" max="48" width="9.88671875" style="10" customWidth="1"/>
    <col min="49" max="49" width="13" style="10" customWidth="1"/>
    <col min="50" max="50" width="17" style="10" customWidth="1"/>
    <col min="51" max="51" width="14.33203125" style="10" customWidth="1"/>
    <col min="52" max="52" width="16.109375" style="10" customWidth="1"/>
    <col min="53" max="16384" width="9.109375" style="10"/>
  </cols>
  <sheetData>
    <row r="1" spans="1:52" x14ac:dyDescent="0.25">
      <c r="A1" s="9" t="s">
        <v>52</v>
      </c>
    </row>
    <row r="2" spans="1:52" ht="17.399999999999999" x14ac:dyDescent="0.3">
      <c r="A2" s="9"/>
      <c r="C2" s="28" t="s">
        <v>124</v>
      </c>
    </row>
    <row r="3" spans="1:52" ht="17.399999999999999" x14ac:dyDescent="0.3">
      <c r="A3" s="28"/>
      <c r="C3" s="28" t="s">
        <v>125</v>
      </c>
    </row>
    <row r="4" spans="1:52" x14ac:dyDescent="0.25">
      <c r="A4" s="9"/>
    </row>
    <row r="5" spans="1:52" s="7" customFormat="1" ht="16.2" customHeight="1" x14ac:dyDescent="0.3">
      <c r="A5" s="121" t="s">
        <v>22</v>
      </c>
      <c r="B5" s="154" t="s">
        <v>2</v>
      </c>
      <c r="C5" s="135" t="s">
        <v>24</v>
      </c>
      <c r="D5" s="157" t="s">
        <v>82</v>
      </c>
      <c r="E5" s="157" t="s">
        <v>87</v>
      </c>
      <c r="F5" s="135" t="s">
        <v>83</v>
      </c>
      <c r="G5" s="135" t="s">
        <v>51</v>
      </c>
      <c r="H5" s="135" t="s">
        <v>3</v>
      </c>
      <c r="I5" s="147" t="s">
        <v>84</v>
      </c>
      <c r="J5" s="150" t="s">
        <v>92</v>
      </c>
      <c r="K5" s="150" t="s">
        <v>93</v>
      </c>
      <c r="L5" s="150" t="s">
        <v>94</v>
      </c>
      <c r="M5" s="150" t="s">
        <v>95</v>
      </c>
      <c r="N5" s="150" t="s">
        <v>96</v>
      </c>
      <c r="O5" s="150" t="s">
        <v>97</v>
      </c>
      <c r="P5" s="150" t="s">
        <v>98</v>
      </c>
      <c r="Q5" s="150" t="s">
        <v>99</v>
      </c>
      <c r="R5" s="150" t="s">
        <v>100</v>
      </c>
      <c r="S5" s="150" t="s">
        <v>101</v>
      </c>
      <c r="T5" s="150" t="s">
        <v>117</v>
      </c>
      <c r="U5" s="141" t="s">
        <v>44</v>
      </c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3"/>
      <c r="AV5" s="133" t="s">
        <v>141</v>
      </c>
      <c r="AW5" s="133" t="s">
        <v>140</v>
      </c>
      <c r="AX5" s="133" t="s">
        <v>142</v>
      </c>
      <c r="AY5" s="133" t="s">
        <v>89</v>
      </c>
      <c r="AZ5" s="133" t="s">
        <v>143</v>
      </c>
    </row>
    <row r="6" spans="1:52" s="7" customFormat="1" ht="16.2" customHeight="1" x14ac:dyDescent="0.3">
      <c r="A6" s="153"/>
      <c r="B6" s="155"/>
      <c r="C6" s="135"/>
      <c r="D6" s="158"/>
      <c r="E6" s="158"/>
      <c r="F6" s="135"/>
      <c r="G6" s="135"/>
      <c r="H6" s="135"/>
      <c r="I6" s="148"/>
      <c r="J6" s="151"/>
      <c r="K6" s="151"/>
      <c r="L6" s="151"/>
      <c r="M6" s="151"/>
      <c r="N6" s="151"/>
      <c r="O6" s="151"/>
      <c r="P6" s="151"/>
      <c r="Q6" s="151"/>
      <c r="R6" s="151"/>
      <c r="S6" s="151"/>
      <c r="T6" s="151"/>
      <c r="U6" s="144" t="s">
        <v>45</v>
      </c>
      <c r="V6" s="144" t="s">
        <v>46</v>
      </c>
      <c r="W6" s="138" t="s">
        <v>43</v>
      </c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40"/>
      <c r="AV6" s="133"/>
      <c r="AW6" s="133"/>
      <c r="AX6" s="133"/>
      <c r="AY6" s="133"/>
      <c r="AZ6" s="133"/>
    </row>
    <row r="7" spans="1:52" s="7" customFormat="1" ht="12.75" customHeight="1" x14ac:dyDescent="0.3">
      <c r="A7" s="121"/>
      <c r="B7" s="155"/>
      <c r="C7" s="136"/>
      <c r="D7" s="158"/>
      <c r="E7" s="158"/>
      <c r="F7" s="136"/>
      <c r="G7" s="136"/>
      <c r="H7" s="136"/>
      <c r="I7" s="148"/>
      <c r="J7" s="151"/>
      <c r="K7" s="151"/>
      <c r="L7" s="151"/>
      <c r="M7" s="151"/>
      <c r="N7" s="151"/>
      <c r="O7" s="151"/>
      <c r="P7" s="151"/>
      <c r="Q7" s="151"/>
      <c r="R7" s="151"/>
      <c r="S7" s="151"/>
      <c r="T7" s="151"/>
      <c r="U7" s="145"/>
      <c r="V7" s="145"/>
      <c r="W7" s="134" t="s">
        <v>5</v>
      </c>
      <c r="X7" s="137"/>
      <c r="Y7" s="134" t="s">
        <v>6</v>
      </c>
      <c r="Z7" s="137"/>
      <c r="AA7" s="134" t="s">
        <v>7</v>
      </c>
      <c r="AB7" s="137"/>
      <c r="AC7" s="134" t="s">
        <v>8</v>
      </c>
      <c r="AD7" s="137"/>
      <c r="AE7" s="134" t="s">
        <v>9</v>
      </c>
      <c r="AF7" s="137"/>
      <c r="AG7" s="134" t="s">
        <v>10</v>
      </c>
      <c r="AH7" s="137"/>
      <c r="AI7" s="134" t="s">
        <v>11</v>
      </c>
      <c r="AJ7" s="137"/>
      <c r="AK7" s="134" t="s">
        <v>12</v>
      </c>
      <c r="AL7" s="137"/>
      <c r="AM7" s="134" t="s">
        <v>13</v>
      </c>
      <c r="AN7" s="137"/>
      <c r="AO7" s="134" t="s">
        <v>14</v>
      </c>
      <c r="AP7" s="137"/>
      <c r="AQ7" s="134" t="s">
        <v>15</v>
      </c>
      <c r="AR7" s="137"/>
      <c r="AS7" s="134" t="s">
        <v>16</v>
      </c>
      <c r="AT7" s="137"/>
      <c r="AU7" s="134" t="s">
        <v>4</v>
      </c>
      <c r="AV7" s="133"/>
      <c r="AW7" s="133"/>
      <c r="AX7" s="133"/>
      <c r="AY7" s="133"/>
      <c r="AZ7" s="133"/>
    </row>
    <row r="8" spans="1:52" s="7" customFormat="1" ht="12.75" customHeight="1" x14ac:dyDescent="0.3">
      <c r="A8" s="121"/>
      <c r="B8" s="155"/>
      <c r="C8" s="136"/>
      <c r="D8" s="158"/>
      <c r="E8" s="158"/>
      <c r="F8" s="136"/>
      <c r="G8" s="136"/>
      <c r="H8" s="136"/>
      <c r="I8" s="148"/>
      <c r="J8" s="151"/>
      <c r="K8" s="151" t="s">
        <v>93</v>
      </c>
      <c r="L8" s="151" t="s">
        <v>94</v>
      </c>
      <c r="M8" s="151" t="s">
        <v>95</v>
      </c>
      <c r="N8" s="151" t="s">
        <v>96</v>
      </c>
      <c r="O8" s="151" t="s">
        <v>97</v>
      </c>
      <c r="P8" s="151" t="s">
        <v>98</v>
      </c>
      <c r="Q8" s="151" t="s">
        <v>99</v>
      </c>
      <c r="R8" s="151" t="s">
        <v>100</v>
      </c>
      <c r="S8" s="151" t="s">
        <v>101</v>
      </c>
      <c r="T8" s="151" t="s">
        <v>102</v>
      </c>
      <c r="U8" s="146"/>
      <c r="V8" s="146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4"/>
      <c r="AV8" s="133"/>
      <c r="AW8" s="133"/>
      <c r="AX8" s="133"/>
      <c r="AY8" s="133"/>
      <c r="AZ8" s="133"/>
    </row>
    <row r="9" spans="1:52" s="7" customFormat="1" ht="38.25" customHeight="1" x14ac:dyDescent="0.3">
      <c r="A9" s="121"/>
      <c r="B9" s="156"/>
      <c r="C9" s="136"/>
      <c r="D9" s="159"/>
      <c r="E9" s="159"/>
      <c r="F9" s="136"/>
      <c r="G9" s="136"/>
      <c r="H9" s="136"/>
      <c r="I9" s="149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8" t="s">
        <v>139</v>
      </c>
      <c r="V9" s="8" t="s">
        <v>139</v>
      </c>
      <c r="W9" s="44" t="s">
        <v>37</v>
      </c>
      <c r="X9" s="44" t="s">
        <v>42</v>
      </c>
      <c r="Y9" s="44" t="s">
        <v>37</v>
      </c>
      <c r="Z9" s="44" t="s">
        <v>42</v>
      </c>
      <c r="AA9" s="44" t="s">
        <v>37</v>
      </c>
      <c r="AB9" s="44" t="s">
        <v>42</v>
      </c>
      <c r="AC9" s="44" t="s">
        <v>37</v>
      </c>
      <c r="AD9" s="44" t="s">
        <v>42</v>
      </c>
      <c r="AE9" s="44" t="s">
        <v>37</v>
      </c>
      <c r="AF9" s="44" t="s">
        <v>42</v>
      </c>
      <c r="AG9" s="44" t="s">
        <v>37</v>
      </c>
      <c r="AH9" s="44" t="s">
        <v>42</v>
      </c>
      <c r="AI9" s="44" t="s">
        <v>37</v>
      </c>
      <c r="AJ9" s="44" t="s">
        <v>42</v>
      </c>
      <c r="AK9" s="44" t="s">
        <v>37</v>
      </c>
      <c r="AL9" s="44" t="s">
        <v>42</v>
      </c>
      <c r="AM9" s="44" t="s">
        <v>37</v>
      </c>
      <c r="AN9" s="44" t="s">
        <v>42</v>
      </c>
      <c r="AO9" s="44" t="s">
        <v>37</v>
      </c>
      <c r="AP9" s="44" t="s">
        <v>42</v>
      </c>
      <c r="AQ9" s="44" t="s">
        <v>37</v>
      </c>
      <c r="AR9" s="44" t="s">
        <v>42</v>
      </c>
      <c r="AS9" s="44" t="s">
        <v>37</v>
      </c>
      <c r="AT9" s="44" t="s">
        <v>42</v>
      </c>
      <c r="AU9" s="8" t="s">
        <v>50</v>
      </c>
      <c r="AV9" s="133"/>
      <c r="AW9" s="133"/>
      <c r="AX9" s="133"/>
      <c r="AY9" s="133"/>
      <c r="AZ9" s="133"/>
    </row>
    <row r="10" spans="1:52" s="6" customFormat="1" ht="15.6" x14ac:dyDescent="0.3">
      <c r="A10" s="48">
        <v>1</v>
      </c>
      <c r="B10" s="48">
        <v>2</v>
      </c>
      <c r="C10" s="49">
        <v>3</v>
      </c>
      <c r="D10" s="49">
        <v>4</v>
      </c>
      <c r="E10" s="49">
        <v>5</v>
      </c>
      <c r="F10" s="49">
        <v>6</v>
      </c>
      <c r="G10" s="49">
        <v>7</v>
      </c>
      <c r="H10" s="49">
        <v>8</v>
      </c>
      <c r="I10" s="50">
        <v>9</v>
      </c>
      <c r="J10" s="27">
        <v>10</v>
      </c>
      <c r="K10" s="27">
        <v>11</v>
      </c>
      <c r="L10" s="27">
        <v>12</v>
      </c>
      <c r="M10" s="27">
        <v>13</v>
      </c>
      <c r="N10" s="27">
        <v>14</v>
      </c>
      <c r="O10" s="27">
        <v>15</v>
      </c>
      <c r="P10" s="27">
        <v>16</v>
      </c>
      <c r="Q10" s="27">
        <v>17</v>
      </c>
      <c r="R10" s="27">
        <v>18</v>
      </c>
      <c r="S10" s="27">
        <v>19</v>
      </c>
      <c r="T10" s="27">
        <v>20</v>
      </c>
      <c r="U10" s="51">
        <v>21</v>
      </c>
      <c r="V10" s="51">
        <v>22</v>
      </c>
      <c r="W10" s="51">
        <v>23</v>
      </c>
      <c r="X10" s="51">
        <v>24</v>
      </c>
      <c r="Y10" s="51">
        <v>25</v>
      </c>
      <c r="Z10" s="51">
        <v>26</v>
      </c>
      <c r="AA10" s="51">
        <v>27</v>
      </c>
      <c r="AB10" s="51">
        <v>28</v>
      </c>
      <c r="AC10" s="51">
        <v>29</v>
      </c>
      <c r="AD10" s="51">
        <v>30</v>
      </c>
      <c r="AE10" s="51">
        <v>31</v>
      </c>
      <c r="AF10" s="51">
        <v>32</v>
      </c>
      <c r="AG10" s="51">
        <v>33</v>
      </c>
      <c r="AH10" s="51">
        <v>34</v>
      </c>
      <c r="AI10" s="51">
        <v>35</v>
      </c>
      <c r="AJ10" s="51">
        <v>36</v>
      </c>
      <c r="AK10" s="51">
        <v>37</v>
      </c>
      <c r="AL10" s="51">
        <v>38</v>
      </c>
      <c r="AM10" s="51">
        <v>39</v>
      </c>
      <c r="AN10" s="51">
        <v>40</v>
      </c>
      <c r="AO10" s="51">
        <v>41</v>
      </c>
      <c r="AP10" s="51">
        <v>42</v>
      </c>
      <c r="AQ10" s="51">
        <v>43</v>
      </c>
      <c r="AR10" s="51">
        <v>44</v>
      </c>
      <c r="AS10" s="51">
        <v>45</v>
      </c>
      <c r="AT10" s="51">
        <v>46</v>
      </c>
      <c r="AU10" s="51">
        <v>47</v>
      </c>
      <c r="AV10" s="52">
        <v>48</v>
      </c>
      <c r="AW10" s="52">
        <v>49</v>
      </c>
      <c r="AX10" s="52">
        <v>50</v>
      </c>
      <c r="AY10" s="52">
        <v>51</v>
      </c>
      <c r="AZ10" s="52">
        <v>52</v>
      </c>
    </row>
    <row r="11" spans="1:52" s="3" customFormat="1" ht="31.2" x14ac:dyDescent="0.3">
      <c r="A11" s="103">
        <v>1</v>
      </c>
      <c r="B11" s="104" t="s">
        <v>547</v>
      </c>
      <c r="C11" s="30" t="s">
        <v>1899</v>
      </c>
      <c r="D11" s="105" t="s">
        <v>1900</v>
      </c>
      <c r="E11" s="105" t="s">
        <v>1901</v>
      </c>
      <c r="F11" s="30" t="s">
        <v>1902</v>
      </c>
      <c r="G11" s="26" t="s">
        <v>145</v>
      </c>
      <c r="H11" s="24" t="s">
        <v>146</v>
      </c>
      <c r="I11" s="24">
        <v>1</v>
      </c>
      <c r="J11" s="24" t="s">
        <v>1903</v>
      </c>
      <c r="K11" s="24">
        <v>32</v>
      </c>
      <c r="L11" s="24">
        <v>5</v>
      </c>
      <c r="M11" s="24" t="s">
        <v>1904</v>
      </c>
      <c r="N11" s="24" t="s">
        <v>529</v>
      </c>
      <c r="O11" s="24" t="s">
        <v>529</v>
      </c>
      <c r="P11" s="24">
        <v>1</v>
      </c>
      <c r="Q11" s="102">
        <v>0</v>
      </c>
      <c r="R11" s="30" t="s">
        <v>1905</v>
      </c>
      <c r="S11" s="24">
        <v>0</v>
      </c>
      <c r="T11" s="24"/>
      <c r="U11" s="94">
        <v>0</v>
      </c>
      <c r="V11" s="94">
        <v>0</v>
      </c>
      <c r="W11" s="106">
        <v>0</v>
      </c>
      <c r="X11" s="106" t="s">
        <v>1906</v>
      </c>
      <c r="Y11" s="106">
        <v>0</v>
      </c>
      <c r="Z11" s="106" t="s">
        <v>1906</v>
      </c>
      <c r="AA11" s="106">
        <v>0</v>
      </c>
      <c r="AB11" s="106" t="s">
        <v>1906</v>
      </c>
      <c r="AC11" s="106">
        <v>0</v>
      </c>
      <c r="AD11" s="106" t="s">
        <v>1906</v>
      </c>
      <c r="AE11" s="106">
        <v>0</v>
      </c>
      <c r="AF11" s="106" t="s">
        <v>1906</v>
      </c>
      <c r="AG11" s="106">
        <v>0</v>
      </c>
      <c r="AH11" s="106" t="s">
        <v>1906</v>
      </c>
      <c r="AI11" s="106">
        <v>0</v>
      </c>
      <c r="AJ11" s="106" t="s">
        <v>1906</v>
      </c>
      <c r="AK11" s="106">
        <v>0</v>
      </c>
      <c r="AL11" s="106" t="s">
        <v>1906</v>
      </c>
      <c r="AM11" s="106">
        <v>0</v>
      </c>
      <c r="AN11" s="106" t="s">
        <v>1906</v>
      </c>
      <c r="AO11" s="106">
        <v>0</v>
      </c>
      <c r="AP11" s="106" t="s">
        <v>1906</v>
      </c>
      <c r="AQ11" s="106">
        <v>0</v>
      </c>
      <c r="AR11" s="106" t="s">
        <v>1906</v>
      </c>
      <c r="AS11" s="106">
        <v>0</v>
      </c>
      <c r="AT11" s="106" t="s">
        <v>1906</v>
      </c>
      <c r="AU11" s="106">
        <f>W11+Y11+AA11+AC11+AE11+AG11+AI11+AK11+AM11+AO11+AQ11+AS11</f>
        <v>0</v>
      </c>
      <c r="AV11" s="30">
        <v>0.19</v>
      </c>
      <c r="AW11" s="30" t="s">
        <v>1904</v>
      </c>
      <c r="AX11" s="30" t="s">
        <v>1907</v>
      </c>
      <c r="AY11" s="30">
        <v>0</v>
      </c>
      <c r="AZ11" s="30">
        <v>0</v>
      </c>
    </row>
    <row r="12" spans="1:52" s="3" customFormat="1" ht="31.2" x14ac:dyDescent="0.3">
      <c r="A12" s="103">
        <v>2</v>
      </c>
      <c r="B12" s="104" t="s">
        <v>551</v>
      </c>
      <c r="C12" s="30" t="s">
        <v>1899</v>
      </c>
      <c r="D12" s="105" t="s">
        <v>1900</v>
      </c>
      <c r="E12" s="105" t="s">
        <v>1901</v>
      </c>
      <c r="F12" s="30" t="s">
        <v>1902</v>
      </c>
      <c r="G12" s="26" t="s">
        <v>145</v>
      </c>
      <c r="H12" s="24" t="s">
        <v>146</v>
      </c>
      <c r="I12" s="24">
        <v>0</v>
      </c>
      <c r="J12" s="24" t="s">
        <v>1903</v>
      </c>
      <c r="K12" s="24"/>
      <c r="L12" s="24">
        <v>5</v>
      </c>
      <c r="M12" s="24" t="str">
        <f>M11</f>
        <v>95-70</v>
      </c>
      <c r="N12" s="24" t="s">
        <v>529</v>
      </c>
      <c r="O12" s="24" t="s">
        <v>529</v>
      </c>
      <c r="P12" s="24">
        <v>0</v>
      </c>
      <c r="Q12" s="102">
        <v>0</v>
      </c>
      <c r="R12" s="30" t="s">
        <v>1905</v>
      </c>
      <c r="S12" s="24">
        <v>0</v>
      </c>
      <c r="T12" s="24"/>
      <c r="U12" s="94">
        <v>0</v>
      </c>
      <c r="V12" s="94">
        <v>0</v>
      </c>
      <c r="W12" s="106">
        <v>0</v>
      </c>
      <c r="X12" s="106" t="s">
        <v>1906</v>
      </c>
      <c r="Y12" s="106">
        <v>0</v>
      </c>
      <c r="Z12" s="106" t="s">
        <v>1906</v>
      </c>
      <c r="AA12" s="106">
        <v>0</v>
      </c>
      <c r="AB12" s="106" t="s">
        <v>1906</v>
      </c>
      <c r="AC12" s="106">
        <v>0</v>
      </c>
      <c r="AD12" s="106" t="s">
        <v>1906</v>
      </c>
      <c r="AE12" s="106">
        <v>0</v>
      </c>
      <c r="AF12" s="106" t="s">
        <v>1906</v>
      </c>
      <c r="AG12" s="106">
        <v>0</v>
      </c>
      <c r="AH12" s="106" t="s">
        <v>1906</v>
      </c>
      <c r="AI12" s="106">
        <v>0</v>
      </c>
      <c r="AJ12" s="106" t="s">
        <v>1906</v>
      </c>
      <c r="AK12" s="106">
        <v>0</v>
      </c>
      <c r="AL12" s="106" t="s">
        <v>1906</v>
      </c>
      <c r="AM12" s="106">
        <v>0</v>
      </c>
      <c r="AN12" s="106" t="s">
        <v>1906</v>
      </c>
      <c r="AO12" s="106">
        <v>0</v>
      </c>
      <c r="AP12" s="106" t="s">
        <v>1906</v>
      </c>
      <c r="AQ12" s="106">
        <v>0</v>
      </c>
      <c r="AR12" s="106" t="s">
        <v>1906</v>
      </c>
      <c r="AS12" s="106">
        <v>0</v>
      </c>
      <c r="AT12" s="106" t="s">
        <v>1906</v>
      </c>
      <c r="AU12" s="106">
        <f>W12+Y12+AA12+AC12+AE12+AG12+AI12+AK12+AM12+AO12+AQ12+AS12</f>
        <v>0</v>
      </c>
      <c r="AV12" s="30"/>
      <c r="AW12" s="30" t="str">
        <f>AW11</f>
        <v>95-70</v>
      </c>
      <c r="AX12" s="30" t="s">
        <v>1907</v>
      </c>
      <c r="AY12" s="30">
        <v>0</v>
      </c>
      <c r="AZ12" s="30">
        <v>0</v>
      </c>
    </row>
    <row r="13" spans="1:52" s="3" customFormat="1" ht="31.2" x14ac:dyDescent="0.3">
      <c r="A13" s="103">
        <v>3</v>
      </c>
      <c r="B13" s="104" t="s">
        <v>554</v>
      </c>
      <c r="C13" s="30" t="s">
        <v>1899</v>
      </c>
      <c r="D13" s="105" t="s">
        <v>1900</v>
      </c>
      <c r="E13" s="105" t="s">
        <v>1901</v>
      </c>
      <c r="F13" s="30" t="s">
        <v>1902</v>
      </c>
      <c r="G13" s="26" t="s">
        <v>145</v>
      </c>
      <c r="H13" s="24" t="s">
        <v>146</v>
      </c>
      <c r="I13" s="24">
        <v>1</v>
      </c>
      <c r="J13" s="24" t="s">
        <v>1903</v>
      </c>
      <c r="K13" s="24">
        <v>50</v>
      </c>
      <c r="L13" s="24">
        <v>5</v>
      </c>
      <c r="M13" s="24" t="str">
        <f t="shared" ref="M13:M76" si="0">M12</f>
        <v>95-70</v>
      </c>
      <c r="N13" s="24" t="s">
        <v>529</v>
      </c>
      <c r="O13" s="24" t="s">
        <v>529</v>
      </c>
      <c r="P13" s="24">
        <v>1</v>
      </c>
      <c r="Q13" s="102">
        <v>0</v>
      </c>
      <c r="R13" s="30" t="s">
        <v>1905</v>
      </c>
      <c r="S13" s="24">
        <v>0</v>
      </c>
      <c r="T13" s="24"/>
      <c r="U13" s="94">
        <v>988.62000000000012</v>
      </c>
      <c r="V13" s="94">
        <v>1007.2999999999998</v>
      </c>
      <c r="W13" s="106">
        <v>138.16999999999999</v>
      </c>
      <c r="X13" s="106" t="s">
        <v>1906</v>
      </c>
      <c r="Y13" s="106">
        <v>138.16999999999999</v>
      </c>
      <c r="Z13" s="106" t="s">
        <v>1906</v>
      </c>
      <c r="AA13" s="106">
        <v>138.16999999999999</v>
      </c>
      <c r="AB13" s="106" t="s">
        <v>1906</v>
      </c>
      <c r="AC13" s="106">
        <v>138.16999999999999</v>
      </c>
      <c r="AD13" s="106" t="s">
        <v>1906</v>
      </c>
      <c r="AE13" s="106">
        <v>40.11</v>
      </c>
      <c r="AF13" s="106" t="s">
        <v>1906</v>
      </c>
      <c r="AG13" s="106">
        <v>0</v>
      </c>
      <c r="AH13" s="106" t="s">
        <v>1906</v>
      </c>
      <c r="AI13" s="106">
        <v>0</v>
      </c>
      <c r="AJ13" s="106" t="s">
        <v>1906</v>
      </c>
      <c r="AK13" s="106">
        <v>0</v>
      </c>
      <c r="AL13" s="106" t="s">
        <v>1906</v>
      </c>
      <c r="AM13" s="106">
        <v>0</v>
      </c>
      <c r="AN13" s="106" t="s">
        <v>1906</v>
      </c>
      <c r="AO13" s="106">
        <v>134.87</v>
      </c>
      <c r="AP13" s="106" t="s">
        <v>1906</v>
      </c>
      <c r="AQ13" s="106">
        <v>134.87</v>
      </c>
      <c r="AR13" s="106" t="s">
        <v>1906</v>
      </c>
      <c r="AS13" s="106">
        <v>134.87</v>
      </c>
      <c r="AT13" s="106" t="s">
        <v>1906</v>
      </c>
      <c r="AU13" s="106">
        <f t="shared" ref="AU13:AU76" si="1">W13+Y13+AA13+AC13+AE13+AG13+AI13+AK13+AM13+AO13+AQ13+AS13</f>
        <v>997.4</v>
      </c>
      <c r="AV13" s="30">
        <v>0.40949999999999998</v>
      </c>
      <c r="AW13" s="30" t="str">
        <f t="shared" ref="AW13:AW76" si="2">AW12</f>
        <v>95-70</v>
      </c>
      <c r="AX13" s="30" t="s">
        <v>1907</v>
      </c>
      <c r="AY13" s="30">
        <v>0</v>
      </c>
      <c r="AZ13" s="30">
        <v>0</v>
      </c>
    </row>
    <row r="14" spans="1:52" s="3" customFormat="1" ht="31.2" x14ac:dyDescent="0.3">
      <c r="A14" s="103">
        <v>4</v>
      </c>
      <c r="B14" s="104" t="s">
        <v>557</v>
      </c>
      <c r="C14" s="30" t="s">
        <v>1899</v>
      </c>
      <c r="D14" s="105" t="s">
        <v>1900</v>
      </c>
      <c r="E14" s="105" t="s">
        <v>1901</v>
      </c>
      <c r="F14" s="30" t="s">
        <v>1902</v>
      </c>
      <c r="G14" s="26" t="s">
        <v>145</v>
      </c>
      <c r="H14" s="24" t="s">
        <v>146</v>
      </c>
      <c r="I14" s="24">
        <v>1</v>
      </c>
      <c r="J14" s="24" t="s">
        <v>1903</v>
      </c>
      <c r="K14" s="24">
        <v>50</v>
      </c>
      <c r="L14" s="24">
        <v>5</v>
      </c>
      <c r="M14" s="24" t="str">
        <f t="shared" si="0"/>
        <v>95-70</v>
      </c>
      <c r="N14" s="24" t="s">
        <v>529</v>
      </c>
      <c r="O14" s="24" t="s">
        <v>529</v>
      </c>
      <c r="P14" s="24">
        <v>1</v>
      </c>
      <c r="Q14" s="102">
        <v>0</v>
      </c>
      <c r="R14" s="30" t="s">
        <v>1905</v>
      </c>
      <c r="S14" s="24">
        <v>0</v>
      </c>
      <c r="T14" s="24"/>
      <c r="U14" s="94">
        <v>986.93000000000006</v>
      </c>
      <c r="V14" s="94">
        <v>1066.6100000000001</v>
      </c>
      <c r="W14" s="106">
        <v>204.91</v>
      </c>
      <c r="X14" s="106" t="s">
        <v>208</v>
      </c>
      <c r="Y14" s="106">
        <v>120.09</v>
      </c>
      <c r="Z14" s="106" t="s">
        <v>208</v>
      </c>
      <c r="AA14" s="106">
        <v>173.48</v>
      </c>
      <c r="AB14" s="106" t="s">
        <v>208</v>
      </c>
      <c r="AC14" s="106">
        <v>128.68</v>
      </c>
      <c r="AD14" s="106" t="s">
        <v>208</v>
      </c>
      <c r="AE14" s="106">
        <v>42.64</v>
      </c>
      <c r="AF14" s="106" t="s">
        <v>208</v>
      </c>
      <c r="AG14" s="106">
        <v>0</v>
      </c>
      <c r="AH14" s="106" t="s">
        <v>208</v>
      </c>
      <c r="AI14" s="106">
        <v>0</v>
      </c>
      <c r="AJ14" s="106" t="s">
        <v>208</v>
      </c>
      <c r="AK14" s="106">
        <v>0</v>
      </c>
      <c r="AL14" s="106" t="s">
        <v>208</v>
      </c>
      <c r="AM14" s="106">
        <v>0</v>
      </c>
      <c r="AN14" s="106" t="s">
        <v>208</v>
      </c>
      <c r="AO14" s="106">
        <v>138.57</v>
      </c>
      <c r="AP14" s="106" t="s">
        <v>208</v>
      </c>
      <c r="AQ14" s="106">
        <v>55.53</v>
      </c>
      <c r="AR14" s="106" t="s">
        <v>208</v>
      </c>
      <c r="AS14" s="106">
        <v>118.66000000000001</v>
      </c>
      <c r="AT14" s="106" t="s">
        <v>208</v>
      </c>
      <c r="AU14" s="106">
        <f t="shared" si="1"/>
        <v>982.56000000000006</v>
      </c>
      <c r="AV14" s="30">
        <v>0.44540000000000002</v>
      </c>
      <c r="AW14" s="30" t="str">
        <f t="shared" si="2"/>
        <v>95-70</v>
      </c>
      <c r="AX14" s="30" t="s">
        <v>1907</v>
      </c>
      <c r="AY14" s="30">
        <v>0</v>
      </c>
      <c r="AZ14" s="30">
        <v>0</v>
      </c>
    </row>
    <row r="15" spans="1:52" ht="31.2" x14ac:dyDescent="0.3">
      <c r="A15" s="103">
        <v>5</v>
      </c>
      <c r="B15" s="30" t="s">
        <v>559</v>
      </c>
      <c r="C15" s="30" t="s">
        <v>1899</v>
      </c>
      <c r="D15" s="105" t="s">
        <v>1900</v>
      </c>
      <c r="E15" s="105" t="s">
        <v>1901</v>
      </c>
      <c r="F15" s="30" t="s">
        <v>1902</v>
      </c>
      <c r="G15" s="26" t="s">
        <v>145</v>
      </c>
      <c r="H15" s="24" t="s">
        <v>146</v>
      </c>
      <c r="I15" s="25">
        <v>1</v>
      </c>
      <c r="J15" s="24" t="s">
        <v>1903</v>
      </c>
      <c r="K15" s="24">
        <v>50</v>
      </c>
      <c r="L15" s="24">
        <v>5</v>
      </c>
      <c r="M15" s="24" t="str">
        <f t="shared" si="0"/>
        <v>95-70</v>
      </c>
      <c r="N15" s="24" t="s">
        <v>529</v>
      </c>
      <c r="O15" s="24" t="s">
        <v>529</v>
      </c>
      <c r="P15" s="24">
        <v>1</v>
      </c>
      <c r="Q15" s="102">
        <v>0</v>
      </c>
      <c r="R15" s="30" t="s">
        <v>1905</v>
      </c>
      <c r="S15" s="24">
        <v>0</v>
      </c>
      <c r="T15" s="24"/>
      <c r="U15" s="94">
        <v>503.83</v>
      </c>
      <c r="V15" s="94">
        <v>475.49999999999994</v>
      </c>
      <c r="W15" s="106">
        <v>97.52</v>
      </c>
      <c r="X15" s="107" t="s">
        <v>208</v>
      </c>
      <c r="Y15" s="106">
        <v>60.3</v>
      </c>
      <c r="Z15" s="107" t="s">
        <v>208</v>
      </c>
      <c r="AA15" s="106">
        <v>86.27</v>
      </c>
      <c r="AB15" s="107" t="s">
        <v>208</v>
      </c>
      <c r="AC15" s="106">
        <v>67.62</v>
      </c>
      <c r="AD15" s="107" t="s">
        <v>208</v>
      </c>
      <c r="AE15" s="106">
        <v>20.440000000000001</v>
      </c>
      <c r="AF15" s="107" t="s">
        <v>208</v>
      </c>
      <c r="AG15" s="106">
        <v>0</v>
      </c>
      <c r="AH15" s="107" t="s">
        <v>208</v>
      </c>
      <c r="AI15" s="106">
        <v>0</v>
      </c>
      <c r="AJ15" s="107" t="s">
        <v>208</v>
      </c>
      <c r="AK15" s="106">
        <v>0</v>
      </c>
      <c r="AL15" s="107" t="s">
        <v>208</v>
      </c>
      <c r="AM15" s="106">
        <v>0</v>
      </c>
      <c r="AN15" s="107" t="s">
        <v>208</v>
      </c>
      <c r="AO15" s="106">
        <v>41.02</v>
      </c>
      <c r="AP15" s="107" t="s">
        <v>208</v>
      </c>
      <c r="AQ15" s="106">
        <v>44.73</v>
      </c>
      <c r="AR15" s="106" t="s">
        <v>208</v>
      </c>
      <c r="AS15" s="106">
        <v>62.58</v>
      </c>
      <c r="AT15" s="107" t="s">
        <v>208</v>
      </c>
      <c r="AU15" s="106">
        <f t="shared" si="1"/>
        <v>480.47999999999996</v>
      </c>
      <c r="AV15" s="25">
        <v>0.22</v>
      </c>
      <c r="AW15" s="30" t="str">
        <f t="shared" si="2"/>
        <v>95-70</v>
      </c>
      <c r="AX15" s="30" t="s">
        <v>1907</v>
      </c>
      <c r="AY15" s="30">
        <v>0</v>
      </c>
      <c r="AZ15" s="30">
        <v>0</v>
      </c>
    </row>
    <row r="16" spans="1:52" ht="31.2" x14ac:dyDescent="0.3">
      <c r="A16" s="103">
        <v>6</v>
      </c>
      <c r="B16" s="30" t="s">
        <v>560</v>
      </c>
      <c r="C16" s="30" t="s">
        <v>1899</v>
      </c>
      <c r="D16" s="105" t="s">
        <v>1900</v>
      </c>
      <c r="E16" s="105" t="s">
        <v>1901</v>
      </c>
      <c r="F16" s="30" t="s">
        <v>1902</v>
      </c>
      <c r="G16" s="26" t="s">
        <v>145</v>
      </c>
      <c r="H16" s="24" t="s">
        <v>146</v>
      </c>
      <c r="I16" s="25">
        <v>1</v>
      </c>
      <c r="J16" s="24" t="s">
        <v>1903</v>
      </c>
      <c r="K16" s="24">
        <v>32</v>
      </c>
      <c r="L16" s="24">
        <v>5</v>
      </c>
      <c r="M16" s="24" t="str">
        <f t="shared" si="0"/>
        <v>95-70</v>
      </c>
      <c r="N16" s="24" t="s">
        <v>529</v>
      </c>
      <c r="O16" s="24" t="s">
        <v>529</v>
      </c>
      <c r="P16" s="24">
        <v>1</v>
      </c>
      <c r="Q16" s="102">
        <v>0</v>
      </c>
      <c r="R16" s="30" t="s">
        <v>1905</v>
      </c>
      <c r="S16" s="24">
        <v>0</v>
      </c>
      <c r="T16" s="24"/>
      <c r="U16" s="94">
        <v>368.45000000000005</v>
      </c>
      <c r="V16" s="94">
        <v>408.88000000000005</v>
      </c>
      <c r="W16" s="106">
        <v>88.59</v>
      </c>
      <c r="X16" s="107" t="s">
        <v>208</v>
      </c>
      <c r="Y16" s="106">
        <v>52.01</v>
      </c>
      <c r="Z16" s="107" t="s">
        <v>208</v>
      </c>
      <c r="AA16" s="106">
        <v>75.239999999999995</v>
      </c>
      <c r="AB16" s="107" t="s">
        <v>208</v>
      </c>
      <c r="AC16" s="106">
        <v>54.26</v>
      </c>
      <c r="AD16" s="107" t="s">
        <v>208</v>
      </c>
      <c r="AE16" s="106">
        <v>16.899999999999999</v>
      </c>
      <c r="AF16" s="107" t="s">
        <v>208</v>
      </c>
      <c r="AG16" s="106">
        <v>0</v>
      </c>
      <c r="AH16" s="107" t="s">
        <v>208</v>
      </c>
      <c r="AI16" s="106">
        <v>0</v>
      </c>
      <c r="AJ16" s="107" t="s">
        <v>208</v>
      </c>
      <c r="AK16" s="106">
        <v>0</v>
      </c>
      <c r="AL16" s="107" t="s">
        <v>208</v>
      </c>
      <c r="AM16" s="106">
        <v>0</v>
      </c>
      <c r="AN16" s="107" t="s">
        <v>208</v>
      </c>
      <c r="AO16" s="106">
        <v>32.75</v>
      </c>
      <c r="AP16" s="107" t="s">
        <v>208</v>
      </c>
      <c r="AQ16" s="106">
        <v>36.409999999999997</v>
      </c>
      <c r="AR16" s="106" t="s">
        <v>208</v>
      </c>
      <c r="AS16" s="106">
        <v>51.46</v>
      </c>
      <c r="AT16" s="107" t="s">
        <v>208</v>
      </c>
      <c r="AU16" s="106">
        <f t="shared" si="1"/>
        <v>407.61999999999995</v>
      </c>
      <c r="AV16" s="25">
        <v>0.16500000000000001</v>
      </c>
      <c r="AW16" s="30" t="str">
        <f t="shared" si="2"/>
        <v>95-70</v>
      </c>
      <c r="AX16" s="30" t="s">
        <v>1907</v>
      </c>
      <c r="AY16" s="30">
        <v>0</v>
      </c>
      <c r="AZ16" s="30">
        <v>0</v>
      </c>
    </row>
    <row r="17" spans="1:52" ht="31.2" x14ac:dyDescent="0.3">
      <c r="A17" s="103">
        <v>7</v>
      </c>
      <c r="B17" s="30" t="s">
        <v>561</v>
      </c>
      <c r="C17" s="30" t="s">
        <v>1899</v>
      </c>
      <c r="D17" s="105" t="s">
        <v>1900</v>
      </c>
      <c r="E17" s="105" t="s">
        <v>1901</v>
      </c>
      <c r="F17" s="30" t="s">
        <v>1902</v>
      </c>
      <c r="G17" s="26" t="s">
        <v>145</v>
      </c>
      <c r="H17" s="24" t="s">
        <v>146</v>
      </c>
      <c r="I17" s="25">
        <v>1</v>
      </c>
      <c r="J17" s="24" t="s">
        <v>1903</v>
      </c>
      <c r="K17" s="24">
        <v>32</v>
      </c>
      <c r="L17" s="24">
        <v>5</v>
      </c>
      <c r="M17" s="24" t="str">
        <f t="shared" si="0"/>
        <v>95-70</v>
      </c>
      <c r="N17" s="24" t="s">
        <v>529</v>
      </c>
      <c r="O17" s="24" t="s">
        <v>529</v>
      </c>
      <c r="P17" s="24">
        <v>1</v>
      </c>
      <c r="Q17" s="102">
        <v>0</v>
      </c>
      <c r="R17" s="30" t="s">
        <v>1905</v>
      </c>
      <c r="S17" s="24">
        <v>0</v>
      </c>
      <c r="T17" s="24"/>
      <c r="U17" s="94">
        <v>424.76</v>
      </c>
      <c r="V17" s="94">
        <v>471.68</v>
      </c>
      <c r="W17" s="106">
        <v>94.62</v>
      </c>
      <c r="X17" s="107" t="s">
        <v>208</v>
      </c>
      <c r="Y17" s="106">
        <v>56.88</v>
      </c>
      <c r="Z17" s="107" t="s">
        <v>208</v>
      </c>
      <c r="AA17" s="106">
        <v>80.8</v>
      </c>
      <c r="AB17" s="107" t="s">
        <v>208</v>
      </c>
      <c r="AC17" s="106">
        <v>61.86</v>
      </c>
      <c r="AD17" s="107" t="s">
        <v>208</v>
      </c>
      <c r="AE17" s="106">
        <v>20.82</v>
      </c>
      <c r="AF17" s="107" t="s">
        <v>208</v>
      </c>
      <c r="AG17" s="106">
        <v>0</v>
      </c>
      <c r="AH17" s="107" t="s">
        <v>208</v>
      </c>
      <c r="AI17" s="106">
        <v>0</v>
      </c>
      <c r="AJ17" s="107" t="s">
        <v>208</v>
      </c>
      <c r="AK17" s="106">
        <v>0</v>
      </c>
      <c r="AL17" s="107" t="s">
        <v>208</v>
      </c>
      <c r="AM17" s="106">
        <v>0</v>
      </c>
      <c r="AN17" s="107" t="s">
        <v>208</v>
      </c>
      <c r="AO17" s="106">
        <v>52.62</v>
      </c>
      <c r="AP17" s="107" t="s">
        <v>208</v>
      </c>
      <c r="AQ17" s="106">
        <v>52.62</v>
      </c>
      <c r="AR17" s="106" t="s">
        <v>208</v>
      </c>
      <c r="AS17" s="106">
        <v>33.46</v>
      </c>
      <c r="AT17" s="107" t="s">
        <v>208</v>
      </c>
      <c r="AU17" s="106">
        <f t="shared" si="1"/>
        <v>453.68</v>
      </c>
      <c r="AV17" s="25">
        <v>0.16600000000000001</v>
      </c>
      <c r="AW17" s="30" t="str">
        <f t="shared" si="2"/>
        <v>95-70</v>
      </c>
      <c r="AX17" s="30" t="s">
        <v>1907</v>
      </c>
      <c r="AY17" s="30">
        <v>0</v>
      </c>
      <c r="AZ17" s="30">
        <v>0</v>
      </c>
    </row>
    <row r="18" spans="1:52" ht="31.2" x14ac:dyDescent="0.3">
      <c r="A18" s="103">
        <v>8</v>
      </c>
      <c r="B18" s="30" t="s">
        <v>562</v>
      </c>
      <c r="C18" s="30" t="s">
        <v>1899</v>
      </c>
      <c r="D18" s="105" t="s">
        <v>1900</v>
      </c>
      <c r="E18" s="105" t="s">
        <v>1901</v>
      </c>
      <c r="F18" s="30" t="s">
        <v>1902</v>
      </c>
      <c r="G18" s="26" t="s">
        <v>145</v>
      </c>
      <c r="H18" s="24" t="s">
        <v>146</v>
      </c>
      <c r="I18" s="25">
        <v>1</v>
      </c>
      <c r="J18" s="24" t="s">
        <v>1903</v>
      </c>
      <c r="K18" s="24">
        <v>50</v>
      </c>
      <c r="L18" s="24">
        <v>5</v>
      </c>
      <c r="M18" s="24" t="str">
        <f t="shared" si="0"/>
        <v>95-70</v>
      </c>
      <c r="N18" s="24" t="s">
        <v>529</v>
      </c>
      <c r="O18" s="24" t="s">
        <v>529</v>
      </c>
      <c r="P18" s="24">
        <v>1</v>
      </c>
      <c r="Q18" s="102">
        <v>0</v>
      </c>
      <c r="R18" s="30" t="s">
        <v>1905</v>
      </c>
      <c r="S18" s="24">
        <v>0</v>
      </c>
      <c r="T18" s="24"/>
      <c r="U18" s="94">
        <v>1067.3</v>
      </c>
      <c r="V18" s="94">
        <v>1350.5400000000002</v>
      </c>
      <c r="W18" s="106">
        <v>189.98000000000002</v>
      </c>
      <c r="X18" s="107" t="s">
        <v>1906</v>
      </c>
      <c r="Y18" s="106">
        <v>189.59</v>
      </c>
      <c r="Z18" s="107" t="s">
        <v>1906</v>
      </c>
      <c r="AA18" s="106">
        <v>190.55</v>
      </c>
      <c r="AB18" s="107" t="s">
        <v>1906</v>
      </c>
      <c r="AC18" s="106">
        <v>181.72</v>
      </c>
      <c r="AD18" s="107" t="s">
        <v>1906</v>
      </c>
      <c r="AE18" s="106">
        <v>43.93</v>
      </c>
      <c r="AF18" s="107" t="s">
        <v>1906</v>
      </c>
      <c r="AG18" s="106">
        <v>0</v>
      </c>
      <c r="AH18" s="107" t="s">
        <v>1906</v>
      </c>
      <c r="AI18" s="106">
        <v>0</v>
      </c>
      <c r="AJ18" s="107" t="s">
        <v>1906</v>
      </c>
      <c r="AK18" s="106">
        <v>0</v>
      </c>
      <c r="AL18" s="107" t="s">
        <v>1906</v>
      </c>
      <c r="AM18" s="106">
        <v>40.28</v>
      </c>
      <c r="AN18" s="107" t="s">
        <v>1906</v>
      </c>
      <c r="AO18" s="106">
        <v>172.63</v>
      </c>
      <c r="AP18" s="107" t="s">
        <v>1906</v>
      </c>
      <c r="AQ18" s="106">
        <v>172.63</v>
      </c>
      <c r="AR18" s="106" t="s">
        <v>1906</v>
      </c>
      <c r="AS18" s="106">
        <v>172.63</v>
      </c>
      <c r="AT18" s="107" t="s">
        <v>1906</v>
      </c>
      <c r="AU18" s="106">
        <f t="shared" si="1"/>
        <v>1353.94</v>
      </c>
      <c r="AV18" s="25">
        <v>0.48170000000000002</v>
      </c>
      <c r="AW18" s="30" t="str">
        <f t="shared" si="2"/>
        <v>95-70</v>
      </c>
      <c r="AX18" s="30" t="s">
        <v>1907</v>
      </c>
      <c r="AY18" s="30">
        <v>0</v>
      </c>
      <c r="AZ18" s="30">
        <v>0</v>
      </c>
    </row>
    <row r="19" spans="1:52" ht="31.2" x14ac:dyDescent="0.3">
      <c r="A19" s="103">
        <v>9</v>
      </c>
      <c r="B19" s="30" t="s">
        <v>563</v>
      </c>
      <c r="C19" s="30" t="s">
        <v>1899</v>
      </c>
      <c r="D19" s="105" t="s">
        <v>1900</v>
      </c>
      <c r="E19" s="105" t="s">
        <v>1901</v>
      </c>
      <c r="F19" s="30" t="s">
        <v>1902</v>
      </c>
      <c r="G19" s="26" t="s">
        <v>145</v>
      </c>
      <c r="H19" s="24" t="s">
        <v>146</v>
      </c>
      <c r="I19" s="25">
        <v>1</v>
      </c>
      <c r="J19" s="24" t="s">
        <v>1903</v>
      </c>
      <c r="K19" s="24">
        <v>50</v>
      </c>
      <c r="L19" s="24">
        <v>5</v>
      </c>
      <c r="M19" s="24" t="str">
        <f t="shared" si="0"/>
        <v>95-70</v>
      </c>
      <c r="N19" s="24" t="s">
        <v>529</v>
      </c>
      <c r="O19" s="24" t="s">
        <v>529</v>
      </c>
      <c r="P19" s="24">
        <v>1</v>
      </c>
      <c r="Q19" s="102">
        <v>0</v>
      </c>
      <c r="R19" s="30" t="s">
        <v>1905</v>
      </c>
      <c r="S19" s="24">
        <v>0</v>
      </c>
      <c r="T19" s="24"/>
      <c r="U19" s="94">
        <v>153.93</v>
      </c>
      <c r="V19" s="94">
        <v>220.55</v>
      </c>
      <c r="W19" s="106">
        <v>46.82</v>
      </c>
      <c r="X19" s="107" t="s">
        <v>208</v>
      </c>
      <c r="Y19" s="106">
        <v>28.56</v>
      </c>
      <c r="Z19" s="107" t="s">
        <v>208</v>
      </c>
      <c r="AA19" s="106">
        <v>40.82</v>
      </c>
      <c r="AB19" s="107" t="s">
        <v>208</v>
      </c>
      <c r="AC19" s="106">
        <v>28.62</v>
      </c>
      <c r="AD19" s="107" t="s">
        <v>208</v>
      </c>
      <c r="AE19" s="106">
        <v>7.85</v>
      </c>
      <c r="AF19" s="107" t="s">
        <v>208</v>
      </c>
      <c r="AG19" s="106">
        <v>0</v>
      </c>
      <c r="AH19" s="107" t="s">
        <v>208</v>
      </c>
      <c r="AI19" s="106">
        <v>0</v>
      </c>
      <c r="AJ19" s="107" t="s">
        <v>208</v>
      </c>
      <c r="AK19" s="106">
        <v>0</v>
      </c>
      <c r="AL19" s="107" t="s">
        <v>208</v>
      </c>
      <c r="AM19" s="106">
        <v>0</v>
      </c>
      <c r="AN19" s="107" t="s">
        <v>208</v>
      </c>
      <c r="AO19" s="106">
        <v>13.68</v>
      </c>
      <c r="AP19" s="107" t="s">
        <v>208</v>
      </c>
      <c r="AQ19" s="106">
        <v>17.89</v>
      </c>
      <c r="AR19" s="106" t="s">
        <v>208</v>
      </c>
      <c r="AS19" s="106">
        <v>9.74</v>
      </c>
      <c r="AT19" s="107" t="s">
        <v>208</v>
      </c>
      <c r="AU19" s="106">
        <f t="shared" si="1"/>
        <v>193.98000000000002</v>
      </c>
      <c r="AV19" s="25">
        <v>0.2001</v>
      </c>
      <c r="AW19" s="30" t="str">
        <f t="shared" si="2"/>
        <v>95-70</v>
      </c>
      <c r="AX19" s="30" t="s">
        <v>1907</v>
      </c>
      <c r="AY19" s="30">
        <v>0</v>
      </c>
      <c r="AZ19" s="30">
        <v>0</v>
      </c>
    </row>
    <row r="20" spans="1:52" ht="31.2" x14ac:dyDescent="0.3">
      <c r="A20" s="103">
        <v>10</v>
      </c>
      <c r="B20" s="30" t="s">
        <v>564</v>
      </c>
      <c r="C20" s="30" t="s">
        <v>1899</v>
      </c>
      <c r="D20" s="105" t="s">
        <v>1900</v>
      </c>
      <c r="E20" s="105" t="s">
        <v>1901</v>
      </c>
      <c r="F20" s="30" t="s">
        <v>1902</v>
      </c>
      <c r="G20" s="26" t="s">
        <v>145</v>
      </c>
      <c r="H20" s="24" t="s">
        <v>146</v>
      </c>
      <c r="I20" s="25">
        <v>1</v>
      </c>
      <c r="J20" s="24" t="s">
        <v>1903</v>
      </c>
      <c r="K20" s="24">
        <v>50</v>
      </c>
      <c r="L20" s="24">
        <v>5</v>
      </c>
      <c r="M20" s="24" t="str">
        <f t="shared" si="0"/>
        <v>95-70</v>
      </c>
      <c r="N20" s="24" t="s">
        <v>529</v>
      </c>
      <c r="O20" s="24" t="s">
        <v>529</v>
      </c>
      <c r="P20" s="24">
        <v>1</v>
      </c>
      <c r="Q20" s="102">
        <v>0</v>
      </c>
      <c r="R20" s="30" t="s">
        <v>1905</v>
      </c>
      <c r="S20" s="24">
        <v>0</v>
      </c>
      <c r="T20" s="24"/>
      <c r="U20" s="94">
        <v>961.17</v>
      </c>
      <c r="V20" s="94">
        <v>1084.9499999999998</v>
      </c>
      <c r="W20" s="106">
        <v>149.54</v>
      </c>
      <c r="X20" s="107" t="s">
        <v>1906</v>
      </c>
      <c r="Y20" s="106">
        <v>149.54</v>
      </c>
      <c r="Z20" s="107" t="s">
        <v>1906</v>
      </c>
      <c r="AA20" s="106">
        <v>149.54</v>
      </c>
      <c r="AB20" s="107" t="s">
        <v>1906</v>
      </c>
      <c r="AC20" s="106">
        <v>149.22</v>
      </c>
      <c r="AD20" s="107" t="s">
        <v>1906</v>
      </c>
      <c r="AE20" s="106">
        <v>43</v>
      </c>
      <c r="AF20" s="107" t="s">
        <v>1906</v>
      </c>
      <c r="AG20" s="106">
        <v>0</v>
      </c>
      <c r="AH20" s="107" t="s">
        <v>1906</v>
      </c>
      <c r="AI20" s="106">
        <v>0</v>
      </c>
      <c r="AJ20" s="107" t="s">
        <v>1906</v>
      </c>
      <c r="AK20" s="106">
        <v>0</v>
      </c>
      <c r="AL20" s="107" t="s">
        <v>1906</v>
      </c>
      <c r="AM20" s="106">
        <v>34.21</v>
      </c>
      <c r="AN20" s="107" t="s">
        <v>1906</v>
      </c>
      <c r="AO20" s="106">
        <v>146.61000000000001</v>
      </c>
      <c r="AP20" s="107" t="s">
        <v>1906</v>
      </c>
      <c r="AQ20" s="106">
        <v>146.61000000000001</v>
      </c>
      <c r="AR20" s="106" t="s">
        <v>1906</v>
      </c>
      <c r="AS20" s="106">
        <v>146.61000000000001</v>
      </c>
      <c r="AT20" s="107" t="s">
        <v>1906</v>
      </c>
      <c r="AU20" s="106">
        <f t="shared" si="1"/>
        <v>1114.8800000000001</v>
      </c>
      <c r="AV20" s="25">
        <v>0.48180000000000001</v>
      </c>
      <c r="AW20" s="30" t="str">
        <f t="shared" si="2"/>
        <v>95-70</v>
      </c>
      <c r="AX20" s="30" t="s">
        <v>1907</v>
      </c>
      <c r="AY20" s="30">
        <v>0</v>
      </c>
      <c r="AZ20" s="30">
        <v>0</v>
      </c>
    </row>
    <row r="21" spans="1:52" ht="46.8" x14ac:dyDescent="0.3">
      <c r="A21" s="103">
        <v>11</v>
      </c>
      <c r="B21" s="30" t="s">
        <v>566</v>
      </c>
      <c r="C21" s="30" t="s">
        <v>1908</v>
      </c>
      <c r="D21" s="105" t="s">
        <v>1900</v>
      </c>
      <c r="E21" s="105" t="s">
        <v>1901</v>
      </c>
      <c r="F21" s="30" t="s">
        <v>1902</v>
      </c>
      <c r="G21" s="26" t="s">
        <v>145</v>
      </c>
      <c r="H21" s="24" t="s">
        <v>146</v>
      </c>
      <c r="I21" s="25">
        <v>0</v>
      </c>
      <c r="J21" s="24" t="s">
        <v>1903</v>
      </c>
      <c r="K21" s="24">
        <v>32</v>
      </c>
      <c r="L21" s="24">
        <v>5</v>
      </c>
      <c r="M21" s="24" t="str">
        <f t="shared" si="0"/>
        <v>95-70</v>
      </c>
      <c r="N21" s="24" t="s">
        <v>529</v>
      </c>
      <c r="O21" s="24" t="s">
        <v>529</v>
      </c>
      <c r="P21" s="24">
        <v>0</v>
      </c>
      <c r="Q21" s="102">
        <v>0</v>
      </c>
      <c r="R21" s="30" t="s">
        <v>1905</v>
      </c>
      <c r="S21" s="24">
        <v>0</v>
      </c>
      <c r="T21" s="24"/>
      <c r="U21" s="94">
        <v>0</v>
      </c>
      <c r="V21" s="94">
        <v>0</v>
      </c>
      <c r="W21" s="106">
        <v>0</v>
      </c>
      <c r="X21" s="107" t="s">
        <v>1906</v>
      </c>
      <c r="Y21" s="106">
        <v>0</v>
      </c>
      <c r="Z21" s="107" t="s">
        <v>1906</v>
      </c>
      <c r="AA21" s="106">
        <v>0</v>
      </c>
      <c r="AB21" s="107" t="s">
        <v>1906</v>
      </c>
      <c r="AC21" s="106">
        <v>0</v>
      </c>
      <c r="AD21" s="107" t="s">
        <v>1906</v>
      </c>
      <c r="AE21" s="106">
        <v>0</v>
      </c>
      <c r="AF21" s="107" t="s">
        <v>1906</v>
      </c>
      <c r="AG21" s="106">
        <v>0</v>
      </c>
      <c r="AH21" s="107" t="s">
        <v>1906</v>
      </c>
      <c r="AI21" s="106">
        <v>0</v>
      </c>
      <c r="AJ21" s="107" t="s">
        <v>1906</v>
      </c>
      <c r="AK21" s="106">
        <v>0</v>
      </c>
      <c r="AL21" s="107" t="s">
        <v>1906</v>
      </c>
      <c r="AM21" s="106">
        <v>0</v>
      </c>
      <c r="AN21" s="107" t="s">
        <v>1906</v>
      </c>
      <c r="AO21" s="106">
        <v>0</v>
      </c>
      <c r="AP21" s="107" t="s">
        <v>1906</v>
      </c>
      <c r="AQ21" s="106">
        <v>0</v>
      </c>
      <c r="AR21" s="106" t="s">
        <v>1906</v>
      </c>
      <c r="AS21" s="106">
        <v>0</v>
      </c>
      <c r="AT21" s="107" t="s">
        <v>1906</v>
      </c>
      <c r="AU21" s="106">
        <f t="shared" si="1"/>
        <v>0</v>
      </c>
      <c r="AV21" s="25">
        <v>0.17</v>
      </c>
      <c r="AW21" s="30" t="str">
        <f t="shared" si="2"/>
        <v>95-70</v>
      </c>
      <c r="AX21" s="30" t="s">
        <v>1907</v>
      </c>
      <c r="AY21" s="30">
        <v>0</v>
      </c>
      <c r="AZ21" s="30">
        <v>0</v>
      </c>
    </row>
    <row r="22" spans="1:52" ht="31.2" x14ac:dyDescent="0.3">
      <c r="A22" s="103">
        <v>12</v>
      </c>
      <c r="B22" s="30" t="s">
        <v>568</v>
      </c>
      <c r="C22" s="30" t="s">
        <v>1899</v>
      </c>
      <c r="D22" s="105" t="s">
        <v>1900</v>
      </c>
      <c r="E22" s="105" t="s">
        <v>1901</v>
      </c>
      <c r="F22" s="30" t="s">
        <v>1902</v>
      </c>
      <c r="G22" s="26" t="s">
        <v>145</v>
      </c>
      <c r="H22" s="24" t="s">
        <v>146</v>
      </c>
      <c r="I22" s="25">
        <v>1</v>
      </c>
      <c r="J22" s="24" t="s">
        <v>1903</v>
      </c>
      <c r="K22" s="24">
        <v>50</v>
      </c>
      <c r="L22" s="24">
        <v>5</v>
      </c>
      <c r="M22" s="24" t="str">
        <f t="shared" si="0"/>
        <v>95-70</v>
      </c>
      <c r="N22" s="24" t="s">
        <v>529</v>
      </c>
      <c r="O22" s="24" t="s">
        <v>529</v>
      </c>
      <c r="P22" s="24">
        <v>1</v>
      </c>
      <c r="Q22" s="102">
        <v>0</v>
      </c>
      <c r="R22" s="30" t="s">
        <v>1905</v>
      </c>
      <c r="S22" s="24">
        <v>0</v>
      </c>
      <c r="T22" s="24"/>
      <c r="U22" s="94">
        <v>1054.4100000000001</v>
      </c>
      <c r="V22" s="94">
        <v>1066.9100000000001</v>
      </c>
      <c r="W22" s="106">
        <v>207.29</v>
      </c>
      <c r="X22" s="107" t="s">
        <v>208</v>
      </c>
      <c r="Y22" s="106">
        <v>126.39</v>
      </c>
      <c r="Z22" s="107" t="s">
        <v>208</v>
      </c>
      <c r="AA22" s="106">
        <v>184.58</v>
      </c>
      <c r="AB22" s="107" t="s">
        <v>208</v>
      </c>
      <c r="AC22" s="106">
        <v>134.6</v>
      </c>
      <c r="AD22" s="107" t="s">
        <v>208</v>
      </c>
      <c r="AE22" s="106">
        <v>39.159999999999997</v>
      </c>
      <c r="AF22" s="107" t="s">
        <v>208</v>
      </c>
      <c r="AG22" s="106">
        <v>0</v>
      </c>
      <c r="AH22" s="107" t="s">
        <v>208</v>
      </c>
      <c r="AI22" s="106">
        <v>0</v>
      </c>
      <c r="AJ22" s="107" t="s">
        <v>208</v>
      </c>
      <c r="AK22" s="106">
        <v>0</v>
      </c>
      <c r="AL22" s="107" t="s">
        <v>208</v>
      </c>
      <c r="AM22" s="106">
        <v>0</v>
      </c>
      <c r="AN22" s="107" t="s">
        <v>208</v>
      </c>
      <c r="AO22" s="106">
        <v>70.38</v>
      </c>
      <c r="AP22" s="107" t="s">
        <v>208</v>
      </c>
      <c r="AQ22" s="106">
        <v>84.07</v>
      </c>
      <c r="AR22" s="106" t="s">
        <v>208</v>
      </c>
      <c r="AS22" s="106">
        <v>119.52</v>
      </c>
      <c r="AT22" s="107" t="s">
        <v>208</v>
      </c>
      <c r="AU22" s="106">
        <f t="shared" si="1"/>
        <v>965.99</v>
      </c>
      <c r="AV22" s="25">
        <v>0.44940000000000002</v>
      </c>
      <c r="AW22" s="30" t="str">
        <f t="shared" si="2"/>
        <v>95-70</v>
      </c>
      <c r="AX22" s="30" t="s">
        <v>1907</v>
      </c>
      <c r="AY22" s="30">
        <v>0</v>
      </c>
      <c r="AZ22" s="30">
        <v>0</v>
      </c>
    </row>
    <row r="23" spans="1:52" ht="31.2" x14ac:dyDescent="0.3">
      <c r="A23" s="103">
        <v>13</v>
      </c>
      <c r="B23" s="30" t="s">
        <v>569</v>
      </c>
      <c r="C23" s="30" t="s">
        <v>1899</v>
      </c>
      <c r="D23" s="105" t="s">
        <v>1900</v>
      </c>
      <c r="E23" s="105" t="s">
        <v>1901</v>
      </c>
      <c r="F23" s="30" t="s">
        <v>1902</v>
      </c>
      <c r="G23" s="26" t="s">
        <v>145</v>
      </c>
      <c r="H23" s="24" t="s">
        <v>146</v>
      </c>
      <c r="I23" s="25">
        <v>1</v>
      </c>
      <c r="J23" s="24" t="s">
        <v>1903</v>
      </c>
      <c r="K23" s="24"/>
      <c r="L23" s="24">
        <v>5</v>
      </c>
      <c r="M23" s="24" t="str">
        <f t="shared" si="0"/>
        <v>95-70</v>
      </c>
      <c r="N23" s="24" t="s">
        <v>529</v>
      </c>
      <c r="O23" s="24" t="s">
        <v>529</v>
      </c>
      <c r="P23" s="24">
        <v>1</v>
      </c>
      <c r="Q23" s="102">
        <v>0</v>
      </c>
      <c r="R23" s="30" t="s">
        <v>1905</v>
      </c>
      <c r="S23" s="24">
        <v>0</v>
      </c>
      <c r="T23" s="24"/>
      <c r="U23" s="94">
        <v>1101.46</v>
      </c>
      <c r="V23" s="94">
        <v>1327.0200000000002</v>
      </c>
      <c r="W23" s="106">
        <v>182.94000000000003</v>
      </c>
      <c r="X23" s="107" t="s">
        <v>1906</v>
      </c>
      <c r="Y23" s="106">
        <v>182.94000000000003</v>
      </c>
      <c r="Z23" s="107" t="s">
        <v>1906</v>
      </c>
      <c r="AA23" s="106">
        <v>182.94000000000003</v>
      </c>
      <c r="AB23" s="107" t="s">
        <v>1906</v>
      </c>
      <c r="AC23" s="106">
        <v>182.94000000000003</v>
      </c>
      <c r="AD23" s="107" t="s">
        <v>1906</v>
      </c>
      <c r="AE23" s="106">
        <v>53.11</v>
      </c>
      <c r="AF23" s="107" t="s">
        <v>1906</v>
      </c>
      <c r="AG23" s="106">
        <v>0</v>
      </c>
      <c r="AH23" s="107" t="s">
        <v>1906</v>
      </c>
      <c r="AI23" s="106">
        <v>0</v>
      </c>
      <c r="AJ23" s="107" t="s">
        <v>1906</v>
      </c>
      <c r="AK23" s="106">
        <v>0</v>
      </c>
      <c r="AL23" s="107" t="s">
        <v>1906</v>
      </c>
      <c r="AM23" s="106">
        <v>41.65</v>
      </c>
      <c r="AN23" s="107" t="s">
        <v>1906</v>
      </c>
      <c r="AO23" s="106">
        <v>178.49</v>
      </c>
      <c r="AP23" s="107" t="s">
        <v>1906</v>
      </c>
      <c r="AQ23" s="106">
        <v>178.49</v>
      </c>
      <c r="AR23" s="106" t="s">
        <v>1906</v>
      </c>
      <c r="AS23" s="106">
        <v>178.49</v>
      </c>
      <c r="AT23" s="107" t="s">
        <v>1906</v>
      </c>
      <c r="AU23" s="106">
        <f t="shared" si="1"/>
        <v>1361.99</v>
      </c>
      <c r="AV23" s="25">
        <v>0.55210000000000004</v>
      </c>
      <c r="AW23" s="30" t="str">
        <f t="shared" si="2"/>
        <v>95-70</v>
      </c>
      <c r="AX23" s="30" t="s">
        <v>1907</v>
      </c>
      <c r="AY23" s="30">
        <v>0</v>
      </c>
      <c r="AZ23" s="30">
        <v>0</v>
      </c>
    </row>
    <row r="24" spans="1:52" ht="31.2" x14ac:dyDescent="0.3">
      <c r="A24" s="103">
        <v>14</v>
      </c>
      <c r="B24" s="30" t="s">
        <v>570</v>
      </c>
      <c r="C24" s="30" t="s">
        <v>1899</v>
      </c>
      <c r="D24" s="105" t="s">
        <v>1900</v>
      </c>
      <c r="E24" s="105" t="s">
        <v>1901</v>
      </c>
      <c r="F24" s="30" t="s">
        <v>1902</v>
      </c>
      <c r="G24" s="26" t="s">
        <v>145</v>
      </c>
      <c r="H24" s="24" t="s">
        <v>146</v>
      </c>
      <c r="I24" s="25">
        <v>2</v>
      </c>
      <c r="J24" s="24" t="s">
        <v>1903</v>
      </c>
      <c r="K24" s="24">
        <v>50.5</v>
      </c>
      <c r="L24" s="24">
        <v>5</v>
      </c>
      <c r="M24" s="24" t="str">
        <f t="shared" si="0"/>
        <v>95-70</v>
      </c>
      <c r="N24" s="24" t="s">
        <v>529</v>
      </c>
      <c r="O24" s="24" t="s">
        <v>529</v>
      </c>
      <c r="P24" s="24">
        <v>1</v>
      </c>
      <c r="Q24" s="102">
        <v>0</v>
      </c>
      <c r="R24" s="30" t="s">
        <v>1905</v>
      </c>
      <c r="S24" s="24">
        <v>0</v>
      </c>
      <c r="T24" s="24"/>
      <c r="U24" s="94">
        <v>2096.29</v>
      </c>
      <c r="V24" s="94">
        <v>2024.2200000000003</v>
      </c>
      <c r="W24" s="106">
        <v>319.70999999999998</v>
      </c>
      <c r="X24" s="107" t="s">
        <v>208</v>
      </c>
      <c r="Y24" s="106">
        <v>261.39</v>
      </c>
      <c r="Z24" s="107" t="s">
        <v>208</v>
      </c>
      <c r="AA24" s="106">
        <v>431.84</v>
      </c>
      <c r="AB24" s="107" t="s">
        <v>208</v>
      </c>
      <c r="AC24" s="106">
        <v>306.62</v>
      </c>
      <c r="AD24" s="107" t="s">
        <v>208</v>
      </c>
      <c r="AE24" s="106">
        <v>87.58</v>
      </c>
      <c r="AF24" s="107" t="s">
        <v>208</v>
      </c>
      <c r="AG24" s="106">
        <v>0</v>
      </c>
      <c r="AH24" s="107" t="s">
        <v>208</v>
      </c>
      <c r="AI24" s="106">
        <v>0</v>
      </c>
      <c r="AJ24" s="107" t="s">
        <v>208</v>
      </c>
      <c r="AK24" s="106">
        <v>0</v>
      </c>
      <c r="AL24" s="107" t="s">
        <v>208</v>
      </c>
      <c r="AM24" s="106">
        <v>0</v>
      </c>
      <c r="AN24" s="107" t="s">
        <v>208</v>
      </c>
      <c r="AO24" s="106">
        <v>211.58999999999997</v>
      </c>
      <c r="AP24" s="107" t="s">
        <v>208</v>
      </c>
      <c r="AQ24" s="106">
        <v>150.13</v>
      </c>
      <c r="AR24" s="106" t="s">
        <v>208</v>
      </c>
      <c r="AS24" s="106">
        <v>267.44</v>
      </c>
      <c r="AT24" s="107" t="s">
        <v>208</v>
      </c>
      <c r="AU24" s="106">
        <f t="shared" si="1"/>
        <v>2036.2999999999997</v>
      </c>
      <c r="AV24" s="25">
        <v>0.8982</v>
      </c>
      <c r="AW24" s="30" t="str">
        <f t="shared" si="2"/>
        <v>95-70</v>
      </c>
      <c r="AX24" s="30" t="s">
        <v>1907</v>
      </c>
      <c r="AY24" s="30">
        <v>0</v>
      </c>
      <c r="AZ24" s="30">
        <v>0</v>
      </c>
    </row>
    <row r="25" spans="1:52" ht="31.2" x14ac:dyDescent="0.3">
      <c r="A25" s="103">
        <v>15</v>
      </c>
      <c r="B25" s="30" t="s">
        <v>571</v>
      </c>
      <c r="C25" s="30" t="s">
        <v>1899</v>
      </c>
      <c r="D25" s="105" t="s">
        <v>1900</v>
      </c>
      <c r="E25" s="105" t="s">
        <v>1901</v>
      </c>
      <c r="F25" s="30" t="s">
        <v>1902</v>
      </c>
      <c r="G25" s="26" t="s">
        <v>145</v>
      </c>
      <c r="H25" s="24" t="s">
        <v>146</v>
      </c>
      <c r="I25" s="25">
        <v>1</v>
      </c>
      <c r="J25" s="24" t="s">
        <v>1903</v>
      </c>
      <c r="K25" s="24">
        <v>50</v>
      </c>
      <c r="L25" s="24">
        <v>5</v>
      </c>
      <c r="M25" s="24" t="str">
        <f t="shared" si="0"/>
        <v>95-70</v>
      </c>
      <c r="N25" s="24" t="s">
        <v>529</v>
      </c>
      <c r="O25" s="24" t="s">
        <v>529</v>
      </c>
      <c r="P25" s="24">
        <v>1</v>
      </c>
      <c r="Q25" s="102">
        <v>0</v>
      </c>
      <c r="R25" s="30" t="s">
        <v>1905</v>
      </c>
      <c r="S25" s="24">
        <v>0</v>
      </c>
      <c r="T25" s="24"/>
      <c r="U25" s="94">
        <v>498.96000000000004</v>
      </c>
      <c r="V25" s="94">
        <v>450.08</v>
      </c>
      <c r="W25" s="106">
        <v>62.01</v>
      </c>
      <c r="X25" s="107" t="s">
        <v>208</v>
      </c>
      <c r="Y25" s="106">
        <v>62.01</v>
      </c>
      <c r="Z25" s="107" t="s">
        <v>208</v>
      </c>
      <c r="AA25" s="106">
        <v>62.01</v>
      </c>
      <c r="AB25" s="107" t="s">
        <v>208</v>
      </c>
      <c r="AC25" s="106">
        <v>62.01</v>
      </c>
      <c r="AD25" s="107" t="s">
        <v>208</v>
      </c>
      <c r="AE25" s="106">
        <v>18.010000000000002</v>
      </c>
      <c r="AF25" s="107" t="s">
        <v>208</v>
      </c>
      <c r="AG25" s="106">
        <v>0</v>
      </c>
      <c r="AH25" s="107" t="s">
        <v>208</v>
      </c>
      <c r="AI25" s="106">
        <v>0</v>
      </c>
      <c r="AJ25" s="107" t="s">
        <v>208</v>
      </c>
      <c r="AK25" s="106">
        <v>0</v>
      </c>
      <c r="AL25" s="107" t="s">
        <v>208</v>
      </c>
      <c r="AM25" s="106">
        <v>0</v>
      </c>
      <c r="AN25" s="107" t="s">
        <v>208</v>
      </c>
      <c r="AO25" s="106">
        <v>61.56</v>
      </c>
      <c r="AP25" s="107" t="s">
        <v>208</v>
      </c>
      <c r="AQ25" s="106">
        <v>61.56</v>
      </c>
      <c r="AR25" s="106" t="s">
        <v>208</v>
      </c>
      <c r="AS25" s="106">
        <v>61.56</v>
      </c>
      <c r="AT25" s="107" t="s">
        <v>208</v>
      </c>
      <c r="AU25" s="106">
        <f t="shared" si="1"/>
        <v>450.73</v>
      </c>
      <c r="AV25" s="25">
        <v>0.2278</v>
      </c>
      <c r="AW25" s="30" t="str">
        <f t="shared" si="2"/>
        <v>95-70</v>
      </c>
      <c r="AX25" s="30" t="s">
        <v>1907</v>
      </c>
      <c r="AY25" s="30">
        <v>0</v>
      </c>
      <c r="AZ25" s="30">
        <v>0</v>
      </c>
    </row>
    <row r="26" spans="1:52" ht="31.2" x14ac:dyDescent="0.3">
      <c r="A26" s="103">
        <v>16</v>
      </c>
      <c r="B26" s="30" t="s">
        <v>572</v>
      </c>
      <c r="C26" s="30" t="s">
        <v>1899</v>
      </c>
      <c r="D26" s="105" t="s">
        <v>1900</v>
      </c>
      <c r="E26" s="105" t="s">
        <v>1901</v>
      </c>
      <c r="F26" s="30" t="s">
        <v>1902</v>
      </c>
      <c r="G26" s="26" t="s">
        <v>145</v>
      </c>
      <c r="H26" s="24" t="s">
        <v>146</v>
      </c>
      <c r="I26" s="25">
        <v>1</v>
      </c>
      <c r="J26" s="24" t="s">
        <v>1903</v>
      </c>
      <c r="K26" s="24">
        <v>50</v>
      </c>
      <c r="L26" s="24">
        <v>5</v>
      </c>
      <c r="M26" s="24" t="str">
        <f t="shared" si="0"/>
        <v>95-70</v>
      </c>
      <c r="N26" s="24" t="s">
        <v>529</v>
      </c>
      <c r="O26" s="24" t="s">
        <v>529</v>
      </c>
      <c r="P26" s="24">
        <v>1</v>
      </c>
      <c r="Q26" s="102">
        <v>0</v>
      </c>
      <c r="R26" s="30" t="s">
        <v>1905</v>
      </c>
      <c r="S26" s="24">
        <v>0</v>
      </c>
      <c r="T26" s="24"/>
      <c r="U26" s="94">
        <v>967.55999999999972</v>
      </c>
      <c r="V26" s="94">
        <v>960.70999999999992</v>
      </c>
      <c r="W26" s="106">
        <v>131.78</v>
      </c>
      <c r="X26" s="107" t="s">
        <v>1906</v>
      </c>
      <c r="Y26" s="106">
        <v>131.78</v>
      </c>
      <c r="Z26" s="107" t="s">
        <v>1906</v>
      </c>
      <c r="AA26" s="106">
        <v>131.78</v>
      </c>
      <c r="AB26" s="107" t="s">
        <v>1906</v>
      </c>
      <c r="AC26" s="106">
        <v>131.78</v>
      </c>
      <c r="AD26" s="107" t="s">
        <v>1906</v>
      </c>
      <c r="AE26" s="106">
        <v>38.25</v>
      </c>
      <c r="AF26" s="107" t="s">
        <v>1906</v>
      </c>
      <c r="AG26" s="106">
        <v>0</v>
      </c>
      <c r="AH26" s="107" t="s">
        <v>1906</v>
      </c>
      <c r="AI26" s="106">
        <v>0</v>
      </c>
      <c r="AJ26" s="107" t="s">
        <v>1906</v>
      </c>
      <c r="AK26" s="106">
        <v>0</v>
      </c>
      <c r="AL26" s="107" t="s">
        <v>1906</v>
      </c>
      <c r="AM26" s="106">
        <v>30.5</v>
      </c>
      <c r="AN26" s="107" t="s">
        <v>1906</v>
      </c>
      <c r="AO26" s="106">
        <v>130.72</v>
      </c>
      <c r="AP26" s="107" t="s">
        <v>1906</v>
      </c>
      <c r="AQ26" s="106">
        <v>130.72</v>
      </c>
      <c r="AR26" s="106" t="s">
        <v>1906</v>
      </c>
      <c r="AS26" s="106">
        <v>130.72</v>
      </c>
      <c r="AT26" s="107" t="s">
        <v>1906</v>
      </c>
      <c r="AU26" s="106">
        <f t="shared" si="1"/>
        <v>988.03000000000009</v>
      </c>
      <c r="AV26" s="25">
        <v>0.41249999999999998</v>
      </c>
      <c r="AW26" s="30" t="str">
        <f t="shared" si="2"/>
        <v>95-70</v>
      </c>
      <c r="AX26" s="30" t="s">
        <v>1907</v>
      </c>
      <c r="AY26" s="30">
        <v>0</v>
      </c>
      <c r="AZ26" s="30">
        <v>0</v>
      </c>
    </row>
    <row r="27" spans="1:52" ht="31.2" x14ac:dyDescent="0.3">
      <c r="A27" s="103">
        <v>17</v>
      </c>
      <c r="B27" s="30" t="s">
        <v>573</v>
      </c>
      <c r="C27" s="30" t="s">
        <v>1899</v>
      </c>
      <c r="D27" s="105" t="s">
        <v>1900</v>
      </c>
      <c r="E27" s="105" t="s">
        <v>1901</v>
      </c>
      <c r="F27" s="30" t="s">
        <v>1902</v>
      </c>
      <c r="G27" s="26" t="s">
        <v>145</v>
      </c>
      <c r="H27" s="24" t="s">
        <v>146</v>
      </c>
      <c r="I27" s="25">
        <v>1</v>
      </c>
      <c r="J27" s="24" t="s">
        <v>1903</v>
      </c>
      <c r="K27" s="24">
        <v>32</v>
      </c>
      <c r="L27" s="24">
        <v>5</v>
      </c>
      <c r="M27" s="24" t="str">
        <f t="shared" si="0"/>
        <v>95-70</v>
      </c>
      <c r="N27" s="24" t="s">
        <v>529</v>
      </c>
      <c r="O27" s="24" t="s">
        <v>529</v>
      </c>
      <c r="P27" s="24">
        <v>1</v>
      </c>
      <c r="Q27" s="102">
        <v>0</v>
      </c>
      <c r="R27" s="30" t="s">
        <v>1905</v>
      </c>
      <c r="S27" s="24">
        <v>0</v>
      </c>
      <c r="T27" s="24"/>
      <c r="U27" s="94">
        <v>1560.63</v>
      </c>
      <c r="V27" s="94">
        <v>1687.1999999999998</v>
      </c>
      <c r="W27" s="106">
        <v>319.28000000000003</v>
      </c>
      <c r="X27" s="107" t="s">
        <v>1906</v>
      </c>
      <c r="Y27" s="106">
        <v>202.95999999999998</v>
      </c>
      <c r="Z27" s="107" t="s">
        <v>1906</v>
      </c>
      <c r="AA27" s="106">
        <v>291.48</v>
      </c>
      <c r="AB27" s="107" t="s">
        <v>1906</v>
      </c>
      <c r="AC27" s="106">
        <v>199.5</v>
      </c>
      <c r="AD27" s="107" t="s">
        <v>1906</v>
      </c>
      <c r="AE27" s="106">
        <v>58.989999999999995</v>
      </c>
      <c r="AF27" s="107" t="s">
        <v>1906</v>
      </c>
      <c r="AG27" s="106">
        <v>0</v>
      </c>
      <c r="AH27" s="107" t="s">
        <v>1906</v>
      </c>
      <c r="AI27" s="106">
        <v>0</v>
      </c>
      <c r="AJ27" s="107" t="s">
        <v>1906</v>
      </c>
      <c r="AK27" s="106">
        <v>0</v>
      </c>
      <c r="AL27" s="107" t="s">
        <v>1906</v>
      </c>
      <c r="AM27" s="106">
        <v>0</v>
      </c>
      <c r="AN27" s="107" t="s">
        <v>1906</v>
      </c>
      <c r="AO27" s="106">
        <v>228</v>
      </c>
      <c r="AP27" s="107" t="s">
        <v>1906</v>
      </c>
      <c r="AQ27" s="106">
        <v>228</v>
      </c>
      <c r="AR27" s="106" t="s">
        <v>1906</v>
      </c>
      <c r="AS27" s="106">
        <v>228</v>
      </c>
      <c r="AT27" s="107" t="s">
        <v>1906</v>
      </c>
      <c r="AU27" s="106">
        <f t="shared" si="1"/>
        <v>1756.21</v>
      </c>
      <c r="AV27" s="25">
        <v>0.66510000000000002</v>
      </c>
      <c r="AW27" s="30" t="str">
        <f t="shared" si="2"/>
        <v>95-70</v>
      </c>
      <c r="AX27" s="30" t="s">
        <v>1907</v>
      </c>
      <c r="AY27" s="30">
        <v>0</v>
      </c>
      <c r="AZ27" s="30">
        <v>0</v>
      </c>
    </row>
    <row r="28" spans="1:52" ht="31.2" x14ac:dyDescent="0.3">
      <c r="A28" s="103">
        <v>18</v>
      </c>
      <c r="B28" s="30" t="s">
        <v>574</v>
      </c>
      <c r="C28" s="30" t="s">
        <v>1899</v>
      </c>
      <c r="D28" s="105" t="s">
        <v>1900</v>
      </c>
      <c r="E28" s="105" t="s">
        <v>1901</v>
      </c>
      <c r="F28" s="30" t="s">
        <v>1902</v>
      </c>
      <c r="G28" s="26" t="s">
        <v>145</v>
      </c>
      <c r="H28" s="24" t="s">
        <v>146</v>
      </c>
      <c r="I28" s="25">
        <v>1</v>
      </c>
      <c r="J28" s="24" t="s">
        <v>1903</v>
      </c>
      <c r="K28" s="24">
        <v>50</v>
      </c>
      <c r="L28" s="24">
        <v>5</v>
      </c>
      <c r="M28" s="24" t="str">
        <f t="shared" si="0"/>
        <v>95-70</v>
      </c>
      <c r="N28" s="24" t="s">
        <v>529</v>
      </c>
      <c r="O28" s="24" t="s">
        <v>529</v>
      </c>
      <c r="P28" s="24">
        <v>1</v>
      </c>
      <c r="Q28" s="102">
        <v>0</v>
      </c>
      <c r="R28" s="30" t="s">
        <v>1905</v>
      </c>
      <c r="S28" s="24">
        <v>0</v>
      </c>
      <c r="T28" s="24"/>
      <c r="U28" s="94">
        <v>1149.3499999999999</v>
      </c>
      <c r="V28" s="94">
        <v>1412.4299999999998</v>
      </c>
      <c r="W28" s="106">
        <v>194.6</v>
      </c>
      <c r="X28" s="107" t="s">
        <v>208</v>
      </c>
      <c r="Y28" s="106">
        <v>194.6</v>
      </c>
      <c r="Z28" s="107" t="s">
        <v>208</v>
      </c>
      <c r="AA28" s="106">
        <v>194.6</v>
      </c>
      <c r="AB28" s="107" t="s">
        <v>208</v>
      </c>
      <c r="AC28" s="106">
        <v>194.6</v>
      </c>
      <c r="AD28" s="107" t="s">
        <v>208</v>
      </c>
      <c r="AE28" s="106">
        <v>56.5</v>
      </c>
      <c r="AF28" s="107" t="s">
        <v>208</v>
      </c>
      <c r="AG28" s="106">
        <v>0</v>
      </c>
      <c r="AH28" s="107" t="s">
        <v>208</v>
      </c>
      <c r="AI28" s="106">
        <v>0</v>
      </c>
      <c r="AJ28" s="107" t="s">
        <v>208</v>
      </c>
      <c r="AK28" s="106">
        <v>0</v>
      </c>
      <c r="AL28" s="107" t="s">
        <v>208</v>
      </c>
      <c r="AM28" s="106">
        <v>0</v>
      </c>
      <c r="AN28" s="107" t="s">
        <v>208</v>
      </c>
      <c r="AO28" s="106">
        <v>189.93</v>
      </c>
      <c r="AP28" s="107" t="s">
        <v>208</v>
      </c>
      <c r="AQ28" s="106">
        <v>189.93</v>
      </c>
      <c r="AR28" s="106" t="s">
        <v>208</v>
      </c>
      <c r="AS28" s="106">
        <v>112.63</v>
      </c>
      <c r="AT28" s="107" t="s">
        <v>208</v>
      </c>
      <c r="AU28" s="106">
        <f t="shared" si="1"/>
        <v>1327.3899999999999</v>
      </c>
      <c r="AV28" s="25">
        <v>0.57609999999999995</v>
      </c>
      <c r="AW28" s="30" t="str">
        <f t="shared" si="2"/>
        <v>95-70</v>
      </c>
      <c r="AX28" s="30" t="s">
        <v>1907</v>
      </c>
      <c r="AY28" s="30">
        <v>0</v>
      </c>
      <c r="AZ28" s="30">
        <v>0</v>
      </c>
    </row>
    <row r="29" spans="1:52" ht="31.2" x14ac:dyDescent="0.3">
      <c r="A29" s="103">
        <v>19</v>
      </c>
      <c r="B29" s="30" t="s">
        <v>576</v>
      </c>
      <c r="C29" s="30" t="s">
        <v>1899</v>
      </c>
      <c r="D29" s="105" t="s">
        <v>1900</v>
      </c>
      <c r="E29" s="105" t="s">
        <v>1901</v>
      </c>
      <c r="F29" s="30" t="s">
        <v>1902</v>
      </c>
      <c r="G29" s="26" t="s">
        <v>145</v>
      </c>
      <c r="H29" s="24" t="s">
        <v>146</v>
      </c>
      <c r="I29" s="25">
        <v>1</v>
      </c>
      <c r="J29" s="24" t="s">
        <v>1903</v>
      </c>
      <c r="K29" s="24">
        <v>50</v>
      </c>
      <c r="L29" s="24">
        <v>5</v>
      </c>
      <c r="M29" s="24" t="str">
        <f t="shared" si="0"/>
        <v>95-70</v>
      </c>
      <c r="N29" s="24" t="s">
        <v>529</v>
      </c>
      <c r="O29" s="24" t="s">
        <v>529</v>
      </c>
      <c r="P29" s="24">
        <v>1</v>
      </c>
      <c r="Q29" s="102">
        <v>0</v>
      </c>
      <c r="R29" s="30" t="s">
        <v>1905</v>
      </c>
      <c r="S29" s="24">
        <v>0</v>
      </c>
      <c r="T29" s="24"/>
      <c r="U29" s="94">
        <f>974.88*0.54</f>
        <v>526.43520000000001</v>
      </c>
      <c r="V29" s="94">
        <f>1053.18*0.54</f>
        <v>568.71720000000005</v>
      </c>
      <c r="W29" s="106">
        <f>201.36*0.54</f>
        <v>108.73440000000001</v>
      </c>
      <c r="X29" s="107" t="s">
        <v>208</v>
      </c>
      <c r="Y29" s="106">
        <f>127.52*0.54</f>
        <v>68.860799999999998</v>
      </c>
      <c r="Z29" s="107" t="s">
        <v>208</v>
      </c>
      <c r="AA29" s="106">
        <f>179.44*0.54</f>
        <v>96.897600000000011</v>
      </c>
      <c r="AB29" s="107" t="s">
        <v>208</v>
      </c>
      <c r="AC29" s="106">
        <f>134.92*0.54</f>
        <v>72.856799999999993</v>
      </c>
      <c r="AD29" s="107" t="s">
        <v>208</v>
      </c>
      <c r="AE29" s="106">
        <f>37.93*0.54</f>
        <v>20.482200000000002</v>
      </c>
      <c r="AF29" s="107" t="s">
        <v>208</v>
      </c>
      <c r="AG29" s="106">
        <v>0</v>
      </c>
      <c r="AH29" s="107" t="s">
        <v>208</v>
      </c>
      <c r="AI29" s="106">
        <v>0</v>
      </c>
      <c r="AJ29" s="107" t="s">
        <v>208</v>
      </c>
      <c r="AK29" s="106">
        <v>0</v>
      </c>
      <c r="AL29" s="107" t="s">
        <v>208</v>
      </c>
      <c r="AM29" s="106">
        <v>0</v>
      </c>
      <c r="AN29" s="107" t="s">
        <v>208</v>
      </c>
      <c r="AO29" s="106">
        <f>133.73*0.54</f>
        <v>72.214200000000005</v>
      </c>
      <c r="AP29" s="107" t="s">
        <v>208</v>
      </c>
      <c r="AQ29" s="106">
        <f>56.77*0.54</f>
        <v>30.655800000000003</v>
      </c>
      <c r="AR29" s="106" t="s">
        <v>208</v>
      </c>
      <c r="AS29" s="106">
        <f>115.92*0.54</f>
        <v>62.596800000000002</v>
      </c>
      <c r="AT29" s="107" t="s">
        <v>208</v>
      </c>
      <c r="AU29" s="106">
        <f t="shared" si="1"/>
        <v>533.29859999999996</v>
      </c>
      <c r="AV29" s="25">
        <v>0.20780000000000001</v>
      </c>
      <c r="AW29" s="30" t="str">
        <f t="shared" si="2"/>
        <v>95-70</v>
      </c>
      <c r="AX29" s="30" t="s">
        <v>1907</v>
      </c>
      <c r="AY29" s="30">
        <v>0</v>
      </c>
      <c r="AZ29" s="30">
        <v>0</v>
      </c>
    </row>
    <row r="30" spans="1:52" ht="31.2" x14ac:dyDescent="0.3">
      <c r="A30" s="103">
        <v>20</v>
      </c>
      <c r="B30" s="30" t="s">
        <v>577</v>
      </c>
      <c r="C30" s="30" t="s">
        <v>1899</v>
      </c>
      <c r="D30" s="105" t="s">
        <v>1900</v>
      </c>
      <c r="E30" s="105" t="s">
        <v>1901</v>
      </c>
      <c r="F30" s="30" t="s">
        <v>1902</v>
      </c>
      <c r="G30" s="26" t="s">
        <v>145</v>
      </c>
      <c r="H30" s="24" t="s">
        <v>146</v>
      </c>
      <c r="I30" s="25">
        <v>1</v>
      </c>
      <c r="J30" s="24" t="s">
        <v>1903</v>
      </c>
      <c r="K30" s="24">
        <v>50</v>
      </c>
      <c r="L30" s="24">
        <v>5</v>
      </c>
      <c r="M30" s="24" t="str">
        <f t="shared" si="0"/>
        <v>95-70</v>
      </c>
      <c r="N30" s="24" t="s">
        <v>529</v>
      </c>
      <c r="O30" s="24" t="s">
        <v>529</v>
      </c>
      <c r="P30" s="24">
        <v>1</v>
      </c>
      <c r="Q30" s="102">
        <v>0</v>
      </c>
      <c r="R30" s="30" t="s">
        <v>1905</v>
      </c>
      <c r="S30" s="24">
        <v>0</v>
      </c>
      <c r="T30" s="24"/>
      <c r="U30" s="94">
        <f>974.88*0.46</f>
        <v>448.44480000000004</v>
      </c>
      <c r="V30" s="94">
        <f>1053.18*0.46</f>
        <v>484.46280000000007</v>
      </c>
      <c r="W30" s="106">
        <f>201.36*0.46</f>
        <v>92.625600000000006</v>
      </c>
      <c r="X30" s="107" t="s">
        <v>208</v>
      </c>
      <c r="Y30" s="106">
        <f>127.52*0.46</f>
        <v>58.659199999999998</v>
      </c>
      <c r="Z30" s="107" t="s">
        <v>208</v>
      </c>
      <c r="AA30" s="106">
        <f>179.44*0.46</f>
        <v>82.542400000000001</v>
      </c>
      <c r="AB30" s="107" t="s">
        <v>208</v>
      </c>
      <c r="AC30" s="106">
        <f>134.92*0.46</f>
        <v>62.063199999999995</v>
      </c>
      <c r="AD30" s="107" t="s">
        <v>208</v>
      </c>
      <c r="AE30" s="106">
        <f>37.93*0.46</f>
        <v>17.447800000000001</v>
      </c>
      <c r="AF30" s="107" t="s">
        <v>208</v>
      </c>
      <c r="AG30" s="106">
        <v>0</v>
      </c>
      <c r="AH30" s="107" t="s">
        <v>208</v>
      </c>
      <c r="AI30" s="106">
        <v>0</v>
      </c>
      <c r="AJ30" s="107" t="s">
        <v>208</v>
      </c>
      <c r="AK30" s="106">
        <v>0</v>
      </c>
      <c r="AL30" s="107" t="s">
        <v>208</v>
      </c>
      <c r="AM30" s="106">
        <v>0</v>
      </c>
      <c r="AN30" s="107" t="s">
        <v>208</v>
      </c>
      <c r="AO30" s="106">
        <f>133.73*0.46</f>
        <v>61.515799999999999</v>
      </c>
      <c r="AP30" s="107" t="s">
        <v>208</v>
      </c>
      <c r="AQ30" s="106">
        <f>56.77*0.46</f>
        <v>26.114200000000004</v>
      </c>
      <c r="AR30" s="106" t="s">
        <v>208</v>
      </c>
      <c r="AS30" s="106">
        <f>115.92*0.46</f>
        <v>53.3232</v>
      </c>
      <c r="AT30" s="107" t="s">
        <v>208</v>
      </c>
      <c r="AU30" s="106">
        <f t="shared" si="1"/>
        <v>454.29140000000001</v>
      </c>
      <c r="AV30" s="25">
        <v>0.20780000000000001</v>
      </c>
      <c r="AW30" s="30" t="str">
        <f t="shared" si="2"/>
        <v>95-70</v>
      </c>
      <c r="AX30" s="30" t="s">
        <v>1907</v>
      </c>
      <c r="AY30" s="30">
        <v>0</v>
      </c>
      <c r="AZ30" s="30">
        <v>0</v>
      </c>
    </row>
    <row r="31" spans="1:52" ht="31.2" x14ac:dyDescent="0.3">
      <c r="A31" s="103">
        <v>21</v>
      </c>
      <c r="B31" s="30" t="s">
        <v>578</v>
      </c>
      <c r="C31" s="30" t="s">
        <v>1899</v>
      </c>
      <c r="D31" s="105" t="s">
        <v>1900</v>
      </c>
      <c r="E31" s="105" t="s">
        <v>1901</v>
      </c>
      <c r="F31" s="30" t="s">
        <v>1902</v>
      </c>
      <c r="G31" s="26" t="s">
        <v>145</v>
      </c>
      <c r="H31" s="24" t="s">
        <v>146</v>
      </c>
      <c r="I31" s="25">
        <v>1</v>
      </c>
      <c r="J31" s="24" t="s">
        <v>1903</v>
      </c>
      <c r="K31" s="24">
        <v>50.2</v>
      </c>
      <c r="L31" s="24">
        <v>5</v>
      </c>
      <c r="M31" s="24" t="str">
        <f t="shared" si="0"/>
        <v>95-70</v>
      </c>
      <c r="N31" s="24" t="s">
        <v>529</v>
      </c>
      <c r="O31" s="24" t="s">
        <v>529</v>
      </c>
      <c r="P31" s="24">
        <v>1</v>
      </c>
      <c r="Q31" s="102">
        <v>0</v>
      </c>
      <c r="R31" s="30" t="s">
        <v>1905</v>
      </c>
      <c r="S31" s="24">
        <v>0</v>
      </c>
      <c r="T31" s="24"/>
      <c r="U31" s="94">
        <v>0</v>
      </c>
      <c r="V31" s="94">
        <v>509.65999999999991</v>
      </c>
      <c r="W31" s="106">
        <v>69.910000000000011</v>
      </c>
      <c r="X31" s="107" t="s">
        <v>1906</v>
      </c>
      <c r="Y31" s="106">
        <v>69.910000000000011</v>
      </c>
      <c r="Z31" s="107" t="s">
        <v>1906</v>
      </c>
      <c r="AA31" s="106">
        <v>69.910000000000011</v>
      </c>
      <c r="AB31" s="107" t="s">
        <v>1906</v>
      </c>
      <c r="AC31" s="106">
        <v>69.910000000000011</v>
      </c>
      <c r="AD31" s="107" t="s">
        <v>1906</v>
      </c>
      <c r="AE31" s="106">
        <v>20.29</v>
      </c>
      <c r="AF31" s="107" t="s">
        <v>1906</v>
      </c>
      <c r="AG31" s="106">
        <v>0</v>
      </c>
      <c r="AH31" s="107" t="s">
        <v>1906</v>
      </c>
      <c r="AI31" s="106">
        <v>0</v>
      </c>
      <c r="AJ31" s="107" t="s">
        <v>1906</v>
      </c>
      <c r="AK31" s="106">
        <v>0</v>
      </c>
      <c r="AL31" s="107" t="s">
        <v>1906</v>
      </c>
      <c r="AM31" s="106">
        <v>0</v>
      </c>
      <c r="AN31" s="107" t="s">
        <v>1906</v>
      </c>
      <c r="AO31" s="106">
        <v>67.400000000000006</v>
      </c>
      <c r="AP31" s="107" t="s">
        <v>1906</v>
      </c>
      <c r="AQ31" s="106">
        <v>67.400000000000006</v>
      </c>
      <c r="AR31" s="106" t="s">
        <v>1906</v>
      </c>
      <c r="AS31" s="106">
        <v>67.400000000000006</v>
      </c>
      <c r="AT31" s="107" t="s">
        <v>1906</v>
      </c>
      <c r="AU31" s="106">
        <f t="shared" si="1"/>
        <v>502.13</v>
      </c>
      <c r="AV31" s="25">
        <v>0.2329</v>
      </c>
      <c r="AW31" s="30" t="str">
        <f t="shared" si="2"/>
        <v>95-70</v>
      </c>
      <c r="AX31" s="30" t="s">
        <v>1907</v>
      </c>
      <c r="AY31" s="30">
        <v>0</v>
      </c>
      <c r="AZ31" s="30">
        <v>0</v>
      </c>
    </row>
    <row r="32" spans="1:52" ht="31.2" x14ac:dyDescent="0.3">
      <c r="A32" s="103">
        <v>22</v>
      </c>
      <c r="B32" s="30" t="s">
        <v>580</v>
      </c>
      <c r="C32" s="30" t="s">
        <v>1899</v>
      </c>
      <c r="D32" s="105" t="s">
        <v>1900</v>
      </c>
      <c r="E32" s="105" t="s">
        <v>1901</v>
      </c>
      <c r="F32" s="30" t="s">
        <v>1902</v>
      </c>
      <c r="G32" s="26" t="s">
        <v>145</v>
      </c>
      <c r="H32" s="24" t="s">
        <v>146</v>
      </c>
      <c r="I32" s="25">
        <v>1</v>
      </c>
      <c r="J32" s="24" t="s">
        <v>1903</v>
      </c>
      <c r="K32" s="24">
        <v>32</v>
      </c>
      <c r="L32" s="24">
        <v>5</v>
      </c>
      <c r="M32" s="24" t="str">
        <f t="shared" si="0"/>
        <v>95-70</v>
      </c>
      <c r="N32" s="24" t="s">
        <v>529</v>
      </c>
      <c r="O32" s="24" t="s">
        <v>529</v>
      </c>
      <c r="P32" s="24">
        <v>1</v>
      </c>
      <c r="Q32" s="102">
        <v>0</v>
      </c>
      <c r="R32" s="30" t="s">
        <v>1905</v>
      </c>
      <c r="S32" s="24">
        <v>0</v>
      </c>
      <c r="T32" s="24"/>
      <c r="U32" s="94">
        <v>322.52</v>
      </c>
      <c r="V32" s="94">
        <v>236.58999999999997</v>
      </c>
      <c r="W32" s="106">
        <v>50.05</v>
      </c>
      <c r="X32" s="107" t="s">
        <v>208</v>
      </c>
      <c r="Y32" s="106">
        <v>31.16</v>
      </c>
      <c r="Z32" s="107" t="s">
        <v>208</v>
      </c>
      <c r="AA32" s="106">
        <v>44.98</v>
      </c>
      <c r="AB32" s="107" t="s">
        <v>208</v>
      </c>
      <c r="AC32" s="106">
        <v>32.22</v>
      </c>
      <c r="AD32" s="107" t="s">
        <v>208</v>
      </c>
      <c r="AE32" s="106">
        <v>9.69</v>
      </c>
      <c r="AF32" s="107" t="s">
        <v>208</v>
      </c>
      <c r="AG32" s="106">
        <v>0</v>
      </c>
      <c r="AH32" s="107" t="s">
        <v>208</v>
      </c>
      <c r="AI32" s="106">
        <v>0</v>
      </c>
      <c r="AJ32" s="107" t="s">
        <v>208</v>
      </c>
      <c r="AK32" s="106">
        <v>0</v>
      </c>
      <c r="AL32" s="107" t="s">
        <v>208</v>
      </c>
      <c r="AM32" s="106">
        <v>0</v>
      </c>
      <c r="AN32" s="107" t="s">
        <v>208</v>
      </c>
      <c r="AO32" s="106">
        <v>17.46</v>
      </c>
      <c r="AP32" s="107" t="s">
        <v>208</v>
      </c>
      <c r="AQ32" s="106">
        <v>20.100000000000001</v>
      </c>
      <c r="AR32" s="106" t="s">
        <v>208</v>
      </c>
      <c r="AS32" s="106">
        <v>29.15</v>
      </c>
      <c r="AT32" s="107" t="s">
        <v>208</v>
      </c>
      <c r="AU32" s="106">
        <f t="shared" si="1"/>
        <v>234.81</v>
      </c>
      <c r="AV32" s="25">
        <v>0.14319999999999999</v>
      </c>
      <c r="AW32" s="30" t="str">
        <f t="shared" si="2"/>
        <v>95-70</v>
      </c>
      <c r="AX32" s="30" t="s">
        <v>1907</v>
      </c>
      <c r="AY32" s="30">
        <v>0</v>
      </c>
      <c r="AZ32" s="30">
        <v>0</v>
      </c>
    </row>
    <row r="33" spans="1:52" ht="31.2" x14ac:dyDescent="0.3">
      <c r="A33" s="103">
        <v>23</v>
      </c>
      <c r="B33" s="30" t="s">
        <v>583</v>
      </c>
      <c r="C33" s="30" t="s">
        <v>1899</v>
      </c>
      <c r="D33" s="105" t="s">
        <v>1900</v>
      </c>
      <c r="E33" s="105" t="s">
        <v>1901</v>
      </c>
      <c r="F33" s="30" t="s">
        <v>1902</v>
      </c>
      <c r="G33" s="26" t="s">
        <v>145</v>
      </c>
      <c r="H33" s="24" t="s">
        <v>146</v>
      </c>
      <c r="I33" s="25">
        <v>1</v>
      </c>
      <c r="J33" s="24" t="s">
        <v>1903</v>
      </c>
      <c r="K33" s="24">
        <v>50</v>
      </c>
      <c r="L33" s="24">
        <v>5</v>
      </c>
      <c r="M33" s="24" t="str">
        <f t="shared" si="0"/>
        <v>95-70</v>
      </c>
      <c r="N33" s="24" t="s">
        <v>529</v>
      </c>
      <c r="O33" s="24" t="s">
        <v>529</v>
      </c>
      <c r="P33" s="24">
        <v>1</v>
      </c>
      <c r="Q33" s="102">
        <v>0</v>
      </c>
      <c r="R33" s="30" t="s">
        <v>1905</v>
      </c>
      <c r="S33" s="24">
        <v>0</v>
      </c>
      <c r="T33" s="24"/>
      <c r="U33" s="94">
        <v>880.98</v>
      </c>
      <c r="V33" s="94">
        <v>684.62000000000012</v>
      </c>
      <c r="W33" s="106">
        <v>91.08</v>
      </c>
      <c r="X33" s="107" t="s">
        <v>1906</v>
      </c>
      <c r="Y33" s="106">
        <v>91.08</v>
      </c>
      <c r="Z33" s="107" t="s">
        <v>1906</v>
      </c>
      <c r="AA33" s="106">
        <v>91.08</v>
      </c>
      <c r="AB33" s="107" t="s">
        <v>1906</v>
      </c>
      <c r="AC33" s="106">
        <v>91.08</v>
      </c>
      <c r="AD33" s="107" t="s">
        <v>1906</v>
      </c>
      <c r="AE33" s="106">
        <v>26.44</v>
      </c>
      <c r="AF33" s="107" t="s">
        <v>1906</v>
      </c>
      <c r="AG33" s="106">
        <v>0</v>
      </c>
      <c r="AH33" s="107" t="s">
        <v>1906</v>
      </c>
      <c r="AI33" s="106">
        <v>0</v>
      </c>
      <c r="AJ33" s="107" t="s">
        <v>1906</v>
      </c>
      <c r="AK33" s="106">
        <v>0</v>
      </c>
      <c r="AL33" s="107" t="s">
        <v>1906</v>
      </c>
      <c r="AM33" s="106">
        <v>21.45</v>
      </c>
      <c r="AN33" s="107" t="s">
        <v>1906</v>
      </c>
      <c r="AO33" s="106">
        <v>91.94</v>
      </c>
      <c r="AP33" s="107" t="s">
        <v>1906</v>
      </c>
      <c r="AQ33" s="106">
        <v>91.94</v>
      </c>
      <c r="AR33" s="106" t="s">
        <v>1906</v>
      </c>
      <c r="AS33" s="106">
        <v>91.94</v>
      </c>
      <c r="AT33" s="107" t="s">
        <v>1906</v>
      </c>
      <c r="AU33" s="106">
        <f t="shared" si="1"/>
        <v>688.03</v>
      </c>
      <c r="AV33" s="25">
        <v>0.40050000000000002</v>
      </c>
      <c r="AW33" s="30" t="str">
        <f t="shared" si="2"/>
        <v>95-70</v>
      </c>
      <c r="AX33" s="30" t="s">
        <v>1907</v>
      </c>
      <c r="AY33" s="30">
        <v>0</v>
      </c>
      <c r="AZ33" s="30">
        <v>0</v>
      </c>
    </row>
    <row r="34" spans="1:52" ht="31.2" x14ac:dyDescent="0.3">
      <c r="A34" s="103">
        <v>24</v>
      </c>
      <c r="B34" s="30" t="s">
        <v>585</v>
      </c>
      <c r="C34" s="30" t="s">
        <v>1899</v>
      </c>
      <c r="D34" s="105" t="s">
        <v>1900</v>
      </c>
      <c r="E34" s="105" t="s">
        <v>1901</v>
      </c>
      <c r="F34" s="30" t="s">
        <v>1902</v>
      </c>
      <c r="G34" s="26" t="s">
        <v>145</v>
      </c>
      <c r="H34" s="24" t="s">
        <v>146</v>
      </c>
      <c r="I34" s="25">
        <v>1</v>
      </c>
      <c r="J34" s="24" t="s">
        <v>1903</v>
      </c>
      <c r="K34" s="24">
        <v>32</v>
      </c>
      <c r="L34" s="24">
        <v>5</v>
      </c>
      <c r="M34" s="24" t="str">
        <f t="shared" si="0"/>
        <v>95-70</v>
      </c>
      <c r="N34" s="24" t="s">
        <v>529</v>
      </c>
      <c r="O34" s="24" t="s">
        <v>529</v>
      </c>
      <c r="P34" s="24">
        <v>1</v>
      </c>
      <c r="Q34" s="102">
        <v>0</v>
      </c>
      <c r="R34" s="30" t="s">
        <v>1905</v>
      </c>
      <c r="S34" s="24">
        <v>0</v>
      </c>
      <c r="T34" s="24"/>
      <c r="U34" s="94">
        <f>708.72*0.34</f>
        <v>240.96480000000003</v>
      </c>
      <c r="V34" s="94">
        <f>672.94*0.34</f>
        <v>228.79960000000003</v>
      </c>
      <c r="W34" s="106">
        <f>92.5*0.34</f>
        <v>31.450000000000003</v>
      </c>
      <c r="X34" s="107" t="s">
        <v>1906</v>
      </c>
      <c r="Y34" s="106">
        <f>92.5*0.34</f>
        <v>31.450000000000003</v>
      </c>
      <c r="Z34" s="107" t="s">
        <v>1906</v>
      </c>
      <c r="AA34" s="106">
        <f>92.5*0.34</f>
        <v>31.450000000000003</v>
      </c>
      <c r="AB34" s="107" t="s">
        <v>1906</v>
      </c>
      <c r="AC34" s="106">
        <f>92.5*0.34</f>
        <v>31.450000000000003</v>
      </c>
      <c r="AD34" s="107" t="s">
        <v>1906</v>
      </c>
      <c r="AE34" s="106">
        <f>26.86*0.34</f>
        <v>9.1324000000000005</v>
      </c>
      <c r="AF34" s="107" t="s">
        <v>1906</v>
      </c>
      <c r="AG34" s="106">
        <v>0</v>
      </c>
      <c r="AH34" s="107" t="s">
        <v>1906</v>
      </c>
      <c r="AI34" s="106">
        <v>0</v>
      </c>
      <c r="AJ34" s="107" t="s">
        <v>1906</v>
      </c>
      <c r="AK34" s="106">
        <v>0</v>
      </c>
      <c r="AL34" s="107" t="s">
        <v>1906</v>
      </c>
      <c r="AM34" s="106">
        <f>21.06*0.34</f>
        <v>7.1604000000000001</v>
      </c>
      <c r="AN34" s="107" t="s">
        <v>1906</v>
      </c>
      <c r="AO34" s="106">
        <f>90.27*0.34</f>
        <v>30.691800000000001</v>
      </c>
      <c r="AP34" s="107" t="s">
        <v>1906</v>
      </c>
      <c r="AQ34" s="106">
        <f>90.27*0.34</f>
        <v>30.691800000000001</v>
      </c>
      <c r="AR34" s="106" t="s">
        <v>1906</v>
      </c>
      <c r="AS34" s="106">
        <f>90.27*0.34</f>
        <v>30.691800000000001</v>
      </c>
      <c r="AT34" s="107" t="s">
        <v>1906</v>
      </c>
      <c r="AU34" s="106">
        <f t="shared" si="1"/>
        <v>234.16820000000001</v>
      </c>
      <c r="AV34" s="25">
        <v>0.15</v>
      </c>
      <c r="AW34" s="30" t="str">
        <f t="shared" si="2"/>
        <v>95-70</v>
      </c>
      <c r="AX34" s="30" t="s">
        <v>1907</v>
      </c>
      <c r="AY34" s="30">
        <v>0</v>
      </c>
      <c r="AZ34" s="30">
        <v>0</v>
      </c>
    </row>
    <row r="35" spans="1:52" ht="31.2" x14ac:dyDescent="0.3">
      <c r="A35" s="103">
        <v>25</v>
      </c>
      <c r="B35" s="30" t="s">
        <v>586</v>
      </c>
      <c r="C35" s="30" t="s">
        <v>1899</v>
      </c>
      <c r="D35" s="105" t="s">
        <v>1900</v>
      </c>
      <c r="E35" s="105" t="s">
        <v>1901</v>
      </c>
      <c r="F35" s="30" t="s">
        <v>1902</v>
      </c>
      <c r="G35" s="26" t="s">
        <v>145</v>
      </c>
      <c r="H35" s="24" t="s">
        <v>146</v>
      </c>
      <c r="I35" s="25">
        <v>1</v>
      </c>
      <c r="J35" s="24" t="s">
        <v>1903</v>
      </c>
      <c r="K35" s="24">
        <v>32</v>
      </c>
      <c r="L35" s="24">
        <v>5</v>
      </c>
      <c r="M35" s="24" t="str">
        <f t="shared" si="0"/>
        <v>95-70</v>
      </c>
      <c r="N35" s="24" t="s">
        <v>529</v>
      </c>
      <c r="O35" s="24" t="s">
        <v>529</v>
      </c>
      <c r="P35" s="24">
        <v>1</v>
      </c>
      <c r="Q35" s="102">
        <v>0</v>
      </c>
      <c r="R35" s="30" t="s">
        <v>1905</v>
      </c>
      <c r="S35" s="24">
        <v>0</v>
      </c>
      <c r="T35" s="24"/>
      <c r="U35" s="94">
        <f>708.72*0.24</f>
        <v>170.09280000000001</v>
      </c>
      <c r="V35" s="94">
        <f>672.94*0.24</f>
        <v>161.50560000000002</v>
      </c>
      <c r="W35" s="106">
        <f>92.5*0.24</f>
        <v>22.2</v>
      </c>
      <c r="X35" s="107" t="s">
        <v>1906</v>
      </c>
      <c r="Y35" s="106">
        <f>92.5*0.24</f>
        <v>22.2</v>
      </c>
      <c r="Z35" s="107" t="s">
        <v>1906</v>
      </c>
      <c r="AA35" s="106">
        <f>92.5*0.24</f>
        <v>22.2</v>
      </c>
      <c r="AB35" s="107" t="s">
        <v>1906</v>
      </c>
      <c r="AC35" s="106">
        <f>92.5*0.24</f>
        <v>22.2</v>
      </c>
      <c r="AD35" s="107" t="s">
        <v>1906</v>
      </c>
      <c r="AE35" s="106">
        <f>26.86*0.24</f>
        <v>6.4463999999999997</v>
      </c>
      <c r="AF35" s="107" t="s">
        <v>1906</v>
      </c>
      <c r="AG35" s="106">
        <v>0</v>
      </c>
      <c r="AH35" s="107" t="s">
        <v>1906</v>
      </c>
      <c r="AI35" s="106">
        <v>0</v>
      </c>
      <c r="AJ35" s="107" t="s">
        <v>1906</v>
      </c>
      <c r="AK35" s="106">
        <v>0</v>
      </c>
      <c r="AL35" s="107" t="s">
        <v>1906</v>
      </c>
      <c r="AM35" s="106">
        <f>21.06*0.24</f>
        <v>5.0543999999999993</v>
      </c>
      <c r="AN35" s="107" t="s">
        <v>1906</v>
      </c>
      <c r="AO35" s="106">
        <f>90.27*0.24</f>
        <v>21.6648</v>
      </c>
      <c r="AP35" s="107" t="s">
        <v>1906</v>
      </c>
      <c r="AQ35" s="106">
        <f>90.27*0.24</f>
        <v>21.6648</v>
      </c>
      <c r="AR35" s="106" t="s">
        <v>1906</v>
      </c>
      <c r="AS35" s="106">
        <f>90.27*0.24</f>
        <v>21.6648</v>
      </c>
      <c r="AT35" s="107" t="s">
        <v>1906</v>
      </c>
      <c r="AU35" s="106">
        <f t="shared" si="1"/>
        <v>165.29520000000002</v>
      </c>
      <c r="AV35" s="25">
        <v>0.11</v>
      </c>
      <c r="AW35" s="30" t="str">
        <f t="shared" si="2"/>
        <v>95-70</v>
      </c>
      <c r="AX35" s="30" t="s">
        <v>1907</v>
      </c>
      <c r="AY35" s="30">
        <v>0</v>
      </c>
      <c r="AZ35" s="30">
        <v>0</v>
      </c>
    </row>
    <row r="36" spans="1:52" ht="31.2" x14ac:dyDescent="0.3">
      <c r="A36" s="103">
        <v>26</v>
      </c>
      <c r="B36" s="30" t="s">
        <v>587</v>
      </c>
      <c r="C36" s="30" t="s">
        <v>1899</v>
      </c>
      <c r="D36" s="105" t="s">
        <v>1900</v>
      </c>
      <c r="E36" s="105" t="s">
        <v>1901</v>
      </c>
      <c r="F36" s="30" t="s">
        <v>1902</v>
      </c>
      <c r="G36" s="26" t="s">
        <v>145</v>
      </c>
      <c r="H36" s="24" t="s">
        <v>146</v>
      </c>
      <c r="I36" s="25">
        <v>1</v>
      </c>
      <c r="J36" s="24" t="s">
        <v>1903</v>
      </c>
      <c r="K36" s="24">
        <v>32</v>
      </c>
      <c r="L36" s="24">
        <v>5</v>
      </c>
      <c r="M36" s="24" t="str">
        <f t="shared" si="0"/>
        <v>95-70</v>
      </c>
      <c r="N36" s="24" t="s">
        <v>529</v>
      </c>
      <c r="O36" s="24" t="s">
        <v>529</v>
      </c>
      <c r="P36" s="24">
        <v>1</v>
      </c>
      <c r="Q36" s="102">
        <v>0</v>
      </c>
      <c r="R36" s="30" t="s">
        <v>1905</v>
      </c>
      <c r="S36" s="24">
        <v>0</v>
      </c>
      <c r="T36" s="24"/>
      <c r="U36" s="94">
        <f>708.72*0.23</f>
        <v>163.00560000000002</v>
      </c>
      <c r="V36" s="94">
        <f>672.94*0.23</f>
        <v>154.77620000000002</v>
      </c>
      <c r="W36" s="106">
        <f>92.5*0.23</f>
        <v>21.275000000000002</v>
      </c>
      <c r="X36" s="107" t="s">
        <v>1906</v>
      </c>
      <c r="Y36" s="106">
        <f>92.5*0.23</f>
        <v>21.275000000000002</v>
      </c>
      <c r="Z36" s="107" t="s">
        <v>1906</v>
      </c>
      <c r="AA36" s="106">
        <f>92.5*0.23</f>
        <v>21.275000000000002</v>
      </c>
      <c r="AB36" s="107" t="s">
        <v>1906</v>
      </c>
      <c r="AC36" s="106">
        <f>92.5*0.23</f>
        <v>21.275000000000002</v>
      </c>
      <c r="AD36" s="107" t="s">
        <v>1906</v>
      </c>
      <c r="AE36" s="106">
        <f>26.86*0.23</f>
        <v>6.1778000000000004</v>
      </c>
      <c r="AF36" s="107" t="s">
        <v>1906</v>
      </c>
      <c r="AG36" s="106">
        <v>0</v>
      </c>
      <c r="AH36" s="107" t="s">
        <v>1906</v>
      </c>
      <c r="AI36" s="106">
        <v>0</v>
      </c>
      <c r="AJ36" s="107" t="s">
        <v>1906</v>
      </c>
      <c r="AK36" s="106">
        <v>0</v>
      </c>
      <c r="AL36" s="107" t="s">
        <v>1906</v>
      </c>
      <c r="AM36" s="106">
        <f>21.06*0.23</f>
        <v>4.8437999999999999</v>
      </c>
      <c r="AN36" s="107" t="s">
        <v>1906</v>
      </c>
      <c r="AO36" s="106">
        <f>90.27*0.23</f>
        <v>20.7621</v>
      </c>
      <c r="AP36" s="107" t="s">
        <v>1906</v>
      </c>
      <c r="AQ36" s="106">
        <f>90.27*0.23</f>
        <v>20.7621</v>
      </c>
      <c r="AR36" s="106" t="s">
        <v>1906</v>
      </c>
      <c r="AS36" s="106">
        <f>90.27*0.23</f>
        <v>20.7621</v>
      </c>
      <c r="AT36" s="107" t="s">
        <v>1906</v>
      </c>
      <c r="AU36" s="106">
        <f t="shared" si="1"/>
        <v>158.40790000000001</v>
      </c>
      <c r="AV36" s="25">
        <v>0.104</v>
      </c>
      <c r="AW36" s="30" t="str">
        <f t="shared" si="2"/>
        <v>95-70</v>
      </c>
      <c r="AX36" s="30" t="s">
        <v>1907</v>
      </c>
      <c r="AY36" s="30">
        <v>0</v>
      </c>
      <c r="AZ36" s="30">
        <v>0</v>
      </c>
    </row>
    <row r="37" spans="1:52" ht="31.2" x14ac:dyDescent="0.3">
      <c r="A37" s="103">
        <v>27</v>
      </c>
      <c r="B37" s="30" t="s">
        <v>588</v>
      </c>
      <c r="C37" s="30" t="s">
        <v>1899</v>
      </c>
      <c r="D37" s="105" t="s">
        <v>1900</v>
      </c>
      <c r="E37" s="105" t="s">
        <v>1901</v>
      </c>
      <c r="F37" s="30" t="s">
        <v>1902</v>
      </c>
      <c r="G37" s="26" t="s">
        <v>145</v>
      </c>
      <c r="H37" s="24" t="s">
        <v>146</v>
      </c>
      <c r="I37" s="25">
        <v>1</v>
      </c>
      <c r="J37" s="24" t="s">
        <v>1903</v>
      </c>
      <c r="K37" s="24">
        <v>32</v>
      </c>
      <c r="L37" s="24">
        <v>5</v>
      </c>
      <c r="M37" s="24" t="str">
        <f t="shared" si="0"/>
        <v>95-70</v>
      </c>
      <c r="N37" s="24" t="s">
        <v>529</v>
      </c>
      <c r="O37" s="24" t="s">
        <v>529</v>
      </c>
      <c r="P37" s="24">
        <v>1</v>
      </c>
      <c r="Q37" s="102">
        <v>0</v>
      </c>
      <c r="R37" s="30" t="s">
        <v>1905</v>
      </c>
      <c r="S37" s="24">
        <v>0</v>
      </c>
      <c r="T37" s="24"/>
      <c r="U37" s="94">
        <f>708.72*0.19</f>
        <v>134.6568</v>
      </c>
      <c r="V37" s="94">
        <f>672.94*0.19</f>
        <v>127.85860000000001</v>
      </c>
      <c r="W37" s="106">
        <f>92.5*0.19</f>
        <v>17.574999999999999</v>
      </c>
      <c r="X37" s="107" t="s">
        <v>1906</v>
      </c>
      <c r="Y37" s="106">
        <f>92.5*0.19</f>
        <v>17.574999999999999</v>
      </c>
      <c r="Z37" s="107" t="s">
        <v>1906</v>
      </c>
      <c r="AA37" s="106">
        <f>92.5*0.19</f>
        <v>17.574999999999999</v>
      </c>
      <c r="AB37" s="107" t="s">
        <v>1906</v>
      </c>
      <c r="AC37" s="106">
        <f>92.5*0.19</f>
        <v>17.574999999999999</v>
      </c>
      <c r="AD37" s="107" t="s">
        <v>1906</v>
      </c>
      <c r="AE37" s="106">
        <f>26.86*0.19</f>
        <v>5.1033999999999997</v>
      </c>
      <c r="AF37" s="107" t="s">
        <v>1906</v>
      </c>
      <c r="AG37" s="106">
        <v>0</v>
      </c>
      <c r="AH37" s="107" t="s">
        <v>1906</v>
      </c>
      <c r="AI37" s="106">
        <v>0</v>
      </c>
      <c r="AJ37" s="107" t="s">
        <v>1906</v>
      </c>
      <c r="AK37" s="106">
        <v>0</v>
      </c>
      <c r="AL37" s="107" t="s">
        <v>1906</v>
      </c>
      <c r="AM37" s="106">
        <f>21.06*0.19</f>
        <v>4.0013999999999994</v>
      </c>
      <c r="AN37" s="107" t="s">
        <v>1906</v>
      </c>
      <c r="AO37" s="106">
        <f>90.27*0.19</f>
        <v>17.151299999999999</v>
      </c>
      <c r="AP37" s="107" t="s">
        <v>1906</v>
      </c>
      <c r="AQ37" s="106">
        <f>90.27*0.19</f>
        <v>17.151299999999999</v>
      </c>
      <c r="AR37" s="106" t="s">
        <v>1906</v>
      </c>
      <c r="AS37" s="106">
        <f>90.27*0.19</f>
        <v>17.151299999999999</v>
      </c>
      <c r="AT37" s="107" t="s">
        <v>1906</v>
      </c>
      <c r="AU37" s="106">
        <f t="shared" si="1"/>
        <v>130.85869999999997</v>
      </c>
      <c r="AV37" s="25">
        <v>9.2999999999999999E-2</v>
      </c>
      <c r="AW37" s="30" t="str">
        <f t="shared" si="2"/>
        <v>95-70</v>
      </c>
      <c r="AX37" s="30" t="s">
        <v>1907</v>
      </c>
      <c r="AY37" s="30">
        <v>0</v>
      </c>
      <c r="AZ37" s="30">
        <v>0</v>
      </c>
    </row>
    <row r="38" spans="1:52" ht="93.6" x14ac:dyDescent="0.3">
      <c r="A38" s="103">
        <v>28</v>
      </c>
      <c r="B38" s="30" t="s">
        <v>590</v>
      </c>
      <c r="C38" s="30" t="s">
        <v>1909</v>
      </c>
      <c r="D38" s="105" t="s">
        <v>1900</v>
      </c>
      <c r="E38" s="105" t="s">
        <v>1901</v>
      </c>
      <c r="F38" s="30" t="s">
        <v>1902</v>
      </c>
      <c r="G38" s="26" t="s">
        <v>145</v>
      </c>
      <c r="H38" s="24" t="s">
        <v>146</v>
      </c>
      <c r="I38" s="25">
        <v>2</v>
      </c>
      <c r="J38" s="24" t="s">
        <v>1903</v>
      </c>
      <c r="K38" s="24">
        <v>65</v>
      </c>
      <c r="L38" s="24">
        <v>5</v>
      </c>
      <c r="M38" s="24" t="str">
        <f t="shared" si="0"/>
        <v>95-70</v>
      </c>
      <c r="N38" s="24" t="s">
        <v>529</v>
      </c>
      <c r="O38" s="24" t="s">
        <v>529</v>
      </c>
      <c r="P38" s="24">
        <v>1</v>
      </c>
      <c r="Q38" s="102">
        <v>0</v>
      </c>
      <c r="R38" s="30" t="s">
        <v>1905</v>
      </c>
      <c r="S38" s="24">
        <v>0</v>
      </c>
      <c r="T38" s="24"/>
      <c r="U38" s="94">
        <v>0</v>
      </c>
      <c r="V38" s="94">
        <v>0</v>
      </c>
      <c r="W38" s="106">
        <v>0</v>
      </c>
      <c r="X38" s="107" t="s">
        <v>1906</v>
      </c>
      <c r="Y38" s="106">
        <v>0</v>
      </c>
      <c r="Z38" s="107" t="s">
        <v>1906</v>
      </c>
      <c r="AA38" s="106">
        <v>0</v>
      </c>
      <c r="AB38" s="107" t="s">
        <v>1906</v>
      </c>
      <c r="AC38" s="106">
        <v>0</v>
      </c>
      <c r="AD38" s="107" t="s">
        <v>1906</v>
      </c>
      <c r="AE38" s="106">
        <v>0</v>
      </c>
      <c r="AF38" s="107" t="s">
        <v>1906</v>
      </c>
      <c r="AG38" s="106">
        <v>0</v>
      </c>
      <c r="AH38" s="107" t="s">
        <v>1906</v>
      </c>
      <c r="AI38" s="106">
        <v>0</v>
      </c>
      <c r="AJ38" s="107" t="s">
        <v>1906</v>
      </c>
      <c r="AK38" s="106">
        <v>0</v>
      </c>
      <c r="AL38" s="107" t="s">
        <v>1906</v>
      </c>
      <c r="AM38" s="106">
        <v>0</v>
      </c>
      <c r="AN38" s="107" t="s">
        <v>1906</v>
      </c>
      <c r="AO38" s="106">
        <v>0</v>
      </c>
      <c r="AP38" s="107" t="s">
        <v>1906</v>
      </c>
      <c r="AQ38" s="106">
        <v>0</v>
      </c>
      <c r="AR38" s="106" t="s">
        <v>1906</v>
      </c>
      <c r="AS38" s="106">
        <v>0</v>
      </c>
      <c r="AT38" s="107" t="s">
        <v>1906</v>
      </c>
      <c r="AU38" s="106">
        <f t="shared" si="1"/>
        <v>0</v>
      </c>
      <c r="AV38" s="25">
        <v>0.76249999999999996</v>
      </c>
      <c r="AW38" s="30" t="str">
        <f t="shared" si="2"/>
        <v>95-70</v>
      </c>
      <c r="AX38" s="30" t="s">
        <v>1907</v>
      </c>
      <c r="AY38" s="30">
        <v>0</v>
      </c>
      <c r="AZ38" s="30">
        <v>0</v>
      </c>
    </row>
    <row r="39" spans="1:52" ht="84" customHeight="1" x14ac:dyDescent="0.3">
      <c r="A39" s="103">
        <v>29</v>
      </c>
      <c r="B39" s="30" t="s">
        <v>591</v>
      </c>
      <c r="C39" s="30" t="s">
        <v>1909</v>
      </c>
      <c r="D39" s="105" t="s">
        <v>1900</v>
      </c>
      <c r="E39" s="105" t="s">
        <v>1901</v>
      </c>
      <c r="F39" s="30" t="s">
        <v>1902</v>
      </c>
      <c r="G39" s="26" t="s">
        <v>145</v>
      </c>
      <c r="H39" s="24" t="s">
        <v>146</v>
      </c>
      <c r="I39" s="25">
        <v>1</v>
      </c>
      <c r="J39" s="24" t="s">
        <v>1903</v>
      </c>
      <c r="K39" s="24">
        <v>65</v>
      </c>
      <c r="L39" s="24">
        <v>5</v>
      </c>
      <c r="M39" s="24" t="str">
        <f t="shared" si="0"/>
        <v>95-70</v>
      </c>
      <c r="N39" s="24" t="s">
        <v>529</v>
      </c>
      <c r="O39" s="24" t="s">
        <v>529</v>
      </c>
      <c r="P39" s="24">
        <v>1</v>
      </c>
      <c r="Q39" s="102">
        <v>0</v>
      </c>
      <c r="R39" s="30" t="s">
        <v>1905</v>
      </c>
      <c r="S39" s="24">
        <v>0</v>
      </c>
      <c r="T39" s="24"/>
      <c r="U39" s="94">
        <v>0</v>
      </c>
      <c r="V39" s="94">
        <v>0</v>
      </c>
      <c r="W39" s="106">
        <v>0</v>
      </c>
      <c r="X39" s="107" t="s">
        <v>1906</v>
      </c>
      <c r="Y39" s="106">
        <v>0</v>
      </c>
      <c r="Z39" s="107" t="s">
        <v>1906</v>
      </c>
      <c r="AA39" s="106">
        <v>0</v>
      </c>
      <c r="AB39" s="107" t="s">
        <v>1906</v>
      </c>
      <c r="AC39" s="106">
        <v>0</v>
      </c>
      <c r="AD39" s="107" t="s">
        <v>1906</v>
      </c>
      <c r="AE39" s="106">
        <v>0</v>
      </c>
      <c r="AF39" s="107" t="s">
        <v>1906</v>
      </c>
      <c r="AG39" s="106">
        <v>0</v>
      </c>
      <c r="AH39" s="107" t="s">
        <v>1906</v>
      </c>
      <c r="AI39" s="106">
        <v>0</v>
      </c>
      <c r="AJ39" s="107" t="s">
        <v>1906</v>
      </c>
      <c r="AK39" s="106">
        <v>0</v>
      </c>
      <c r="AL39" s="107" t="s">
        <v>1906</v>
      </c>
      <c r="AM39" s="106">
        <v>0</v>
      </c>
      <c r="AN39" s="107" t="s">
        <v>1906</v>
      </c>
      <c r="AO39" s="106">
        <v>0</v>
      </c>
      <c r="AP39" s="107" t="s">
        <v>1906</v>
      </c>
      <c r="AQ39" s="106">
        <v>0</v>
      </c>
      <c r="AR39" s="106" t="s">
        <v>1906</v>
      </c>
      <c r="AS39" s="106">
        <v>0</v>
      </c>
      <c r="AT39" s="107" t="s">
        <v>1906</v>
      </c>
      <c r="AU39" s="106">
        <f t="shared" si="1"/>
        <v>0</v>
      </c>
      <c r="AV39" s="25">
        <v>0.78739999999999999</v>
      </c>
      <c r="AW39" s="30" t="str">
        <f t="shared" si="2"/>
        <v>95-70</v>
      </c>
      <c r="AX39" s="30" t="s">
        <v>1907</v>
      </c>
      <c r="AY39" s="30">
        <v>0</v>
      </c>
      <c r="AZ39" s="30">
        <v>0</v>
      </c>
    </row>
    <row r="40" spans="1:52" ht="31.2" x14ac:dyDescent="0.3">
      <c r="A40" s="103">
        <v>30</v>
      </c>
      <c r="B40" s="30" t="s">
        <v>592</v>
      </c>
      <c r="C40" s="30" t="s">
        <v>1899</v>
      </c>
      <c r="D40" s="105" t="s">
        <v>1900</v>
      </c>
      <c r="E40" s="105" t="s">
        <v>1901</v>
      </c>
      <c r="F40" s="30" t="s">
        <v>1902</v>
      </c>
      <c r="G40" s="26" t="s">
        <v>145</v>
      </c>
      <c r="H40" s="24" t="s">
        <v>146</v>
      </c>
      <c r="I40" s="25">
        <v>1</v>
      </c>
      <c r="J40" s="24" t="s">
        <v>1903</v>
      </c>
      <c r="K40" s="24">
        <v>50</v>
      </c>
      <c r="L40" s="24">
        <v>5</v>
      </c>
      <c r="M40" s="24" t="str">
        <f t="shared" si="0"/>
        <v>95-70</v>
      </c>
      <c r="N40" s="24" t="s">
        <v>529</v>
      </c>
      <c r="O40" s="24" t="s">
        <v>529</v>
      </c>
      <c r="P40" s="24">
        <v>1</v>
      </c>
      <c r="Q40" s="102">
        <v>0</v>
      </c>
      <c r="R40" s="30" t="s">
        <v>1905</v>
      </c>
      <c r="S40" s="24">
        <v>0</v>
      </c>
      <c r="T40" s="24"/>
      <c r="U40" s="94">
        <f>591.98*0.71</f>
        <v>420.30579999999998</v>
      </c>
      <c r="V40" s="94">
        <f>719.28*0.71</f>
        <v>510.68879999999996</v>
      </c>
      <c r="W40" s="106">
        <f>121.23*0.71</f>
        <v>86.073300000000003</v>
      </c>
      <c r="X40" s="107" t="s">
        <v>1906</v>
      </c>
      <c r="Y40" s="106">
        <f>121.06*0.71</f>
        <v>85.952600000000004</v>
      </c>
      <c r="Z40" s="107" t="s">
        <v>1906</v>
      </c>
      <c r="AA40" s="106">
        <f>121.06*0.71</f>
        <v>85.952600000000004</v>
      </c>
      <c r="AB40" s="107" t="s">
        <v>1906</v>
      </c>
      <c r="AC40" s="106">
        <f>121.06*0.71</f>
        <v>85.952600000000004</v>
      </c>
      <c r="AD40" s="107" t="s">
        <v>1906</v>
      </c>
      <c r="AE40" s="106">
        <f>35.15*0.71</f>
        <v>24.956499999999998</v>
      </c>
      <c r="AF40" s="107" t="s">
        <v>1906</v>
      </c>
      <c r="AG40" s="106">
        <v>0</v>
      </c>
      <c r="AH40" s="107" t="s">
        <v>1906</v>
      </c>
      <c r="AI40" s="106">
        <v>0</v>
      </c>
      <c r="AJ40" s="107" t="s">
        <v>1906</v>
      </c>
      <c r="AK40" s="106">
        <v>0</v>
      </c>
      <c r="AL40" s="107" t="s">
        <v>1906</v>
      </c>
      <c r="AM40" s="106">
        <v>0</v>
      </c>
      <c r="AN40" s="107" t="s">
        <v>1906</v>
      </c>
      <c r="AO40" s="106">
        <f>118.86*0.71</f>
        <v>84.390599999999992</v>
      </c>
      <c r="AP40" s="107" t="s">
        <v>1906</v>
      </c>
      <c r="AQ40" s="106">
        <f>118.86*0.71</f>
        <v>84.390599999999992</v>
      </c>
      <c r="AR40" s="106" t="s">
        <v>1906</v>
      </c>
      <c r="AS40" s="106">
        <f>118.86*0.71</f>
        <v>84.390599999999992</v>
      </c>
      <c r="AT40" s="107" t="s">
        <v>1906</v>
      </c>
      <c r="AU40" s="106">
        <f t="shared" si="1"/>
        <v>622.05939999999998</v>
      </c>
      <c r="AV40" s="25">
        <v>0.36130000000000001</v>
      </c>
      <c r="AW40" s="30" t="str">
        <f t="shared" si="2"/>
        <v>95-70</v>
      </c>
      <c r="AX40" s="30" t="s">
        <v>1907</v>
      </c>
      <c r="AY40" s="30">
        <v>0</v>
      </c>
      <c r="AZ40" s="30">
        <v>0</v>
      </c>
    </row>
    <row r="41" spans="1:52" ht="31.2" x14ac:dyDescent="0.3">
      <c r="A41" s="103">
        <v>31</v>
      </c>
      <c r="B41" s="30" t="s">
        <v>593</v>
      </c>
      <c r="C41" s="30" t="s">
        <v>1899</v>
      </c>
      <c r="D41" s="105" t="s">
        <v>1900</v>
      </c>
      <c r="E41" s="105" t="s">
        <v>1901</v>
      </c>
      <c r="F41" s="30" t="s">
        <v>1902</v>
      </c>
      <c r="G41" s="26" t="s">
        <v>145</v>
      </c>
      <c r="H41" s="24" t="s">
        <v>146</v>
      </c>
      <c r="I41" s="25">
        <v>1</v>
      </c>
      <c r="J41" s="24" t="s">
        <v>1903</v>
      </c>
      <c r="K41" s="24">
        <v>32</v>
      </c>
      <c r="L41" s="24">
        <v>5</v>
      </c>
      <c r="M41" s="24" t="str">
        <f t="shared" si="0"/>
        <v>95-70</v>
      </c>
      <c r="N41" s="24" t="s">
        <v>529</v>
      </c>
      <c r="O41" s="24" t="s">
        <v>529</v>
      </c>
      <c r="P41" s="24">
        <v>1</v>
      </c>
      <c r="Q41" s="102">
        <v>0</v>
      </c>
      <c r="R41" s="30" t="s">
        <v>1905</v>
      </c>
      <c r="S41" s="24">
        <v>0</v>
      </c>
      <c r="T41" s="24"/>
      <c r="U41" s="94">
        <f>591.98*0.29</f>
        <v>171.67419999999998</v>
      </c>
      <c r="V41" s="94">
        <f>719.28*0.29</f>
        <v>208.59119999999999</v>
      </c>
      <c r="W41" s="106">
        <f>121.23*0.29</f>
        <v>35.156700000000001</v>
      </c>
      <c r="X41" s="107" t="s">
        <v>1906</v>
      </c>
      <c r="Y41" s="106">
        <f>121.06*0.29</f>
        <v>35.107399999999998</v>
      </c>
      <c r="Z41" s="107" t="s">
        <v>1906</v>
      </c>
      <c r="AA41" s="106">
        <f>121.06*0.29</f>
        <v>35.107399999999998</v>
      </c>
      <c r="AB41" s="107" t="s">
        <v>1906</v>
      </c>
      <c r="AC41" s="106">
        <f>121.06*0.29</f>
        <v>35.107399999999998</v>
      </c>
      <c r="AD41" s="107" t="s">
        <v>1906</v>
      </c>
      <c r="AE41" s="106">
        <f>35.15*0.29</f>
        <v>10.193499999999998</v>
      </c>
      <c r="AF41" s="107" t="s">
        <v>1906</v>
      </c>
      <c r="AG41" s="106">
        <v>0</v>
      </c>
      <c r="AH41" s="107" t="s">
        <v>1906</v>
      </c>
      <c r="AI41" s="106">
        <v>0</v>
      </c>
      <c r="AJ41" s="107" t="s">
        <v>1906</v>
      </c>
      <c r="AK41" s="106">
        <v>0</v>
      </c>
      <c r="AL41" s="107" t="s">
        <v>1906</v>
      </c>
      <c r="AM41" s="106">
        <v>0</v>
      </c>
      <c r="AN41" s="107" t="s">
        <v>1906</v>
      </c>
      <c r="AO41" s="106">
        <f>118.86*0.29</f>
        <v>34.4694</v>
      </c>
      <c r="AP41" s="107" t="s">
        <v>1906</v>
      </c>
      <c r="AQ41" s="106">
        <f>118.86*0.29</f>
        <v>34.4694</v>
      </c>
      <c r="AR41" s="106" t="s">
        <v>1906</v>
      </c>
      <c r="AS41" s="106">
        <f>118.86*0.29</f>
        <v>34.4694</v>
      </c>
      <c r="AT41" s="107" t="s">
        <v>1906</v>
      </c>
      <c r="AU41" s="106">
        <f t="shared" si="1"/>
        <v>254.08060000000003</v>
      </c>
      <c r="AV41" s="25">
        <v>0.123</v>
      </c>
      <c r="AW41" s="30" t="str">
        <f t="shared" si="2"/>
        <v>95-70</v>
      </c>
      <c r="AX41" s="30" t="s">
        <v>1907</v>
      </c>
      <c r="AY41" s="30">
        <v>0</v>
      </c>
      <c r="AZ41" s="30">
        <v>0</v>
      </c>
    </row>
    <row r="42" spans="1:52" ht="93.6" x14ac:dyDescent="0.3">
      <c r="A42" s="103">
        <v>32</v>
      </c>
      <c r="B42" s="30" t="s">
        <v>595</v>
      </c>
      <c r="C42" s="30" t="s">
        <v>1909</v>
      </c>
      <c r="D42" s="105" t="s">
        <v>1900</v>
      </c>
      <c r="E42" s="105" t="s">
        <v>1901</v>
      </c>
      <c r="F42" s="30" t="s">
        <v>1902</v>
      </c>
      <c r="G42" s="26" t="s">
        <v>145</v>
      </c>
      <c r="H42" s="24" t="s">
        <v>146</v>
      </c>
      <c r="I42" s="25">
        <v>1</v>
      </c>
      <c r="J42" s="24" t="s">
        <v>1903</v>
      </c>
      <c r="K42" s="24">
        <v>32</v>
      </c>
      <c r="L42" s="24">
        <v>5</v>
      </c>
      <c r="M42" s="24" t="str">
        <f t="shared" si="0"/>
        <v>95-70</v>
      </c>
      <c r="N42" s="24" t="s">
        <v>529</v>
      </c>
      <c r="O42" s="24" t="s">
        <v>529</v>
      </c>
      <c r="P42" s="24">
        <v>1</v>
      </c>
      <c r="Q42" s="102">
        <v>0</v>
      </c>
      <c r="R42" s="30" t="s">
        <v>1905</v>
      </c>
      <c r="S42" s="24">
        <v>0</v>
      </c>
      <c r="T42" s="24"/>
      <c r="U42" s="94">
        <v>0</v>
      </c>
      <c r="V42" s="94">
        <v>0</v>
      </c>
      <c r="W42" s="106">
        <v>0</v>
      </c>
      <c r="X42" s="107" t="s">
        <v>1906</v>
      </c>
      <c r="Y42" s="106">
        <v>0</v>
      </c>
      <c r="Z42" s="107" t="s">
        <v>1906</v>
      </c>
      <c r="AA42" s="106">
        <v>0</v>
      </c>
      <c r="AB42" s="107" t="s">
        <v>1906</v>
      </c>
      <c r="AC42" s="106">
        <v>0</v>
      </c>
      <c r="AD42" s="107" t="s">
        <v>1906</v>
      </c>
      <c r="AE42" s="106">
        <v>0</v>
      </c>
      <c r="AF42" s="107" t="s">
        <v>1906</v>
      </c>
      <c r="AG42" s="106">
        <v>0</v>
      </c>
      <c r="AH42" s="107" t="s">
        <v>1906</v>
      </c>
      <c r="AI42" s="106">
        <v>0</v>
      </c>
      <c r="AJ42" s="107" t="s">
        <v>1906</v>
      </c>
      <c r="AK42" s="106">
        <v>0</v>
      </c>
      <c r="AL42" s="107" t="s">
        <v>1906</v>
      </c>
      <c r="AM42" s="106">
        <v>0</v>
      </c>
      <c r="AN42" s="107" t="s">
        <v>1906</v>
      </c>
      <c r="AO42" s="106">
        <v>0</v>
      </c>
      <c r="AP42" s="107" t="s">
        <v>1906</v>
      </c>
      <c r="AQ42" s="106">
        <v>0</v>
      </c>
      <c r="AR42" s="106" t="s">
        <v>1906</v>
      </c>
      <c r="AS42" s="106">
        <v>0</v>
      </c>
      <c r="AT42" s="107" t="s">
        <v>1906</v>
      </c>
      <c r="AU42" s="106">
        <f t="shared" si="1"/>
        <v>0</v>
      </c>
      <c r="AV42" s="25">
        <v>0.28999999999999998</v>
      </c>
      <c r="AW42" s="30" t="str">
        <f t="shared" si="2"/>
        <v>95-70</v>
      </c>
      <c r="AX42" s="30" t="s">
        <v>1907</v>
      </c>
      <c r="AY42" s="30">
        <v>0</v>
      </c>
      <c r="AZ42" s="30">
        <v>0</v>
      </c>
    </row>
    <row r="43" spans="1:52" ht="93.6" x14ac:dyDescent="0.3">
      <c r="A43" s="103">
        <v>33</v>
      </c>
      <c r="B43" s="30" t="s">
        <v>596</v>
      </c>
      <c r="C43" s="30" t="s">
        <v>1909</v>
      </c>
      <c r="D43" s="105" t="s">
        <v>1900</v>
      </c>
      <c r="E43" s="105" t="s">
        <v>1901</v>
      </c>
      <c r="F43" s="30" t="s">
        <v>1902</v>
      </c>
      <c r="G43" s="26" t="s">
        <v>145</v>
      </c>
      <c r="H43" s="24" t="s">
        <v>146</v>
      </c>
      <c r="I43" s="25">
        <v>1</v>
      </c>
      <c r="J43" s="24" t="s">
        <v>1903</v>
      </c>
      <c r="K43" s="24">
        <v>32</v>
      </c>
      <c r="L43" s="24">
        <v>5</v>
      </c>
      <c r="M43" s="24" t="str">
        <f t="shared" si="0"/>
        <v>95-70</v>
      </c>
      <c r="N43" s="24" t="s">
        <v>529</v>
      </c>
      <c r="O43" s="24" t="s">
        <v>529</v>
      </c>
      <c r="P43" s="24">
        <v>1</v>
      </c>
      <c r="Q43" s="102">
        <v>0</v>
      </c>
      <c r="R43" s="30" t="s">
        <v>1905</v>
      </c>
      <c r="S43" s="24">
        <v>0</v>
      </c>
      <c r="T43" s="24"/>
      <c r="U43" s="94">
        <v>0</v>
      </c>
      <c r="V43" s="94">
        <v>0</v>
      </c>
      <c r="W43" s="106">
        <v>0</v>
      </c>
      <c r="X43" s="107" t="s">
        <v>1906</v>
      </c>
      <c r="Y43" s="106">
        <v>0</v>
      </c>
      <c r="Z43" s="107" t="s">
        <v>1906</v>
      </c>
      <c r="AA43" s="106">
        <v>0</v>
      </c>
      <c r="AB43" s="107" t="s">
        <v>1906</v>
      </c>
      <c r="AC43" s="106">
        <v>0</v>
      </c>
      <c r="AD43" s="107" t="s">
        <v>1906</v>
      </c>
      <c r="AE43" s="106">
        <v>0</v>
      </c>
      <c r="AF43" s="107" t="s">
        <v>1906</v>
      </c>
      <c r="AG43" s="106">
        <v>0</v>
      </c>
      <c r="AH43" s="107" t="s">
        <v>1906</v>
      </c>
      <c r="AI43" s="106">
        <v>0</v>
      </c>
      <c r="AJ43" s="107" t="s">
        <v>1906</v>
      </c>
      <c r="AK43" s="106">
        <v>0</v>
      </c>
      <c r="AL43" s="107" t="s">
        <v>1906</v>
      </c>
      <c r="AM43" s="106">
        <v>0</v>
      </c>
      <c r="AN43" s="107" t="s">
        <v>1906</v>
      </c>
      <c r="AO43" s="106">
        <v>0</v>
      </c>
      <c r="AP43" s="107" t="s">
        <v>1906</v>
      </c>
      <c r="AQ43" s="106">
        <v>0</v>
      </c>
      <c r="AR43" s="106" t="s">
        <v>1906</v>
      </c>
      <c r="AS43" s="106">
        <v>0</v>
      </c>
      <c r="AT43" s="107" t="s">
        <v>1906</v>
      </c>
      <c r="AU43" s="106">
        <f t="shared" si="1"/>
        <v>0</v>
      </c>
      <c r="AV43" s="25">
        <v>1E-3</v>
      </c>
      <c r="AW43" s="30" t="str">
        <f t="shared" si="2"/>
        <v>95-70</v>
      </c>
      <c r="AX43" s="30" t="s">
        <v>1907</v>
      </c>
      <c r="AY43" s="30">
        <v>0</v>
      </c>
      <c r="AZ43" s="30">
        <v>0</v>
      </c>
    </row>
    <row r="44" spans="1:52" ht="31.2" x14ac:dyDescent="0.3">
      <c r="A44" s="103">
        <v>34</v>
      </c>
      <c r="B44" s="30" t="s">
        <v>598</v>
      </c>
      <c r="C44" s="30" t="s">
        <v>1899</v>
      </c>
      <c r="D44" s="105" t="s">
        <v>1900</v>
      </c>
      <c r="E44" s="105" t="s">
        <v>1901</v>
      </c>
      <c r="F44" s="30" t="s">
        <v>1902</v>
      </c>
      <c r="G44" s="26" t="s">
        <v>145</v>
      </c>
      <c r="H44" s="24" t="s">
        <v>146</v>
      </c>
      <c r="I44" s="25">
        <v>1</v>
      </c>
      <c r="J44" s="24" t="s">
        <v>1903</v>
      </c>
      <c r="K44" s="24">
        <v>50</v>
      </c>
      <c r="L44" s="24">
        <v>5</v>
      </c>
      <c r="M44" s="24" t="str">
        <f t="shared" si="0"/>
        <v>95-70</v>
      </c>
      <c r="N44" s="24" t="s">
        <v>529</v>
      </c>
      <c r="O44" s="24" t="s">
        <v>529</v>
      </c>
      <c r="P44" s="24">
        <v>1</v>
      </c>
      <c r="Q44" s="102">
        <v>0</v>
      </c>
      <c r="R44" s="30" t="s">
        <v>1905</v>
      </c>
      <c r="S44" s="24">
        <v>0</v>
      </c>
      <c r="T44" s="24"/>
      <c r="U44" s="94">
        <v>449.36</v>
      </c>
      <c r="V44" s="94">
        <v>510.58</v>
      </c>
      <c r="W44" s="106">
        <v>103.38</v>
      </c>
      <c r="X44" s="107" t="s">
        <v>208</v>
      </c>
      <c r="Y44" s="106">
        <v>63.3</v>
      </c>
      <c r="Z44" s="107" t="s">
        <v>208</v>
      </c>
      <c r="AA44" s="106">
        <v>92.24</v>
      </c>
      <c r="AB44" s="107" t="s">
        <v>208</v>
      </c>
      <c r="AC44" s="106">
        <v>109.56</v>
      </c>
      <c r="AD44" s="107" t="s">
        <v>208</v>
      </c>
      <c r="AE44" s="106">
        <v>17.260000000000002</v>
      </c>
      <c r="AF44" s="107" t="s">
        <v>208</v>
      </c>
      <c r="AG44" s="106">
        <v>0</v>
      </c>
      <c r="AH44" s="107" t="s">
        <v>208</v>
      </c>
      <c r="AI44" s="106">
        <v>0</v>
      </c>
      <c r="AJ44" s="107" t="s">
        <v>208</v>
      </c>
      <c r="AK44" s="106">
        <v>0</v>
      </c>
      <c r="AL44" s="107" t="s">
        <v>208</v>
      </c>
      <c r="AM44" s="106">
        <v>0</v>
      </c>
      <c r="AN44" s="107" t="s">
        <v>208</v>
      </c>
      <c r="AO44" s="106">
        <v>36.36</v>
      </c>
      <c r="AP44" s="107" t="s">
        <v>208</v>
      </c>
      <c r="AQ44" s="106">
        <v>44.63</v>
      </c>
      <c r="AR44" s="106" t="s">
        <v>208</v>
      </c>
      <c r="AS44" s="106">
        <v>63.39</v>
      </c>
      <c r="AT44" s="107" t="s">
        <v>208</v>
      </c>
      <c r="AU44" s="106">
        <f t="shared" si="1"/>
        <v>530.12</v>
      </c>
      <c r="AV44" s="25">
        <v>0.19070000000000001</v>
      </c>
      <c r="AW44" s="30" t="str">
        <f t="shared" si="2"/>
        <v>95-70</v>
      </c>
      <c r="AX44" s="30" t="s">
        <v>1907</v>
      </c>
      <c r="AY44" s="30">
        <v>0</v>
      </c>
      <c r="AZ44" s="30">
        <v>0</v>
      </c>
    </row>
    <row r="45" spans="1:52" ht="31.2" x14ac:dyDescent="0.3">
      <c r="A45" s="103">
        <v>35</v>
      </c>
      <c r="B45" s="30" t="s">
        <v>599</v>
      </c>
      <c r="C45" s="30" t="s">
        <v>1899</v>
      </c>
      <c r="D45" s="105" t="s">
        <v>1900</v>
      </c>
      <c r="E45" s="105" t="s">
        <v>1901</v>
      </c>
      <c r="F45" s="30" t="s">
        <v>1902</v>
      </c>
      <c r="G45" s="26" t="s">
        <v>145</v>
      </c>
      <c r="H45" s="24" t="s">
        <v>146</v>
      </c>
      <c r="I45" s="25">
        <v>1</v>
      </c>
      <c r="J45" s="24" t="s">
        <v>1903</v>
      </c>
      <c r="K45" s="24">
        <v>50</v>
      </c>
      <c r="L45" s="24">
        <v>5</v>
      </c>
      <c r="M45" s="24" t="str">
        <f t="shared" si="0"/>
        <v>95-70</v>
      </c>
      <c r="N45" s="24" t="s">
        <v>529</v>
      </c>
      <c r="O45" s="24" t="s">
        <v>529</v>
      </c>
      <c r="P45" s="24">
        <v>1</v>
      </c>
      <c r="Q45" s="102">
        <v>0</v>
      </c>
      <c r="R45" s="30" t="s">
        <v>1905</v>
      </c>
      <c r="S45" s="24">
        <v>0</v>
      </c>
      <c r="T45" s="24"/>
      <c r="U45" s="94">
        <f>652.06*0.6</f>
        <v>391.23599999999993</v>
      </c>
      <c r="V45" s="94">
        <f>578.35*0.6</f>
        <v>347.01</v>
      </c>
      <c r="W45" s="106">
        <f>105.19*0.6</f>
        <v>63.113999999999997</v>
      </c>
      <c r="X45" s="107" t="s">
        <v>208</v>
      </c>
      <c r="Y45" s="106">
        <f>80.46*0.6</f>
        <v>48.275999999999996</v>
      </c>
      <c r="Z45" s="107" t="s">
        <v>208</v>
      </c>
      <c r="AA45" s="106">
        <f>94.7*0.6</f>
        <v>56.82</v>
      </c>
      <c r="AB45" s="107" t="s">
        <v>208</v>
      </c>
      <c r="AC45" s="106">
        <f>79.7*0.6</f>
        <v>47.82</v>
      </c>
      <c r="AD45" s="107" t="s">
        <v>208</v>
      </c>
      <c r="AE45" s="106">
        <f>24.11*0.6</f>
        <v>14.465999999999999</v>
      </c>
      <c r="AF45" s="107" t="s">
        <v>208</v>
      </c>
      <c r="AG45" s="106">
        <v>0</v>
      </c>
      <c r="AH45" s="107" t="s">
        <v>208</v>
      </c>
      <c r="AI45" s="106">
        <v>0</v>
      </c>
      <c r="AJ45" s="107" t="s">
        <v>208</v>
      </c>
      <c r="AK45" s="106">
        <v>0</v>
      </c>
      <c r="AL45" s="107" t="s">
        <v>208</v>
      </c>
      <c r="AM45" s="106">
        <f>7.96*0.6</f>
        <v>4.7759999999999998</v>
      </c>
      <c r="AN45" s="107" t="s">
        <v>208</v>
      </c>
      <c r="AO45" s="106">
        <f>58.7*0.6</f>
        <v>35.22</v>
      </c>
      <c r="AP45" s="107" t="s">
        <v>208</v>
      </c>
      <c r="AQ45" s="106">
        <f>63.97*0.6</f>
        <v>38.381999999999998</v>
      </c>
      <c r="AR45" s="106" t="s">
        <v>208</v>
      </c>
      <c r="AS45" s="106">
        <f>77.36*0.6</f>
        <v>46.415999999999997</v>
      </c>
      <c r="AT45" s="107" t="s">
        <v>208</v>
      </c>
      <c r="AU45" s="106">
        <f t="shared" si="1"/>
        <v>355.28999999999996</v>
      </c>
      <c r="AV45" s="25">
        <v>0.1706</v>
      </c>
      <c r="AW45" s="30" t="str">
        <f t="shared" si="2"/>
        <v>95-70</v>
      </c>
      <c r="AX45" s="30" t="s">
        <v>1907</v>
      </c>
      <c r="AY45" s="30">
        <v>0</v>
      </c>
      <c r="AZ45" s="30">
        <v>0</v>
      </c>
    </row>
    <row r="46" spans="1:52" ht="31.2" x14ac:dyDescent="0.3">
      <c r="A46" s="103">
        <v>36</v>
      </c>
      <c r="B46" s="30" t="s">
        <v>600</v>
      </c>
      <c r="C46" s="30" t="s">
        <v>1899</v>
      </c>
      <c r="D46" s="105" t="s">
        <v>1900</v>
      </c>
      <c r="E46" s="105" t="s">
        <v>1901</v>
      </c>
      <c r="F46" s="30" t="s">
        <v>1902</v>
      </c>
      <c r="G46" s="26" t="s">
        <v>145</v>
      </c>
      <c r="H46" s="24" t="s">
        <v>146</v>
      </c>
      <c r="I46" s="25">
        <v>1</v>
      </c>
      <c r="J46" s="24" t="s">
        <v>1903</v>
      </c>
      <c r="K46" s="24">
        <v>32</v>
      </c>
      <c r="L46" s="24">
        <v>5</v>
      </c>
      <c r="M46" s="24" t="str">
        <f t="shared" si="0"/>
        <v>95-70</v>
      </c>
      <c r="N46" s="24" t="s">
        <v>529</v>
      </c>
      <c r="O46" s="24" t="s">
        <v>529</v>
      </c>
      <c r="P46" s="24">
        <v>1</v>
      </c>
      <c r="Q46" s="102">
        <v>0</v>
      </c>
      <c r="R46" s="30" t="s">
        <v>1905</v>
      </c>
      <c r="S46" s="24">
        <v>0</v>
      </c>
      <c r="T46" s="24"/>
      <c r="U46" s="94">
        <f>652.06*0.4</f>
        <v>260.82400000000001</v>
      </c>
      <c r="V46" s="94">
        <f>578.35*0.4</f>
        <v>231.34000000000003</v>
      </c>
      <c r="W46" s="106">
        <f>105.19*0.4</f>
        <v>42.076000000000001</v>
      </c>
      <c r="X46" s="107" t="s">
        <v>1906</v>
      </c>
      <c r="Y46" s="106">
        <f>80.46*0.4</f>
        <v>32.183999999999997</v>
      </c>
      <c r="Z46" s="107" t="s">
        <v>1906</v>
      </c>
      <c r="AA46" s="106">
        <f>94.7*0.4</f>
        <v>37.880000000000003</v>
      </c>
      <c r="AB46" s="107" t="s">
        <v>1906</v>
      </c>
      <c r="AC46" s="106">
        <f>79.7*0.4</f>
        <v>31.880000000000003</v>
      </c>
      <c r="AD46" s="107" t="s">
        <v>1906</v>
      </c>
      <c r="AE46" s="106">
        <f>24.11*0.4</f>
        <v>9.6440000000000001</v>
      </c>
      <c r="AF46" s="107" t="s">
        <v>1906</v>
      </c>
      <c r="AG46" s="106">
        <v>0</v>
      </c>
      <c r="AH46" s="107" t="s">
        <v>1906</v>
      </c>
      <c r="AI46" s="106">
        <v>0</v>
      </c>
      <c r="AJ46" s="107" t="s">
        <v>1906</v>
      </c>
      <c r="AK46" s="106">
        <v>0</v>
      </c>
      <c r="AL46" s="107" t="s">
        <v>1906</v>
      </c>
      <c r="AM46" s="106">
        <f>7.96*0.4</f>
        <v>3.1840000000000002</v>
      </c>
      <c r="AN46" s="107" t="s">
        <v>1906</v>
      </c>
      <c r="AO46" s="106">
        <f>58.7*0.4</f>
        <v>23.480000000000004</v>
      </c>
      <c r="AP46" s="107" t="s">
        <v>1906</v>
      </c>
      <c r="AQ46" s="106">
        <f>63.97*0.4</f>
        <v>25.588000000000001</v>
      </c>
      <c r="AR46" s="106" t="s">
        <v>1906</v>
      </c>
      <c r="AS46" s="106">
        <f>77.36*0.4</f>
        <v>30.944000000000003</v>
      </c>
      <c r="AT46" s="107" t="s">
        <v>1906</v>
      </c>
      <c r="AU46" s="106">
        <f t="shared" si="1"/>
        <v>236.85999999999996</v>
      </c>
      <c r="AV46" s="25">
        <v>0.1206</v>
      </c>
      <c r="AW46" s="30" t="str">
        <f t="shared" si="2"/>
        <v>95-70</v>
      </c>
      <c r="AX46" s="30" t="s">
        <v>1907</v>
      </c>
      <c r="AY46" s="30">
        <v>0</v>
      </c>
      <c r="AZ46" s="30">
        <v>0</v>
      </c>
    </row>
    <row r="47" spans="1:52" ht="31.2" x14ac:dyDescent="0.3">
      <c r="A47" s="103">
        <v>37</v>
      </c>
      <c r="B47" s="30" t="s">
        <v>601</v>
      </c>
      <c r="C47" s="30" t="s">
        <v>1899</v>
      </c>
      <c r="D47" s="105" t="s">
        <v>1900</v>
      </c>
      <c r="E47" s="105" t="s">
        <v>1901</v>
      </c>
      <c r="F47" s="30" t="s">
        <v>1902</v>
      </c>
      <c r="G47" s="26" t="s">
        <v>145</v>
      </c>
      <c r="H47" s="24" t="s">
        <v>146</v>
      </c>
      <c r="I47" s="25">
        <v>1</v>
      </c>
      <c r="J47" s="24" t="s">
        <v>1903</v>
      </c>
      <c r="K47" s="24">
        <v>50</v>
      </c>
      <c r="L47" s="24">
        <v>5</v>
      </c>
      <c r="M47" s="24" t="str">
        <f t="shared" si="0"/>
        <v>95-70</v>
      </c>
      <c r="N47" s="24" t="s">
        <v>529</v>
      </c>
      <c r="O47" s="24" t="s">
        <v>529</v>
      </c>
      <c r="P47" s="24">
        <v>1</v>
      </c>
      <c r="Q47" s="102">
        <v>0</v>
      </c>
      <c r="R47" s="30" t="s">
        <v>1905</v>
      </c>
      <c r="S47" s="24">
        <v>0</v>
      </c>
      <c r="T47" s="24"/>
      <c r="U47" s="94">
        <f>539.36*0.7</f>
        <v>377.55199999999996</v>
      </c>
      <c r="V47" s="94">
        <f>568.94*0.7</f>
        <v>398.25800000000004</v>
      </c>
      <c r="W47" s="106">
        <f>99.96*0.7</f>
        <v>69.971999999999994</v>
      </c>
      <c r="X47" s="107" t="s">
        <v>208</v>
      </c>
      <c r="Y47" s="106">
        <f>76.7*0.7</f>
        <v>53.69</v>
      </c>
      <c r="Z47" s="107" t="s">
        <v>208</v>
      </c>
      <c r="AA47" s="106">
        <f>91.04*0.7</f>
        <v>63.728000000000002</v>
      </c>
      <c r="AB47" s="107" t="s">
        <v>208</v>
      </c>
      <c r="AC47" s="106">
        <f>75.58*0.7</f>
        <v>52.905999999999999</v>
      </c>
      <c r="AD47" s="107" t="s">
        <v>208</v>
      </c>
      <c r="AE47" s="106">
        <f>23.18*0.7</f>
        <v>16.225999999999999</v>
      </c>
      <c r="AF47" s="107" t="s">
        <v>208</v>
      </c>
      <c r="AG47" s="106">
        <v>0</v>
      </c>
      <c r="AH47" s="107" t="s">
        <v>208</v>
      </c>
      <c r="AI47" s="106">
        <v>0</v>
      </c>
      <c r="AJ47" s="107" t="s">
        <v>208</v>
      </c>
      <c r="AK47" s="106">
        <v>0</v>
      </c>
      <c r="AL47" s="107" t="s">
        <v>208</v>
      </c>
      <c r="AM47" s="106">
        <f>5.22*0.7</f>
        <v>3.6539999999999995</v>
      </c>
      <c r="AN47" s="107" t="s">
        <v>208</v>
      </c>
      <c r="AO47" s="106">
        <f>48.8*0.7</f>
        <v>34.159999999999997</v>
      </c>
      <c r="AP47" s="107" t="s">
        <v>208</v>
      </c>
      <c r="AQ47" s="106">
        <f>55.77*0.7</f>
        <v>39.039000000000001</v>
      </c>
      <c r="AR47" s="106" t="s">
        <v>208</v>
      </c>
      <c r="AS47" s="106">
        <f>69.92*0.7</f>
        <v>48.943999999999996</v>
      </c>
      <c r="AT47" s="107" t="s">
        <v>208</v>
      </c>
      <c r="AU47" s="106">
        <f t="shared" si="1"/>
        <v>382.31900000000002</v>
      </c>
      <c r="AV47" s="25">
        <v>0.13469999999999999</v>
      </c>
      <c r="AW47" s="30" t="str">
        <f t="shared" si="2"/>
        <v>95-70</v>
      </c>
      <c r="AX47" s="30" t="s">
        <v>1907</v>
      </c>
      <c r="AY47" s="30">
        <v>0</v>
      </c>
      <c r="AZ47" s="30">
        <v>0</v>
      </c>
    </row>
    <row r="48" spans="1:52" ht="31.2" x14ac:dyDescent="0.3">
      <c r="A48" s="103">
        <v>38</v>
      </c>
      <c r="B48" s="30" t="s">
        <v>602</v>
      </c>
      <c r="C48" s="30" t="s">
        <v>1899</v>
      </c>
      <c r="D48" s="105" t="s">
        <v>1900</v>
      </c>
      <c r="E48" s="105" t="s">
        <v>1901</v>
      </c>
      <c r="F48" s="30" t="s">
        <v>1902</v>
      </c>
      <c r="G48" s="26" t="s">
        <v>145</v>
      </c>
      <c r="H48" s="24" t="s">
        <v>146</v>
      </c>
      <c r="I48" s="25">
        <v>1</v>
      </c>
      <c r="J48" s="24" t="s">
        <v>1903</v>
      </c>
      <c r="K48" s="24">
        <v>32</v>
      </c>
      <c r="L48" s="24">
        <v>5</v>
      </c>
      <c r="M48" s="24" t="str">
        <f t="shared" si="0"/>
        <v>95-70</v>
      </c>
      <c r="N48" s="24" t="s">
        <v>529</v>
      </c>
      <c r="O48" s="24" t="s">
        <v>529</v>
      </c>
      <c r="P48" s="24">
        <v>1</v>
      </c>
      <c r="Q48" s="102">
        <v>0</v>
      </c>
      <c r="R48" s="30" t="s">
        <v>1905</v>
      </c>
      <c r="S48" s="24">
        <v>0</v>
      </c>
      <c r="T48" s="24"/>
      <c r="U48" s="94">
        <f>539.36*0.3</f>
        <v>161.80799999999999</v>
      </c>
      <c r="V48" s="94">
        <f>568.94*0.3</f>
        <v>170.68200000000002</v>
      </c>
      <c r="W48" s="106">
        <f>99.96*0.3</f>
        <v>29.987999999999996</v>
      </c>
      <c r="X48" s="107" t="s">
        <v>1906</v>
      </c>
      <c r="Y48" s="106">
        <f>76.7*0.3</f>
        <v>23.01</v>
      </c>
      <c r="Z48" s="107" t="s">
        <v>1906</v>
      </c>
      <c r="AA48" s="106">
        <f>91.04*0.3</f>
        <v>27.312000000000001</v>
      </c>
      <c r="AB48" s="107" t="s">
        <v>1906</v>
      </c>
      <c r="AC48" s="106">
        <f>75.58*0.3</f>
        <v>22.673999999999999</v>
      </c>
      <c r="AD48" s="107" t="s">
        <v>1906</v>
      </c>
      <c r="AE48" s="106">
        <f>23.18*0.3</f>
        <v>6.9539999999999997</v>
      </c>
      <c r="AF48" s="107" t="s">
        <v>1906</v>
      </c>
      <c r="AG48" s="106">
        <v>0</v>
      </c>
      <c r="AH48" s="107" t="s">
        <v>1906</v>
      </c>
      <c r="AI48" s="106">
        <v>0</v>
      </c>
      <c r="AJ48" s="107" t="s">
        <v>1906</v>
      </c>
      <c r="AK48" s="106">
        <v>0</v>
      </c>
      <c r="AL48" s="107" t="s">
        <v>1906</v>
      </c>
      <c r="AM48" s="106">
        <f>5.22*0.3</f>
        <v>1.5659999999999998</v>
      </c>
      <c r="AN48" s="107" t="s">
        <v>1906</v>
      </c>
      <c r="AO48" s="106">
        <f>48.8*0.3</f>
        <v>14.639999999999999</v>
      </c>
      <c r="AP48" s="107" t="s">
        <v>1906</v>
      </c>
      <c r="AQ48" s="106">
        <f>55.77*0.3</f>
        <v>16.731000000000002</v>
      </c>
      <c r="AR48" s="106" t="s">
        <v>1906</v>
      </c>
      <c r="AS48" s="106">
        <f>69.92*0.3</f>
        <v>20.975999999999999</v>
      </c>
      <c r="AT48" s="107" t="s">
        <v>1906</v>
      </c>
      <c r="AU48" s="106">
        <f t="shared" si="1"/>
        <v>163.851</v>
      </c>
      <c r="AV48" s="25">
        <v>0.10009999999999999</v>
      </c>
      <c r="AW48" s="30" t="str">
        <f t="shared" si="2"/>
        <v>95-70</v>
      </c>
      <c r="AX48" s="30" t="s">
        <v>1907</v>
      </c>
      <c r="AY48" s="30">
        <v>0</v>
      </c>
      <c r="AZ48" s="30">
        <v>0</v>
      </c>
    </row>
    <row r="49" spans="1:52" ht="31.2" x14ac:dyDescent="0.3">
      <c r="A49" s="103">
        <v>39</v>
      </c>
      <c r="B49" s="30" t="s">
        <v>603</v>
      </c>
      <c r="C49" s="30" t="s">
        <v>1899</v>
      </c>
      <c r="D49" s="105" t="s">
        <v>1900</v>
      </c>
      <c r="E49" s="105" t="s">
        <v>1901</v>
      </c>
      <c r="F49" s="30" t="s">
        <v>1902</v>
      </c>
      <c r="G49" s="26" t="s">
        <v>145</v>
      </c>
      <c r="H49" s="24" t="s">
        <v>146</v>
      </c>
      <c r="I49" s="25">
        <v>1</v>
      </c>
      <c r="J49" s="24" t="s">
        <v>1903</v>
      </c>
      <c r="K49" s="24">
        <v>32</v>
      </c>
      <c r="L49" s="24">
        <v>5</v>
      </c>
      <c r="M49" s="24" t="str">
        <f t="shared" si="0"/>
        <v>95-70</v>
      </c>
      <c r="N49" s="24" t="s">
        <v>529</v>
      </c>
      <c r="O49" s="24" t="s">
        <v>529</v>
      </c>
      <c r="P49" s="24">
        <v>1</v>
      </c>
      <c r="Q49" s="102">
        <v>0</v>
      </c>
      <c r="R49" s="30" t="s">
        <v>1905</v>
      </c>
      <c r="S49" s="24">
        <v>0</v>
      </c>
      <c r="T49" s="24"/>
      <c r="U49" s="94">
        <v>427.67</v>
      </c>
      <c r="V49" s="94">
        <v>413.15000000000003</v>
      </c>
      <c r="W49" s="106">
        <v>56.67</v>
      </c>
      <c r="X49" s="107" t="s">
        <v>208</v>
      </c>
      <c r="Y49" s="106">
        <v>56.67</v>
      </c>
      <c r="Z49" s="107" t="s">
        <v>208</v>
      </c>
      <c r="AA49" s="106">
        <v>56.67</v>
      </c>
      <c r="AB49" s="107" t="s">
        <v>208</v>
      </c>
      <c r="AC49" s="106">
        <v>56.67</v>
      </c>
      <c r="AD49" s="107" t="s">
        <v>208</v>
      </c>
      <c r="AE49" s="106">
        <v>16.46</v>
      </c>
      <c r="AF49" s="107" t="s">
        <v>208</v>
      </c>
      <c r="AG49" s="106">
        <v>0</v>
      </c>
      <c r="AH49" s="107" t="s">
        <v>208</v>
      </c>
      <c r="AI49" s="106">
        <v>0</v>
      </c>
      <c r="AJ49" s="107" t="s">
        <v>208</v>
      </c>
      <c r="AK49" s="106">
        <v>0</v>
      </c>
      <c r="AL49" s="107" t="s">
        <v>208</v>
      </c>
      <c r="AM49" s="106">
        <v>0</v>
      </c>
      <c r="AN49" s="107" t="s">
        <v>208</v>
      </c>
      <c r="AO49" s="106">
        <v>54.67</v>
      </c>
      <c r="AP49" s="107" t="s">
        <v>208</v>
      </c>
      <c r="AQ49" s="106">
        <v>54.67</v>
      </c>
      <c r="AR49" s="106" t="s">
        <v>208</v>
      </c>
      <c r="AS49" s="106">
        <v>54.67</v>
      </c>
      <c r="AT49" s="107" t="s">
        <v>208</v>
      </c>
      <c r="AU49" s="106">
        <f t="shared" si="1"/>
        <v>407.15000000000003</v>
      </c>
      <c r="AV49" s="25">
        <v>0.1852</v>
      </c>
      <c r="AW49" s="30" t="str">
        <f t="shared" si="2"/>
        <v>95-70</v>
      </c>
      <c r="AX49" s="30" t="s">
        <v>1907</v>
      </c>
      <c r="AY49" s="30">
        <v>0</v>
      </c>
      <c r="AZ49" s="30">
        <v>0</v>
      </c>
    </row>
    <row r="50" spans="1:52" ht="31.2" x14ac:dyDescent="0.3">
      <c r="A50" s="103">
        <v>40</v>
      </c>
      <c r="B50" s="30" t="s">
        <v>604</v>
      </c>
      <c r="C50" s="30" t="s">
        <v>1899</v>
      </c>
      <c r="D50" s="105" t="s">
        <v>1900</v>
      </c>
      <c r="E50" s="105" t="s">
        <v>1901</v>
      </c>
      <c r="F50" s="30" t="s">
        <v>1902</v>
      </c>
      <c r="G50" s="26" t="s">
        <v>145</v>
      </c>
      <c r="H50" s="24" t="s">
        <v>146</v>
      </c>
      <c r="I50" s="25">
        <v>0</v>
      </c>
      <c r="J50" s="24" t="s">
        <v>1903</v>
      </c>
      <c r="K50" s="24">
        <v>32</v>
      </c>
      <c r="L50" s="24">
        <v>5</v>
      </c>
      <c r="M50" s="24" t="str">
        <f t="shared" si="0"/>
        <v>95-70</v>
      </c>
      <c r="N50" s="24" t="s">
        <v>529</v>
      </c>
      <c r="O50" s="24" t="s">
        <v>529</v>
      </c>
      <c r="P50" s="24">
        <v>0</v>
      </c>
      <c r="Q50" s="102">
        <v>0</v>
      </c>
      <c r="R50" s="30" t="s">
        <v>1905</v>
      </c>
      <c r="S50" s="24">
        <v>0</v>
      </c>
      <c r="T50" s="24"/>
      <c r="U50" s="94">
        <v>339.43999999999994</v>
      </c>
      <c r="V50" s="94">
        <v>202.44</v>
      </c>
      <c r="W50" s="106">
        <v>27.799999999999997</v>
      </c>
      <c r="X50" s="107" t="s">
        <v>1906</v>
      </c>
      <c r="Y50" s="106">
        <v>27.729999999999997</v>
      </c>
      <c r="Z50" s="107" t="s">
        <v>1906</v>
      </c>
      <c r="AA50" s="106">
        <v>27.729999999999997</v>
      </c>
      <c r="AB50" s="107" t="s">
        <v>1906</v>
      </c>
      <c r="AC50" s="106">
        <v>27.729999999999997</v>
      </c>
      <c r="AD50" s="107" t="s">
        <v>1906</v>
      </c>
      <c r="AE50" s="106">
        <v>8.0500000000000007</v>
      </c>
      <c r="AF50" s="107" t="s">
        <v>1906</v>
      </c>
      <c r="AG50" s="106">
        <v>0</v>
      </c>
      <c r="AH50" s="107" t="s">
        <v>1906</v>
      </c>
      <c r="AI50" s="106">
        <v>0</v>
      </c>
      <c r="AJ50" s="107" t="s">
        <v>1906</v>
      </c>
      <c r="AK50" s="106">
        <v>0</v>
      </c>
      <c r="AL50" s="107" t="s">
        <v>1906</v>
      </c>
      <c r="AM50" s="106">
        <v>6.23</v>
      </c>
      <c r="AN50" s="107" t="s">
        <v>1906</v>
      </c>
      <c r="AO50" s="106">
        <v>26.69</v>
      </c>
      <c r="AP50" s="107" t="s">
        <v>1906</v>
      </c>
      <c r="AQ50" s="106">
        <v>26.69</v>
      </c>
      <c r="AR50" s="106" t="s">
        <v>1906</v>
      </c>
      <c r="AS50" s="106">
        <v>26.69</v>
      </c>
      <c r="AT50" s="107" t="s">
        <v>1906</v>
      </c>
      <c r="AU50" s="106">
        <f t="shared" si="1"/>
        <v>205.33999999999997</v>
      </c>
      <c r="AV50" s="25">
        <v>0.14799999999999999</v>
      </c>
      <c r="AW50" s="30" t="str">
        <f t="shared" si="2"/>
        <v>95-70</v>
      </c>
      <c r="AX50" s="30" t="s">
        <v>1907</v>
      </c>
      <c r="AY50" s="30">
        <v>0</v>
      </c>
      <c r="AZ50" s="30">
        <v>0</v>
      </c>
    </row>
    <row r="51" spans="1:52" ht="31.2" x14ac:dyDescent="0.3">
      <c r="A51" s="103">
        <v>41</v>
      </c>
      <c r="B51" s="30" t="s">
        <v>605</v>
      </c>
      <c r="C51" s="30" t="s">
        <v>1899</v>
      </c>
      <c r="D51" s="105" t="s">
        <v>1900</v>
      </c>
      <c r="E51" s="105" t="s">
        <v>1901</v>
      </c>
      <c r="F51" s="30" t="s">
        <v>1902</v>
      </c>
      <c r="G51" s="26" t="s">
        <v>145</v>
      </c>
      <c r="H51" s="24" t="s">
        <v>146</v>
      </c>
      <c r="I51" s="25">
        <v>1</v>
      </c>
      <c r="J51" s="24" t="s">
        <v>1903</v>
      </c>
      <c r="K51" s="24">
        <v>32</v>
      </c>
      <c r="L51" s="24">
        <v>5</v>
      </c>
      <c r="M51" s="24" t="str">
        <f t="shared" si="0"/>
        <v>95-70</v>
      </c>
      <c r="N51" s="24" t="s">
        <v>529</v>
      </c>
      <c r="O51" s="24" t="s">
        <v>529</v>
      </c>
      <c r="P51" s="24">
        <v>1</v>
      </c>
      <c r="Q51" s="102">
        <v>0</v>
      </c>
      <c r="R51" s="30" t="s">
        <v>1905</v>
      </c>
      <c r="S51" s="24">
        <v>0</v>
      </c>
      <c r="T51" s="24"/>
      <c r="U51" s="94">
        <v>211.73999999999998</v>
      </c>
      <c r="V51" s="94">
        <v>263.38000000000005</v>
      </c>
      <c r="W51" s="106">
        <v>57.89</v>
      </c>
      <c r="X51" s="107" t="s">
        <v>208</v>
      </c>
      <c r="Y51" s="106">
        <v>28.09</v>
      </c>
      <c r="Z51" s="107" t="s">
        <v>208</v>
      </c>
      <c r="AA51" s="106">
        <v>49.84</v>
      </c>
      <c r="AB51" s="107" t="s">
        <v>208</v>
      </c>
      <c r="AC51" s="106">
        <v>39.479999999999997</v>
      </c>
      <c r="AD51" s="107" t="s">
        <v>208</v>
      </c>
      <c r="AE51" s="106">
        <v>9.24</v>
      </c>
      <c r="AF51" s="107" t="s">
        <v>208</v>
      </c>
      <c r="AG51" s="106">
        <v>0</v>
      </c>
      <c r="AH51" s="107" t="s">
        <v>208</v>
      </c>
      <c r="AI51" s="106">
        <v>0</v>
      </c>
      <c r="AJ51" s="107" t="s">
        <v>208</v>
      </c>
      <c r="AK51" s="106">
        <v>0</v>
      </c>
      <c r="AL51" s="107" t="s">
        <v>208</v>
      </c>
      <c r="AM51" s="106">
        <v>0</v>
      </c>
      <c r="AN51" s="107" t="s">
        <v>208</v>
      </c>
      <c r="AO51" s="106">
        <v>24.28</v>
      </c>
      <c r="AP51" s="107" t="s">
        <v>208</v>
      </c>
      <c r="AQ51" s="106">
        <v>12.66</v>
      </c>
      <c r="AR51" s="106" t="s">
        <v>208</v>
      </c>
      <c r="AS51" s="106">
        <v>27.69</v>
      </c>
      <c r="AT51" s="107" t="s">
        <v>208</v>
      </c>
      <c r="AU51" s="106">
        <f t="shared" si="1"/>
        <v>249.17</v>
      </c>
      <c r="AV51" s="25">
        <v>9.1300000000000006E-2</v>
      </c>
      <c r="AW51" s="30" t="str">
        <f t="shared" si="2"/>
        <v>95-70</v>
      </c>
      <c r="AX51" s="30" t="s">
        <v>1907</v>
      </c>
      <c r="AY51" s="30">
        <v>0</v>
      </c>
      <c r="AZ51" s="30">
        <v>0</v>
      </c>
    </row>
    <row r="52" spans="1:52" ht="31.2" x14ac:dyDescent="0.3">
      <c r="A52" s="103">
        <v>42</v>
      </c>
      <c r="B52" s="30" t="s">
        <v>606</v>
      </c>
      <c r="C52" s="30" t="s">
        <v>1899</v>
      </c>
      <c r="D52" s="105" t="s">
        <v>1900</v>
      </c>
      <c r="E52" s="105" t="s">
        <v>1901</v>
      </c>
      <c r="F52" s="30" t="s">
        <v>1902</v>
      </c>
      <c r="G52" s="26" t="s">
        <v>145</v>
      </c>
      <c r="H52" s="24" t="s">
        <v>146</v>
      </c>
      <c r="I52" s="25">
        <v>1</v>
      </c>
      <c r="J52" s="24" t="s">
        <v>1903</v>
      </c>
      <c r="K52" s="24">
        <v>32</v>
      </c>
      <c r="L52" s="24">
        <v>5</v>
      </c>
      <c r="M52" s="24" t="str">
        <f t="shared" si="0"/>
        <v>95-70</v>
      </c>
      <c r="N52" s="24" t="s">
        <v>529</v>
      </c>
      <c r="O52" s="24" t="s">
        <v>529</v>
      </c>
      <c r="P52" s="24">
        <v>1</v>
      </c>
      <c r="Q52" s="102">
        <v>0</v>
      </c>
      <c r="R52" s="30" t="s">
        <v>1905</v>
      </c>
      <c r="S52" s="24">
        <v>0</v>
      </c>
      <c r="T52" s="24"/>
      <c r="U52" s="94">
        <f>474.19*0.56</f>
        <v>265.54640000000001</v>
      </c>
      <c r="V52" s="94">
        <f>313.56*0.56</f>
        <v>175.59360000000001</v>
      </c>
      <c r="W52" s="106">
        <f>56.43*0.56</f>
        <v>31.600800000000003</v>
      </c>
      <c r="X52" s="107" t="s">
        <v>208</v>
      </c>
      <c r="Y52" s="106">
        <f>40.5*0.56</f>
        <v>22.680000000000003</v>
      </c>
      <c r="Z52" s="107" t="s">
        <v>208</v>
      </c>
      <c r="AA52" s="106">
        <f>53.52*0.56</f>
        <v>29.971200000000003</v>
      </c>
      <c r="AB52" s="107" t="s">
        <v>208</v>
      </c>
      <c r="AC52" s="106">
        <f>39.76*0.56</f>
        <v>22.265600000000003</v>
      </c>
      <c r="AD52" s="107" t="s">
        <v>208</v>
      </c>
      <c r="AE52" s="106">
        <f>15.17*0.56</f>
        <v>8.4952000000000005</v>
      </c>
      <c r="AF52" s="107" t="s">
        <v>208</v>
      </c>
      <c r="AG52" s="106">
        <v>0</v>
      </c>
      <c r="AH52" s="107" t="s">
        <v>208</v>
      </c>
      <c r="AI52" s="106">
        <v>0</v>
      </c>
      <c r="AJ52" s="107" t="s">
        <v>208</v>
      </c>
      <c r="AK52" s="106">
        <v>0</v>
      </c>
      <c r="AL52" s="107" t="s">
        <v>208</v>
      </c>
      <c r="AM52" s="106">
        <f>4.4*0.56</f>
        <v>2.4640000000000004</v>
      </c>
      <c r="AN52" s="107" t="s">
        <v>208</v>
      </c>
      <c r="AO52" s="106">
        <f>33.04*0.56</f>
        <v>18.502400000000002</v>
      </c>
      <c r="AP52" s="107" t="s">
        <v>208</v>
      </c>
      <c r="AQ52" s="106">
        <f>33.63*0.56</f>
        <v>18.832800000000002</v>
      </c>
      <c r="AR52" s="106" t="s">
        <v>208</v>
      </c>
      <c r="AS52" s="106">
        <f>41.9*0.56</f>
        <v>23.464000000000002</v>
      </c>
      <c r="AT52" s="107" t="s">
        <v>208</v>
      </c>
      <c r="AU52" s="106">
        <f t="shared" si="1"/>
        <v>178.27600000000001</v>
      </c>
      <c r="AV52" s="25">
        <v>0.1009</v>
      </c>
      <c r="AW52" s="30" t="str">
        <f t="shared" si="2"/>
        <v>95-70</v>
      </c>
      <c r="AX52" s="30" t="s">
        <v>1907</v>
      </c>
      <c r="AY52" s="30">
        <v>0</v>
      </c>
      <c r="AZ52" s="30">
        <v>0</v>
      </c>
    </row>
    <row r="53" spans="1:52" ht="31.2" x14ac:dyDescent="0.3">
      <c r="A53" s="103">
        <v>43</v>
      </c>
      <c r="B53" s="30" t="s">
        <v>607</v>
      </c>
      <c r="C53" s="30" t="s">
        <v>1899</v>
      </c>
      <c r="D53" s="105" t="s">
        <v>1900</v>
      </c>
      <c r="E53" s="105" t="s">
        <v>1901</v>
      </c>
      <c r="F53" s="30" t="s">
        <v>1902</v>
      </c>
      <c r="G53" s="26" t="s">
        <v>145</v>
      </c>
      <c r="H53" s="24" t="s">
        <v>146</v>
      </c>
      <c r="I53" s="25">
        <v>0</v>
      </c>
      <c r="J53" s="24" t="s">
        <v>1903</v>
      </c>
      <c r="K53" s="24">
        <v>32</v>
      </c>
      <c r="L53" s="24">
        <v>5</v>
      </c>
      <c r="M53" s="24" t="str">
        <f t="shared" si="0"/>
        <v>95-70</v>
      </c>
      <c r="N53" s="24" t="s">
        <v>529</v>
      </c>
      <c r="O53" s="24" t="s">
        <v>529</v>
      </c>
      <c r="P53" s="24">
        <v>0</v>
      </c>
      <c r="Q53" s="102">
        <v>0</v>
      </c>
      <c r="R53" s="30" t="s">
        <v>1905</v>
      </c>
      <c r="S53" s="24">
        <v>0</v>
      </c>
      <c r="T53" s="24"/>
      <c r="U53" s="94">
        <f>474.19*0.44</f>
        <v>208.64359999999999</v>
      </c>
      <c r="V53" s="94">
        <f>313.56*0.44</f>
        <v>137.96639999999999</v>
      </c>
      <c r="W53" s="106">
        <f>56.43*0.44</f>
        <v>24.8292</v>
      </c>
      <c r="X53" s="107" t="s">
        <v>1906</v>
      </c>
      <c r="Y53" s="106">
        <f>40.5*0.44</f>
        <v>17.82</v>
      </c>
      <c r="Z53" s="107" t="s">
        <v>1906</v>
      </c>
      <c r="AA53" s="106">
        <f>53.52*0.44</f>
        <v>23.5488</v>
      </c>
      <c r="AB53" s="107" t="s">
        <v>1906</v>
      </c>
      <c r="AC53" s="106">
        <f>39.76*0.44</f>
        <v>17.494399999999999</v>
      </c>
      <c r="AD53" s="107" t="s">
        <v>1906</v>
      </c>
      <c r="AE53" s="106">
        <f>15.17*0.44</f>
        <v>6.6748000000000003</v>
      </c>
      <c r="AF53" s="107" t="s">
        <v>1906</v>
      </c>
      <c r="AG53" s="106">
        <v>0</v>
      </c>
      <c r="AH53" s="107" t="s">
        <v>1906</v>
      </c>
      <c r="AI53" s="106">
        <v>0</v>
      </c>
      <c r="AJ53" s="107" t="s">
        <v>1906</v>
      </c>
      <c r="AK53" s="106">
        <v>0</v>
      </c>
      <c r="AL53" s="107" t="s">
        <v>1906</v>
      </c>
      <c r="AM53" s="106">
        <f>4.4*0.44</f>
        <v>1.9360000000000002</v>
      </c>
      <c r="AN53" s="107" t="s">
        <v>1906</v>
      </c>
      <c r="AO53" s="106">
        <f>33.04*0.44</f>
        <v>14.537599999999999</v>
      </c>
      <c r="AP53" s="107" t="s">
        <v>1906</v>
      </c>
      <c r="AQ53" s="106">
        <f>33.63*0.44</f>
        <v>14.797200000000002</v>
      </c>
      <c r="AR53" s="106" t="s">
        <v>1906</v>
      </c>
      <c r="AS53" s="106">
        <f>41.9*0.44</f>
        <v>18.436</v>
      </c>
      <c r="AT53" s="107" t="s">
        <v>1906</v>
      </c>
      <c r="AU53" s="106">
        <f t="shared" si="1"/>
        <v>140.07400000000001</v>
      </c>
      <c r="AV53" s="25">
        <v>0.1084</v>
      </c>
      <c r="AW53" s="30" t="str">
        <f t="shared" si="2"/>
        <v>95-70</v>
      </c>
      <c r="AX53" s="30" t="s">
        <v>1907</v>
      </c>
      <c r="AY53" s="30">
        <v>0</v>
      </c>
      <c r="AZ53" s="30">
        <v>0</v>
      </c>
    </row>
    <row r="54" spans="1:52" ht="31.2" x14ac:dyDescent="0.3">
      <c r="A54" s="103">
        <v>44</v>
      </c>
      <c r="B54" s="30" t="s">
        <v>608</v>
      </c>
      <c r="C54" s="30" t="s">
        <v>1899</v>
      </c>
      <c r="D54" s="105" t="s">
        <v>1900</v>
      </c>
      <c r="E54" s="105" t="s">
        <v>1901</v>
      </c>
      <c r="F54" s="30" t="s">
        <v>1902</v>
      </c>
      <c r="G54" s="26" t="s">
        <v>145</v>
      </c>
      <c r="H54" s="24" t="s">
        <v>146</v>
      </c>
      <c r="I54" s="25">
        <v>0</v>
      </c>
      <c r="J54" s="24" t="s">
        <v>1903</v>
      </c>
      <c r="K54" s="24">
        <v>32</v>
      </c>
      <c r="L54" s="24">
        <v>5</v>
      </c>
      <c r="M54" s="24" t="str">
        <f t="shared" si="0"/>
        <v>95-70</v>
      </c>
      <c r="N54" s="24" t="s">
        <v>529</v>
      </c>
      <c r="O54" s="24" t="s">
        <v>529</v>
      </c>
      <c r="P54" s="24">
        <v>0</v>
      </c>
      <c r="Q54" s="102">
        <v>0</v>
      </c>
      <c r="R54" s="30" t="s">
        <v>1905</v>
      </c>
      <c r="S54" s="24">
        <v>0</v>
      </c>
      <c r="T54" s="24"/>
      <c r="U54" s="94">
        <v>186.06</v>
      </c>
      <c r="V54" s="94">
        <v>108.44999999999999</v>
      </c>
      <c r="W54" s="106">
        <v>14.87</v>
      </c>
      <c r="X54" s="107" t="s">
        <v>1906</v>
      </c>
      <c r="Y54" s="106">
        <v>14.86</v>
      </c>
      <c r="Z54" s="107" t="s">
        <v>1906</v>
      </c>
      <c r="AA54" s="106">
        <v>14.91</v>
      </c>
      <c r="AB54" s="107" t="s">
        <v>1906</v>
      </c>
      <c r="AC54" s="106">
        <v>14.93</v>
      </c>
      <c r="AD54" s="107" t="s">
        <v>1906</v>
      </c>
      <c r="AE54" s="106">
        <v>4.3499999999999996</v>
      </c>
      <c r="AF54" s="107" t="s">
        <v>1906</v>
      </c>
      <c r="AG54" s="106">
        <v>0</v>
      </c>
      <c r="AH54" s="107" t="s">
        <v>1906</v>
      </c>
      <c r="AI54" s="106">
        <v>0</v>
      </c>
      <c r="AJ54" s="107" t="s">
        <v>1906</v>
      </c>
      <c r="AK54" s="106">
        <v>0</v>
      </c>
      <c r="AL54" s="107" t="s">
        <v>1906</v>
      </c>
      <c r="AM54" s="106">
        <v>2.68</v>
      </c>
      <c r="AN54" s="107" t="s">
        <v>1906</v>
      </c>
      <c r="AO54" s="106">
        <v>13.35</v>
      </c>
      <c r="AP54" s="107" t="s">
        <v>1906</v>
      </c>
      <c r="AQ54" s="106">
        <v>13.35</v>
      </c>
      <c r="AR54" s="106" t="s">
        <v>1906</v>
      </c>
      <c r="AS54" s="106">
        <v>13.35</v>
      </c>
      <c r="AT54" s="107" t="s">
        <v>1906</v>
      </c>
      <c r="AU54" s="106">
        <f t="shared" si="1"/>
        <v>106.64999999999999</v>
      </c>
      <c r="AV54" s="25">
        <v>7.9699999999999993E-2</v>
      </c>
      <c r="AW54" s="30" t="str">
        <f t="shared" si="2"/>
        <v>95-70</v>
      </c>
      <c r="AX54" s="30" t="s">
        <v>1907</v>
      </c>
      <c r="AY54" s="30">
        <v>0</v>
      </c>
      <c r="AZ54" s="30">
        <v>0</v>
      </c>
    </row>
    <row r="55" spans="1:52" ht="31.2" x14ac:dyDescent="0.3">
      <c r="A55" s="103">
        <v>45</v>
      </c>
      <c r="B55" s="30" t="s">
        <v>610</v>
      </c>
      <c r="C55" s="30" t="s">
        <v>1899</v>
      </c>
      <c r="D55" s="105" t="s">
        <v>1900</v>
      </c>
      <c r="E55" s="105" t="s">
        <v>1901</v>
      </c>
      <c r="F55" s="30" t="s">
        <v>1902</v>
      </c>
      <c r="G55" s="26" t="s">
        <v>145</v>
      </c>
      <c r="H55" s="24" t="s">
        <v>146</v>
      </c>
      <c r="I55" s="25">
        <v>1</v>
      </c>
      <c r="J55" s="24" t="s">
        <v>1903</v>
      </c>
      <c r="K55" s="24">
        <v>65</v>
      </c>
      <c r="L55" s="24">
        <v>5</v>
      </c>
      <c r="M55" s="24" t="str">
        <f t="shared" si="0"/>
        <v>95-70</v>
      </c>
      <c r="N55" s="24" t="s">
        <v>529</v>
      </c>
      <c r="O55" s="24" t="s">
        <v>529</v>
      </c>
      <c r="P55" s="24">
        <v>1</v>
      </c>
      <c r="Q55" s="102">
        <v>0</v>
      </c>
      <c r="R55" s="30" t="s">
        <v>1905</v>
      </c>
      <c r="S55" s="24">
        <v>0</v>
      </c>
      <c r="T55" s="24"/>
      <c r="U55" s="94">
        <v>739.57999999999993</v>
      </c>
      <c r="V55" s="94">
        <v>728</v>
      </c>
      <c r="W55" s="106">
        <v>80.959999999999994</v>
      </c>
      <c r="X55" s="107" t="s">
        <v>208</v>
      </c>
      <c r="Y55" s="106">
        <v>108.21</v>
      </c>
      <c r="Z55" s="107" t="s">
        <v>208</v>
      </c>
      <c r="AA55" s="106">
        <v>155.68</v>
      </c>
      <c r="AB55" s="107" t="s">
        <v>208</v>
      </c>
      <c r="AC55" s="106">
        <v>98.48</v>
      </c>
      <c r="AD55" s="107" t="s">
        <v>208</v>
      </c>
      <c r="AE55" s="106">
        <v>33.49</v>
      </c>
      <c r="AF55" s="107" t="s">
        <v>208</v>
      </c>
      <c r="AG55" s="106">
        <v>0</v>
      </c>
      <c r="AH55" s="107" t="s">
        <v>208</v>
      </c>
      <c r="AI55" s="106">
        <v>0</v>
      </c>
      <c r="AJ55" s="107" t="s">
        <v>208</v>
      </c>
      <c r="AK55" s="106">
        <v>0</v>
      </c>
      <c r="AL55" s="107" t="s">
        <v>208</v>
      </c>
      <c r="AM55" s="106">
        <v>0</v>
      </c>
      <c r="AN55" s="107" t="s">
        <v>208</v>
      </c>
      <c r="AO55" s="106">
        <v>78.44</v>
      </c>
      <c r="AP55" s="107" t="s">
        <v>208</v>
      </c>
      <c r="AQ55" s="106">
        <v>78.44</v>
      </c>
      <c r="AR55" s="106" t="s">
        <v>208</v>
      </c>
      <c r="AS55" s="106">
        <v>78.44</v>
      </c>
      <c r="AT55" s="107" t="s">
        <v>208</v>
      </c>
      <c r="AU55" s="106">
        <f t="shared" si="1"/>
        <v>712.1400000000001</v>
      </c>
      <c r="AV55" s="25">
        <v>0.28960000000000002</v>
      </c>
      <c r="AW55" s="30" t="str">
        <f t="shared" si="2"/>
        <v>95-70</v>
      </c>
      <c r="AX55" s="30" t="s">
        <v>1907</v>
      </c>
      <c r="AY55" s="30">
        <v>0</v>
      </c>
      <c r="AZ55" s="30">
        <v>0</v>
      </c>
    </row>
    <row r="56" spans="1:52" ht="31.2" x14ac:dyDescent="0.3">
      <c r="A56" s="103">
        <v>46</v>
      </c>
      <c r="B56" s="30" t="s">
        <v>611</v>
      </c>
      <c r="C56" s="30" t="s">
        <v>1899</v>
      </c>
      <c r="D56" s="105" t="s">
        <v>1900</v>
      </c>
      <c r="E56" s="105" t="s">
        <v>1901</v>
      </c>
      <c r="F56" s="30" t="s">
        <v>1902</v>
      </c>
      <c r="G56" s="26" t="s">
        <v>145</v>
      </c>
      <c r="H56" s="24" t="s">
        <v>146</v>
      </c>
      <c r="I56" s="25">
        <v>1</v>
      </c>
      <c r="J56" s="24" t="s">
        <v>1903</v>
      </c>
      <c r="K56" s="24">
        <v>32</v>
      </c>
      <c r="L56" s="24">
        <v>5</v>
      </c>
      <c r="M56" s="24" t="str">
        <f t="shared" si="0"/>
        <v>95-70</v>
      </c>
      <c r="N56" s="24" t="s">
        <v>529</v>
      </c>
      <c r="O56" s="24" t="s">
        <v>529</v>
      </c>
      <c r="P56" s="24">
        <v>1</v>
      </c>
      <c r="Q56" s="102">
        <v>0</v>
      </c>
      <c r="R56" s="30" t="s">
        <v>1905</v>
      </c>
      <c r="S56" s="24">
        <v>0</v>
      </c>
      <c r="T56" s="24"/>
      <c r="U56" s="94">
        <v>461.74</v>
      </c>
      <c r="V56" s="94">
        <v>442.42</v>
      </c>
      <c r="W56" s="106">
        <v>59.900000000000006</v>
      </c>
      <c r="X56" s="107" t="s">
        <v>208</v>
      </c>
      <c r="Y56" s="106">
        <v>59.7</v>
      </c>
      <c r="Z56" s="107" t="s">
        <v>208</v>
      </c>
      <c r="AA56" s="106">
        <v>60.61</v>
      </c>
      <c r="AB56" s="107" t="s">
        <v>208</v>
      </c>
      <c r="AC56" s="106">
        <v>63.129999999999995</v>
      </c>
      <c r="AD56" s="107" t="s">
        <v>208</v>
      </c>
      <c r="AE56" s="106">
        <v>20.85</v>
      </c>
      <c r="AF56" s="107" t="s">
        <v>208</v>
      </c>
      <c r="AG56" s="106">
        <v>0</v>
      </c>
      <c r="AH56" s="107" t="s">
        <v>208</v>
      </c>
      <c r="AI56" s="106">
        <v>0</v>
      </c>
      <c r="AJ56" s="107" t="s">
        <v>208</v>
      </c>
      <c r="AK56" s="106">
        <v>0</v>
      </c>
      <c r="AL56" s="107" t="s">
        <v>208</v>
      </c>
      <c r="AM56" s="106">
        <v>0</v>
      </c>
      <c r="AN56" s="107" t="s">
        <v>208</v>
      </c>
      <c r="AO56" s="106">
        <v>62.93</v>
      </c>
      <c r="AP56" s="107" t="s">
        <v>208</v>
      </c>
      <c r="AQ56" s="106">
        <v>62.93</v>
      </c>
      <c r="AR56" s="106" t="s">
        <v>208</v>
      </c>
      <c r="AS56" s="106">
        <v>62.93</v>
      </c>
      <c r="AT56" s="107" t="s">
        <v>208</v>
      </c>
      <c r="AU56" s="106">
        <f t="shared" si="1"/>
        <v>452.98</v>
      </c>
      <c r="AV56" s="25">
        <v>0.20380000000000001</v>
      </c>
      <c r="AW56" s="30" t="str">
        <f t="shared" si="2"/>
        <v>95-70</v>
      </c>
      <c r="AX56" s="30" t="s">
        <v>1907</v>
      </c>
      <c r="AY56" s="30">
        <v>0</v>
      </c>
      <c r="AZ56" s="30">
        <v>0</v>
      </c>
    </row>
    <row r="57" spans="1:52" ht="31.2" x14ac:dyDescent="0.3">
      <c r="A57" s="103">
        <v>47</v>
      </c>
      <c r="B57" s="30" t="s">
        <v>612</v>
      </c>
      <c r="C57" s="30" t="s">
        <v>1899</v>
      </c>
      <c r="D57" s="105" t="s">
        <v>1900</v>
      </c>
      <c r="E57" s="105" t="s">
        <v>1901</v>
      </c>
      <c r="F57" s="30" t="s">
        <v>1902</v>
      </c>
      <c r="G57" s="26" t="s">
        <v>145</v>
      </c>
      <c r="H57" s="24" t="s">
        <v>146</v>
      </c>
      <c r="I57" s="25">
        <v>1</v>
      </c>
      <c r="J57" s="24" t="s">
        <v>1903</v>
      </c>
      <c r="K57" s="24">
        <v>65</v>
      </c>
      <c r="L57" s="24">
        <v>5</v>
      </c>
      <c r="M57" s="24" t="str">
        <f t="shared" si="0"/>
        <v>95-70</v>
      </c>
      <c r="N57" s="24" t="s">
        <v>529</v>
      </c>
      <c r="O57" s="24" t="s">
        <v>529</v>
      </c>
      <c r="P57" s="24">
        <v>1</v>
      </c>
      <c r="Q57" s="102">
        <v>0</v>
      </c>
      <c r="R57" s="30" t="s">
        <v>1905</v>
      </c>
      <c r="S57" s="24">
        <v>0</v>
      </c>
      <c r="T57" s="24"/>
      <c r="U57" s="94">
        <v>610</v>
      </c>
      <c r="V57" s="94">
        <v>759.14</v>
      </c>
      <c r="W57" s="106">
        <v>129.1</v>
      </c>
      <c r="X57" s="107" t="s">
        <v>208</v>
      </c>
      <c r="Y57" s="106">
        <v>98.09</v>
      </c>
      <c r="Z57" s="107" t="s">
        <v>208</v>
      </c>
      <c r="AA57" s="106">
        <v>123.16</v>
      </c>
      <c r="AB57" s="107" t="s">
        <v>208</v>
      </c>
      <c r="AC57" s="106">
        <v>103.42</v>
      </c>
      <c r="AD57" s="107" t="s">
        <v>208</v>
      </c>
      <c r="AE57" s="106">
        <v>26.66</v>
      </c>
      <c r="AF57" s="107" t="s">
        <v>208</v>
      </c>
      <c r="AG57" s="106">
        <v>0</v>
      </c>
      <c r="AH57" s="107" t="s">
        <v>208</v>
      </c>
      <c r="AI57" s="106">
        <v>0</v>
      </c>
      <c r="AJ57" s="107" t="s">
        <v>208</v>
      </c>
      <c r="AK57" s="106">
        <v>0</v>
      </c>
      <c r="AL57" s="107" t="s">
        <v>208</v>
      </c>
      <c r="AM57" s="106">
        <v>0</v>
      </c>
      <c r="AN57" s="107" t="s">
        <v>208</v>
      </c>
      <c r="AO57" s="106">
        <v>94.79</v>
      </c>
      <c r="AP57" s="107" t="s">
        <v>208</v>
      </c>
      <c r="AQ57" s="106">
        <v>94.79</v>
      </c>
      <c r="AR57" s="106" t="s">
        <v>208</v>
      </c>
      <c r="AS57" s="106">
        <v>62.29</v>
      </c>
      <c r="AT57" s="107" t="s">
        <v>208</v>
      </c>
      <c r="AU57" s="106">
        <f t="shared" si="1"/>
        <v>732.3</v>
      </c>
      <c r="AV57" s="25">
        <v>0.28029999999999999</v>
      </c>
      <c r="AW57" s="30" t="str">
        <f t="shared" si="2"/>
        <v>95-70</v>
      </c>
      <c r="AX57" s="30" t="s">
        <v>1907</v>
      </c>
      <c r="AY57" s="30">
        <v>0</v>
      </c>
      <c r="AZ57" s="30">
        <v>0</v>
      </c>
    </row>
    <row r="58" spans="1:52" ht="31.2" x14ac:dyDescent="0.3">
      <c r="A58" s="103">
        <v>48</v>
      </c>
      <c r="B58" s="30" t="s">
        <v>613</v>
      </c>
      <c r="C58" s="30" t="s">
        <v>1899</v>
      </c>
      <c r="D58" s="105" t="s">
        <v>1900</v>
      </c>
      <c r="E58" s="105" t="s">
        <v>1901</v>
      </c>
      <c r="F58" s="30" t="s">
        <v>1902</v>
      </c>
      <c r="G58" s="26" t="s">
        <v>145</v>
      </c>
      <c r="H58" s="24" t="s">
        <v>146</v>
      </c>
      <c r="I58" s="25">
        <v>1</v>
      </c>
      <c r="J58" s="24" t="s">
        <v>1903</v>
      </c>
      <c r="K58" s="24">
        <v>40</v>
      </c>
      <c r="L58" s="24">
        <v>5</v>
      </c>
      <c r="M58" s="24" t="str">
        <f t="shared" si="0"/>
        <v>95-70</v>
      </c>
      <c r="N58" s="24" t="s">
        <v>529</v>
      </c>
      <c r="O58" s="24" t="s">
        <v>529</v>
      </c>
      <c r="P58" s="24">
        <v>1</v>
      </c>
      <c r="Q58" s="102">
        <v>0</v>
      </c>
      <c r="R58" s="30" t="s">
        <v>1905</v>
      </c>
      <c r="S58" s="24">
        <v>0</v>
      </c>
      <c r="T58" s="24"/>
      <c r="U58" s="94">
        <f>426.51*0.5</f>
        <v>213.255</v>
      </c>
      <c r="V58" s="94">
        <f>386.01*0.5</f>
        <v>193.005</v>
      </c>
      <c r="W58" s="106">
        <f>67.71*0.5</f>
        <v>33.854999999999997</v>
      </c>
      <c r="X58" s="107" t="s">
        <v>208</v>
      </c>
      <c r="Y58" s="106">
        <f>53.17*0.5</f>
        <v>26.585000000000001</v>
      </c>
      <c r="Z58" s="107" t="s">
        <v>208</v>
      </c>
      <c r="AA58" s="106">
        <f>74.01*0.5</f>
        <v>37.005000000000003</v>
      </c>
      <c r="AB58" s="107" t="s">
        <v>208</v>
      </c>
      <c r="AC58" s="106">
        <f>33.74*0.5</f>
        <v>16.87</v>
      </c>
      <c r="AD58" s="107" t="s">
        <v>208</v>
      </c>
      <c r="AE58" s="106">
        <f>11.94*0.5</f>
        <v>5.97</v>
      </c>
      <c r="AF58" s="107" t="s">
        <v>208</v>
      </c>
      <c r="AG58" s="106">
        <v>0</v>
      </c>
      <c r="AH58" s="107" t="s">
        <v>208</v>
      </c>
      <c r="AI58" s="106">
        <v>0</v>
      </c>
      <c r="AJ58" s="107" t="s">
        <v>208</v>
      </c>
      <c r="AK58" s="106">
        <v>0</v>
      </c>
      <c r="AL58" s="107" t="s">
        <v>208</v>
      </c>
      <c r="AM58" s="106">
        <f>3.44*0.5</f>
        <v>1.72</v>
      </c>
      <c r="AN58" s="107" t="s">
        <v>208</v>
      </c>
      <c r="AO58" s="106">
        <f>29.34*0.5</f>
        <v>14.67</v>
      </c>
      <c r="AP58" s="107" t="s">
        <v>208</v>
      </c>
      <c r="AQ58" s="106">
        <f>35.29*0.5</f>
        <v>17.645</v>
      </c>
      <c r="AR58" s="106" t="s">
        <v>208</v>
      </c>
      <c r="AS58" s="106">
        <f>44.73*0.5</f>
        <v>22.364999999999998</v>
      </c>
      <c r="AT58" s="107" t="s">
        <v>208</v>
      </c>
      <c r="AU58" s="106">
        <f t="shared" si="1"/>
        <v>176.685</v>
      </c>
      <c r="AV58" s="25">
        <v>0.189</v>
      </c>
      <c r="AW58" s="30" t="str">
        <f t="shared" si="2"/>
        <v>95-70</v>
      </c>
      <c r="AX58" s="30" t="s">
        <v>1907</v>
      </c>
      <c r="AY58" s="30">
        <v>0</v>
      </c>
      <c r="AZ58" s="30">
        <v>0</v>
      </c>
    </row>
    <row r="59" spans="1:52" ht="31.2" x14ac:dyDescent="0.3">
      <c r="A59" s="103">
        <v>49</v>
      </c>
      <c r="B59" s="30" t="s">
        <v>614</v>
      </c>
      <c r="C59" s="30" t="s">
        <v>1899</v>
      </c>
      <c r="D59" s="105" t="s">
        <v>1900</v>
      </c>
      <c r="E59" s="105" t="s">
        <v>1901</v>
      </c>
      <c r="F59" s="30" t="s">
        <v>1902</v>
      </c>
      <c r="G59" s="26" t="s">
        <v>145</v>
      </c>
      <c r="H59" s="24" t="s">
        <v>146</v>
      </c>
      <c r="I59" s="25">
        <v>0</v>
      </c>
      <c r="J59" s="24" t="s">
        <v>1903</v>
      </c>
      <c r="K59" s="24">
        <v>32</v>
      </c>
      <c r="L59" s="24">
        <v>5</v>
      </c>
      <c r="M59" s="24" t="str">
        <f t="shared" si="0"/>
        <v>95-70</v>
      </c>
      <c r="N59" s="24" t="s">
        <v>529</v>
      </c>
      <c r="O59" s="24" t="s">
        <v>529</v>
      </c>
      <c r="P59" s="24">
        <v>0</v>
      </c>
      <c r="Q59" s="102">
        <v>0</v>
      </c>
      <c r="R59" s="30" t="s">
        <v>1905</v>
      </c>
      <c r="S59" s="24">
        <v>0</v>
      </c>
      <c r="T59" s="24"/>
      <c r="U59" s="94">
        <f>426.51*0.5</f>
        <v>213.255</v>
      </c>
      <c r="V59" s="94">
        <f>386.01*0.5</f>
        <v>193.005</v>
      </c>
      <c r="W59" s="106">
        <f>67.71*0.5</f>
        <v>33.854999999999997</v>
      </c>
      <c r="X59" s="107" t="s">
        <v>1906</v>
      </c>
      <c r="Y59" s="106">
        <f>53.17*0.5</f>
        <v>26.585000000000001</v>
      </c>
      <c r="Z59" s="107" t="s">
        <v>1906</v>
      </c>
      <c r="AA59" s="106">
        <f>74.01*0.5</f>
        <v>37.005000000000003</v>
      </c>
      <c r="AB59" s="107" t="s">
        <v>1906</v>
      </c>
      <c r="AC59" s="106">
        <f>33.74*0.5</f>
        <v>16.87</v>
      </c>
      <c r="AD59" s="107" t="s">
        <v>1906</v>
      </c>
      <c r="AE59" s="106">
        <f>11.94*0.5</f>
        <v>5.97</v>
      </c>
      <c r="AF59" s="107" t="s">
        <v>1906</v>
      </c>
      <c r="AG59" s="106">
        <v>0</v>
      </c>
      <c r="AH59" s="107" t="s">
        <v>1906</v>
      </c>
      <c r="AI59" s="106">
        <v>0</v>
      </c>
      <c r="AJ59" s="107" t="s">
        <v>1906</v>
      </c>
      <c r="AK59" s="106">
        <v>0</v>
      </c>
      <c r="AL59" s="107" t="s">
        <v>1906</v>
      </c>
      <c r="AM59" s="106">
        <f>3.44*0.5</f>
        <v>1.72</v>
      </c>
      <c r="AN59" s="107" t="s">
        <v>1906</v>
      </c>
      <c r="AO59" s="106">
        <f>29.34*0.5</f>
        <v>14.67</v>
      </c>
      <c r="AP59" s="107" t="s">
        <v>1906</v>
      </c>
      <c r="AQ59" s="106">
        <f>35.29*0.5</f>
        <v>17.645</v>
      </c>
      <c r="AR59" s="106" t="s">
        <v>1906</v>
      </c>
      <c r="AS59" s="106">
        <f>44.73*0.5</f>
        <v>22.364999999999998</v>
      </c>
      <c r="AT59" s="107" t="s">
        <v>1906</v>
      </c>
      <c r="AU59" s="106">
        <f t="shared" si="1"/>
        <v>176.685</v>
      </c>
      <c r="AV59" s="25">
        <v>8.8599999999999998E-2</v>
      </c>
      <c r="AW59" s="30" t="str">
        <f t="shared" si="2"/>
        <v>95-70</v>
      </c>
      <c r="AX59" s="30" t="s">
        <v>1907</v>
      </c>
      <c r="AY59" s="30">
        <v>0</v>
      </c>
      <c r="AZ59" s="30">
        <v>0</v>
      </c>
    </row>
    <row r="60" spans="1:52" ht="31.2" x14ac:dyDescent="0.3">
      <c r="A60" s="103">
        <v>50</v>
      </c>
      <c r="B60" s="30" t="s">
        <v>615</v>
      </c>
      <c r="C60" s="30" t="s">
        <v>1899</v>
      </c>
      <c r="D60" s="105" t="s">
        <v>1900</v>
      </c>
      <c r="E60" s="105" t="s">
        <v>1901</v>
      </c>
      <c r="F60" s="30" t="s">
        <v>1902</v>
      </c>
      <c r="G60" s="26" t="s">
        <v>145</v>
      </c>
      <c r="H60" s="24" t="s">
        <v>146</v>
      </c>
      <c r="I60" s="25">
        <v>1</v>
      </c>
      <c r="J60" s="24" t="s">
        <v>1903</v>
      </c>
      <c r="K60" s="24">
        <v>40</v>
      </c>
      <c r="L60" s="24">
        <v>5</v>
      </c>
      <c r="M60" s="24" t="str">
        <f t="shared" si="0"/>
        <v>95-70</v>
      </c>
      <c r="N60" s="24" t="s">
        <v>529</v>
      </c>
      <c r="O60" s="24" t="s">
        <v>529</v>
      </c>
      <c r="P60" s="24">
        <v>1</v>
      </c>
      <c r="Q60" s="102">
        <v>0</v>
      </c>
      <c r="R60" s="30" t="s">
        <v>1905</v>
      </c>
      <c r="S60" s="24">
        <v>0</v>
      </c>
      <c r="T60" s="24"/>
      <c r="U60" s="94">
        <v>251.73999999999998</v>
      </c>
      <c r="V60" s="94">
        <v>158.35999999999999</v>
      </c>
      <c r="W60" s="106">
        <v>32.49</v>
      </c>
      <c r="X60" s="107" t="s">
        <v>208</v>
      </c>
      <c r="Y60" s="106">
        <v>19.2</v>
      </c>
      <c r="Z60" s="107" t="s">
        <v>208</v>
      </c>
      <c r="AA60" s="106">
        <v>29.88</v>
      </c>
      <c r="AB60" s="107" t="s">
        <v>208</v>
      </c>
      <c r="AC60" s="106">
        <v>22.94</v>
      </c>
      <c r="AD60" s="107" t="s">
        <v>208</v>
      </c>
      <c r="AE60" s="106">
        <v>6.58</v>
      </c>
      <c r="AF60" s="107" t="s">
        <v>208</v>
      </c>
      <c r="AG60" s="106">
        <v>0</v>
      </c>
      <c r="AH60" s="107" t="s">
        <v>208</v>
      </c>
      <c r="AI60" s="106">
        <v>0</v>
      </c>
      <c r="AJ60" s="107" t="s">
        <v>208</v>
      </c>
      <c r="AK60" s="106">
        <v>0</v>
      </c>
      <c r="AL60" s="107" t="s">
        <v>208</v>
      </c>
      <c r="AM60" s="106">
        <v>0</v>
      </c>
      <c r="AN60" s="107" t="s">
        <v>208</v>
      </c>
      <c r="AO60" s="106">
        <v>10.25</v>
      </c>
      <c r="AP60" s="107" t="s">
        <v>208</v>
      </c>
      <c r="AQ60" s="106">
        <v>12.37</v>
      </c>
      <c r="AR60" s="106" t="s">
        <v>208</v>
      </c>
      <c r="AS60" s="106">
        <v>18.23</v>
      </c>
      <c r="AT60" s="107" t="s">
        <v>208</v>
      </c>
      <c r="AU60" s="106">
        <f t="shared" si="1"/>
        <v>151.93999999999997</v>
      </c>
      <c r="AV60" s="25">
        <v>0.109</v>
      </c>
      <c r="AW60" s="30" t="str">
        <f t="shared" si="2"/>
        <v>95-70</v>
      </c>
      <c r="AX60" s="30" t="s">
        <v>1907</v>
      </c>
      <c r="AY60" s="30">
        <v>0</v>
      </c>
      <c r="AZ60" s="30">
        <v>0</v>
      </c>
    </row>
    <row r="61" spans="1:52" ht="31.2" x14ac:dyDescent="0.3">
      <c r="A61" s="103">
        <v>51</v>
      </c>
      <c r="B61" s="30" t="s">
        <v>616</v>
      </c>
      <c r="C61" s="30" t="s">
        <v>1899</v>
      </c>
      <c r="D61" s="105" t="s">
        <v>1900</v>
      </c>
      <c r="E61" s="105" t="s">
        <v>1901</v>
      </c>
      <c r="F61" s="30" t="s">
        <v>1902</v>
      </c>
      <c r="G61" s="26" t="s">
        <v>145</v>
      </c>
      <c r="H61" s="24" t="s">
        <v>146</v>
      </c>
      <c r="I61" s="25">
        <v>1</v>
      </c>
      <c r="J61" s="24" t="s">
        <v>1903</v>
      </c>
      <c r="K61" s="24">
        <v>65</v>
      </c>
      <c r="L61" s="24">
        <v>5</v>
      </c>
      <c r="M61" s="24" t="str">
        <f t="shared" si="0"/>
        <v>95-70</v>
      </c>
      <c r="N61" s="24" t="s">
        <v>529</v>
      </c>
      <c r="O61" s="24" t="s">
        <v>529</v>
      </c>
      <c r="P61" s="24">
        <v>1</v>
      </c>
      <c r="Q61" s="102">
        <v>0</v>
      </c>
      <c r="R61" s="30" t="s">
        <v>1905</v>
      </c>
      <c r="S61" s="24">
        <v>0</v>
      </c>
      <c r="T61" s="24"/>
      <c r="U61" s="94">
        <f>949.79*0.48</f>
        <v>455.89919999999995</v>
      </c>
      <c r="V61" s="94">
        <f>1579.01*0.48</f>
        <v>757.9248</v>
      </c>
      <c r="W61" s="106">
        <f>269.76*0.48</f>
        <v>129.48479999999998</v>
      </c>
      <c r="X61" s="107" t="s">
        <v>208</v>
      </c>
      <c r="Y61" s="106">
        <f>191.08*0.48</f>
        <v>91.718400000000003</v>
      </c>
      <c r="Z61" s="107" t="s">
        <v>208</v>
      </c>
      <c r="AA61" s="106">
        <f>258.66*0.48</f>
        <v>124.1568</v>
      </c>
      <c r="AB61" s="107" t="s">
        <v>208</v>
      </c>
      <c r="AC61" s="106">
        <f>212.92*0.48</f>
        <v>102.20159999999998</v>
      </c>
      <c r="AD61" s="107" t="s">
        <v>208</v>
      </c>
      <c r="AE61" s="106">
        <f>62.27*0.48</f>
        <v>29.889600000000002</v>
      </c>
      <c r="AF61" s="107" t="s">
        <v>208</v>
      </c>
      <c r="AG61" s="106">
        <v>0</v>
      </c>
      <c r="AH61" s="107" t="s">
        <v>208</v>
      </c>
      <c r="AI61" s="106">
        <v>0</v>
      </c>
      <c r="AJ61" s="107" t="s">
        <v>208</v>
      </c>
      <c r="AK61" s="106">
        <v>0</v>
      </c>
      <c r="AL61" s="107" t="s">
        <v>208</v>
      </c>
      <c r="AM61" s="106">
        <v>0</v>
      </c>
      <c r="AN61" s="107" t="s">
        <v>208</v>
      </c>
      <c r="AO61" s="106">
        <f>195.73*0.48</f>
        <v>93.950399999999988</v>
      </c>
      <c r="AP61" s="107" t="s">
        <v>208</v>
      </c>
      <c r="AQ61" s="106">
        <f>205.08*0.48</f>
        <v>98.438400000000001</v>
      </c>
      <c r="AR61" s="106" t="s">
        <v>208</v>
      </c>
      <c r="AS61" s="106">
        <f>159.44*0.48</f>
        <v>76.531199999999998</v>
      </c>
      <c r="AT61" s="107" t="s">
        <v>208</v>
      </c>
      <c r="AU61" s="106">
        <f t="shared" si="1"/>
        <v>746.37119999999993</v>
      </c>
      <c r="AV61" s="25">
        <v>0.30680000000000002</v>
      </c>
      <c r="AW61" s="30" t="str">
        <f t="shared" si="2"/>
        <v>95-70</v>
      </c>
      <c r="AX61" s="30" t="s">
        <v>1907</v>
      </c>
      <c r="AY61" s="30">
        <v>0</v>
      </c>
      <c r="AZ61" s="30">
        <v>0</v>
      </c>
    </row>
    <row r="62" spans="1:52" ht="31.2" x14ac:dyDescent="0.3">
      <c r="A62" s="103">
        <v>52</v>
      </c>
      <c r="B62" s="30" t="s">
        <v>617</v>
      </c>
      <c r="C62" s="30" t="s">
        <v>1899</v>
      </c>
      <c r="D62" s="105" t="s">
        <v>1900</v>
      </c>
      <c r="E62" s="105" t="s">
        <v>1901</v>
      </c>
      <c r="F62" s="30" t="s">
        <v>1902</v>
      </c>
      <c r="G62" s="26" t="s">
        <v>145</v>
      </c>
      <c r="H62" s="24" t="s">
        <v>146</v>
      </c>
      <c r="I62" s="25">
        <v>1</v>
      </c>
      <c r="J62" s="24" t="s">
        <v>1903</v>
      </c>
      <c r="K62" s="24">
        <v>40</v>
      </c>
      <c r="L62" s="24">
        <v>5</v>
      </c>
      <c r="M62" s="24" t="str">
        <f t="shared" si="0"/>
        <v>95-70</v>
      </c>
      <c r="N62" s="24" t="s">
        <v>529</v>
      </c>
      <c r="O62" s="24" t="s">
        <v>529</v>
      </c>
      <c r="P62" s="24">
        <v>1</v>
      </c>
      <c r="Q62" s="102">
        <v>0</v>
      </c>
      <c r="R62" s="30" t="s">
        <v>1905</v>
      </c>
      <c r="S62" s="24">
        <v>0</v>
      </c>
      <c r="T62" s="24"/>
      <c r="U62" s="94">
        <f>949.79*0.26</f>
        <v>246.94540000000001</v>
      </c>
      <c r="V62" s="94">
        <f>1579.01*0.26</f>
        <v>410.54259999999999</v>
      </c>
      <c r="W62" s="106">
        <f>269.76*0.26</f>
        <v>70.137600000000006</v>
      </c>
      <c r="X62" s="107" t="s">
        <v>1906</v>
      </c>
      <c r="Y62" s="106">
        <f>191.08*0.26</f>
        <v>49.680800000000005</v>
      </c>
      <c r="Z62" s="107" t="s">
        <v>1906</v>
      </c>
      <c r="AA62" s="106">
        <f>258.66*0.26</f>
        <v>67.25160000000001</v>
      </c>
      <c r="AB62" s="107" t="s">
        <v>1906</v>
      </c>
      <c r="AC62" s="106">
        <f>212.92*0.26</f>
        <v>55.359200000000001</v>
      </c>
      <c r="AD62" s="107" t="s">
        <v>1906</v>
      </c>
      <c r="AE62" s="106">
        <f>62.27*0.26</f>
        <v>16.190200000000001</v>
      </c>
      <c r="AF62" s="107" t="s">
        <v>1906</v>
      </c>
      <c r="AG62" s="106">
        <v>0</v>
      </c>
      <c r="AH62" s="107" t="s">
        <v>1906</v>
      </c>
      <c r="AI62" s="106">
        <v>0</v>
      </c>
      <c r="AJ62" s="107" t="s">
        <v>1906</v>
      </c>
      <c r="AK62" s="106">
        <v>0</v>
      </c>
      <c r="AL62" s="107" t="s">
        <v>1906</v>
      </c>
      <c r="AM62" s="106">
        <v>0</v>
      </c>
      <c r="AN62" s="107" t="s">
        <v>1906</v>
      </c>
      <c r="AO62" s="106">
        <f>195.73*0.26</f>
        <v>50.889800000000001</v>
      </c>
      <c r="AP62" s="107" t="s">
        <v>1906</v>
      </c>
      <c r="AQ62" s="106">
        <f>205.08*0.26</f>
        <v>53.320800000000006</v>
      </c>
      <c r="AR62" s="106" t="s">
        <v>1906</v>
      </c>
      <c r="AS62" s="106">
        <f>159.44*0.26</f>
        <v>41.4544</v>
      </c>
      <c r="AT62" s="107" t="s">
        <v>1906</v>
      </c>
      <c r="AU62" s="106">
        <f t="shared" si="1"/>
        <v>404.28440000000006</v>
      </c>
      <c r="AV62" s="25">
        <v>0.18279999999999999</v>
      </c>
      <c r="AW62" s="30" t="str">
        <f t="shared" si="2"/>
        <v>95-70</v>
      </c>
      <c r="AX62" s="30" t="s">
        <v>1907</v>
      </c>
      <c r="AY62" s="30">
        <v>0</v>
      </c>
      <c r="AZ62" s="30">
        <v>0</v>
      </c>
    </row>
    <row r="63" spans="1:52" ht="31.2" x14ac:dyDescent="0.3">
      <c r="A63" s="103">
        <v>53</v>
      </c>
      <c r="B63" s="30" t="s">
        <v>618</v>
      </c>
      <c r="C63" s="30" t="s">
        <v>1899</v>
      </c>
      <c r="D63" s="105" t="s">
        <v>1900</v>
      </c>
      <c r="E63" s="105" t="s">
        <v>1901</v>
      </c>
      <c r="F63" s="30" t="s">
        <v>1902</v>
      </c>
      <c r="G63" s="26" t="s">
        <v>145</v>
      </c>
      <c r="H63" s="24" t="s">
        <v>146</v>
      </c>
      <c r="I63" s="25">
        <v>1</v>
      </c>
      <c r="J63" s="24" t="s">
        <v>1903</v>
      </c>
      <c r="K63" s="24">
        <v>40</v>
      </c>
      <c r="L63" s="24">
        <v>5</v>
      </c>
      <c r="M63" s="24" t="str">
        <f t="shared" si="0"/>
        <v>95-70</v>
      </c>
      <c r="N63" s="24" t="s">
        <v>529</v>
      </c>
      <c r="O63" s="24" t="s">
        <v>529</v>
      </c>
      <c r="P63" s="24">
        <v>1</v>
      </c>
      <c r="Q63" s="102">
        <v>0</v>
      </c>
      <c r="R63" s="30" t="s">
        <v>1905</v>
      </c>
      <c r="S63" s="24">
        <v>0</v>
      </c>
      <c r="T63" s="24"/>
      <c r="U63" s="94">
        <f>949.79*0.26</f>
        <v>246.94540000000001</v>
      </c>
      <c r="V63" s="94">
        <f>1579.01*0.26</f>
        <v>410.54259999999999</v>
      </c>
      <c r="W63" s="106">
        <f>269.76*0.26</f>
        <v>70.137600000000006</v>
      </c>
      <c r="X63" s="107" t="s">
        <v>208</v>
      </c>
      <c r="Y63" s="106">
        <f>191.08*0.26</f>
        <v>49.680800000000005</v>
      </c>
      <c r="Z63" s="107" t="s">
        <v>208</v>
      </c>
      <c r="AA63" s="106">
        <f>258.66*0.26</f>
        <v>67.25160000000001</v>
      </c>
      <c r="AB63" s="107" t="s">
        <v>208</v>
      </c>
      <c r="AC63" s="106">
        <f>212.92*0.26</f>
        <v>55.359200000000001</v>
      </c>
      <c r="AD63" s="107" t="s">
        <v>208</v>
      </c>
      <c r="AE63" s="106">
        <f>62.27*0.26</f>
        <v>16.190200000000001</v>
      </c>
      <c r="AF63" s="107" t="s">
        <v>208</v>
      </c>
      <c r="AG63" s="106">
        <v>0</v>
      </c>
      <c r="AH63" s="107" t="s">
        <v>208</v>
      </c>
      <c r="AI63" s="106">
        <v>0</v>
      </c>
      <c r="AJ63" s="107" t="s">
        <v>208</v>
      </c>
      <c r="AK63" s="106">
        <v>0</v>
      </c>
      <c r="AL63" s="107" t="s">
        <v>208</v>
      </c>
      <c r="AM63" s="106">
        <v>0</v>
      </c>
      <c r="AN63" s="107" t="s">
        <v>208</v>
      </c>
      <c r="AO63" s="106">
        <f>195.73*0.26</f>
        <v>50.889800000000001</v>
      </c>
      <c r="AP63" s="107" t="s">
        <v>208</v>
      </c>
      <c r="AQ63" s="106">
        <f>205.08*0.26</f>
        <v>53.320800000000006</v>
      </c>
      <c r="AR63" s="106" t="s">
        <v>208</v>
      </c>
      <c r="AS63" s="106">
        <f>159.44*0.26</f>
        <v>41.4544</v>
      </c>
      <c r="AT63" s="107" t="s">
        <v>208</v>
      </c>
      <c r="AU63" s="106">
        <f t="shared" si="1"/>
        <v>404.28440000000006</v>
      </c>
      <c r="AV63" s="25">
        <v>0.15659999999999999</v>
      </c>
      <c r="AW63" s="30" t="str">
        <f t="shared" si="2"/>
        <v>95-70</v>
      </c>
      <c r="AX63" s="30" t="s">
        <v>1907</v>
      </c>
      <c r="AY63" s="30">
        <v>0</v>
      </c>
      <c r="AZ63" s="30">
        <v>0</v>
      </c>
    </row>
    <row r="64" spans="1:52" ht="31.2" x14ac:dyDescent="0.3">
      <c r="A64" s="103">
        <v>54</v>
      </c>
      <c r="B64" s="30" t="s">
        <v>619</v>
      </c>
      <c r="C64" s="30" t="s">
        <v>1899</v>
      </c>
      <c r="D64" s="105" t="s">
        <v>1900</v>
      </c>
      <c r="E64" s="105" t="s">
        <v>1901</v>
      </c>
      <c r="F64" s="30" t="s">
        <v>1902</v>
      </c>
      <c r="G64" s="26" t="s">
        <v>145</v>
      </c>
      <c r="H64" s="24" t="s">
        <v>146</v>
      </c>
      <c r="I64" s="25">
        <v>1</v>
      </c>
      <c r="J64" s="24" t="s">
        <v>1903</v>
      </c>
      <c r="K64" s="24">
        <v>32</v>
      </c>
      <c r="L64" s="24">
        <v>5</v>
      </c>
      <c r="M64" s="24" t="str">
        <f t="shared" si="0"/>
        <v>95-70</v>
      </c>
      <c r="N64" s="24" t="s">
        <v>529</v>
      </c>
      <c r="O64" s="24" t="s">
        <v>529</v>
      </c>
      <c r="P64" s="24">
        <v>1</v>
      </c>
      <c r="Q64" s="102">
        <v>0</v>
      </c>
      <c r="R64" s="30" t="s">
        <v>1905</v>
      </c>
      <c r="S64" s="24">
        <v>0</v>
      </c>
      <c r="T64" s="24"/>
      <c r="U64" s="94">
        <v>635.25000000000011</v>
      </c>
      <c r="V64" s="94">
        <v>602.9799999999999</v>
      </c>
      <c r="W64" s="106">
        <v>82.71</v>
      </c>
      <c r="X64" s="107" t="s">
        <v>1906</v>
      </c>
      <c r="Y64" s="106">
        <v>82.71</v>
      </c>
      <c r="Z64" s="107" t="s">
        <v>1906</v>
      </c>
      <c r="AA64" s="106">
        <v>82.71</v>
      </c>
      <c r="AB64" s="107" t="s">
        <v>1906</v>
      </c>
      <c r="AC64" s="106">
        <v>82.71</v>
      </c>
      <c r="AD64" s="107" t="s">
        <v>1906</v>
      </c>
      <c r="AE64" s="106">
        <v>24.009999999999998</v>
      </c>
      <c r="AF64" s="107" t="s">
        <v>1906</v>
      </c>
      <c r="AG64" s="106">
        <v>0</v>
      </c>
      <c r="AH64" s="107" t="s">
        <v>1906</v>
      </c>
      <c r="AI64" s="106">
        <v>0</v>
      </c>
      <c r="AJ64" s="107" t="s">
        <v>1906</v>
      </c>
      <c r="AK64" s="106">
        <v>0</v>
      </c>
      <c r="AL64" s="107" t="s">
        <v>1906</v>
      </c>
      <c r="AM64" s="106">
        <v>18.059999999999999</v>
      </c>
      <c r="AN64" s="107" t="s">
        <v>1906</v>
      </c>
      <c r="AO64" s="106">
        <v>77.42</v>
      </c>
      <c r="AP64" s="107" t="s">
        <v>1906</v>
      </c>
      <c r="AQ64" s="106">
        <v>77.42</v>
      </c>
      <c r="AR64" s="106" t="s">
        <v>1906</v>
      </c>
      <c r="AS64" s="106">
        <v>77.42</v>
      </c>
      <c r="AT64" s="107" t="s">
        <v>1906</v>
      </c>
      <c r="AU64" s="106">
        <f t="shared" si="1"/>
        <v>605.16999999999996</v>
      </c>
      <c r="AV64" s="25">
        <v>0.29809999999999998</v>
      </c>
      <c r="AW64" s="30" t="str">
        <f t="shared" si="2"/>
        <v>95-70</v>
      </c>
      <c r="AX64" s="30" t="s">
        <v>1907</v>
      </c>
      <c r="AY64" s="30">
        <v>0</v>
      </c>
      <c r="AZ64" s="30">
        <v>0</v>
      </c>
    </row>
    <row r="65" spans="1:52" ht="31.2" x14ac:dyDescent="0.3">
      <c r="A65" s="103">
        <v>55</v>
      </c>
      <c r="B65" s="30" t="s">
        <v>620</v>
      </c>
      <c r="C65" s="30" t="s">
        <v>1899</v>
      </c>
      <c r="D65" s="105" t="s">
        <v>1900</v>
      </c>
      <c r="E65" s="105" t="s">
        <v>1901</v>
      </c>
      <c r="F65" s="30" t="s">
        <v>1902</v>
      </c>
      <c r="G65" s="26" t="s">
        <v>145</v>
      </c>
      <c r="H65" s="24" t="s">
        <v>146</v>
      </c>
      <c r="I65" s="25">
        <v>1</v>
      </c>
      <c r="J65" s="24" t="s">
        <v>1903</v>
      </c>
      <c r="K65" s="24">
        <v>32</v>
      </c>
      <c r="L65" s="24">
        <v>5</v>
      </c>
      <c r="M65" s="24" t="str">
        <f t="shared" si="0"/>
        <v>95-70</v>
      </c>
      <c r="N65" s="24" t="s">
        <v>529</v>
      </c>
      <c r="O65" s="24" t="s">
        <v>529</v>
      </c>
      <c r="P65" s="24">
        <v>1</v>
      </c>
      <c r="Q65" s="102">
        <v>0</v>
      </c>
      <c r="R65" s="30" t="s">
        <v>1905</v>
      </c>
      <c r="S65" s="24">
        <v>0</v>
      </c>
      <c r="T65" s="24"/>
      <c r="U65" s="94">
        <v>370.07999999999993</v>
      </c>
      <c r="V65" s="94">
        <v>190.94000000000003</v>
      </c>
      <c r="W65" s="106">
        <v>26.19</v>
      </c>
      <c r="X65" s="107" t="s">
        <v>1906</v>
      </c>
      <c r="Y65" s="106">
        <v>26.19</v>
      </c>
      <c r="Z65" s="107" t="s">
        <v>1906</v>
      </c>
      <c r="AA65" s="106">
        <v>26.19</v>
      </c>
      <c r="AB65" s="107" t="s">
        <v>1906</v>
      </c>
      <c r="AC65" s="106">
        <v>26.19</v>
      </c>
      <c r="AD65" s="107" t="s">
        <v>1906</v>
      </c>
      <c r="AE65" s="106">
        <v>7.61</v>
      </c>
      <c r="AF65" s="107" t="s">
        <v>1906</v>
      </c>
      <c r="AG65" s="106">
        <v>0</v>
      </c>
      <c r="AH65" s="107" t="s">
        <v>1906</v>
      </c>
      <c r="AI65" s="106">
        <v>0</v>
      </c>
      <c r="AJ65" s="107" t="s">
        <v>1906</v>
      </c>
      <c r="AK65" s="106">
        <v>0</v>
      </c>
      <c r="AL65" s="107" t="s">
        <v>1906</v>
      </c>
      <c r="AM65" s="106">
        <v>6.12</v>
      </c>
      <c r="AN65" s="107" t="s">
        <v>1906</v>
      </c>
      <c r="AO65" s="106">
        <v>26.24</v>
      </c>
      <c r="AP65" s="107" t="s">
        <v>1906</v>
      </c>
      <c r="AQ65" s="106">
        <v>26.24</v>
      </c>
      <c r="AR65" s="106" t="s">
        <v>1906</v>
      </c>
      <c r="AS65" s="106">
        <v>26.24</v>
      </c>
      <c r="AT65" s="107" t="s">
        <v>1906</v>
      </c>
      <c r="AU65" s="106">
        <f t="shared" si="1"/>
        <v>197.21000000000004</v>
      </c>
      <c r="AV65" s="25">
        <v>0.2001</v>
      </c>
      <c r="AW65" s="30" t="str">
        <f t="shared" si="2"/>
        <v>95-70</v>
      </c>
      <c r="AX65" s="30" t="s">
        <v>1907</v>
      </c>
      <c r="AY65" s="30">
        <v>0</v>
      </c>
      <c r="AZ65" s="30">
        <v>0</v>
      </c>
    </row>
    <row r="66" spans="1:52" ht="31.2" x14ac:dyDescent="0.3">
      <c r="A66" s="103">
        <v>56</v>
      </c>
      <c r="B66" s="30" t="s">
        <v>621</v>
      </c>
      <c r="C66" s="30" t="s">
        <v>1899</v>
      </c>
      <c r="D66" s="105" t="s">
        <v>1900</v>
      </c>
      <c r="E66" s="105" t="s">
        <v>1901</v>
      </c>
      <c r="F66" s="30" t="s">
        <v>1902</v>
      </c>
      <c r="G66" s="26" t="s">
        <v>145</v>
      </c>
      <c r="H66" s="24" t="s">
        <v>146</v>
      </c>
      <c r="I66" s="25">
        <v>0</v>
      </c>
      <c r="J66" s="24" t="s">
        <v>1903</v>
      </c>
      <c r="K66" s="24">
        <v>32</v>
      </c>
      <c r="L66" s="24">
        <v>5</v>
      </c>
      <c r="M66" s="24" t="str">
        <f t="shared" si="0"/>
        <v>95-70</v>
      </c>
      <c r="N66" s="24" t="s">
        <v>529</v>
      </c>
      <c r="O66" s="24" t="s">
        <v>529</v>
      </c>
      <c r="P66" s="24">
        <v>0</v>
      </c>
      <c r="Q66" s="102">
        <v>0</v>
      </c>
      <c r="R66" s="30" t="s">
        <v>1905</v>
      </c>
      <c r="S66" s="24">
        <v>0</v>
      </c>
      <c r="T66" s="24"/>
      <c r="U66" s="94">
        <f>512.93*0.55</f>
        <v>282.11149999999998</v>
      </c>
      <c r="V66" s="94">
        <f>176.55*0.55</f>
        <v>97.10250000000002</v>
      </c>
      <c r="W66" s="106">
        <f>24.8*0.55</f>
        <v>13.640000000000002</v>
      </c>
      <c r="X66" s="107" t="s">
        <v>1906</v>
      </c>
      <c r="Y66" s="106">
        <f>24.04*0.55</f>
        <v>13.222000000000001</v>
      </c>
      <c r="Z66" s="107" t="s">
        <v>1906</v>
      </c>
      <c r="AA66" s="106">
        <f>24.67*0.55</f>
        <v>13.568500000000002</v>
      </c>
      <c r="AB66" s="107" t="s">
        <v>1906</v>
      </c>
      <c r="AC66" s="106">
        <f>23.98*0.55</f>
        <v>13.189000000000002</v>
      </c>
      <c r="AD66" s="107" t="s">
        <v>1906</v>
      </c>
      <c r="AE66" s="106">
        <f>6.92*0.55</f>
        <v>3.806</v>
      </c>
      <c r="AF66" s="107" t="s">
        <v>1906</v>
      </c>
      <c r="AG66" s="106">
        <v>0</v>
      </c>
      <c r="AH66" s="107" t="s">
        <v>1906</v>
      </c>
      <c r="AI66" s="106">
        <v>0</v>
      </c>
      <c r="AJ66" s="107" t="s">
        <v>1906</v>
      </c>
      <c r="AK66" s="106">
        <v>0</v>
      </c>
      <c r="AL66" s="107" t="s">
        <v>1906</v>
      </c>
      <c r="AM66" s="106">
        <f>4.67*0.55</f>
        <v>2.5685000000000002</v>
      </c>
      <c r="AN66" s="107" t="s">
        <v>1906</v>
      </c>
      <c r="AO66" s="106">
        <f>21.32*0.55</f>
        <v>11.726000000000001</v>
      </c>
      <c r="AP66" s="107" t="s">
        <v>1906</v>
      </c>
      <c r="AQ66" s="106">
        <f>21.09*0.55</f>
        <v>11.599500000000001</v>
      </c>
      <c r="AR66" s="106" t="s">
        <v>1906</v>
      </c>
      <c r="AS66" s="106">
        <f>21.55*0.55</f>
        <v>11.852500000000001</v>
      </c>
      <c r="AT66" s="107" t="s">
        <v>1906</v>
      </c>
      <c r="AU66" s="106">
        <f t="shared" si="1"/>
        <v>95.172000000000011</v>
      </c>
      <c r="AV66" s="25">
        <v>1E-3</v>
      </c>
      <c r="AW66" s="30" t="str">
        <f t="shared" si="2"/>
        <v>95-70</v>
      </c>
      <c r="AX66" s="30" t="s">
        <v>1907</v>
      </c>
      <c r="AY66" s="30">
        <v>0</v>
      </c>
      <c r="AZ66" s="30">
        <v>0</v>
      </c>
    </row>
    <row r="67" spans="1:52" ht="31.2" x14ac:dyDescent="0.3">
      <c r="A67" s="103">
        <v>57</v>
      </c>
      <c r="B67" s="30" t="s">
        <v>622</v>
      </c>
      <c r="C67" s="30" t="s">
        <v>1899</v>
      </c>
      <c r="D67" s="105" t="s">
        <v>1900</v>
      </c>
      <c r="E67" s="105" t="s">
        <v>1901</v>
      </c>
      <c r="F67" s="30" t="s">
        <v>1902</v>
      </c>
      <c r="G67" s="26" t="s">
        <v>145</v>
      </c>
      <c r="H67" s="24" t="s">
        <v>146</v>
      </c>
      <c r="I67" s="25">
        <v>1</v>
      </c>
      <c r="J67" s="24" t="s">
        <v>1903</v>
      </c>
      <c r="K67" s="24">
        <v>32</v>
      </c>
      <c r="L67" s="24">
        <v>5</v>
      </c>
      <c r="M67" s="24" t="str">
        <f t="shared" si="0"/>
        <v>95-70</v>
      </c>
      <c r="N67" s="24" t="s">
        <v>529</v>
      </c>
      <c r="O67" s="24" t="s">
        <v>529</v>
      </c>
      <c r="P67" s="24">
        <v>1</v>
      </c>
      <c r="Q67" s="102">
        <v>0</v>
      </c>
      <c r="R67" s="30" t="s">
        <v>1905</v>
      </c>
      <c r="S67" s="24">
        <v>0</v>
      </c>
      <c r="T67" s="24"/>
      <c r="U67" s="94">
        <f>512.93*0.45</f>
        <v>230.81849999999997</v>
      </c>
      <c r="V67" s="94">
        <f>176.55*0.45</f>
        <v>79.447500000000005</v>
      </c>
      <c r="W67" s="106">
        <f>24.8*0.45</f>
        <v>11.16</v>
      </c>
      <c r="X67" s="107" t="s">
        <v>1906</v>
      </c>
      <c r="Y67" s="106">
        <f>24.04*0.45</f>
        <v>10.818</v>
      </c>
      <c r="Z67" s="107" t="s">
        <v>1906</v>
      </c>
      <c r="AA67" s="106">
        <f>24.67*0.45</f>
        <v>11.101500000000001</v>
      </c>
      <c r="AB67" s="107" t="s">
        <v>1906</v>
      </c>
      <c r="AC67" s="106">
        <f>23.98*0.45</f>
        <v>10.791</v>
      </c>
      <c r="AD67" s="107" t="s">
        <v>1906</v>
      </c>
      <c r="AE67" s="106">
        <f>6.92*0.45</f>
        <v>3.1139999999999999</v>
      </c>
      <c r="AF67" s="107" t="s">
        <v>1906</v>
      </c>
      <c r="AG67" s="106">
        <v>0</v>
      </c>
      <c r="AH67" s="107" t="s">
        <v>1906</v>
      </c>
      <c r="AI67" s="106">
        <v>0</v>
      </c>
      <c r="AJ67" s="107" t="s">
        <v>1906</v>
      </c>
      <c r="AK67" s="106">
        <v>0</v>
      </c>
      <c r="AL67" s="107" t="s">
        <v>1906</v>
      </c>
      <c r="AM67" s="106">
        <f>4.67*0.45</f>
        <v>2.1015000000000001</v>
      </c>
      <c r="AN67" s="107" t="s">
        <v>1906</v>
      </c>
      <c r="AO67" s="106">
        <f>21.32*0.45</f>
        <v>9.5940000000000012</v>
      </c>
      <c r="AP67" s="107" t="s">
        <v>1906</v>
      </c>
      <c r="AQ67" s="106">
        <f>21.09*0.45</f>
        <v>9.4905000000000008</v>
      </c>
      <c r="AR67" s="106" t="s">
        <v>1906</v>
      </c>
      <c r="AS67" s="106">
        <f>21.55*0.45</f>
        <v>9.6974999999999998</v>
      </c>
      <c r="AT67" s="107" t="s">
        <v>1906</v>
      </c>
      <c r="AU67" s="106">
        <f t="shared" si="1"/>
        <v>77.868000000000009</v>
      </c>
      <c r="AV67" s="25">
        <v>0.23400000000000001</v>
      </c>
      <c r="AW67" s="30" t="str">
        <f t="shared" si="2"/>
        <v>95-70</v>
      </c>
      <c r="AX67" s="30" t="s">
        <v>1907</v>
      </c>
      <c r="AY67" s="30">
        <v>0</v>
      </c>
      <c r="AZ67" s="30">
        <v>0</v>
      </c>
    </row>
    <row r="68" spans="1:52" ht="31.2" x14ac:dyDescent="0.3">
      <c r="A68" s="103">
        <v>58</v>
      </c>
      <c r="B68" s="30" t="s">
        <v>624</v>
      </c>
      <c r="C68" s="30" t="s">
        <v>1899</v>
      </c>
      <c r="D68" s="105" t="s">
        <v>1900</v>
      </c>
      <c r="E68" s="105" t="s">
        <v>1901</v>
      </c>
      <c r="F68" s="30" t="s">
        <v>1902</v>
      </c>
      <c r="G68" s="26" t="s">
        <v>145</v>
      </c>
      <c r="H68" s="24" t="s">
        <v>146</v>
      </c>
      <c r="I68" s="25">
        <v>1</v>
      </c>
      <c r="J68" s="24" t="s">
        <v>1903</v>
      </c>
      <c r="K68" s="24">
        <v>65</v>
      </c>
      <c r="L68" s="24">
        <v>5</v>
      </c>
      <c r="M68" s="24" t="str">
        <f t="shared" si="0"/>
        <v>95-70</v>
      </c>
      <c r="N68" s="24" t="s">
        <v>529</v>
      </c>
      <c r="O68" s="24" t="s">
        <v>529</v>
      </c>
      <c r="P68" s="24">
        <v>1</v>
      </c>
      <c r="Q68" s="102">
        <v>0</v>
      </c>
      <c r="R68" s="30" t="s">
        <v>1905</v>
      </c>
      <c r="S68" s="24">
        <v>0</v>
      </c>
      <c r="T68" s="24"/>
      <c r="U68" s="94">
        <v>746.36000000000013</v>
      </c>
      <c r="V68" s="94">
        <v>889.2</v>
      </c>
      <c r="W68" s="106">
        <v>121.97</v>
      </c>
      <c r="X68" s="107" t="s">
        <v>1906</v>
      </c>
      <c r="Y68" s="106">
        <v>121.97</v>
      </c>
      <c r="Z68" s="107" t="s">
        <v>1906</v>
      </c>
      <c r="AA68" s="106">
        <v>121.97</v>
      </c>
      <c r="AB68" s="107" t="s">
        <v>1906</v>
      </c>
      <c r="AC68" s="106">
        <v>121.97</v>
      </c>
      <c r="AD68" s="107" t="s">
        <v>1906</v>
      </c>
      <c r="AE68" s="106">
        <v>35.409999999999997</v>
      </c>
      <c r="AF68" s="107" t="s">
        <v>1906</v>
      </c>
      <c r="AG68" s="106">
        <v>0</v>
      </c>
      <c r="AH68" s="107" t="s">
        <v>1906</v>
      </c>
      <c r="AI68" s="106">
        <v>0</v>
      </c>
      <c r="AJ68" s="107" t="s">
        <v>1906</v>
      </c>
      <c r="AK68" s="106">
        <v>0</v>
      </c>
      <c r="AL68" s="107" t="s">
        <v>1906</v>
      </c>
      <c r="AM68" s="106">
        <v>0</v>
      </c>
      <c r="AN68" s="107" t="s">
        <v>1906</v>
      </c>
      <c r="AO68" s="106">
        <v>116.85</v>
      </c>
      <c r="AP68" s="107" t="s">
        <v>1906</v>
      </c>
      <c r="AQ68" s="106">
        <v>116.85</v>
      </c>
      <c r="AR68" s="106" t="s">
        <v>1906</v>
      </c>
      <c r="AS68" s="106">
        <v>116.85</v>
      </c>
      <c r="AT68" s="107" t="s">
        <v>1906</v>
      </c>
      <c r="AU68" s="106">
        <f t="shared" si="1"/>
        <v>873.84</v>
      </c>
      <c r="AV68" s="25">
        <v>0.3649</v>
      </c>
      <c r="AW68" s="30" t="str">
        <f t="shared" si="2"/>
        <v>95-70</v>
      </c>
      <c r="AX68" s="30" t="s">
        <v>1907</v>
      </c>
      <c r="AY68" s="30">
        <v>0</v>
      </c>
      <c r="AZ68" s="30">
        <v>0</v>
      </c>
    </row>
    <row r="69" spans="1:52" ht="31.2" x14ac:dyDescent="0.3">
      <c r="A69" s="103">
        <v>59</v>
      </c>
      <c r="B69" s="30" t="s">
        <v>625</v>
      </c>
      <c r="C69" s="30" t="s">
        <v>1899</v>
      </c>
      <c r="D69" s="105" t="s">
        <v>1900</v>
      </c>
      <c r="E69" s="105" t="s">
        <v>1901</v>
      </c>
      <c r="F69" s="30" t="s">
        <v>1902</v>
      </c>
      <c r="G69" s="26" t="s">
        <v>145</v>
      </c>
      <c r="H69" s="24" t="s">
        <v>146</v>
      </c>
      <c r="I69" s="25">
        <v>1</v>
      </c>
      <c r="J69" s="24" t="s">
        <v>1903</v>
      </c>
      <c r="K69" s="24">
        <v>40</v>
      </c>
      <c r="L69" s="24">
        <v>5</v>
      </c>
      <c r="M69" s="24" t="str">
        <f t="shared" si="0"/>
        <v>95-70</v>
      </c>
      <c r="N69" s="24" t="s">
        <v>529</v>
      </c>
      <c r="O69" s="24" t="s">
        <v>529</v>
      </c>
      <c r="P69" s="24">
        <v>1</v>
      </c>
      <c r="Q69" s="102">
        <v>0</v>
      </c>
      <c r="R69" s="30" t="s">
        <v>1905</v>
      </c>
      <c r="S69" s="24">
        <v>0</v>
      </c>
      <c r="T69" s="24"/>
      <c r="U69" s="94">
        <v>502.21999999999997</v>
      </c>
      <c r="V69" s="94">
        <v>605.65000000000009</v>
      </c>
      <c r="W69" s="106">
        <v>134.08000000000001</v>
      </c>
      <c r="X69" s="107" t="s">
        <v>208</v>
      </c>
      <c r="Y69" s="106">
        <v>76</v>
      </c>
      <c r="Z69" s="107" t="s">
        <v>208</v>
      </c>
      <c r="AA69" s="106">
        <v>112.29</v>
      </c>
      <c r="AB69" s="107" t="s">
        <v>208</v>
      </c>
      <c r="AC69" s="106">
        <v>80.180000000000007</v>
      </c>
      <c r="AD69" s="107" t="s">
        <v>208</v>
      </c>
      <c r="AE69" s="106">
        <v>26.279999999999998</v>
      </c>
      <c r="AF69" s="107" t="s">
        <v>208</v>
      </c>
      <c r="AG69" s="106">
        <v>0</v>
      </c>
      <c r="AH69" s="107" t="s">
        <v>208</v>
      </c>
      <c r="AI69" s="106">
        <v>0</v>
      </c>
      <c r="AJ69" s="107" t="s">
        <v>208</v>
      </c>
      <c r="AK69" s="106">
        <v>0</v>
      </c>
      <c r="AL69" s="107" t="s">
        <v>208</v>
      </c>
      <c r="AM69" s="106">
        <v>0</v>
      </c>
      <c r="AN69" s="107" t="s">
        <v>208</v>
      </c>
      <c r="AO69" s="106">
        <v>58.21</v>
      </c>
      <c r="AP69" s="107" t="s">
        <v>208</v>
      </c>
      <c r="AQ69" s="106">
        <v>61.089999999999996</v>
      </c>
      <c r="AR69" s="106" t="s">
        <v>208</v>
      </c>
      <c r="AS69" s="106">
        <v>55.879999999999995</v>
      </c>
      <c r="AT69" s="107" t="s">
        <v>208</v>
      </c>
      <c r="AU69" s="106">
        <f t="shared" si="1"/>
        <v>604.01</v>
      </c>
      <c r="AV69" s="25">
        <v>0.2235</v>
      </c>
      <c r="AW69" s="30" t="str">
        <f t="shared" si="2"/>
        <v>95-70</v>
      </c>
      <c r="AX69" s="30" t="s">
        <v>1907</v>
      </c>
      <c r="AY69" s="30">
        <v>0</v>
      </c>
      <c r="AZ69" s="30">
        <v>0</v>
      </c>
    </row>
    <row r="70" spans="1:52" ht="31.2" x14ac:dyDescent="0.3">
      <c r="A70" s="103">
        <v>60</v>
      </c>
      <c r="B70" s="30" t="s">
        <v>626</v>
      </c>
      <c r="C70" s="30" t="s">
        <v>1899</v>
      </c>
      <c r="D70" s="105" t="s">
        <v>1900</v>
      </c>
      <c r="E70" s="105" t="s">
        <v>1901</v>
      </c>
      <c r="F70" s="30" t="s">
        <v>1902</v>
      </c>
      <c r="G70" s="26" t="s">
        <v>145</v>
      </c>
      <c r="H70" s="24" t="s">
        <v>146</v>
      </c>
      <c r="I70" s="25">
        <v>1</v>
      </c>
      <c r="J70" s="24" t="s">
        <v>1903</v>
      </c>
      <c r="K70" s="24">
        <v>50</v>
      </c>
      <c r="L70" s="24">
        <v>5</v>
      </c>
      <c r="M70" s="24" t="str">
        <f t="shared" si="0"/>
        <v>95-70</v>
      </c>
      <c r="N70" s="24" t="s">
        <v>529</v>
      </c>
      <c r="O70" s="24" t="s">
        <v>529</v>
      </c>
      <c r="P70" s="24">
        <v>1</v>
      </c>
      <c r="Q70" s="102">
        <v>0</v>
      </c>
      <c r="R70" s="30" t="s">
        <v>1905</v>
      </c>
      <c r="S70" s="24">
        <v>0</v>
      </c>
      <c r="T70" s="24"/>
      <c r="U70" s="94">
        <v>639.42000000000007</v>
      </c>
      <c r="V70" s="94">
        <v>648.58999999999992</v>
      </c>
      <c r="W70" s="106">
        <v>133.56</v>
      </c>
      <c r="X70" s="107" t="s">
        <v>208</v>
      </c>
      <c r="Y70" s="106">
        <v>77.260000000000005</v>
      </c>
      <c r="Z70" s="107" t="s">
        <v>208</v>
      </c>
      <c r="AA70" s="106">
        <v>113.84</v>
      </c>
      <c r="AB70" s="107" t="s">
        <v>208</v>
      </c>
      <c r="AC70" s="106">
        <v>87.299999999999983</v>
      </c>
      <c r="AD70" s="107" t="s">
        <v>208</v>
      </c>
      <c r="AE70" s="106">
        <v>27.830000000000002</v>
      </c>
      <c r="AF70" s="107" t="s">
        <v>208</v>
      </c>
      <c r="AG70" s="106">
        <v>0</v>
      </c>
      <c r="AH70" s="107" t="s">
        <v>208</v>
      </c>
      <c r="AI70" s="106">
        <v>0</v>
      </c>
      <c r="AJ70" s="107" t="s">
        <v>208</v>
      </c>
      <c r="AK70" s="106">
        <v>0</v>
      </c>
      <c r="AL70" s="107" t="s">
        <v>208</v>
      </c>
      <c r="AM70" s="106">
        <v>0</v>
      </c>
      <c r="AN70" s="107" t="s">
        <v>208</v>
      </c>
      <c r="AO70" s="106">
        <v>57.86</v>
      </c>
      <c r="AP70" s="107" t="s">
        <v>208</v>
      </c>
      <c r="AQ70" s="106">
        <v>55.88</v>
      </c>
      <c r="AR70" s="106" t="s">
        <v>208</v>
      </c>
      <c r="AS70" s="106">
        <v>79.419999999999987</v>
      </c>
      <c r="AT70" s="107" t="s">
        <v>208</v>
      </c>
      <c r="AU70" s="106">
        <f t="shared" si="1"/>
        <v>632.94999999999993</v>
      </c>
      <c r="AV70" s="25">
        <v>0.26479999999999998</v>
      </c>
      <c r="AW70" s="30" t="str">
        <f t="shared" si="2"/>
        <v>95-70</v>
      </c>
      <c r="AX70" s="30" t="s">
        <v>1907</v>
      </c>
      <c r="AY70" s="30">
        <v>0</v>
      </c>
      <c r="AZ70" s="30">
        <v>0</v>
      </c>
    </row>
    <row r="71" spans="1:52" ht="31.2" x14ac:dyDescent="0.3">
      <c r="A71" s="103">
        <v>61</v>
      </c>
      <c r="B71" s="30" t="s">
        <v>627</v>
      </c>
      <c r="C71" s="30" t="s">
        <v>1899</v>
      </c>
      <c r="D71" s="105" t="s">
        <v>1900</v>
      </c>
      <c r="E71" s="105" t="s">
        <v>1901</v>
      </c>
      <c r="F71" s="30" t="s">
        <v>1902</v>
      </c>
      <c r="G71" s="26" t="s">
        <v>145</v>
      </c>
      <c r="H71" s="24" t="s">
        <v>146</v>
      </c>
      <c r="I71" s="25">
        <v>1</v>
      </c>
      <c r="J71" s="24" t="s">
        <v>1903</v>
      </c>
      <c r="K71" s="24">
        <v>50</v>
      </c>
      <c r="L71" s="24">
        <v>5</v>
      </c>
      <c r="M71" s="24" t="str">
        <f t="shared" si="0"/>
        <v>95-70</v>
      </c>
      <c r="N71" s="24" t="s">
        <v>529</v>
      </c>
      <c r="O71" s="24" t="s">
        <v>529</v>
      </c>
      <c r="P71" s="24">
        <v>1</v>
      </c>
      <c r="Q71" s="102">
        <v>0</v>
      </c>
      <c r="R71" s="30" t="s">
        <v>1905</v>
      </c>
      <c r="S71" s="24">
        <v>0</v>
      </c>
      <c r="T71" s="24"/>
      <c r="U71" s="94">
        <v>450.42999999999995</v>
      </c>
      <c r="V71" s="94">
        <v>342.25</v>
      </c>
      <c r="W71" s="106">
        <v>69.77</v>
      </c>
      <c r="X71" s="107" t="s">
        <v>208</v>
      </c>
      <c r="Y71" s="106">
        <v>43.37</v>
      </c>
      <c r="Z71" s="107" t="s">
        <v>208</v>
      </c>
      <c r="AA71" s="106">
        <v>50.21</v>
      </c>
      <c r="AB71" s="107" t="s">
        <v>208</v>
      </c>
      <c r="AC71" s="106">
        <v>41.72</v>
      </c>
      <c r="AD71" s="107" t="s">
        <v>208</v>
      </c>
      <c r="AE71" s="106">
        <v>12.86</v>
      </c>
      <c r="AF71" s="107" t="s">
        <v>208</v>
      </c>
      <c r="AG71" s="106">
        <v>0</v>
      </c>
      <c r="AH71" s="107" t="s">
        <v>208</v>
      </c>
      <c r="AI71" s="106">
        <v>0</v>
      </c>
      <c r="AJ71" s="107" t="s">
        <v>208</v>
      </c>
      <c r="AK71" s="106">
        <v>0</v>
      </c>
      <c r="AL71" s="107" t="s">
        <v>208</v>
      </c>
      <c r="AM71" s="106">
        <v>0</v>
      </c>
      <c r="AN71" s="107" t="s">
        <v>208</v>
      </c>
      <c r="AO71" s="106">
        <v>21.43</v>
      </c>
      <c r="AP71" s="107" t="s">
        <v>208</v>
      </c>
      <c r="AQ71" s="106">
        <v>23.73</v>
      </c>
      <c r="AR71" s="106" t="s">
        <v>208</v>
      </c>
      <c r="AS71" s="106">
        <v>39.47</v>
      </c>
      <c r="AT71" s="107" t="s">
        <v>208</v>
      </c>
      <c r="AU71" s="106">
        <f t="shared" si="1"/>
        <v>302.56000000000006</v>
      </c>
      <c r="AV71" s="25">
        <v>0.2666</v>
      </c>
      <c r="AW71" s="30" t="str">
        <f t="shared" si="2"/>
        <v>95-70</v>
      </c>
      <c r="AX71" s="30" t="s">
        <v>1907</v>
      </c>
      <c r="AY71" s="30">
        <v>0</v>
      </c>
      <c r="AZ71" s="30">
        <v>0</v>
      </c>
    </row>
    <row r="72" spans="1:52" ht="31.2" x14ac:dyDescent="0.3">
      <c r="A72" s="103">
        <v>62</v>
      </c>
      <c r="B72" s="30" t="s">
        <v>628</v>
      </c>
      <c r="C72" s="30" t="s">
        <v>1899</v>
      </c>
      <c r="D72" s="105" t="s">
        <v>1900</v>
      </c>
      <c r="E72" s="105" t="s">
        <v>1901</v>
      </c>
      <c r="F72" s="30" t="s">
        <v>1902</v>
      </c>
      <c r="G72" s="26" t="s">
        <v>145</v>
      </c>
      <c r="H72" s="24" t="s">
        <v>146</v>
      </c>
      <c r="I72" s="25">
        <v>1</v>
      </c>
      <c r="J72" s="24" t="s">
        <v>1903</v>
      </c>
      <c r="K72" s="24">
        <v>32</v>
      </c>
      <c r="L72" s="24">
        <v>5</v>
      </c>
      <c r="M72" s="24" t="str">
        <f t="shared" si="0"/>
        <v>95-70</v>
      </c>
      <c r="N72" s="24" t="s">
        <v>529</v>
      </c>
      <c r="O72" s="24" t="s">
        <v>529</v>
      </c>
      <c r="P72" s="24">
        <v>1</v>
      </c>
      <c r="Q72" s="102">
        <v>0</v>
      </c>
      <c r="R72" s="30" t="s">
        <v>1905</v>
      </c>
      <c r="S72" s="24">
        <v>0</v>
      </c>
      <c r="T72" s="24"/>
      <c r="U72" s="94">
        <v>657.4</v>
      </c>
      <c r="V72" s="94">
        <v>587.38</v>
      </c>
      <c r="W72" s="106">
        <v>80.569999999999993</v>
      </c>
      <c r="X72" s="107" t="s">
        <v>1906</v>
      </c>
      <c r="Y72" s="106">
        <v>80.569999999999993</v>
      </c>
      <c r="Z72" s="107" t="s">
        <v>1906</v>
      </c>
      <c r="AA72" s="106">
        <v>80.569999999999993</v>
      </c>
      <c r="AB72" s="107" t="s">
        <v>1906</v>
      </c>
      <c r="AC72" s="106">
        <v>80.569999999999993</v>
      </c>
      <c r="AD72" s="107" t="s">
        <v>1906</v>
      </c>
      <c r="AE72" s="106">
        <v>23.39</v>
      </c>
      <c r="AF72" s="107" t="s">
        <v>1906</v>
      </c>
      <c r="AG72" s="106">
        <v>0</v>
      </c>
      <c r="AH72" s="107" t="s">
        <v>1906</v>
      </c>
      <c r="AI72" s="106">
        <v>0</v>
      </c>
      <c r="AJ72" s="107" t="s">
        <v>1906</v>
      </c>
      <c r="AK72" s="106">
        <v>0</v>
      </c>
      <c r="AL72" s="107" t="s">
        <v>1906</v>
      </c>
      <c r="AM72" s="106">
        <v>17.12</v>
      </c>
      <c r="AN72" s="107" t="s">
        <v>1906</v>
      </c>
      <c r="AO72" s="106">
        <v>73.39</v>
      </c>
      <c r="AP72" s="107" t="s">
        <v>1906</v>
      </c>
      <c r="AQ72" s="106">
        <v>73.39</v>
      </c>
      <c r="AR72" s="106" t="s">
        <v>1906</v>
      </c>
      <c r="AS72" s="106">
        <v>73.39</v>
      </c>
      <c r="AT72" s="107" t="s">
        <v>1906</v>
      </c>
      <c r="AU72" s="106">
        <f t="shared" si="1"/>
        <v>582.95999999999992</v>
      </c>
      <c r="AV72" s="25">
        <v>0.29549999999999998</v>
      </c>
      <c r="AW72" s="30" t="str">
        <f t="shared" si="2"/>
        <v>95-70</v>
      </c>
      <c r="AX72" s="30" t="s">
        <v>1907</v>
      </c>
      <c r="AY72" s="30">
        <v>0</v>
      </c>
      <c r="AZ72" s="30">
        <v>0</v>
      </c>
    </row>
    <row r="73" spans="1:52" ht="31.2" x14ac:dyDescent="0.3">
      <c r="A73" s="103">
        <v>63</v>
      </c>
      <c r="B73" s="30" t="s">
        <v>629</v>
      </c>
      <c r="C73" s="30" t="s">
        <v>1899</v>
      </c>
      <c r="D73" s="105" t="s">
        <v>1900</v>
      </c>
      <c r="E73" s="105" t="s">
        <v>1901</v>
      </c>
      <c r="F73" s="30" t="s">
        <v>1902</v>
      </c>
      <c r="G73" s="26" t="s">
        <v>145</v>
      </c>
      <c r="H73" s="24" t="s">
        <v>146</v>
      </c>
      <c r="I73" s="25">
        <v>0</v>
      </c>
      <c r="J73" s="24" t="s">
        <v>1903</v>
      </c>
      <c r="K73" s="24">
        <v>32</v>
      </c>
      <c r="L73" s="24">
        <v>5</v>
      </c>
      <c r="M73" s="24" t="str">
        <f t="shared" si="0"/>
        <v>95-70</v>
      </c>
      <c r="N73" s="24" t="s">
        <v>529</v>
      </c>
      <c r="O73" s="24" t="s">
        <v>529</v>
      </c>
      <c r="P73" s="24">
        <v>0</v>
      </c>
      <c r="Q73" s="102">
        <v>0</v>
      </c>
      <c r="R73" s="30" t="s">
        <v>1905</v>
      </c>
      <c r="S73" s="24">
        <v>0</v>
      </c>
      <c r="T73" s="24"/>
      <c r="U73" s="94">
        <v>340.64</v>
      </c>
      <c r="V73" s="94">
        <v>313.92</v>
      </c>
      <c r="W73" s="106">
        <v>43.8</v>
      </c>
      <c r="X73" s="107" t="s">
        <v>1906</v>
      </c>
      <c r="Y73" s="106">
        <v>43.72</v>
      </c>
      <c r="Z73" s="107" t="s">
        <v>1906</v>
      </c>
      <c r="AA73" s="106">
        <v>43.72</v>
      </c>
      <c r="AB73" s="107" t="s">
        <v>1906</v>
      </c>
      <c r="AC73" s="106">
        <v>41.480000000000004</v>
      </c>
      <c r="AD73" s="107" t="s">
        <v>1906</v>
      </c>
      <c r="AE73" s="106">
        <v>9.7999999999999989</v>
      </c>
      <c r="AF73" s="107" t="s">
        <v>1906</v>
      </c>
      <c r="AG73" s="106">
        <v>0</v>
      </c>
      <c r="AH73" s="107" t="s">
        <v>1906</v>
      </c>
      <c r="AI73" s="106">
        <v>0</v>
      </c>
      <c r="AJ73" s="107" t="s">
        <v>1906</v>
      </c>
      <c r="AK73" s="106">
        <v>0</v>
      </c>
      <c r="AL73" s="107" t="s">
        <v>1906</v>
      </c>
      <c r="AM73" s="106">
        <v>9.4</v>
      </c>
      <c r="AN73" s="107" t="s">
        <v>1906</v>
      </c>
      <c r="AO73" s="106">
        <v>40.270000000000003</v>
      </c>
      <c r="AP73" s="107" t="s">
        <v>1906</v>
      </c>
      <c r="AQ73" s="106">
        <v>40.270000000000003</v>
      </c>
      <c r="AR73" s="106" t="s">
        <v>1906</v>
      </c>
      <c r="AS73" s="106">
        <v>40.270000000000003</v>
      </c>
      <c r="AT73" s="107" t="s">
        <v>1906</v>
      </c>
      <c r="AU73" s="106">
        <f t="shared" si="1"/>
        <v>312.73</v>
      </c>
      <c r="AV73" s="25">
        <v>0.1807</v>
      </c>
      <c r="AW73" s="30" t="str">
        <f t="shared" si="2"/>
        <v>95-70</v>
      </c>
      <c r="AX73" s="30" t="s">
        <v>1907</v>
      </c>
      <c r="AY73" s="30">
        <v>0</v>
      </c>
      <c r="AZ73" s="30">
        <v>0</v>
      </c>
    </row>
    <row r="74" spans="1:52" ht="31.2" x14ac:dyDescent="0.3">
      <c r="A74" s="103">
        <v>64</v>
      </c>
      <c r="B74" s="30" t="s">
        <v>630</v>
      </c>
      <c r="C74" s="30" t="s">
        <v>1899</v>
      </c>
      <c r="D74" s="105" t="s">
        <v>1900</v>
      </c>
      <c r="E74" s="105" t="s">
        <v>1901</v>
      </c>
      <c r="F74" s="30" t="s">
        <v>1902</v>
      </c>
      <c r="G74" s="26" t="s">
        <v>145</v>
      </c>
      <c r="H74" s="24" t="s">
        <v>146</v>
      </c>
      <c r="I74" s="25">
        <v>1</v>
      </c>
      <c r="J74" s="24" t="s">
        <v>1903</v>
      </c>
      <c r="K74" s="24">
        <v>40</v>
      </c>
      <c r="L74" s="24">
        <v>5</v>
      </c>
      <c r="M74" s="24" t="str">
        <f t="shared" si="0"/>
        <v>95-70</v>
      </c>
      <c r="N74" s="24" t="s">
        <v>529</v>
      </c>
      <c r="O74" s="24" t="s">
        <v>529</v>
      </c>
      <c r="P74" s="24">
        <v>1</v>
      </c>
      <c r="Q74" s="102">
        <v>0</v>
      </c>
      <c r="R74" s="30" t="s">
        <v>1905</v>
      </c>
      <c r="S74" s="24">
        <v>0</v>
      </c>
      <c r="T74" s="24"/>
      <c r="U74" s="94">
        <v>474.99000000000007</v>
      </c>
      <c r="V74" s="94">
        <v>415.68</v>
      </c>
      <c r="W74" s="106">
        <v>74.63</v>
      </c>
      <c r="X74" s="107" t="s">
        <v>208</v>
      </c>
      <c r="Y74" s="106">
        <v>53.37</v>
      </c>
      <c r="Z74" s="107" t="s">
        <v>208</v>
      </c>
      <c r="AA74" s="106">
        <v>70.75</v>
      </c>
      <c r="AB74" s="107" t="s">
        <v>208</v>
      </c>
      <c r="AC74" s="106">
        <v>57.4</v>
      </c>
      <c r="AD74" s="107" t="s">
        <v>208</v>
      </c>
      <c r="AE74" s="106">
        <v>17.7</v>
      </c>
      <c r="AF74" s="107" t="s">
        <v>208</v>
      </c>
      <c r="AG74" s="106">
        <v>0</v>
      </c>
      <c r="AH74" s="107" t="s">
        <v>208</v>
      </c>
      <c r="AI74" s="106">
        <v>0</v>
      </c>
      <c r="AJ74" s="107" t="s">
        <v>208</v>
      </c>
      <c r="AK74" s="106">
        <v>0</v>
      </c>
      <c r="AL74" s="107" t="s">
        <v>208</v>
      </c>
      <c r="AM74" s="106">
        <v>0</v>
      </c>
      <c r="AN74" s="107" t="s">
        <v>208</v>
      </c>
      <c r="AO74" s="106">
        <v>49.03</v>
      </c>
      <c r="AP74" s="107" t="s">
        <v>208</v>
      </c>
      <c r="AQ74" s="106">
        <v>49.03</v>
      </c>
      <c r="AR74" s="106" t="s">
        <v>208</v>
      </c>
      <c r="AS74" s="106">
        <v>36.729999999999997</v>
      </c>
      <c r="AT74" s="107" t="s">
        <v>208</v>
      </c>
      <c r="AU74" s="106">
        <f t="shared" si="1"/>
        <v>408.64</v>
      </c>
      <c r="AV74" s="25">
        <v>0.2014</v>
      </c>
      <c r="AW74" s="30" t="str">
        <f t="shared" si="2"/>
        <v>95-70</v>
      </c>
      <c r="AX74" s="30" t="s">
        <v>1907</v>
      </c>
      <c r="AY74" s="30">
        <v>0</v>
      </c>
      <c r="AZ74" s="30">
        <v>0</v>
      </c>
    </row>
    <row r="75" spans="1:52" ht="31.2" x14ac:dyDescent="0.3">
      <c r="A75" s="103">
        <v>65</v>
      </c>
      <c r="B75" s="30" t="s">
        <v>631</v>
      </c>
      <c r="C75" s="30" t="s">
        <v>1899</v>
      </c>
      <c r="D75" s="105" t="s">
        <v>1900</v>
      </c>
      <c r="E75" s="105" t="s">
        <v>1901</v>
      </c>
      <c r="F75" s="30" t="s">
        <v>1902</v>
      </c>
      <c r="G75" s="26" t="s">
        <v>145</v>
      </c>
      <c r="H75" s="24" t="s">
        <v>146</v>
      </c>
      <c r="I75" s="25">
        <v>1</v>
      </c>
      <c r="J75" s="24" t="s">
        <v>1903</v>
      </c>
      <c r="K75" s="24">
        <v>65</v>
      </c>
      <c r="L75" s="24">
        <v>5</v>
      </c>
      <c r="M75" s="24" t="str">
        <f t="shared" si="0"/>
        <v>95-70</v>
      </c>
      <c r="N75" s="24" t="s">
        <v>529</v>
      </c>
      <c r="O75" s="24" t="s">
        <v>529</v>
      </c>
      <c r="P75" s="24">
        <v>1</v>
      </c>
      <c r="Q75" s="102">
        <v>0</v>
      </c>
      <c r="R75" s="30" t="s">
        <v>1905</v>
      </c>
      <c r="S75" s="24">
        <v>0</v>
      </c>
      <c r="T75" s="24"/>
      <c r="U75" s="94">
        <f>868.52*0.9</f>
        <v>781.66800000000001</v>
      </c>
      <c r="V75" s="94">
        <f>830.11*0.9</f>
        <v>747.09900000000005</v>
      </c>
      <c r="W75" s="106">
        <f>164.69*0.9</f>
        <v>148.221</v>
      </c>
      <c r="X75" s="107" t="s">
        <v>208</v>
      </c>
      <c r="Y75" s="106">
        <f>96.58*0.9</f>
        <v>86.921999999999997</v>
      </c>
      <c r="Z75" s="107" t="s">
        <v>208</v>
      </c>
      <c r="AA75" s="106">
        <f>144.62*0.9</f>
        <v>130.15800000000002</v>
      </c>
      <c r="AB75" s="107" t="s">
        <v>208</v>
      </c>
      <c r="AC75" s="106">
        <f>107.42*0.9</f>
        <v>96.677999999999997</v>
      </c>
      <c r="AD75" s="107" t="s">
        <v>208</v>
      </c>
      <c r="AE75" s="106">
        <f>34.11*0.9</f>
        <v>30.699000000000002</v>
      </c>
      <c r="AF75" s="107" t="s">
        <v>208</v>
      </c>
      <c r="AG75" s="106">
        <v>0</v>
      </c>
      <c r="AH75" s="107" t="s">
        <v>208</v>
      </c>
      <c r="AI75" s="106">
        <v>0</v>
      </c>
      <c r="AJ75" s="107" t="s">
        <v>208</v>
      </c>
      <c r="AK75" s="106">
        <v>0</v>
      </c>
      <c r="AL75" s="107" t="s">
        <v>208</v>
      </c>
      <c r="AM75" s="106">
        <v>0</v>
      </c>
      <c r="AN75" s="107" t="s">
        <v>208</v>
      </c>
      <c r="AO75" s="106">
        <f>97.64*0.9</f>
        <v>87.876000000000005</v>
      </c>
      <c r="AP75" s="107" t="s">
        <v>208</v>
      </c>
      <c r="AQ75" s="106">
        <f>97.64*0.9</f>
        <v>87.876000000000005</v>
      </c>
      <c r="AR75" s="106" t="s">
        <v>208</v>
      </c>
      <c r="AS75" s="106">
        <f>60.98*0.9</f>
        <v>54.881999999999998</v>
      </c>
      <c r="AT75" s="107" t="s">
        <v>208</v>
      </c>
      <c r="AU75" s="106">
        <f t="shared" si="1"/>
        <v>723.31200000000001</v>
      </c>
      <c r="AV75" s="25">
        <v>0.36630000000000001</v>
      </c>
      <c r="AW75" s="30" t="str">
        <f t="shared" si="2"/>
        <v>95-70</v>
      </c>
      <c r="AX75" s="30" t="s">
        <v>1907</v>
      </c>
      <c r="AY75" s="30">
        <v>0</v>
      </c>
      <c r="AZ75" s="30">
        <v>0</v>
      </c>
    </row>
    <row r="76" spans="1:52" ht="31.2" x14ac:dyDescent="0.3">
      <c r="A76" s="103">
        <v>66</v>
      </c>
      <c r="B76" s="30" t="s">
        <v>632</v>
      </c>
      <c r="C76" s="30" t="s">
        <v>1899</v>
      </c>
      <c r="D76" s="105" t="s">
        <v>1900</v>
      </c>
      <c r="E76" s="105" t="s">
        <v>1901</v>
      </c>
      <c r="F76" s="30" t="s">
        <v>1902</v>
      </c>
      <c r="G76" s="26" t="s">
        <v>145</v>
      </c>
      <c r="H76" s="24" t="s">
        <v>146</v>
      </c>
      <c r="I76" s="25">
        <v>0</v>
      </c>
      <c r="J76" s="24" t="s">
        <v>1903</v>
      </c>
      <c r="K76" s="24">
        <v>65</v>
      </c>
      <c r="L76" s="24">
        <v>5</v>
      </c>
      <c r="M76" s="24" t="str">
        <f t="shared" si="0"/>
        <v>95-70</v>
      </c>
      <c r="N76" s="24" t="s">
        <v>529</v>
      </c>
      <c r="O76" s="24" t="s">
        <v>529</v>
      </c>
      <c r="P76" s="24">
        <v>0</v>
      </c>
      <c r="Q76" s="102">
        <v>0</v>
      </c>
      <c r="R76" s="30" t="s">
        <v>1905</v>
      </c>
      <c r="S76" s="24">
        <v>0</v>
      </c>
      <c r="T76" s="24"/>
      <c r="U76" s="94">
        <f>868.52*0.06</f>
        <v>52.111199999999997</v>
      </c>
      <c r="V76" s="94">
        <f>830.11*0.06</f>
        <v>49.806599999999996</v>
      </c>
      <c r="W76" s="106">
        <f>164.69*0.06</f>
        <v>9.8813999999999993</v>
      </c>
      <c r="X76" s="107" t="s">
        <v>1906</v>
      </c>
      <c r="Y76" s="106">
        <f>96.58*0.06</f>
        <v>5.7947999999999995</v>
      </c>
      <c r="Z76" s="107" t="s">
        <v>1906</v>
      </c>
      <c r="AA76" s="106">
        <f>144.62*0.06</f>
        <v>8.6771999999999991</v>
      </c>
      <c r="AB76" s="107" t="s">
        <v>1906</v>
      </c>
      <c r="AC76" s="106">
        <f>107.42*0.06</f>
        <v>6.4451999999999998</v>
      </c>
      <c r="AD76" s="107" t="s">
        <v>1906</v>
      </c>
      <c r="AE76" s="106">
        <f>34.11*0.06</f>
        <v>2.0465999999999998</v>
      </c>
      <c r="AF76" s="107" t="s">
        <v>1906</v>
      </c>
      <c r="AG76" s="106">
        <v>0</v>
      </c>
      <c r="AH76" s="107" t="s">
        <v>1906</v>
      </c>
      <c r="AI76" s="106">
        <v>0</v>
      </c>
      <c r="AJ76" s="107" t="s">
        <v>1906</v>
      </c>
      <c r="AK76" s="106">
        <v>0</v>
      </c>
      <c r="AL76" s="107" t="s">
        <v>1906</v>
      </c>
      <c r="AM76" s="106">
        <v>0</v>
      </c>
      <c r="AN76" s="107" t="s">
        <v>1906</v>
      </c>
      <c r="AO76" s="106">
        <f>97.64*0.06</f>
        <v>5.8583999999999996</v>
      </c>
      <c r="AP76" s="107" t="s">
        <v>1906</v>
      </c>
      <c r="AQ76" s="106">
        <f>97.64*0.06</f>
        <v>5.8583999999999996</v>
      </c>
      <c r="AR76" s="106" t="s">
        <v>1906</v>
      </c>
      <c r="AS76" s="106">
        <f>60.98*0.06</f>
        <v>3.6587999999999998</v>
      </c>
      <c r="AT76" s="107" t="s">
        <v>1906</v>
      </c>
      <c r="AU76" s="106">
        <f t="shared" si="1"/>
        <v>48.220799999999997</v>
      </c>
      <c r="AV76" s="25">
        <v>1E-3</v>
      </c>
      <c r="AW76" s="30" t="str">
        <f t="shared" si="2"/>
        <v>95-70</v>
      </c>
      <c r="AX76" s="30" t="s">
        <v>1907</v>
      </c>
      <c r="AY76" s="30">
        <v>0</v>
      </c>
      <c r="AZ76" s="30">
        <v>0</v>
      </c>
    </row>
    <row r="77" spans="1:52" ht="31.2" x14ac:dyDescent="0.3">
      <c r="A77" s="103">
        <v>67</v>
      </c>
      <c r="B77" s="30" t="s">
        <v>633</v>
      </c>
      <c r="C77" s="30" t="s">
        <v>1899</v>
      </c>
      <c r="D77" s="105" t="s">
        <v>1900</v>
      </c>
      <c r="E77" s="105" t="s">
        <v>1901</v>
      </c>
      <c r="F77" s="30" t="s">
        <v>1902</v>
      </c>
      <c r="G77" s="26" t="s">
        <v>145</v>
      </c>
      <c r="H77" s="24" t="s">
        <v>146</v>
      </c>
      <c r="I77" s="25">
        <v>0</v>
      </c>
      <c r="J77" s="24" t="s">
        <v>1903</v>
      </c>
      <c r="K77" s="24">
        <v>65</v>
      </c>
      <c r="L77" s="24">
        <v>5</v>
      </c>
      <c r="M77" s="24" t="str">
        <f t="shared" ref="M77:M140" si="3">M76</f>
        <v>95-70</v>
      </c>
      <c r="N77" s="24" t="s">
        <v>529</v>
      </c>
      <c r="O77" s="24" t="s">
        <v>529</v>
      </c>
      <c r="P77" s="24">
        <v>0</v>
      </c>
      <c r="Q77" s="102">
        <v>0</v>
      </c>
      <c r="R77" s="30" t="s">
        <v>1905</v>
      </c>
      <c r="S77" s="24">
        <v>0</v>
      </c>
      <c r="T77" s="24"/>
      <c r="U77" s="94">
        <f>868.52*0.04</f>
        <v>34.7408</v>
      </c>
      <c r="V77" s="94">
        <f>830.11*0.04</f>
        <v>33.2044</v>
      </c>
      <c r="W77" s="106">
        <f>164.69*0.04</f>
        <v>6.5876000000000001</v>
      </c>
      <c r="X77" s="107" t="s">
        <v>1906</v>
      </c>
      <c r="Y77" s="106">
        <f>96.58*0.04</f>
        <v>3.8632</v>
      </c>
      <c r="Z77" s="107" t="s">
        <v>1906</v>
      </c>
      <c r="AA77" s="106">
        <f>144.62*0.04</f>
        <v>5.7848000000000006</v>
      </c>
      <c r="AB77" s="107" t="s">
        <v>1906</v>
      </c>
      <c r="AC77" s="106">
        <f>107.42*0.04</f>
        <v>4.2968000000000002</v>
      </c>
      <c r="AD77" s="107" t="s">
        <v>1906</v>
      </c>
      <c r="AE77" s="106">
        <f>34.11*0.04</f>
        <v>1.3644000000000001</v>
      </c>
      <c r="AF77" s="107" t="s">
        <v>1906</v>
      </c>
      <c r="AG77" s="106">
        <v>0</v>
      </c>
      <c r="AH77" s="107" t="s">
        <v>1906</v>
      </c>
      <c r="AI77" s="106">
        <v>0</v>
      </c>
      <c r="AJ77" s="107" t="s">
        <v>1906</v>
      </c>
      <c r="AK77" s="106">
        <v>0</v>
      </c>
      <c r="AL77" s="107" t="s">
        <v>1906</v>
      </c>
      <c r="AM77" s="106">
        <v>0</v>
      </c>
      <c r="AN77" s="107" t="s">
        <v>1906</v>
      </c>
      <c r="AO77" s="106">
        <f>97.64*0.04</f>
        <v>3.9056000000000002</v>
      </c>
      <c r="AP77" s="107" t="s">
        <v>1906</v>
      </c>
      <c r="AQ77" s="106">
        <f>97.64*0.04</f>
        <v>3.9056000000000002</v>
      </c>
      <c r="AR77" s="106" t="s">
        <v>1906</v>
      </c>
      <c r="AS77" s="106">
        <f>60.98*0.04</f>
        <v>2.4392</v>
      </c>
      <c r="AT77" s="107" t="s">
        <v>1906</v>
      </c>
      <c r="AU77" s="106">
        <f t="shared" ref="AU77:AU140" si="4">W77+Y77+AA77+AC77+AE77+AG77+AI77+AK77+AM77+AO77+AQ77+AS77</f>
        <v>32.147200000000005</v>
      </c>
      <c r="AV77" s="25">
        <v>1E-3</v>
      </c>
      <c r="AW77" s="30" t="str">
        <f t="shared" ref="AW77:AW140" si="5">AW76</f>
        <v>95-70</v>
      </c>
      <c r="AX77" s="30" t="s">
        <v>1907</v>
      </c>
      <c r="AY77" s="30">
        <v>0</v>
      </c>
      <c r="AZ77" s="30">
        <v>0</v>
      </c>
    </row>
    <row r="78" spans="1:52" ht="31.2" x14ac:dyDescent="0.3">
      <c r="A78" s="103">
        <v>68</v>
      </c>
      <c r="B78" s="30" t="s">
        <v>634</v>
      </c>
      <c r="C78" s="30" t="s">
        <v>1899</v>
      </c>
      <c r="D78" s="105" t="s">
        <v>1900</v>
      </c>
      <c r="E78" s="105" t="s">
        <v>1901</v>
      </c>
      <c r="F78" s="30" t="s">
        <v>1902</v>
      </c>
      <c r="G78" s="26" t="s">
        <v>145</v>
      </c>
      <c r="H78" s="24" t="s">
        <v>146</v>
      </c>
      <c r="I78" s="25">
        <v>0</v>
      </c>
      <c r="J78" s="24" t="s">
        <v>1903</v>
      </c>
      <c r="K78" s="24">
        <v>32</v>
      </c>
      <c r="L78" s="24">
        <v>5</v>
      </c>
      <c r="M78" s="24" t="str">
        <f t="shared" si="3"/>
        <v>95-70</v>
      </c>
      <c r="N78" s="24" t="s">
        <v>529</v>
      </c>
      <c r="O78" s="24" t="s">
        <v>529</v>
      </c>
      <c r="P78" s="24">
        <v>0</v>
      </c>
      <c r="Q78" s="102">
        <v>0</v>
      </c>
      <c r="R78" s="30" t="s">
        <v>1905</v>
      </c>
      <c r="S78" s="24">
        <v>0</v>
      </c>
      <c r="T78" s="24"/>
      <c r="U78" s="94">
        <v>113.62000000000002</v>
      </c>
      <c r="V78" s="94">
        <v>95.939999999999984</v>
      </c>
      <c r="W78" s="106">
        <v>13.16</v>
      </c>
      <c r="X78" s="107" t="s">
        <v>1906</v>
      </c>
      <c r="Y78" s="106">
        <v>13.16</v>
      </c>
      <c r="Z78" s="107" t="s">
        <v>1906</v>
      </c>
      <c r="AA78" s="106">
        <v>13.16</v>
      </c>
      <c r="AB78" s="107" t="s">
        <v>1906</v>
      </c>
      <c r="AC78" s="106">
        <v>13.16</v>
      </c>
      <c r="AD78" s="107" t="s">
        <v>1906</v>
      </c>
      <c r="AE78" s="106">
        <v>3.82</v>
      </c>
      <c r="AF78" s="107" t="s">
        <v>1906</v>
      </c>
      <c r="AG78" s="106">
        <v>0</v>
      </c>
      <c r="AH78" s="107" t="s">
        <v>1906</v>
      </c>
      <c r="AI78" s="106">
        <v>0</v>
      </c>
      <c r="AJ78" s="107" t="s">
        <v>1906</v>
      </c>
      <c r="AK78" s="106">
        <v>0</v>
      </c>
      <c r="AL78" s="107" t="s">
        <v>1906</v>
      </c>
      <c r="AM78" s="106">
        <v>3.08</v>
      </c>
      <c r="AN78" s="107" t="s">
        <v>1906</v>
      </c>
      <c r="AO78" s="106">
        <v>13.21</v>
      </c>
      <c r="AP78" s="107" t="s">
        <v>1906</v>
      </c>
      <c r="AQ78" s="106">
        <v>13.21</v>
      </c>
      <c r="AR78" s="106" t="s">
        <v>1906</v>
      </c>
      <c r="AS78" s="106">
        <v>13.21</v>
      </c>
      <c r="AT78" s="107" t="s">
        <v>1906</v>
      </c>
      <c r="AU78" s="106">
        <f t="shared" si="4"/>
        <v>99.170000000000016</v>
      </c>
      <c r="AV78" s="25">
        <v>4.82E-2</v>
      </c>
      <c r="AW78" s="30" t="str">
        <f t="shared" si="5"/>
        <v>95-70</v>
      </c>
      <c r="AX78" s="30" t="s">
        <v>1907</v>
      </c>
      <c r="AY78" s="30">
        <v>0</v>
      </c>
      <c r="AZ78" s="30">
        <v>0</v>
      </c>
    </row>
    <row r="79" spans="1:52" ht="31.2" x14ac:dyDescent="0.3">
      <c r="A79" s="103">
        <v>69</v>
      </c>
      <c r="B79" s="30" t="s">
        <v>635</v>
      </c>
      <c r="C79" s="30" t="s">
        <v>1899</v>
      </c>
      <c r="D79" s="105" t="s">
        <v>1900</v>
      </c>
      <c r="E79" s="105" t="s">
        <v>1901</v>
      </c>
      <c r="F79" s="30" t="s">
        <v>1902</v>
      </c>
      <c r="G79" s="26" t="s">
        <v>145</v>
      </c>
      <c r="H79" s="24" t="s">
        <v>146</v>
      </c>
      <c r="I79" s="25">
        <v>0</v>
      </c>
      <c r="J79" s="24" t="s">
        <v>1903</v>
      </c>
      <c r="K79" s="24">
        <v>32</v>
      </c>
      <c r="L79" s="24">
        <v>5</v>
      </c>
      <c r="M79" s="24" t="str">
        <f t="shared" si="3"/>
        <v>95-70</v>
      </c>
      <c r="N79" s="24" t="s">
        <v>529</v>
      </c>
      <c r="O79" s="24" t="s">
        <v>529</v>
      </c>
      <c r="P79" s="24">
        <v>0</v>
      </c>
      <c r="Q79" s="102">
        <v>0</v>
      </c>
      <c r="R79" s="30" t="s">
        <v>1905</v>
      </c>
      <c r="S79" s="24">
        <v>0</v>
      </c>
      <c r="T79" s="24"/>
      <c r="U79" s="94">
        <v>241.42999999999998</v>
      </c>
      <c r="V79" s="94">
        <v>270.62</v>
      </c>
      <c r="W79" s="106">
        <v>39.26</v>
      </c>
      <c r="X79" s="107" t="s">
        <v>1906</v>
      </c>
      <c r="Y79" s="106">
        <v>39.26</v>
      </c>
      <c r="Z79" s="107" t="s">
        <v>1906</v>
      </c>
      <c r="AA79" s="106">
        <v>39.26</v>
      </c>
      <c r="AB79" s="107" t="s">
        <v>1906</v>
      </c>
      <c r="AC79" s="106">
        <v>32.449999999999996</v>
      </c>
      <c r="AD79" s="107" t="s">
        <v>1906</v>
      </c>
      <c r="AE79" s="106">
        <v>2.6100000000000003</v>
      </c>
      <c r="AF79" s="107" t="s">
        <v>1906</v>
      </c>
      <c r="AG79" s="106">
        <v>0</v>
      </c>
      <c r="AH79" s="107" t="s">
        <v>1906</v>
      </c>
      <c r="AI79" s="106">
        <v>0</v>
      </c>
      <c r="AJ79" s="107" t="s">
        <v>1906</v>
      </c>
      <c r="AK79" s="106">
        <v>0</v>
      </c>
      <c r="AL79" s="107" t="s">
        <v>1906</v>
      </c>
      <c r="AM79" s="106">
        <v>7.18</v>
      </c>
      <c r="AN79" s="107" t="s">
        <v>1906</v>
      </c>
      <c r="AO79" s="106">
        <v>30.79</v>
      </c>
      <c r="AP79" s="107" t="s">
        <v>1906</v>
      </c>
      <c r="AQ79" s="106">
        <v>30.79</v>
      </c>
      <c r="AR79" s="106" t="s">
        <v>1906</v>
      </c>
      <c r="AS79" s="106">
        <v>30.79</v>
      </c>
      <c r="AT79" s="107" t="s">
        <v>1906</v>
      </c>
      <c r="AU79" s="106">
        <f t="shared" si="4"/>
        <v>252.39</v>
      </c>
      <c r="AV79" s="25">
        <v>0.1024</v>
      </c>
      <c r="AW79" s="30" t="str">
        <f t="shared" si="5"/>
        <v>95-70</v>
      </c>
      <c r="AX79" s="30" t="s">
        <v>1907</v>
      </c>
      <c r="AY79" s="30">
        <v>0</v>
      </c>
      <c r="AZ79" s="30">
        <v>0</v>
      </c>
    </row>
    <row r="80" spans="1:52" ht="31.2" x14ac:dyDescent="0.3">
      <c r="A80" s="103">
        <v>70</v>
      </c>
      <c r="B80" s="30" t="s">
        <v>636</v>
      </c>
      <c r="C80" s="30" t="s">
        <v>1899</v>
      </c>
      <c r="D80" s="105" t="s">
        <v>1900</v>
      </c>
      <c r="E80" s="105" t="s">
        <v>1901</v>
      </c>
      <c r="F80" s="30" t="s">
        <v>1902</v>
      </c>
      <c r="G80" s="26" t="s">
        <v>145</v>
      </c>
      <c r="H80" s="24" t="s">
        <v>146</v>
      </c>
      <c r="I80" s="25">
        <v>0</v>
      </c>
      <c r="J80" s="24" t="s">
        <v>1903</v>
      </c>
      <c r="K80" s="24">
        <v>32</v>
      </c>
      <c r="L80" s="24">
        <v>5</v>
      </c>
      <c r="M80" s="24" t="str">
        <f t="shared" si="3"/>
        <v>95-70</v>
      </c>
      <c r="N80" s="24" t="s">
        <v>529</v>
      </c>
      <c r="O80" s="24" t="s">
        <v>529</v>
      </c>
      <c r="P80" s="24">
        <v>0</v>
      </c>
      <c r="Q80" s="102">
        <v>0</v>
      </c>
      <c r="R80" s="30" t="s">
        <v>1905</v>
      </c>
      <c r="S80" s="24">
        <v>0</v>
      </c>
      <c r="T80" s="24"/>
      <c r="U80" s="94">
        <v>388.49999999999994</v>
      </c>
      <c r="V80" s="94">
        <v>297.81</v>
      </c>
      <c r="W80" s="106">
        <v>40.85</v>
      </c>
      <c r="X80" s="107" t="s">
        <v>1906</v>
      </c>
      <c r="Y80" s="106">
        <v>40.85</v>
      </c>
      <c r="Z80" s="107" t="s">
        <v>1906</v>
      </c>
      <c r="AA80" s="106">
        <v>40.85</v>
      </c>
      <c r="AB80" s="107" t="s">
        <v>1906</v>
      </c>
      <c r="AC80" s="106">
        <v>40.85</v>
      </c>
      <c r="AD80" s="107" t="s">
        <v>1906</v>
      </c>
      <c r="AE80" s="106">
        <v>11.86</v>
      </c>
      <c r="AF80" s="107" t="s">
        <v>1906</v>
      </c>
      <c r="AG80" s="106">
        <v>0</v>
      </c>
      <c r="AH80" s="107" t="s">
        <v>1906</v>
      </c>
      <c r="AI80" s="106">
        <v>0</v>
      </c>
      <c r="AJ80" s="107" t="s">
        <v>1906</v>
      </c>
      <c r="AK80" s="106">
        <v>0</v>
      </c>
      <c r="AL80" s="107" t="s">
        <v>1906</v>
      </c>
      <c r="AM80" s="106">
        <v>8.48</v>
      </c>
      <c r="AN80" s="107" t="s">
        <v>1906</v>
      </c>
      <c r="AO80" s="106">
        <v>36.35</v>
      </c>
      <c r="AP80" s="107" t="s">
        <v>1906</v>
      </c>
      <c r="AQ80" s="106">
        <v>36.35</v>
      </c>
      <c r="AR80" s="106" t="s">
        <v>1906</v>
      </c>
      <c r="AS80" s="106">
        <v>36.35</v>
      </c>
      <c r="AT80" s="107" t="s">
        <v>1906</v>
      </c>
      <c r="AU80" s="106">
        <f t="shared" si="4"/>
        <v>292.79000000000002</v>
      </c>
      <c r="AV80" s="25">
        <v>0.1648</v>
      </c>
      <c r="AW80" s="30" t="str">
        <f t="shared" si="5"/>
        <v>95-70</v>
      </c>
      <c r="AX80" s="30" t="s">
        <v>1907</v>
      </c>
      <c r="AY80" s="30">
        <v>0</v>
      </c>
      <c r="AZ80" s="30">
        <v>0</v>
      </c>
    </row>
    <row r="81" spans="1:52" ht="31.2" x14ac:dyDescent="0.3">
      <c r="A81" s="103">
        <v>71</v>
      </c>
      <c r="B81" s="30" t="s">
        <v>637</v>
      </c>
      <c r="C81" s="30" t="s">
        <v>1899</v>
      </c>
      <c r="D81" s="105" t="s">
        <v>1900</v>
      </c>
      <c r="E81" s="105" t="s">
        <v>1901</v>
      </c>
      <c r="F81" s="30" t="s">
        <v>1902</v>
      </c>
      <c r="G81" s="26" t="s">
        <v>145</v>
      </c>
      <c r="H81" s="24" t="s">
        <v>146</v>
      </c>
      <c r="I81" s="25">
        <v>1</v>
      </c>
      <c r="J81" s="24" t="s">
        <v>1903</v>
      </c>
      <c r="K81" s="24">
        <v>32</v>
      </c>
      <c r="L81" s="24">
        <v>5</v>
      </c>
      <c r="M81" s="24" t="str">
        <f t="shared" si="3"/>
        <v>95-70</v>
      </c>
      <c r="N81" s="24" t="s">
        <v>529</v>
      </c>
      <c r="O81" s="24" t="s">
        <v>529</v>
      </c>
      <c r="P81" s="24">
        <v>1</v>
      </c>
      <c r="Q81" s="102">
        <v>0</v>
      </c>
      <c r="R81" s="30" t="s">
        <v>1905</v>
      </c>
      <c r="S81" s="24">
        <v>0</v>
      </c>
      <c r="T81" s="24"/>
      <c r="U81" s="94">
        <v>164.69</v>
      </c>
      <c r="V81" s="94">
        <v>69.19</v>
      </c>
      <c r="W81" s="106">
        <v>10.02</v>
      </c>
      <c r="X81" s="107" t="s">
        <v>1906</v>
      </c>
      <c r="Y81" s="106">
        <v>9.9400000000000013</v>
      </c>
      <c r="Z81" s="107" t="s">
        <v>1906</v>
      </c>
      <c r="AA81" s="106">
        <v>9.9400000000000013</v>
      </c>
      <c r="AB81" s="107" t="s">
        <v>1906</v>
      </c>
      <c r="AC81" s="106">
        <v>8.370000000000001</v>
      </c>
      <c r="AD81" s="107" t="s">
        <v>1906</v>
      </c>
      <c r="AE81" s="106">
        <v>0.8600000000000001</v>
      </c>
      <c r="AF81" s="107" t="s">
        <v>1906</v>
      </c>
      <c r="AG81" s="106">
        <v>0</v>
      </c>
      <c r="AH81" s="107" t="s">
        <v>1906</v>
      </c>
      <c r="AI81" s="106">
        <v>0</v>
      </c>
      <c r="AJ81" s="107" t="s">
        <v>1906</v>
      </c>
      <c r="AK81" s="106">
        <v>0</v>
      </c>
      <c r="AL81" s="107" t="s">
        <v>1906</v>
      </c>
      <c r="AM81" s="106">
        <v>1.68</v>
      </c>
      <c r="AN81" s="107" t="s">
        <v>1906</v>
      </c>
      <c r="AO81" s="106">
        <v>7.2</v>
      </c>
      <c r="AP81" s="107" t="s">
        <v>1906</v>
      </c>
      <c r="AQ81" s="106">
        <v>7.2</v>
      </c>
      <c r="AR81" s="106" t="s">
        <v>1906</v>
      </c>
      <c r="AS81" s="106">
        <v>7.2</v>
      </c>
      <c r="AT81" s="107" t="s">
        <v>1906</v>
      </c>
      <c r="AU81" s="106">
        <f t="shared" si="4"/>
        <v>62.410000000000011</v>
      </c>
      <c r="AV81" s="25">
        <v>5.0200000000000002E-2</v>
      </c>
      <c r="AW81" s="30" t="str">
        <f t="shared" si="5"/>
        <v>95-70</v>
      </c>
      <c r="AX81" s="30" t="s">
        <v>1907</v>
      </c>
      <c r="AY81" s="30">
        <v>0</v>
      </c>
      <c r="AZ81" s="30">
        <v>0</v>
      </c>
    </row>
    <row r="82" spans="1:52" ht="31.2" x14ac:dyDescent="0.3">
      <c r="A82" s="103">
        <v>72</v>
      </c>
      <c r="B82" s="30" t="s">
        <v>639</v>
      </c>
      <c r="C82" s="30" t="s">
        <v>1899</v>
      </c>
      <c r="D82" s="105" t="s">
        <v>1900</v>
      </c>
      <c r="E82" s="105" t="s">
        <v>1901</v>
      </c>
      <c r="F82" s="30" t="s">
        <v>1902</v>
      </c>
      <c r="G82" s="26" t="s">
        <v>145</v>
      </c>
      <c r="H82" s="24" t="s">
        <v>146</v>
      </c>
      <c r="I82" s="25">
        <v>0</v>
      </c>
      <c r="J82" s="24" t="s">
        <v>1903</v>
      </c>
      <c r="K82" s="24">
        <v>32</v>
      </c>
      <c r="L82" s="24">
        <v>5</v>
      </c>
      <c r="M82" s="24" t="str">
        <f t="shared" si="3"/>
        <v>95-70</v>
      </c>
      <c r="N82" s="24" t="s">
        <v>529</v>
      </c>
      <c r="O82" s="24" t="s">
        <v>529</v>
      </c>
      <c r="P82" s="24">
        <v>0</v>
      </c>
      <c r="Q82" s="102">
        <v>0</v>
      </c>
      <c r="R82" s="30" t="s">
        <v>1905</v>
      </c>
      <c r="S82" s="24">
        <v>0</v>
      </c>
      <c r="T82" s="24"/>
      <c r="U82" s="94">
        <v>243.60000000000002</v>
      </c>
      <c r="V82" s="94">
        <v>69.929999999999993</v>
      </c>
      <c r="W82" s="106">
        <v>9.5500000000000007</v>
      </c>
      <c r="X82" s="107" t="s">
        <v>1906</v>
      </c>
      <c r="Y82" s="106">
        <v>9.5500000000000007</v>
      </c>
      <c r="Z82" s="107" t="s">
        <v>1906</v>
      </c>
      <c r="AA82" s="106">
        <v>9.5500000000000007</v>
      </c>
      <c r="AB82" s="107" t="s">
        <v>1906</v>
      </c>
      <c r="AC82" s="106">
        <v>9.5500000000000007</v>
      </c>
      <c r="AD82" s="107" t="s">
        <v>1906</v>
      </c>
      <c r="AE82" s="106">
        <v>3.08</v>
      </c>
      <c r="AF82" s="107" t="s">
        <v>1906</v>
      </c>
      <c r="AG82" s="106">
        <v>0</v>
      </c>
      <c r="AH82" s="107" t="s">
        <v>1906</v>
      </c>
      <c r="AI82" s="106">
        <v>0</v>
      </c>
      <c r="AJ82" s="107" t="s">
        <v>1906</v>
      </c>
      <c r="AK82" s="106">
        <v>0</v>
      </c>
      <c r="AL82" s="107" t="s">
        <v>1906</v>
      </c>
      <c r="AM82" s="106">
        <v>2.0299999999999998</v>
      </c>
      <c r="AN82" s="107" t="s">
        <v>1906</v>
      </c>
      <c r="AO82" s="106">
        <v>8.69</v>
      </c>
      <c r="AP82" s="107" t="s">
        <v>1906</v>
      </c>
      <c r="AQ82" s="106">
        <v>8.69</v>
      </c>
      <c r="AR82" s="106" t="s">
        <v>1906</v>
      </c>
      <c r="AS82" s="106">
        <v>8.69</v>
      </c>
      <c r="AT82" s="107" t="s">
        <v>1906</v>
      </c>
      <c r="AU82" s="106">
        <f t="shared" si="4"/>
        <v>69.38</v>
      </c>
      <c r="AV82" s="25">
        <v>0.1154</v>
      </c>
      <c r="AW82" s="30" t="str">
        <f t="shared" si="5"/>
        <v>95-70</v>
      </c>
      <c r="AX82" s="30" t="s">
        <v>1907</v>
      </c>
      <c r="AY82" s="30">
        <v>0</v>
      </c>
      <c r="AZ82" s="30">
        <v>0</v>
      </c>
    </row>
    <row r="83" spans="1:52" ht="31.2" x14ac:dyDescent="0.3">
      <c r="A83" s="103">
        <v>73</v>
      </c>
      <c r="B83" s="30" t="s">
        <v>640</v>
      </c>
      <c r="C83" s="30" t="s">
        <v>1899</v>
      </c>
      <c r="D83" s="105" t="s">
        <v>1900</v>
      </c>
      <c r="E83" s="105" t="s">
        <v>1901</v>
      </c>
      <c r="F83" s="30" t="s">
        <v>1902</v>
      </c>
      <c r="G83" s="26" t="s">
        <v>145</v>
      </c>
      <c r="H83" s="24" t="s">
        <v>146</v>
      </c>
      <c r="I83" s="25">
        <v>0</v>
      </c>
      <c r="J83" s="24" t="s">
        <v>1903</v>
      </c>
      <c r="K83" s="24">
        <v>32</v>
      </c>
      <c r="L83" s="24">
        <v>5</v>
      </c>
      <c r="M83" s="24" t="str">
        <f t="shared" si="3"/>
        <v>95-70</v>
      </c>
      <c r="N83" s="24" t="s">
        <v>529</v>
      </c>
      <c r="O83" s="24" t="s">
        <v>529</v>
      </c>
      <c r="P83" s="24">
        <v>0</v>
      </c>
      <c r="Q83" s="102">
        <v>0</v>
      </c>
      <c r="R83" s="30" t="s">
        <v>1905</v>
      </c>
      <c r="S83" s="24">
        <v>0</v>
      </c>
      <c r="T83" s="24"/>
      <c r="U83" s="94">
        <v>310.04000000000002</v>
      </c>
      <c r="V83" s="94">
        <v>311.50999999999993</v>
      </c>
      <c r="W83" s="106">
        <v>42.480000000000004</v>
      </c>
      <c r="X83" s="107" t="s">
        <v>1906</v>
      </c>
      <c r="Y83" s="106">
        <v>42.480000000000004</v>
      </c>
      <c r="Z83" s="107" t="s">
        <v>1906</v>
      </c>
      <c r="AA83" s="106">
        <v>42.480000000000004</v>
      </c>
      <c r="AB83" s="107" t="s">
        <v>1906</v>
      </c>
      <c r="AC83" s="106">
        <v>42.480000000000004</v>
      </c>
      <c r="AD83" s="107" t="s">
        <v>1906</v>
      </c>
      <c r="AE83" s="106">
        <v>13.700000000000001</v>
      </c>
      <c r="AF83" s="107" t="s">
        <v>1906</v>
      </c>
      <c r="AG83" s="106">
        <v>0</v>
      </c>
      <c r="AH83" s="107" t="s">
        <v>1906</v>
      </c>
      <c r="AI83" s="106">
        <v>0</v>
      </c>
      <c r="AJ83" s="107" t="s">
        <v>1906</v>
      </c>
      <c r="AK83" s="106">
        <v>0</v>
      </c>
      <c r="AL83" s="107" t="s">
        <v>1906</v>
      </c>
      <c r="AM83" s="106">
        <v>9.08</v>
      </c>
      <c r="AN83" s="107" t="s">
        <v>1906</v>
      </c>
      <c r="AO83" s="106">
        <v>38.93</v>
      </c>
      <c r="AP83" s="107" t="s">
        <v>1906</v>
      </c>
      <c r="AQ83" s="106">
        <v>38.93</v>
      </c>
      <c r="AR83" s="106" t="s">
        <v>1906</v>
      </c>
      <c r="AS83" s="106">
        <v>38.93</v>
      </c>
      <c r="AT83" s="107" t="s">
        <v>1906</v>
      </c>
      <c r="AU83" s="106">
        <f t="shared" si="4"/>
        <v>309.49</v>
      </c>
      <c r="AV83" s="25">
        <v>0.14849999999999999</v>
      </c>
      <c r="AW83" s="30" t="str">
        <f t="shared" si="5"/>
        <v>95-70</v>
      </c>
      <c r="AX83" s="30" t="s">
        <v>1907</v>
      </c>
      <c r="AY83" s="30">
        <v>0</v>
      </c>
      <c r="AZ83" s="30">
        <v>0</v>
      </c>
    </row>
    <row r="84" spans="1:52" ht="31.2" x14ac:dyDescent="0.3">
      <c r="A84" s="103">
        <v>74</v>
      </c>
      <c r="B84" s="30" t="s">
        <v>641</v>
      </c>
      <c r="C84" s="30" t="s">
        <v>1899</v>
      </c>
      <c r="D84" s="105" t="s">
        <v>1900</v>
      </c>
      <c r="E84" s="105" t="s">
        <v>1901</v>
      </c>
      <c r="F84" s="30" t="s">
        <v>1902</v>
      </c>
      <c r="G84" s="26" t="s">
        <v>145</v>
      </c>
      <c r="H84" s="24" t="s">
        <v>146</v>
      </c>
      <c r="I84" s="25">
        <v>0</v>
      </c>
      <c r="J84" s="24" t="s">
        <v>1903</v>
      </c>
      <c r="K84" s="24">
        <v>32</v>
      </c>
      <c r="L84" s="24">
        <v>5</v>
      </c>
      <c r="M84" s="24" t="str">
        <f t="shared" si="3"/>
        <v>95-70</v>
      </c>
      <c r="N84" s="24" t="s">
        <v>529</v>
      </c>
      <c r="O84" s="24" t="s">
        <v>529</v>
      </c>
      <c r="P84" s="24">
        <v>0</v>
      </c>
      <c r="Q84" s="102">
        <v>0</v>
      </c>
      <c r="R84" s="30" t="s">
        <v>1905</v>
      </c>
      <c r="S84" s="24">
        <v>0</v>
      </c>
      <c r="T84" s="24"/>
      <c r="U84" s="94">
        <v>211.22</v>
      </c>
      <c r="V84" s="94">
        <v>178.82000000000002</v>
      </c>
      <c r="W84" s="106">
        <v>24.65</v>
      </c>
      <c r="X84" s="107" t="s">
        <v>1906</v>
      </c>
      <c r="Y84" s="106">
        <v>24.65</v>
      </c>
      <c r="Z84" s="107" t="s">
        <v>1906</v>
      </c>
      <c r="AA84" s="106">
        <v>24.65</v>
      </c>
      <c r="AB84" s="107" t="s">
        <v>1906</v>
      </c>
      <c r="AC84" s="106">
        <v>24.65</v>
      </c>
      <c r="AD84" s="107" t="s">
        <v>1906</v>
      </c>
      <c r="AE84" s="106">
        <v>7.16</v>
      </c>
      <c r="AF84" s="107" t="s">
        <v>1906</v>
      </c>
      <c r="AG84" s="106">
        <v>0</v>
      </c>
      <c r="AH84" s="107" t="s">
        <v>1906</v>
      </c>
      <c r="AI84" s="106">
        <v>0</v>
      </c>
      <c r="AJ84" s="107" t="s">
        <v>1906</v>
      </c>
      <c r="AK84" s="106">
        <v>0</v>
      </c>
      <c r="AL84" s="107" t="s">
        <v>1906</v>
      </c>
      <c r="AM84" s="106">
        <v>5.72</v>
      </c>
      <c r="AN84" s="107" t="s">
        <v>1906</v>
      </c>
      <c r="AO84" s="106">
        <v>24.51</v>
      </c>
      <c r="AP84" s="107" t="s">
        <v>1906</v>
      </c>
      <c r="AQ84" s="106">
        <v>24.51</v>
      </c>
      <c r="AR84" s="106" t="s">
        <v>1906</v>
      </c>
      <c r="AS84" s="106">
        <v>24.51</v>
      </c>
      <c r="AT84" s="107" t="s">
        <v>1906</v>
      </c>
      <c r="AU84" s="106">
        <f t="shared" si="4"/>
        <v>185.00999999999996</v>
      </c>
      <c r="AV84" s="25">
        <v>9.4899999999999998E-2</v>
      </c>
      <c r="AW84" s="30" t="str">
        <f t="shared" si="5"/>
        <v>95-70</v>
      </c>
      <c r="AX84" s="30" t="s">
        <v>1907</v>
      </c>
      <c r="AY84" s="30">
        <v>0</v>
      </c>
      <c r="AZ84" s="30">
        <v>0</v>
      </c>
    </row>
    <row r="85" spans="1:52" ht="31.2" x14ac:dyDescent="0.3">
      <c r="A85" s="103">
        <v>75</v>
      </c>
      <c r="B85" s="30" t="s">
        <v>642</v>
      </c>
      <c r="C85" s="30" t="s">
        <v>1899</v>
      </c>
      <c r="D85" s="105" t="s">
        <v>1900</v>
      </c>
      <c r="E85" s="105" t="s">
        <v>1901</v>
      </c>
      <c r="F85" s="30" t="s">
        <v>1902</v>
      </c>
      <c r="G85" s="26" t="s">
        <v>145</v>
      </c>
      <c r="H85" s="24" t="s">
        <v>146</v>
      </c>
      <c r="I85" s="25">
        <v>0</v>
      </c>
      <c r="J85" s="24" t="s">
        <v>1903</v>
      </c>
      <c r="K85" s="24">
        <v>32</v>
      </c>
      <c r="L85" s="24">
        <v>5</v>
      </c>
      <c r="M85" s="24" t="str">
        <f t="shared" si="3"/>
        <v>95-70</v>
      </c>
      <c r="N85" s="24" t="s">
        <v>529</v>
      </c>
      <c r="O85" s="24" t="s">
        <v>529</v>
      </c>
      <c r="P85" s="24">
        <v>0</v>
      </c>
      <c r="Q85" s="102">
        <v>0</v>
      </c>
      <c r="R85" s="30" t="s">
        <v>1905</v>
      </c>
      <c r="S85" s="24">
        <v>0</v>
      </c>
      <c r="T85" s="24"/>
      <c r="U85" s="94">
        <v>121.90999999999998</v>
      </c>
      <c r="V85" s="94">
        <v>104.69</v>
      </c>
      <c r="W85" s="106">
        <v>14.36</v>
      </c>
      <c r="X85" s="107" t="s">
        <v>1906</v>
      </c>
      <c r="Y85" s="106">
        <v>14.36</v>
      </c>
      <c r="Z85" s="107" t="s">
        <v>1906</v>
      </c>
      <c r="AA85" s="106">
        <v>14.36</v>
      </c>
      <c r="AB85" s="107" t="s">
        <v>1906</v>
      </c>
      <c r="AC85" s="106">
        <v>14.36</v>
      </c>
      <c r="AD85" s="107" t="s">
        <v>1906</v>
      </c>
      <c r="AE85" s="106">
        <v>4.17</v>
      </c>
      <c r="AF85" s="107" t="s">
        <v>1906</v>
      </c>
      <c r="AG85" s="106">
        <v>0</v>
      </c>
      <c r="AH85" s="107" t="s">
        <v>1906</v>
      </c>
      <c r="AI85" s="106">
        <v>0</v>
      </c>
      <c r="AJ85" s="107" t="s">
        <v>1906</v>
      </c>
      <c r="AK85" s="106">
        <v>0</v>
      </c>
      <c r="AL85" s="107" t="s">
        <v>1906</v>
      </c>
      <c r="AM85" s="106">
        <v>3.28</v>
      </c>
      <c r="AN85" s="107" t="s">
        <v>1906</v>
      </c>
      <c r="AO85" s="106">
        <v>14.04</v>
      </c>
      <c r="AP85" s="107" t="s">
        <v>1906</v>
      </c>
      <c r="AQ85" s="106">
        <v>14.04</v>
      </c>
      <c r="AR85" s="106" t="s">
        <v>1906</v>
      </c>
      <c r="AS85" s="106">
        <v>14.04</v>
      </c>
      <c r="AT85" s="107" t="s">
        <v>1906</v>
      </c>
      <c r="AU85" s="106">
        <f t="shared" si="4"/>
        <v>107.00999999999999</v>
      </c>
      <c r="AV85" s="25">
        <v>5.62E-2</v>
      </c>
      <c r="AW85" s="30" t="str">
        <f t="shared" si="5"/>
        <v>95-70</v>
      </c>
      <c r="AX85" s="30" t="s">
        <v>1907</v>
      </c>
      <c r="AY85" s="30">
        <v>0</v>
      </c>
      <c r="AZ85" s="30">
        <v>0</v>
      </c>
    </row>
    <row r="86" spans="1:52" ht="31.2" x14ac:dyDescent="0.3">
      <c r="A86" s="103">
        <v>76</v>
      </c>
      <c r="B86" s="30" t="s">
        <v>643</v>
      </c>
      <c r="C86" s="30" t="s">
        <v>1899</v>
      </c>
      <c r="D86" s="105" t="s">
        <v>1900</v>
      </c>
      <c r="E86" s="105" t="s">
        <v>1901</v>
      </c>
      <c r="F86" s="30" t="s">
        <v>1902</v>
      </c>
      <c r="G86" s="26" t="s">
        <v>145</v>
      </c>
      <c r="H86" s="24" t="s">
        <v>146</v>
      </c>
      <c r="I86" s="25">
        <v>0</v>
      </c>
      <c r="J86" s="24" t="s">
        <v>1903</v>
      </c>
      <c r="K86" s="24">
        <v>32</v>
      </c>
      <c r="L86" s="24">
        <v>5</v>
      </c>
      <c r="M86" s="24" t="str">
        <f t="shared" si="3"/>
        <v>95-70</v>
      </c>
      <c r="N86" s="24" t="s">
        <v>529</v>
      </c>
      <c r="O86" s="24" t="s">
        <v>529</v>
      </c>
      <c r="P86" s="24">
        <v>0</v>
      </c>
      <c r="Q86" s="102">
        <v>0</v>
      </c>
      <c r="R86" s="30" t="s">
        <v>1905</v>
      </c>
      <c r="S86" s="24">
        <v>0</v>
      </c>
      <c r="T86" s="24"/>
      <c r="U86" s="94">
        <v>140.35</v>
      </c>
      <c r="V86" s="94">
        <v>82.160000000000011</v>
      </c>
      <c r="W86" s="106">
        <v>11.22</v>
      </c>
      <c r="X86" s="107" t="s">
        <v>1906</v>
      </c>
      <c r="Y86" s="106">
        <v>11.22</v>
      </c>
      <c r="Z86" s="107" t="s">
        <v>1906</v>
      </c>
      <c r="AA86" s="106">
        <v>11.22</v>
      </c>
      <c r="AB86" s="107" t="s">
        <v>1906</v>
      </c>
      <c r="AC86" s="106">
        <v>11.22</v>
      </c>
      <c r="AD86" s="107" t="s">
        <v>1906</v>
      </c>
      <c r="AE86" s="106">
        <v>3.62</v>
      </c>
      <c r="AF86" s="107" t="s">
        <v>1906</v>
      </c>
      <c r="AG86" s="106">
        <v>0</v>
      </c>
      <c r="AH86" s="107" t="s">
        <v>1906</v>
      </c>
      <c r="AI86" s="106">
        <v>0</v>
      </c>
      <c r="AJ86" s="107" t="s">
        <v>1906</v>
      </c>
      <c r="AK86" s="106">
        <v>0</v>
      </c>
      <c r="AL86" s="107" t="s">
        <v>1906</v>
      </c>
      <c r="AM86" s="106">
        <v>2.4</v>
      </c>
      <c r="AN86" s="107" t="s">
        <v>1906</v>
      </c>
      <c r="AO86" s="106">
        <v>10.3</v>
      </c>
      <c r="AP86" s="107" t="s">
        <v>1906</v>
      </c>
      <c r="AQ86" s="106">
        <v>10.3</v>
      </c>
      <c r="AR86" s="106" t="s">
        <v>1906</v>
      </c>
      <c r="AS86" s="106">
        <v>10.3</v>
      </c>
      <c r="AT86" s="107" t="s">
        <v>1906</v>
      </c>
      <c r="AU86" s="106">
        <f t="shared" si="4"/>
        <v>81.8</v>
      </c>
      <c r="AV86" s="25">
        <v>6.7299999999999999E-2</v>
      </c>
      <c r="AW86" s="30" t="str">
        <f t="shared" si="5"/>
        <v>95-70</v>
      </c>
      <c r="AX86" s="30" t="s">
        <v>1907</v>
      </c>
      <c r="AY86" s="30">
        <v>0</v>
      </c>
      <c r="AZ86" s="30">
        <v>0</v>
      </c>
    </row>
    <row r="87" spans="1:52" ht="31.2" x14ac:dyDescent="0.3">
      <c r="A87" s="103">
        <v>77</v>
      </c>
      <c r="B87" s="30" t="s">
        <v>644</v>
      </c>
      <c r="C87" s="30" t="s">
        <v>1899</v>
      </c>
      <c r="D87" s="105" t="s">
        <v>1900</v>
      </c>
      <c r="E87" s="105" t="s">
        <v>1901</v>
      </c>
      <c r="F87" s="30" t="s">
        <v>1902</v>
      </c>
      <c r="G87" s="26" t="s">
        <v>145</v>
      </c>
      <c r="H87" s="24" t="s">
        <v>146</v>
      </c>
      <c r="I87" s="25">
        <v>0</v>
      </c>
      <c r="J87" s="24" t="s">
        <v>1903</v>
      </c>
      <c r="K87" s="24">
        <v>32</v>
      </c>
      <c r="L87" s="24">
        <v>5</v>
      </c>
      <c r="M87" s="24" t="str">
        <f t="shared" si="3"/>
        <v>95-70</v>
      </c>
      <c r="N87" s="24" t="s">
        <v>529</v>
      </c>
      <c r="O87" s="24" t="s">
        <v>529</v>
      </c>
      <c r="P87" s="24">
        <v>0</v>
      </c>
      <c r="Q87" s="102">
        <v>0</v>
      </c>
      <c r="R87" s="30" t="s">
        <v>1905</v>
      </c>
      <c r="S87" s="24">
        <v>0</v>
      </c>
      <c r="T87" s="24"/>
      <c r="U87" s="94">
        <v>117.30999999999999</v>
      </c>
      <c r="V87" s="94">
        <v>133.10999999999999</v>
      </c>
      <c r="W87" s="106">
        <v>18.22</v>
      </c>
      <c r="X87" s="107" t="s">
        <v>1906</v>
      </c>
      <c r="Y87" s="106">
        <v>18.22</v>
      </c>
      <c r="Z87" s="107" t="s">
        <v>1906</v>
      </c>
      <c r="AA87" s="106">
        <v>18.22</v>
      </c>
      <c r="AB87" s="107" t="s">
        <v>1906</v>
      </c>
      <c r="AC87" s="106">
        <v>18.22</v>
      </c>
      <c r="AD87" s="107" t="s">
        <v>1906</v>
      </c>
      <c r="AE87" s="106">
        <v>5.88</v>
      </c>
      <c r="AF87" s="107" t="s">
        <v>1906</v>
      </c>
      <c r="AG87" s="106">
        <v>0</v>
      </c>
      <c r="AH87" s="107" t="s">
        <v>1906</v>
      </c>
      <c r="AI87" s="106">
        <v>0</v>
      </c>
      <c r="AJ87" s="107" t="s">
        <v>1906</v>
      </c>
      <c r="AK87" s="106">
        <v>0</v>
      </c>
      <c r="AL87" s="107" t="s">
        <v>1906</v>
      </c>
      <c r="AM87" s="106">
        <v>3.96</v>
      </c>
      <c r="AN87" s="107" t="s">
        <v>1906</v>
      </c>
      <c r="AO87" s="106">
        <v>16.989999999999998</v>
      </c>
      <c r="AP87" s="107" t="s">
        <v>1906</v>
      </c>
      <c r="AQ87" s="106">
        <v>16.989999999999998</v>
      </c>
      <c r="AR87" s="106" t="s">
        <v>1906</v>
      </c>
      <c r="AS87" s="106">
        <v>16.989999999999998</v>
      </c>
      <c r="AT87" s="107" t="s">
        <v>1906</v>
      </c>
      <c r="AU87" s="106">
        <f t="shared" si="4"/>
        <v>133.68999999999997</v>
      </c>
      <c r="AV87" s="25">
        <v>5.62E-2</v>
      </c>
      <c r="AW87" s="30" t="str">
        <f t="shared" si="5"/>
        <v>95-70</v>
      </c>
      <c r="AX87" s="30" t="s">
        <v>1907</v>
      </c>
      <c r="AY87" s="30">
        <v>0</v>
      </c>
      <c r="AZ87" s="30">
        <v>0</v>
      </c>
    </row>
    <row r="88" spans="1:52" ht="31.2" x14ac:dyDescent="0.3">
      <c r="A88" s="103">
        <v>78</v>
      </c>
      <c r="B88" s="30" t="s">
        <v>645</v>
      </c>
      <c r="C88" s="30" t="s">
        <v>1899</v>
      </c>
      <c r="D88" s="105" t="s">
        <v>1900</v>
      </c>
      <c r="E88" s="105" t="s">
        <v>1901</v>
      </c>
      <c r="F88" s="30" t="s">
        <v>1902</v>
      </c>
      <c r="G88" s="26" t="s">
        <v>145</v>
      </c>
      <c r="H88" s="24" t="s">
        <v>146</v>
      </c>
      <c r="I88" s="25">
        <v>1</v>
      </c>
      <c r="J88" s="24" t="s">
        <v>1903</v>
      </c>
      <c r="K88" s="24">
        <v>32</v>
      </c>
      <c r="L88" s="24">
        <v>5</v>
      </c>
      <c r="M88" s="24" t="str">
        <f t="shared" si="3"/>
        <v>95-70</v>
      </c>
      <c r="N88" s="24" t="s">
        <v>529</v>
      </c>
      <c r="O88" s="24" t="s">
        <v>529</v>
      </c>
      <c r="P88" s="24">
        <v>1</v>
      </c>
      <c r="Q88" s="102">
        <v>0</v>
      </c>
      <c r="R88" s="30" t="s">
        <v>1905</v>
      </c>
      <c r="S88" s="24">
        <v>0</v>
      </c>
      <c r="T88" s="24"/>
      <c r="U88" s="94">
        <v>185.71</v>
      </c>
      <c r="V88" s="94">
        <v>164.92</v>
      </c>
      <c r="W88" s="106">
        <v>36.169999999999995</v>
      </c>
      <c r="X88" s="107" t="s">
        <v>208</v>
      </c>
      <c r="Y88" s="106">
        <v>20.62</v>
      </c>
      <c r="Z88" s="107" t="s">
        <v>208</v>
      </c>
      <c r="AA88" s="106">
        <v>31.14</v>
      </c>
      <c r="AB88" s="107" t="s">
        <v>208</v>
      </c>
      <c r="AC88" s="106">
        <v>20.18</v>
      </c>
      <c r="AD88" s="107" t="s">
        <v>208</v>
      </c>
      <c r="AE88" s="106">
        <v>6.25</v>
      </c>
      <c r="AF88" s="107" t="s">
        <v>208</v>
      </c>
      <c r="AG88" s="106">
        <v>0</v>
      </c>
      <c r="AH88" s="107" t="s">
        <v>208</v>
      </c>
      <c r="AI88" s="106">
        <v>0</v>
      </c>
      <c r="AJ88" s="107" t="s">
        <v>208</v>
      </c>
      <c r="AK88" s="106">
        <v>0</v>
      </c>
      <c r="AL88" s="107" t="s">
        <v>208</v>
      </c>
      <c r="AM88" s="106">
        <v>0</v>
      </c>
      <c r="AN88" s="107" t="s">
        <v>208</v>
      </c>
      <c r="AO88" s="106">
        <v>10.33</v>
      </c>
      <c r="AP88" s="107" t="s">
        <v>208</v>
      </c>
      <c r="AQ88" s="106">
        <v>15.67</v>
      </c>
      <c r="AR88" s="106" t="s">
        <v>208</v>
      </c>
      <c r="AS88" s="106">
        <v>20.03</v>
      </c>
      <c r="AT88" s="107" t="s">
        <v>208</v>
      </c>
      <c r="AU88" s="106">
        <f t="shared" si="4"/>
        <v>160.38999999999999</v>
      </c>
      <c r="AV88" s="25">
        <v>7.9299999999999995E-2</v>
      </c>
      <c r="AW88" s="30" t="str">
        <f t="shared" si="5"/>
        <v>95-70</v>
      </c>
      <c r="AX88" s="30" t="s">
        <v>1907</v>
      </c>
      <c r="AY88" s="30">
        <v>0</v>
      </c>
      <c r="AZ88" s="30">
        <v>0</v>
      </c>
    </row>
    <row r="89" spans="1:52" ht="31.2" x14ac:dyDescent="0.3">
      <c r="A89" s="103">
        <v>79</v>
      </c>
      <c r="B89" s="30" t="s">
        <v>646</v>
      </c>
      <c r="C89" s="30" t="s">
        <v>1899</v>
      </c>
      <c r="D89" s="105" t="s">
        <v>1900</v>
      </c>
      <c r="E89" s="105" t="s">
        <v>1901</v>
      </c>
      <c r="F89" s="30" t="s">
        <v>1902</v>
      </c>
      <c r="G89" s="26" t="s">
        <v>145</v>
      </c>
      <c r="H89" s="24" t="s">
        <v>146</v>
      </c>
      <c r="I89" s="25">
        <v>0</v>
      </c>
      <c r="J89" s="24" t="s">
        <v>1903</v>
      </c>
      <c r="K89" s="24">
        <v>32</v>
      </c>
      <c r="L89" s="24">
        <v>5</v>
      </c>
      <c r="M89" s="24" t="str">
        <f t="shared" si="3"/>
        <v>95-70</v>
      </c>
      <c r="N89" s="24" t="s">
        <v>529</v>
      </c>
      <c r="O89" s="24" t="s">
        <v>529</v>
      </c>
      <c r="P89" s="24">
        <v>0</v>
      </c>
      <c r="Q89" s="102">
        <v>0</v>
      </c>
      <c r="R89" s="30" t="s">
        <v>1905</v>
      </c>
      <c r="S89" s="24">
        <v>0</v>
      </c>
      <c r="T89" s="24"/>
      <c r="U89" s="94">
        <v>167.33</v>
      </c>
      <c r="V89" s="94">
        <v>114.5</v>
      </c>
      <c r="W89" s="106">
        <v>15.629999999999999</v>
      </c>
      <c r="X89" s="107" t="s">
        <v>1906</v>
      </c>
      <c r="Y89" s="106">
        <v>15.629999999999999</v>
      </c>
      <c r="Z89" s="107" t="s">
        <v>1906</v>
      </c>
      <c r="AA89" s="106">
        <v>15.629999999999999</v>
      </c>
      <c r="AB89" s="107" t="s">
        <v>1906</v>
      </c>
      <c r="AC89" s="106">
        <v>15.629999999999999</v>
      </c>
      <c r="AD89" s="107" t="s">
        <v>1906</v>
      </c>
      <c r="AE89" s="106">
        <v>5.04</v>
      </c>
      <c r="AF89" s="107" t="s">
        <v>1906</v>
      </c>
      <c r="AG89" s="106">
        <v>0</v>
      </c>
      <c r="AH89" s="107" t="s">
        <v>1906</v>
      </c>
      <c r="AI89" s="106">
        <v>0</v>
      </c>
      <c r="AJ89" s="107" t="s">
        <v>1906</v>
      </c>
      <c r="AK89" s="106">
        <v>0</v>
      </c>
      <c r="AL89" s="107" t="s">
        <v>1906</v>
      </c>
      <c r="AM89" s="106">
        <v>3.42</v>
      </c>
      <c r="AN89" s="107" t="s">
        <v>1906</v>
      </c>
      <c r="AO89" s="106">
        <v>14.67</v>
      </c>
      <c r="AP89" s="107" t="s">
        <v>1906</v>
      </c>
      <c r="AQ89" s="106">
        <v>14.67</v>
      </c>
      <c r="AR89" s="106" t="s">
        <v>1906</v>
      </c>
      <c r="AS89" s="106">
        <v>14.67</v>
      </c>
      <c r="AT89" s="107" t="s">
        <v>1906</v>
      </c>
      <c r="AU89" s="106">
        <f t="shared" si="4"/>
        <v>114.99000000000001</v>
      </c>
      <c r="AV89" s="25">
        <v>8.1299999999999997E-2</v>
      </c>
      <c r="AW89" s="30" t="str">
        <f t="shared" si="5"/>
        <v>95-70</v>
      </c>
      <c r="AX89" s="30" t="s">
        <v>1907</v>
      </c>
      <c r="AY89" s="30">
        <v>0</v>
      </c>
      <c r="AZ89" s="30">
        <v>0</v>
      </c>
    </row>
    <row r="90" spans="1:52" ht="31.2" x14ac:dyDescent="0.3">
      <c r="A90" s="103">
        <v>80</v>
      </c>
      <c r="B90" s="30" t="s">
        <v>647</v>
      </c>
      <c r="C90" s="30" t="s">
        <v>1899</v>
      </c>
      <c r="D90" s="105" t="s">
        <v>1900</v>
      </c>
      <c r="E90" s="105" t="s">
        <v>1901</v>
      </c>
      <c r="F90" s="30" t="s">
        <v>1902</v>
      </c>
      <c r="G90" s="26" t="s">
        <v>145</v>
      </c>
      <c r="H90" s="24" t="s">
        <v>146</v>
      </c>
      <c r="I90" s="25">
        <v>1</v>
      </c>
      <c r="J90" s="24" t="s">
        <v>1903</v>
      </c>
      <c r="K90" s="24">
        <v>32</v>
      </c>
      <c r="L90" s="24">
        <v>5</v>
      </c>
      <c r="M90" s="24" t="str">
        <f t="shared" si="3"/>
        <v>95-70</v>
      </c>
      <c r="N90" s="24" t="s">
        <v>529</v>
      </c>
      <c r="O90" s="24" t="s">
        <v>529</v>
      </c>
      <c r="P90" s="24">
        <v>1</v>
      </c>
      <c r="Q90" s="102">
        <v>0</v>
      </c>
      <c r="R90" s="30" t="s">
        <v>1905</v>
      </c>
      <c r="S90" s="24">
        <v>0</v>
      </c>
      <c r="T90" s="24"/>
      <c r="U90" s="94">
        <v>367.4</v>
      </c>
      <c r="V90" s="94">
        <v>365.18999999999994</v>
      </c>
      <c r="W90" s="106">
        <v>77.06</v>
      </c>
      <c r="X90" s="107" t="s">
        <v>208</v>
      </c>
      <c r="Y90" s="106">
        <v>43.43</v>
      </c>
      <c r="Z90" s="107" t="s">
        <v>208</v>
      </c>
      <c r="AA90" s="106">
        <v>65.19</v>
      </c>
      <c r="AB90" s="107" t="s">
        <v>208</v>
      </c>
      <c r="AC90" s="106">
        <v>35.58</v>
      </c>
      <c r="AD90" s="107" t="s">
        <v>208</v>
      </c>
      <c r="AE90" s="106">
        <v>14.78</v>
      </c>
      <c r="AF90" s="107" t="s">
        <v>208</v>
      </c>
      <c r="AG90" s="106">
        <v>0</v>
      </c>
      <c r="AH90" s="107" t="s">
        <v>208</v>
      </c>
      <c r="AI90" s="106">
        <v>0</v>
      </c>
      <c r="AJ90" s="107" t="s">
        <v>208</v>
      </c>
      <c r="AK90" s="106">
        <v>0</v>
      </c>
      <c r="AL90" s="107" t="s">
        <v>208</v>
      </c>
      <c r="AM90" s="106">
        <v>0</v>
      </c>
      <c r="AN90" s="107" t="s">
        <v>208</v>
      </c>
      <c r="AO90" s="106">
        <v>23.13</v>
      </c>
      <c r="AP90" s="107" t="s">
        <v>208</v>
      </c>
      <c r="AQ90" s="106">
        <v>27.02</v>
      </c>
      <c r="AR90" s="106" t="s">
        <v>208</v>
      </c>
      <c r="AS90" s="106">
        <v>38.450000000000003</v>
      </c>
      <c r="AT90" s="107" t="s">
        <v>208</v>
      </c>
      <c r="AU90" s="106">
        <f t="shared" si="4"/>
        <v>324.64</v>
      </c>
      <c r="AV90" s="25">
        <v>0.14449999999999999</v>
      </c>
      <c r="AW90" s="30" t="str">
        <f t="shared" si="5"/>
        <v>95-70</v>
      </c>
      <c r="AX90" s="30" t="s">
        <v>1907</v>
      </c>
      <c r="AY90" s="30">
        <v>0</v>
      </c>
      <c r="AZ90" s="30">
        <v>0</v>
      </c>
    </row>
    <row r="91" spans="1:52" ht="31.2" x14ac:dyDescent="0.3">
      <c r="A91" s="103">
        <v>81</v>
      </c>
      <c r="B91" s="30" t="s">
        <v>648</v>
      </c>
      <c r="C91" s="30" t="s">
        <v>1899</v>
      </c>
      <c r="D91" s="105" t="s">
        <v>1900</v>
      </c>
      <c r="E91" s="105" t="s">
        <v>1901</v>
      </c>
      <c r="F91" s="30" t="s">
        <v>1902</v>
      </c>
      <c r="G91" s="26" t="s">
        <v>145</v>
      </c>
      <c r="H91" s="24" t="s">
        <v>146</v>
      </c>
      <c r="I91" s="25">
        <v>1</v>
      </c>
      <c r="J91" s="24" t="s">
        <v>1903</v>
      </c>
      <c r="K91" s="24">
        <v>32</v>
      </c>
      <c r="L91" s="24">
        <v>5</v>
      </c>
      <c r="M91" s="24" t="str">
        <f t="shared" si="3"/>
        <v>95-70</v>
      </c>
      <c r="N91" s="24" t="s">
        <v>529</v>
      </c>
      <c r="O91" s="24" t="s">
        <v>529</v>
      </c>
      <c r="P91" s="24">
        <v>1</v>
      </c>
      <c r="Q91" s="102">
        <v>0</v>
      </c>
      <c r="R91" s="30" t="s">
        <v>1905</v>
      </c>
      <c r="S91" s="24">
        <v>0</v>
      </c>
      <c r="T91" s="24"/>
      <c r="U91" s="94">
        <v>398.19000000000005</v>
      </c>
      <c r="V91" s="94">
        <v>373.62000000000006</v>
      </c>
      <c r="W91" s="106">
        <v>83.63</v>
      </c>
      <c r="X91" s="107" t="s">
        <v>208</v>
      </c>
      <c r="Y91" s="106">
        <v>48.370000000000005</v>
      </c>
      <c r="Z91" s="107" t="s">
        <v>208</v>
      </c>
      <c r="AA91" s="106">
        <v>71.92</v>
      </c>
      <c r="AB91" s="107" t="s">
        <v>208</v>
      </c>
      <c r="AC91" s="106">
        <v>43.32</v>
      </c>
      <c r="AD91" s="107" t="s">
        <v>208</v>
      </c>
      <c r="AE91" s="106">
        <v>13.93</v>
      </c>
      <c r="AF91" s="107" t="s">
        <v>208</v>
      </c>
      <c r="AG91" s="106">
        <v>0</v>
      </c>
      <c r="AH91" s="107" t="s">
        <v>208</v>
      </c>
      <c r="AI91" s="106">
        <v>0</v>
      </c>
      <c r="AJ91" s="107" t="s">
        <v>208</v>
      </c>
      <c r="AK91" s="106">
        <v>0</v>
      </c>
      <c r="AL91" s="107" t="s">
        <v>208</v>
      </c>
      <c r="AM91" s="106">
        <v>0</v>
      </c>
      <c r="AN91" s="107" t="s">
        <v>208</v>
      </c>
      <c r="AO91" s="106">
        <v>24.83</v>
      </c>
      <c r="AP91" s="107" t="s">
        <v>208</v>
      </c>
      <c r="AQ91" s="106">
        <v>34.53</v>
      </c>
      <c r="AR91" s="106" t="s">
        <v>208</v>
      </c>
      <c r="AS91" s="106">
        <v>44.03</v>
      </c>
      <c r="AT91" s="107" t="s">
        <v>208</v>
      </c>
      <c r="AU91" s="106">
        <f t="shared" si="4"/>
        <v>364.55999999999995</v>
      </c>
      <c r="AV91" s="25">
        <v>0.17299999999999999</v>
      </c>
      <c r="AW91" s="30" t="str">
        <f t="shared" si="5"/>
        <v>95-70</v>
      </c>
      <c r="AX91" s="30" t="s">
        <v>1907</v>
      </c>
      <c r="AY91" s="30">
        <v>0</v>
      </c>
      <c r="AZ91" s="30">
        <v>0</v>
      </c>
    </row>
    <row r="92" spans="1:52" ht="31.2" x14ac:dyDescent="0.3">
      <c r="A92" s="103">
        <v>82</v>
      </c>
      <c r="B92" s="30" t="s">
        <v>649</v>
      </c>
      <c r="C92" s="30" t="s">
        <v>1899</v>
      </c>
      <c r="D92" s="105" t="s">
        <v>1900</v>
      </c>
      <c r="E92" s="105" t="s">
        <v>1901</v>
      </c>
      <c r="F92" s="30" t="s">
        <v>1902</v>
      </c>
      <c r="G92" s="26" t="s">
        <v>145</v>
      </c>
      <c r="H92" s="24" t="s">
        <v>146</v>
      </c>
      <c r="I92" s="25">
        <v>1</v>
      </c>
      <c r="J92" s="24" t="s">
        <v>1903</v>
      </c>
      <c r="K92" s="24">
        <v>32</v>
      </c>
      <c r="L92" s="24">
        <v>5</v>
      </c>
      <c r="M92" s="24" t="str">
        <f t="shared" si="3"/>
        <v>95-70</v>
      </c>
      <c r="N92" s="24" t="s">
        <v>529</v>
      </c>
      <c r="O92" s="24" t="s">
        <v>529</v>
      </c>
      <c r="P92" s="24">
        <v>1</v>
      </c>
      <c r="Q92" s="102">
        <v>0</v>
      </c>
      <c r="R92" s="30" t="s">
        <v>1905</v>
      </c>
      <c r="S92" s="24">
        <v>0</v>
      </c>
      <c r="T92" s="24"/>
      <c r="U92" s="94">
        <v>269.28000000000003</v>
      </c>
      <c r="V92" s="94">
        <v>192.71</v>
      </c>
      <c r="W92" s="106">
        <v>26.37</v>
      </c>
      <c r="X92" s="107" t="s">
        <v>1906</v>
      </c>
      <c r="Y92" s="106">
        <v>26.32</v>
      </c>
      <c r="Z92" s="107" t="s">
        <v>1906</v>
      </c>
      <c r="AA92" s="106">
        <v>26.53</v>
      </c>
      <c r="AB92" s="107" t="s">
        <v>1906</v>
      </c>
      <c r="AC92" s="106">
        <v>26.36</v>
      </c>
      <c r="AD92" s="107" t="s">
        <v>1906</v>
      </c>
      <c r="AE92" s="106">
        <v>8.34</v>
      </c>
      <c r="AF92" s="107" t="s">
        <v>1906</v>
      </c>
      <c r="AG92" s="106">
        <v>0</v>
      </c>
      <c r="AH92" s="107" t="s">
        <v>1906</v>
      </c>
      <c r="AI92" s="106">
        <v>0</v>
      </c>
      <c r="AJ92" s="107" t="s">
        <v>1906</v>
      </c>
      <c r="AK92" s="106">
        <v>0</v>
      </c>
      <c r="AL92" s="107" t="s">
        <v>1906</v>
      </c>
      <c r="AM92" s="106">
        <v>5.84</v>
      </c>
      <c r="AN92" s="107" t="s">
        <v>1906</v>
      </c>
      <c r="AO92" s="106">
        <v>25.03</v>
      </c>
      <c r="AP92" s="107" t="s">
        <v>1906</v>
      </c>
      <c r="AQ92" s="106">
        <v>25.03</v>
      </c>
      <c r="AR92" s="106" t="s">
        <v>1906</v>
      </c>
      <c r="AS92" s="106">
        <v>25.03</v>
      </c>
      <c r="AT92" s="107" t="s">
        <v>1906</v>
      </c>
      <c r="AU92" s="106">
        <f t="shared" si="4"/>
        <v>194.85000000000002</v>
      </c>
      <c r="AV92" s="25">
        <v>0.1149</v>
      </c>
      <c r="AW92" s="30" t="str">
        <f t="shared" si="5"/>
        <v>95-70</v>
      </c>
      <c r="AX92" s="30" t="s">
        <v>1907</v>
      </c>
      <c r="AY92" s="30">
        <v>0</v>
      </c>
      <c r="AZ92" s="30">
        <v>0</v>
      </c>
    </row>
    <row r="93" spans="1:52" ht="31.2" x14ac:dyDescent="0.3">
      <c r="A93" s="103">
        <v>83</v>
      </c>
      <c r="B93" s="30" t="s">
        <v>650</v>
      </c>
      <c r="C93" s="30" t="s">
        <v>1899</v>
      </c>
      <c r="D93" s="105" t="s">
        <v>1900</v>
      </c>
      <c r="E93" s="105" t="s">
        <v>1901</v>
      </c>
      <c r="F93" s="30" t="s">
        <v>1902</v>
      </c>
      <c r="G93" s="26" t="s">
        <v>145</v>
      </c>
      <c r="H93" s="24" t="s">
        <v>146</v>
      </c>
      <c r="I93" s="25">
        <v>0</v>
      </c>
      <c r="J93" s="24" t="s">
        <v>1903</v>
      </c>
      <c r="K93" s="24">
        <v>32</v>
      </c>
      <c r="L93" s="24">
        <v>5</v>
      </c>
      <c r="M93" s="24" t="str">
        <f t="shared" si="3"/>
        <v>95-70</v>
      </c>
      <c r="N93" s="24" t="s">
        <v>529</v>
      </c>
      <c r="O93" s="24" t="s">
        <v>529</v>
      </c>
      <c r="P93" s="24">
        <v>0</v>
      </c>
      <c r="Q93" s="102">
        <v>0</v>
      </c>
      <c r="R93" s="30" t="s">
        <v>1905</v>
      </c>
      <c r="S93" s="24">
        <v>0</v>
      </c>
      <c r="T93" s="24"/>
      <c r="U93" s="94">
        <v>265.53000000000003</v>
      </c>
      <c r="V93" s="94">
        <v>251.01000000000002</v>
      </c>
      <c r="W93" s="106">
        <v>34.28</v>
      </c>
      <c r="X93" s="107" t="s">
        <v>1906</v>
      </c>
      <c r="Y93" s="106">
        <v>34.28</v>
      </c>
      <c r="Z93" s="107" t="s">
        <v>1906</v>
      </c>
      <c r="AA93" s="106">
        <v>34.28</v>
      </c>
      <c r="AB93" s="107" t="s">
        <v>1906</v>
      </c>
      <c r="AC93" s="106">
        <v>34.28</v>
      </c>
      <c r="AD93" s="107" t="s">
        <v>1906</v>
      </c>
      <c r="AE93" s="106">
        <v>11.049999999999999</v>
      </c>
      <c r="AF93" s="107" t="s">
        <v>1906</v>
      </c>
      <c r="AG93" s="106">
        <v>0</v>
      </c>
      <c r="AH93" s="107" t="s">
        <v>1906</v>
      </c>
      <c r="AI93" s="106">
        <v>0</v>
      </c>
      <c r="AJ93" s="107" t="s">
        <v>1906</v>
      </c>
      <c r="AK93" s="106">
        <v>0</v>
      </c>
      <c r="AL93" s="107" t="s">
        <v>1906</v>
      </c>
      <c r="AM93" s="106">
        <v>7.81</v>
      </c>
      <c r="AN93" s="107" t="s">
        <v>1906</v>
      </c>
      <c r="AO93" s="106">
        <v>33.479999999999997</v>
      </c>
      <c r="AP93" s="107" t="s">
        <v>1906</v>
      </c>
      <c r="AQ93" s="106">
        <v>33.479999999999997</v>
      </c>
      <c r="AR93" s="106" t="s">
        <v>1906</v>
      </c>
      <c r="AS93" s="106">
        <v>33.479999999999997</v>
      </c>
      <c r="AT93" s="107" t="s">
        <v>1906</v>
      </c>
      <c r="AU93" s="106">
        <f t="shared" si="4"/>
        <v>256.42</v>
      </c>
      <c r="AV93" s="25">
        <v>0.1285</v>
      </c>
      <c r="AW93" s="30" t="str">
        <f t="shared" si="5"/>
        <v>95-70</v>
      </c>
      <c r="AX93" s="30" t="s">
        <v>1907</v>
      </c>
      <c r="AY93" s="30">
        <v>0</v>
      </c>
      <c r="AZ93" s="30">
        <v>0</v>
      </c>
    </row>
    <row r="94" spans="1:52" ht="31.2" x14ac:dyDescent="0.3">
      <c r="A94" s="103">
        <v>84</v>
      </c>
      <c r="B94" s="30" t="s">
        <v>652</v>
      </c>
      <c r="C94" s="30" t="s">
        <v>1899</v>
      </c>
      <c r="D94" s="105" t="s">
        <v>1900</v>
      </c>
      <c r="E94" s="105" t="s">
        <v>1901</v>
      </c>
      <c r="F94" s="30" t="s">
        <v>1902</v>
      </c>
      <c r="G94" s="26" t="s">
        <v>145</v>
      </c>
      <c r="H94" s="24" t="s">
        <v>146</v>
      </c>
      <c r="I94" s="25">
        <v>1</v>
      </c>
      <c r="J94" s="24" t="s">
        <v>1903</v>
      </c>
      <c r="K94" s="24">
        <v>65</v>
      </c>
      <c r="L94" s="24">
        <v>5</v>
      </c>
      <c r="M94" s="24" t="str">
        <f t="shared" si="3"/>
        <v>95-70</v>
      </c>
      <c r="N94" s="24" t="s">
        <v>529</v>
      </c>
      <c r="O94" s="24" t="s">
        <v>529</v>
      </c>
      <c r="P94" s="24">
        <v>1</v>
      </c>
      <c r="Q94" s="102">
        <v>0</v>
      </c>
      <c r="R94" s="30" t="s">
        <v>1905</v>
      </c>
      <c r="S94" s="24">
        <v>0</v>
      </c>
      <c r="T94" s="24"/>
      <c r="U94" s="94">
        <v>1640.8999999999999</v>
      </c>
      <c r="V94" s="94">
        <v>1652.98</v>
      </c>
      <c r="W94" s="106">
        <v>335.66</v>
      </c>
      <c r="X94" s="107" t="s">
        <v>208</v>
      </c>
      <c r="Y94" s="106">
        <v>228.68</v>
      </c>
      <c r="Z94" s="107" t="s">
        <v>208</v>
      </c>
      <c r="AA94" s="106">
        <v>134.33000000000001</v>
      </c>
      <c r="AB94" s="107" t="s">
        <v>208</v>
      </c>
      <c r="AC94" s="106">
        <v>247.72</v>
      </c>
      <c r="AD94" s="107" t="s">
        <v>208</v>
      </c>
      <c r="AE94" s="106">
        <v>58.74</v>
      </c>
      <c r="AF94" s="107" t="s">
        <v>208</v>
      </c>
      <c r="AG94" s="106">
        <v>0</v>
      </c>
      <c r="AH94" s="107" t="s">
        <v>208</v>
      </c>
      <c r="AI94" s="106">
        <v>0</v>
      </c>
      <c r="AJ94" s="107" t="s">
        <v>208</v>
      </c>
      <c r="AK94" s="106">
        <v>0</v>
      </c>
      <c r="AL94" s="107" t="s">
        <v>208</v>
      </c>
      <c r="AM94" s="106">
        <v>0</v>
      </c>
      <c r="AN94" s="107" t="s">
        <v>208</v>
      </c>
      <c r="AO94" s="106">
        <v>232.12</v>
      </c>
      <c r="AP94" s="107" t="s">
        <v>208</v>
      </c>
      <c r="AQ94" s="106">
        <v>152.32</v>
      </c>
      <c r="AR94" s="106" t="s">
        <v>208</v>
      </c>
      <c r="AS94" s="106">
        <v>231.8</v>
      </c>
      <c r="AT94" s="107" t="s">
        <v>208</v>
      </c>
      <c r="AU94" s="106">
        <f t="shared" si="4"/>
        <v>1621.37</v>
      </c>
      <c r="AV94" s="25">
        <v>0.71560000000000001</v>
      </c>
      <c r="AW94" s="30" t="str">
        <f t="shared" si="5"/>
        <v>95-70</v>
      </c>
      <c r="AX94" s="30" t="s">
        <v>1907</v>
      </c>
      <c r="AY94" s="30">
        <v>0</v>
      </c>
      <c r="AZ94" s="30">
        <v>0</v>
      </c>
    </row>
    <row r="95" spans="1:52" ht="31.2" x14ac:dyDescent="0.3">
      <c r="A95" s="103">
        <v>85</v>
      </c>
      <c r="B95" s="30" t="s">
        <v>654</v>
      </c>
      <c r="C95" s="30" t="s">
        <v>1899</v>
      </c>
      <c r="D95" s="105" t="s">
        <v>1900</v>
      </c>
      <c r="E95" s="105" t="s">
        <v>1901</v>
      </c>
      <c r="F95" s="30" t="s">
        <v>1902</v>
      </c>
      <c r="G95" s="26" t="s">
        <v>145</v>
      </c>
      <c r="H95" s="24" t="s">
        <v>146</v>
      </c>
      <c r="I95" s="25">
        <v>1</v>
      </c>
      <c r="J95" s="24" t="s">
        <v>1903</v>
      </c>
      <c r="K95" s="24">
        <v>40</v>
      </c>
      <c r="L95" s="24">
        <v>5</v>
      </c>
      <c r="M95" s="24" t="str">
        <f t="shared" si="3"/>
        <v>95-70</v>
      </c>
      <c r="N95" s="24" t="s">
        <v>529</v>
      </c>
      <c r="O95" s="24" t="s">
        <v>529</v>
      </c>
      <c r="P95" s="24">
        <v>1</v>
      </c>
      <c r="Q95" s="102">
        <v>0</v>
      </c>
      <c r="R95" s="30" t="s">
        <v>1905</v>
      </c>
      <c r="S95" s="24">
        <v>0</v>
      </c>
      <c r="T95" s="24"/>
      <c r="U95" s="94">
        <v>615.64</v>
      </c>
      <c r="V95" s="94">
        <v>424.45000000000005</v>
      </c>
      <c r="W95" s="106">
        <v>54.88</v>
      </c>
      <c r="X95" s="107" t="s">
        <v>208</v>
      </c>
      <c r="Y95" s="106">
        <v>43.15</v>
      </c>
      <c r="Z95" s="107" t="s">
        <v>208</v>
      </c>
      <c r="AA95" s="106">
        <v>59.559999999999995</v>
      </c>
      <c r="AB95" s="107" t="s">
        <v>208</v>
      </c>
      <c r="AC95" s="106">
        <v>36.899999999999991</v>
      </c>
      <c r="AD95" s="107" t="s">
        <v>208</v>
      </c>
      <c r="AE95" s="106">
        <v>11.780000000000001</v>
      </c>
      <c r="AF95" s="107" t="s">
        <v>208</v>
      </c>
      <c r="AG95" s="106">
        <v>0</v>
      </c>
      <c r="AH95" s="107" t="s">
        <v>208</v>
      </c>
      <c r="AI95" s="106">
        <v>0</v>
      </c>
      <c r="AJ95" s="107" t="s">
        <v>208</v>
      </c>
      <c r="AK95" s="106">
        <v>0</v>
      </c>
      <c r="AL95" s="107" t="s">
        <v>208</v>
      </c>
      <c r="AM95" s="106">
        <v>0</v>
      </c>
      <c r="AN95" s="107" t="s">
        <v>208</v>
      </c>
      <c r="AO95" s="106">
        <v>21.369999999999997</v>
      </c>
      <c r="AP95" s="107" t="s">
        <v>208</v>
      </c>
      <c r="AQ95" s="106">
        <v>23.76</v>
      </c>
      <c r="AR95" s="106" t="s">
        <v>208</v>
      </c>
      <c r="AS95" s="106">
        <v>37.67</v>
      </c>
      <c r="AT95" s="107" t="s">
        <v>208</v>
      </c>
      <c r="AU95" s="106">
        <f t="shared" si="4"/>
        <v>289.07</v>
      </c>
      <c r="AV95" s="25">
        <v>0.13830000000000001</v>
      </c>
      <c r="AW95" s="30" t="str">
        <f t="shared" si="5"/>
        <v>95-70</v>
      </c>
      <c r="AX95" s="30" t="s">
        <v>1907</v>
      </c>
      <c r="AY95" s="30">
        <v>0</v>
      </c>
      <c r="AZ95" s="30">
        <v>0</v>
      </c>
    </row>
    <row r="96" spans="1:52" ht="31.2" x14ac:dyDescent="0.3">
      <c r="A96" s="103">
        <v>86</v>
      </c>
      <c r="B96" s="30" t="s">
        <v>656</v>
      </c>
      <c r="C96" s="30" t="s">
        <v>1899</v>
      </c>
      <c r="D96" s="105" t="s">
        <v>1900</v>
      </c>
      <c r="E96" s="105" t="s">
        <v>1901</v>
      </c>
      <c r="F96" s="30" t="s">
        <v>1902</v>
      </c>
      <c r="G96" s="26" t="s">
        <v>145</v>
      </c>
      <c r="H96" s="24" t="s">
        <v>146</v>
      </c>
      <c r="I96" s="25">
        <v>1</v>
      </c>
      <c r="J96" s="24" t="s">
        <v>1903</v>
      </c>
      <c r="K96" s="24">
        <v>65</v>
      </c>
      <c r="L96" s="24">
        <v>5</v>
      </c>
      <c r="M96" s="24" t="str">
        <f t="shared" si="3"/>
        <v>95-70</v>
      </c>
      <c r="N96" s="24" t="s">
        <v>529</v>
      </c>
      <c r="O96" s="24" t="s">
        <v>529</v>
      </c>
      <c r="P96" s="24">
        <v>1</v>
      </c>
      <c r="Q96" s="102">
        <v>0</v>
      </c>
      <c r="R96" s="30" t="s">
        <v>1905</v>
      </c>
      <c r="S96" s="24">
        <v>0</v>
      </c>
      <c r="T96" s="24"/>
      <c r="U96" s="94">
        <f>709.81*0.97</f>
        <v>688.51569999999992</v>
      </c>
      <c r="V96" s="94">
        <f>850.17*0.97</f>
        <v>824.66489999999999</v>
      </c>
      <c r="W96" s="106">
        <f>176.84*0.97</f>
        <v>171.53479999999999</v>
      </c>
      <c r="X96" s="107" t="s">
        <v>208</v>
      </c>
      <c r="Y96" s="106">
        <f>125.6*0.97</f>
        <v>121.83199999999999</v>
      </c>
      <c r="Z96" s="107" t="s">
        <v>208</v>
      </c>
      <c r="AA96" s="106">
        <f>177.14*0.97</f>
        <v>171.82579999999999</v>
      </c>
      <c r="AB96" s="107" t="s">
        <v>208</v>
      </c>
      <c r="AC96" s="106">
        <f>86.76*0.97</f>
        <v>84.157200000000003</v>
      </c>
      <c r="AD96" s="107" t="s">
        <v>208</v>
      </c>
      <c r="AE96" s="106">
        <f>34.5*0.97</f>
        <v>33.464999999999996</v>
      </c>
      <c r="AF96" s="107" t="s">
        <v>208</v>
      </c>
      <c r="AG96" s="106">
        <v>0</v>
      </c>
      <c r="AH96" s="107" t="s">
        <v>208</v>
      </c>
      <c r="AI96" s="106">
        <v>0</v>
      </c>
      <c r="AJ96" s="107" t="s">
        <v>208</v>
      </c>
      <c r="AK96" s="106">
        <v>0</v>
      </c>
      <c r="AL96" s="107" t="s">
        <v>208</v>
      </c>
      <c r="AM96" s="106">
        <v>0</v>
      </c>
      <c r="AN96" s="107" t="s">
        <v>208</v>
      </c>
      <c r="AO96" s="106">
        <f>60.62*0.97</f>
        <v>58.801399999999994</v>
      </c>
      <c r="AP96" s="107" t="s">
        <v>208</v>
      </c>
      <c r="AQ96" s="106">
        <f>68.21*0.97</f>
        <v>66.163699999999992</v>
      </c>
      <c r="AR96" s="106" t="s">
        <v>208</v>
      </c>
      <c r="AS96" s="106">
        <f>42.25*0.97</f>
        <v>40.982500000000002</v>
      </c>
      <c r="AT96" s="107" t="s">
        <v>208</v>
      </c>
      <c r="AU96" s="106">
        <f t="shared" si="4"/>
        <v>748.76239999999984</v>
      </c>
      <c r="AV96" s="25">
        <v>0.4284</v>
      </c>
      <c r="AW96" s="30" t="str">
        <f t="shared" si="5"/>
        <v>95-70</v>
      </c>
      <c r="AX96" s="30" t="s">
        <v>1907</v>
      </c>
      <c r="AY96" s="30">
        <v>0</v>
      </c>
      <c r="AZ96" s="30">
        <v>0</v>
      </c>
    </row>
    <row r="97" spans="1:52" ht="31.2" x14ac:dyDescent="0.3">
      <c r="A97" s="103">
        <v>87</v>
      </c>
      <c r="B97" s="30" t="s">
        <v>657</v>
      </c>
      <c r="C97" s="30" t="s">
        <v>1899</v>
      </c>
      <c r="D97" s="105" t="s">
        <v>1900</v>
      </c>
      <c r="E97" s="105" t="s">
        <v>1901</v>
      </c>
      <c r="F97" s="30" t="s">
        <v>1902</v>
      </c>
      <c r="G97" s="26" t="s">
        <v>145</v>
      </c>
      <c r="H97" s="24" t="s">
        <v>146</v>
      </c>
      <c r="I97" s="25">
        <v>0</v>
      </c>
      <c r="J97" s="24" t="s">
        <v>1903</v>
      </c>
      <c r="K97" s="24">
        <v>65</v>
      </c>
      <c r="L97" s="24">
        <v>5</v>
      </c>
      <c r="M97" s="24" t="str">
        <f t="shared" si="3"/>
        <v>95-70</v>
      </c>
      <c r="N97" s="24" t="s">
        <v>529</v>
      </c>
      <c r="O97" s="24" t="s">
        <v>529</v>
      </c>
      <c r="P97" s="24">
        <v>0</v>
      </c>
      <c r="Q97" s="102">
        <v>0</v>
      </c>
      <c r="R97" s="30" t="s">
        <v>1905</v>
      </c>
      <c r="S97" s="24">
        <v>0</v>
      </c>
      <c r="T97" s="24"/>
      <c r="U97" s="94">
        <f>709.81*0.03</f>
        <v>21.294299999999996</v>
      </c>
      <c r="V97" s="94">
        <f>850.17*0.03</f>
        <v>25.505099999999999</v>
      </c>
      <c r="W97" s="106">
        <f>176.84*0.03</f>
        <v>5.3052000000000001</v>
      </c>
      <c r="X97" s="107" t="s">
        <v>1906</v>
      </c>
      <c r="Y97" s="106">
        <f>125.6*0.03</f>
        <v>3.7679999999999998</v>
      </c>
      <c r="Z97" s="107" t="s">
        <v>1906</v>
      </c>
      <c r="AA97" s="106">
        <f>177.14*0.03</f>
        <v>5.3141999999999996</v>
      </c>
      <c r="AB97" s="107" t="s">
        <v>1906</v>
      </c>
      <c r="AC97" s="106">
        <f>86.76*0.03</f>
        <v>2.6028000000000002</v>
      </c>
      <c r="AD97" s="107" t="s">
        <v>1906</v>
      </c>
      <c r="AE97" s="106">
        <f>34.5*0.03</f>
        <v>1.0349999999999999</v>
      </c>
      <c r="AF97" s="107" t="s">
        <v>1906</v>
      </c>
      <c r="AG97" s="106">
        <v>0</v>
      </c>
      <c r="AH97" s="107" t="s">
        <v>1906</v>
      </c>
      <c r="AI97" s="106">
        <v>0</v>
      </c>
      <c r="AJ97" s="107" t="s">
        <v>1906</v>
      </c>
      <c r="AK97" s="106">
        <v>0</v>
      </c>
      <c r="AL97" s="107" t="s">
        <v>1906</v>
      </c>
      <c r="AM97" s="106">
        <v>0</v>
      </c>
      <c r="AN97" s="107" t="s">
        <v>1906</v>
      </c>
      <c r="AO97" s="106">
        <f>60.62*0.03</f>
        <v>1.8185999999999998</v>
      </c>
      <c r="AP97" s="107" t="s">
        <v>1906</v>
      </c>
      <c r="AQ97" s="106">
        <f>68.21*0.03</f>
        <v>2.0462999999999996</v>
      </c>
      <c r="AR97" s="106" t="s">
        <v>1906</v>
      </c>
      <c r="AS97" s="106">
        <f>42.25*0.03</f>
        <v>1.2674999999999998</v>
      </c>
      <c r="AT97" s="107" t="s">
        <v>1906</v>
      </c>
      <c r="AU97" s="106">
        <f t="shared" si="4"/>
        <v>23.157599999999999</v>
      </c>
      <c r="AV97" s="25"/>
      <c r="AW97" s="30" t="str">
        <f t="shared" si="5"/>
        <v>95-70</v>
      </c>
      <c r="AX97" s="30" t="s">
        <v>1907</v>
      </c>
      <c r="AY97" s="30">
        <v>0</v>
      </c>
      <c r="AZ97" s="30">
        <v>0</v>
      </c>
    </row>
    <row r="98" spans="1:52" ht="31.2" x14ac:dyDescent="0.3">
      <c r="A98" s="103">
        <v>88</v>
      </c>
      <c r="B98" s="30" t="s">
        <v>659</v>
      </c>
      <c r="C98" s="30" t="s">
        <v>1899</v>
      </c>
      <c r="D98" s="105" t="s">
        <v>1900</v>
      </c>
      <c r="E98" s="105" t="s">
        <v>1901</v>
      </c>
      <c r="F98" s="30" t="s">
        <v>1902</v>
      </c>
      <c r="G98" s="26" t="s">
        <v>145</v>
      </c>
      <c r="H98" s="24" t="s">
        <v>146</v>
      </c>
      <c r="I98" s="25">
        <v>0</v>
      </c>
      <c r="J98" s="24" t="s">
        <v>1903</v>
      </c>
      <c r="K98" s="24">
        <v>32</v>
      </c>
      <c r="L98" s="24">
        <v>5</v>
      </c>
      <c r="M98" s="24" t="str">
        <f t="shared" si="3"/>
        <v>95-70</v>
      </c>
      <c r="N98" s="24" t="s">
        <v>529</v>
      </c>
      <c r="O98" s="24" t="s">
        <v>529</v>
      </c>
      <c r="P98" s="24">
        <v>0</v>
      </c>
      <c r="Q98" s="102">
        <v>0</v>
      </c>
      <c r="R98" s="30" t="s">
        <v>1905</v>
      </c>
      <c r="S98" s="24">
        <v>0</v>
      </c>
      <c r="T98" s="24"/>
      <c r="U98" s="94">
        <v>238.89999999999998</v>
      </c>
      <c r="V98" s="94">
        <v>163.01</v>
      </c>
      <c r="W98" s="106">
        <v>22.36</v>
      </c>
      <c r="X98" s="107" t="s">
        <v>1906</v>
      </c>
      <c r="Y98" s="106">
        <v>22.36</v>
      </c>
      <c r="Z98" s="107" t="s">
        <v>1906</v>
      </c>
      <c r="AA98" s="106">
        <v>22.36</v>
      </c>
      <c r="AB98" s="107" t="s">
        <v>1906</v>
      </c>
      <c r="AC98" s="106">
        <v>22.36</v>
      </c>
      <c r="AD98" s="107" t="s">
        <v>1906</v>
      </c>
      <c r="AE98" s="106">
        <v>6.49</v>
      </c>
      <c r="AF98" s="107" t="s">
        <v>1906</v>
      </c>
      <c r="AG98" s="106">
        <v>0</v>
      </c>
      <c r="AH98" s="107" t="s">
        <v>1906</v>
      </c>
      <c r="AI98" s="106">
        <v>0</v>
      </c>
      <c r="AJ98" s="107" t="s">
        <v>1906</v>
      </c>
      <c r="AK98" s="106">
        <v>0</v>
      </c>
      <c r="AL98" s="107" t="s">
        <v>1906</v>
      </c>
      <c r="AM98" s="106">
        <v>4.5199999999999996</v>
      </c>
      <c r="AN98" s="107" t="s">
        <v>1906</v>
      </c>
      <c r="AO98" s="106">
        <v>19.39</v>
      </c>
      <c r="AP98" s="107" t="s">
        <v>1906</v>
      </c>
      <c r="AQ98" s="106">
        <v>19.39</v>
      </c>
      <c r="AR98" s="106" t="s">
        <v>1906</v>
      </c>
      <c r="AS98" s="106">
        <v>19.39</v>
      </c>
      <c r="AT98" s="107" t="s">
        <v>1906</v>
      </c>
      <c r="AU98" s="106">
        <f t="shared" si="4"/>
        <v>158.62</v>
      </c>
      <c r="AV98" s="25">
        <v>0.1016</v>
      </c>
      <c r="AW98" s="30" t="str">
        <f t="shared" si="5"/>
        <v>95-70</v>
      </c>
      <c r="AX98" s="30" t="s">
        <v>1907</v>
      </c>
      <c r="AY98" s="30">
        <v>0</v>
      </c>
      <c r="AZ98" s="30">
        <v>0</v>
      </c>
    </row>
    <row r="99" spans="1:52" ht="31.2" x14ac:dyDescent="0.3">
      <c r="A99" s="103">
        <v>89</v>
      </c>
      <c r="B99" s="30" t="s">
        <v>660</v>
      </c>
      <c r="C99" s="30" t="s">
        <v>1899</v>
      </c>
      <c r="D99" s="105" t="s">
        <v>1900</v>
      </c>
      <c r="E99" s="105" t="s">
        <v>1901</v>
      </c>
      <c r="F99" s="30" t="s">
        <v>1902</v>
      </c>
      <c r="G99" s="26" t="s">
        <v>145</v>
      </c>
      <c r="H99" s="24" t="s">
        <v>146</v>
      </c>
      <c r="I99" s="25">
        <v>0</v>
      </c>
      <c r="J99" s="24" t="s">
        <v>1903</v>
      </c>
      <c r="K99" s="24">
        <v>32</v>
      </c>
      <c r="L99" s="24">
        <v>5</v>
      </c>
      <c r="M99" s="24" t="str">
        <f t="shared" si="3"/>
        <v>95-70</v>
      </c>
      <c r="N99" s="24" t="s">
        <v>529</v>
      </c>
      <c r="O99" s="24" t="s">
        <v>529</v>
      </c>
      <c r="P99" s="24">
        <v>0</v>
      </c>
      <c r="Q99" s="102">
        <v>0</v>
      </c>
      <c r="R99" s="30" t="s">
        <v>1905</v>
      </c>
      <c r="S99" s="24">
        <v>0</v>
      </c>
      <c r="T99" s="24"/>
      <c r="U99" s="94">
        <v>297.28000000000003</v>
      </c>
      <c r="V99" s="94">
        <v>226.73</v>
      </c>
      <c r="W99" s="106">
        <v>31.1</v>
      </c>
      <c r="X99" s="107" t="s">
        <v>1906</v>
      </c>
      <c r="Y99" s="106">
        <v>31.1</v>
      </c>
      <c r="Z99" s="107" t="s">
        <v>1906</v>
      </c>
      <c r="AA99" s="106">
        <v>31.1</v>
      </c>
      <c r="AB99" s="107" t="s">
        <v>1906</v>
      </c>
      <c r="AC99" s="106">
        <v>31.1</v>
      </c>
      <c r="AD99" s="107" t="s">
        <v>1906</v>
      </c>
      <c r="AE99" s="106">
        <v>9.0300000000000011</v>
      </c>
      <c r="AF99" s="107" t="s">
        <v>1906</v>
      </c>
      <c r="AG99" s="106">
        <v>0</v>
      </c>
      <c r="AH99" s="107" t="s">
        <v>1906</v>
      </c>
      <c r="AI99" s="106">
        <v>0</v>
      </c>
      <c r="AJ99" s="107" t="s">
        <v>1906</v>
      </c>
      <c r="AK99" s="106">
        <v>0</v>
      </c>
      <c r="AL99" s="107" t="s">
        <v>1906</v>
      </c>
      <c r="AM99" s="106">
        <v>7.21</v>
      </c>
      <c r="AN99" s="107" t="s">
        <v>1906</v>
      </c>
      <c r="AO99" s="106">
        <v>30.91</v>
      </c>
      <c r="AP99" s="107" t="s">
        <v>1906</v>
      </c>
      <c r="AQ99" s="106">
        <v>30.91</v>
      </c>
      <c r="AR99" s="106" t="s">
        <v>1906</v>
      </c>
      <c r="AS99" s="106">
        <v>30.91</v>
      </c>
      <c r="AT99" s="107" t="s">
        <v>1906</v>
      </c>
      <c r="AU99" s="106">
        <f t="shared" si="4"/>
        <v>233.37</v>
      </c>
      <c r="AV99" s="25">
        <v>0.13950000000000001</v>
      </c>
      <c r="AW99" s="30" t="str">
        <f t="shared" si="5"/>
        <v>95-70</v>
      </c>
      <c r="AX99" s="30" t="s">
        <v>1907</v>
      </c>
      <c r="AY99" s="30">
        <v>0</v>
      </c>
      <c r="AZ99" s="30">
        <v>0</v>
      </c>
    </row>
    <row r="100" spans="1:52" ht="31.2" x14ac:dyDescent="0.3">
      <c r="A100" s="103">
        <v>90</v>
      </c>
      <c r="B100" s="30" t="s">
        <v>661</v>
      </c>
      <c r="C100" s="30" t="s">
        <v>1899</v>
      </c>
      <c r="D100" s="105" t="s">
        <v>1900</v>
      </c>
      <c r="E100" s="105" t="s">
        <v>1901</v>
      </c>
      <c r="F100" s="30" t="s">
        <v>1902</v>
      </c>
      <c r="G100" s="26" t="s">
        <v>145</v>
      </c>
      <c r="H100" s="24" t="s">
        <v>146</v>
      </c>
      <c r="I100" s="25">
        <v>1</v>
      </c>
      <c r="J100" s="24" t="s">
        <v>1903</v>
      </c>
      <c r="K100" s="24">
        <v>50</v>
      </c>
      <c r="L100" s="24">
        <v>5</v>
      </c>
      <c r="M100" s="24" t="str">
        <f t="shared" si="3"/>
        <v>95-70</v>
      </c>
      <c r="N100" s="24" t="s">
        <v>529</v>
      </c>
      <c r="O100" s="24" t="s">
        <v>529</v>
      </c>
      <c r="P100" s="24">
        <v>1</v>
      </c>
      <c r="Q100" s="102">
        <v>0</v>
      </c>
      <c r="R100" s="30" t="s">
        <v>1905</v>
      </c>
      <c r="S100" s="24">
        <v>0</v>
      </c>
      <c r="T100" s="24"/>
      <c r="U100" s="94">
        <v>505.35999999999996</v>
      </c>
      <c r="V100" s="94">
        <v>355.00000000000006</v>
      </c>
      <c r="W100" s="106">
        <v>60.46</v>
      </c>
      <c r="X100" s="107" t="s">
        <v>208</v>
      </c>
      <c r="Y100" s="106">
        <v>40.630000000000003</v>
      </c>
      <c r="Z100" s="107" t="s">
        <v>208</v>
      </c>
      <c r="AA100" s="106">
        <v>58.77</v>
      </c>
      <c r="AB100" s="107" t="s">
        <v>208</v>
      </c>
      <c r="AC100" s="106">
        <v>45.66</v>
      </c>
      <c r="AD100" s="107" t="s">
        <v>208</v>
      </c>
      <c r="AE100" s="106">
        <v>11.4</v>
      </c>
      <c r="AF100" s="107" t="s">
        <v>208</v>
      </c>
      <c r="AG100" s="106">
        <v>0</v>
      </c>
      <c r="AH100" s="107" t="s">
        <v>208</v>
      </c>
      <c r="AI100" s="106">
        <v>0</v>
      </c>
      <c r="AJ100" s="107" t="s">
        <v>208</v>
      </c>
      <c r="AK100" s="106">
        <v>0</v>
      </c>
      <c r="AL100" s="107" t="s">
        <v>208</v>
      </c>
      <c r="AM100" s="106">
        <v>0</v>
      </c>
      <c r="AN100" s="107" t="s">
        <v>208</v>
      </c>
      <c r="AO100" s="106">
        <v>20.34</v>
      </c>
      <c r="AP100" s="107" t="s">
        <v>208</v>
      </c>
      <c r="AQ100" s="106">
        <v>23.94</v>
      </c>
      <c r="AR100" s="106" t="s">
        <v>208</v>
      </c>
      <c r="AS100" s="106">
        <v>29.34</v>
      </c>
      <c r="AT100" s="107" t="s">
        <v>208</v>
      </c>
      <c r="AU100" s="106">
        <f t="shared" si="4"/>
        <v>290.54000000000002</v>
      </c>
      <c r="AV100" s="25">
        <v>0.24210000000000001</v>
      </c>
      <c r="AW100" s="30" t="str">
        <f t="shared" si="5"/>
        <v>95-70</v>
      </c>
      <c r="AX100" s="30" t="s">
        <v>1907</v>
      </c>
      <c r="AY100" s="30">
        <v>0</v>
      </c>
      <c r="AZ100" s="30">
        <v>0</v>
      </c>
    </row>
    <row r="101" spans="1:52" ht="31.2" x14ac:dyDescent="0.3">
      <c r="A101" s="103">
        <v>91</v>
      </c>
      <c r="B101" s="30" t="s">
        <v>662</v>
      </c>
      <c r="C101" s="30" t="s">
        <v>1899</v>
      </c>
      <c r="D101" s="105" t="s">
        <v>1900</v>
      </c>
      <c r="E101" s="105" t="s">
        <v>1901</v>
      </c>
      <c r="F101" s="30" t="s">
        <v>1902</v>
      </c>
      <c r="G101" s="26" t="s">
        <v>145</v>
      </c>
      <c r="H101" s="24" t="s">
        <v>146</v>
      </c>
      <c r="I101" s="25">
        <v>1</v>
      </c>
      <c r="J101" s="24" t="s">
        <v>1903</v>
      </c>
      <c r="K101" s="24"/>
      <c r="L101" s="24">
        <v>5</v>
      </c>
      <c r="M101" s="24" t="str">
        <f t="shared" si="3"/>
        <v>95-70</v>
      </c>
      <c r="N101" s="24" t="s">
        <v>529</v>
      </c>
      <c r="O101" s="24" t="s">
        <v>529</v>
      </c>
      <c r="P101" s="24">
        <v>1</v>
      </c>
      <c r="Q101" s="102">
        <v>0</v>
      </c>
      <c r="R101" s="30" t="s">
        <v>1905</v>
      </c>
      <c r="S101" s="24">
        <v>0</v>
      </c>
      <c r="T101" s="24"/>
      <c r="U101" s="94">
        <v>484.65000000000003</v>
      </c>
      <c r="V101" s="94">
        <v>446.46000000000004</v>
      </c>
      <c r="W101" s="106">
        <v>61.239999999999995</v>
      </c>
      <c r="X101" s="107" t="s">
        <v>1906</v>
      </c>
      <c r="Y101" s="106">
        <v>61.239999999999995</v>
      </c>
      <c r="Z101" s="107" t="s">
        <v>1906</v>
      </c>
      <c r="AA101" s="106">
        <v>61.239999999999995</v>
      </c>
      <c r="AB101" s="107" t="s">
        <v>1906</v>
      </c>
      <c r="AC101" s="106">
        <v>61.239999999999995</v>
      </c>
      <c r="AD101" s="107" t="s">
        <v>1906</v>
      </c>
      <c r="AE101" s="106">
        <v>17.779999999999998</v>
      </c>
      <c r="AF101" s="107" t="s">
        <v>1906</v>
      </c>
      <c r="AG101" s="106">
        <v>0</v>
      </c>
      <c r="AH101" s="107" t="s">
        <v>1906</v>
      </c>
      <c r="AI101" s="106">
        <v>0</v>
      </c>
      <c r="AJ101" s="107" t="s">
        <v>1906</v>
      </c>
      <c r="AK101" s="106">
        <v>0</v>
      </c>
      <c r="AL101" s="107" t="s">
        <v>1906</v>
      </c>
      <c r="AM101" s="106">
        <v>14.39</v>
      </c>
      <c r="AN101" s="107" t="s">
        <v>1906</v>
      </c>
      <c r="AO101" s="106">
        <v>61.69</v>
      </c>
      <c r="AP101" s="107" t="s">
        <v>1906</v>
      </c>
      <c r="AQ101" s="106">
        <v>61.69</v>
      </c>
      <c r="AR101" s="106" t="s">
        <v>1906</v>
      </c>
      <c r="AS101" s="106">
        <v>61.69</v>
      </c>
      <c r="AT101" s="107" t="s">
        <v>1906</v>
      </c>
      <c r="AU101" s="106">
        <f t="shared" si="4"/>
        <v>462.19999999999993</v>
      </c>
      <c r="AV101" s="25">
        <v>0.22739999999999999</v>
      </c>
      <c r="AW101" s="30" t="str">
        <f t="shared" si="5"/>
        <v>95-70</v>
      </c>
      <c r="AX101" s="30" t="s">
        <v>1907</v>
      </c>
      <c r="AY101" s="30">
        <v>0</v>
      </c>
      <c r="AZ101" s="30">
        <v>0</v>
      </c>
    </row>
    <row r="102" spans="1:52" ht="31.2" x14ac:dyDescent="0.3">
      <c r="A102" s="103">
        <v>92</v>
      </c>
      <c r="B102" s="30" t="s">
        <v>663</v>
      </c>
      <c r="C102" s="30" t="s">
        <v>1899</v>
      </c>
      <c r="D102" s="105" t="s">
        <v>1900</v>
      </c>
      <c r="E102" s="105" t="s">
        <v>1901</v>
      </c>
      <c r="F102" s="30" t="s">
        <v>1902</v>
      </c>
      <c r="G102" s="26" t="s">
        <v>145</v>
      </c>
      <c r="H102" s="24" t="s">
        <v>146</v>
      </c>
      <c r="I102" s="25">
        <v>2</v>
      </c>
      <c r="J102" s="24" t="s">
        <v>1903</v>
      </c>
      <c r="K102" s="24">
        <v>40.5</v>
      </c>
      <c r="L102" s="24">
        <v>5</v>
      </c>
      <c r="M102" s="24" t="str">
        <f t="shared" si="3"/>
        <v>95-70</v>
      </c>
      <c r="N102" s="24" t="s">
        <v>529</v>
      </c>
      <c r="O102" s="24" t="s">
        <v>529</v>
      </c>
      <c r="P102" s="24">
        <v>1</v>
      </c>
      <c r="Q102" s="102">
        <v>0</v>
      </c>
      <c r="R102" s="30" t="s">
        <v>1905</v>
      </c>
      <c r="S102" s="24">
        <v>0</v>
      </c>
      <c r="T102" s="24"/>
      <c r="U102" s="94">
        <v>784.67</v>
      </c>
      <c r="V102" s="94">
        <v>881.36</v>
      </c>
      <c r="W102" s="106">
        <v>152.38</v>
      </c>
      <c r="X102" s="107" t="s">
        <v>208</v>
      </c>
      <c r="Y102" s="106">
        <v>99.11</v>
      </c>
      <c r="Z102" s="107" t="s">
        <v>208</v>
      </c>
      <c r="AA102" s="106">
        <v>144.79</v>
      </c>
      <c r="AB102" s="107" t="s">
        <v>208</v>
      </c>
      <c r="AC102" s="106">
        <v>111.03999999999999</v>
      </c>
      <c r="AD102" s="107" t="s">
        <v>208</v>
      </c>
      <c r="AE102" s="106">
        <v>32.49</v>
      </c>
      <c r="AF102" s="107" t="s">
        <v>208</v>
      </c>
      <c r="AG102" s="106">
        <v>0</v>
      </c>
      <c r="AH102" s="107" t="s">
        <v>208</v>
      </c>
      <c r="AI102" s="106">
        <v>0</v>
      </c>
      <c r="AJ102" s="107" t="s">
        <v>208</v>
      </c>
      <c r="AK102" s="106">
        <v>0</v>
      </c>
      <c r="AL102" s="107" t="s">
        <v>208</v>
      </c>
      <c r="AM102" s="106">
        <v>0</v>
      </c>
      <c r="AN102" s="107" t="s">
        <v>208</v>
      </c>
      <c r="AO102" s="106">
        <v>45.03</v>
      </c>
      <c r="AP102" s="107" t="s">
        <v>208</v>
      </c>
      <c r="AQ102" s="106">
        <v>60.61</v>
      </c>
      <c r="AR102" s="106" t="s">
        <v>208</v>
      </c>
      <c r="AS102" s="106">
        <v>91.460000000000008</v>
      </c>
      <c r="AT102" s="107" t="s">
        <v>208</v>
      </c>
      <c r="AU102" s="106">
        <f t="shared" si="4"/>
        <v>736.91</v>
      </c>
      <c r="AV102" s="25">
        <v>0.41839999999999999</v>
      </c>
      <c r="AW102" s="30" t="str">
        <f t="shared" si="5"/>
        <v>95-70</v>
      </c>
      <c r="AX102" s="30" t="s">
        <v>1907</v>
      </c>
      <c r="AY102" s="30">
        <v>0</v>
      </c>
      <c r="AZ102" s="30">
        <v>0</v>
      </c>
    </row>
    <row r="103" spans="1:52" ht="31.2" x14ac:dyDescent="0.3">
      <c r="A103" s="103">
        <v>93</v>
      </c>
      <c r="B103" s="30" t="s">
        <v>664</v>
      </c>
      <c r="C103" s="30" t="s">
        <v>1899</v>
      </c>
      <c r="D103" s="105" t="s">
        <v>1900</v>
      </c>
      <c r="E103" s="105" t="s">
        <v>1901</v>
      </c>
      <c r="F103" s="30" t="s">
        <v>1902</v>
      </c>
      <c r="G103" s="26" t="s">
        <v>145</v>
      </c>
      <c r="H103" s="24" t="s">
        <v>146</v>
      </c>
      <c r="I103" s="25">
        <v>0</v>
      </c>
      <c r="J103" s="24" t="s">
        <v>1903</v>
      </c>
      <c r="K103" s="24">
        <v>32</v>
      </c>
      <c r="L103" s="24">
        <v>5</v>
      </c>
      <c r="M103" s="24" t="str">
        <f t="shared" si="3"/>
        <v>95-70</v>
      </c>
      <c r="N103" s="24" t="s">
        <v>529</v>
      </c>
      <c r="O103" s="24" t="s">
        <v>529</v>
      </c>
      <c r="P103" s="24">
        <v>0</v>
      </c>
      <c r="Q103" s="102">
        <v>0</v>
      </c>
      <c r="R103" s="30" t="s">
        <v>1905</v>
      </c>
      <c r="S103" s="24">
        <v>0</v>
      </c>
      <c r="T103" s="24"/>
      <c r="U103" s="94">
        <v>310.14999999999998</v>
      </c>
      <c r="V103" s="94">
        <v>261.81</v>
      </c>
      <c r="W103" s="106">
        <v>35.910000000000004</v>
      </c>
      <c r="X103" s="107" t="s">
        <v>1906</v>
      </c>
      <c r="Y103" s="106">
        <v>35.910000000000004</v>
      </c>
      <c r="Z103" s="107" t="s">
        <v>1906</v>
      </c>
      <c r="AA103" s="106">
        <v>35.910000000000004</v>
      </c>
      <c r="AB103" s="107" t="s">
        <v>1906</v>
      </c>
      <c r="AC103" s="106">
        <v>35.75</v>
      </c>
      <c r="AD103" s="107" t="s">
        <v>1906</v>
      </c>
      <c r="AE103" s="106">
        <v>10.219999999999999</v>
      </c>
      <c r="AF103" s="107" t="s">
        <v>1906</v>
      </c>
      <c r="AG103" s="106">
        <v>0</v>
      </c>
      <c r="AH103" s="107" t="s">
        <v>1906</v>
      </c>
      <c r="AI103" s="106">
        <v>0</v>
      </c>
      <c r="AJ103" s="107" t="s">
        <v>1906</v>
      </c>
      <c r="AK103" s="106">
        <v>0</v>
      </c>
      <c r="AL103" s="107" t="s">
        <v>1906</v>
      </c>
      <c r="AM103" s="106">
        <v>8.09</v>
      </c>
      <c r="AN103" s="107" t="s">
        <v>1906</v>
      </c>
      <c r="AO103" s="106">
        <v>34.659999999999997</v>
      </c>
      <c r="AP103" s="107" t="s">
        <v>1906</v>
      </c>
      <c r="AQ103" s="106">
        <v>34.659999999999997</v>
      </c>
      <c r="AR103" s="106" t="s">
        <v>1906</v>
      </c>
      <c r="AS103" s="106">
        <v>34.659999999999997</v>
      </c>
      <c r="AT103" s="107" t="s">
        <v>1906</v>
      </c>
      <c r="AU103" s="106">
        <f t="shared" si="4"/>
        <v>265.77</v>
      </c>
      <c r="AV103" s="25">
        <v>0.14549999999999999</v>
      </c>
      <c r="AW103" s="30" t="str">
        <f t="shared" si="5"/>
        <v>95-70</v>
      </c>
      <c r="AX103" s="30" t="s">
        <v>1907</v>
      </c>
      <c r="AY103" s="30">
        <v>0</v>
      </c>
      <c r="AZ103" s="30">
        <v>0</v>
      </c>
    </row>
    <row r="104" spans="1:52" ht="31.2" x14ac:dyDescent="0.3">
      <c r="A104" s="103">
        <v>94</v>
      </c>
      <c r="B104" s="30" t="s">
        <v>666</v>
      </c>
      <c r="C104" s="30" t="s">
        <v>1899</v>
      </c>
      <c r="D104" s="105" t="s">
        <v>1900</v>
      </c>
      <c r="E104" s="105" t="s">
        <v>1901</v>
      </c>
      <c r="F104" s="30" t="s">
        <v>1902</v>
      </c>
      <c r="G104" s="26" t="s">
        <v>145</v>
      </c>
      <c r="H104" s="24" t="s">
        <v>146</v>
      </c>
      <c r="I104" s="25">
        <v>1</v>
      </c>
      <c r="J104" s="24" t="s">
        <v>1903</v>
      </c>
      <c r="K104" s="24">
        <v>65</v>
      </c>
      <c r="L104" s="24">
        <v>5</v>
      </c>
      <c r="M104" s="24" t="str">
        <f t="shared" si="3"/>
        <v>95-70</v>
      </c>
      <c r="N104" s="24" t="s">
        <v>529</v>
      </c>
      <c r="O104" s="24" t="s">
        <v>529</v>
      </c>
      <c r="P104" s="24">
        <v>1</v>
      </c>
      <c r="Q104" s="102">
        <v>0</v>
      </c>
      <c r="R104" s="30" t="s">
        <v>1905</v>
      </c>
      <c r="S104" s="24">
        <v>0</v>
      </c>
      <c r="T104" s="24"/>
      <c r="U104" s="94">
        <v>880.04000000000008</v>
      </c>
      <c r="V104" s="94">
        <v>961.88000000000011</v>
      </c>
      <c r="W104" s="106">
        <v>131.94</v>
      </c>
      <c r="X104" s="107" t="s">
        <v>1906</v>
      </c>
      <c r="Y104" s="106">
        <v>131.94</v>
      </c>
      <c r="Z104" s="107" t="s">
        <v>1906</v>
      </c>
      <c r="AA104" s="106">
        <v>131.94</v>
      </c>
      <c r="AB104" s="107" t="s">
        <v>1906</v>
      </c>
      <c r="AC104" s="106">
        <v>131.94</v>
      </c>
      <c r="AD104" s="107" t="s">
        <v>1906</v>
      </c>
      <c r="AE104" s="106">
        <v>38.300000000000004</v>
      </c>
      <c r="AF104" s="107" t="s">
        <v>1906</v>
      </c>
      <c r="AG104" s="106">
        <v>0</v>
      </c>
      <c r="AH104" s="107" t="s">
        <v>1906</v>
      </c>
      <c r="AI104" s="106">
        <v>0</v>
      </c>
      <c r="AJ104" s="107" t="s">
        <v>1906</v>
      </c>
      <c r="AK104" s="106">
        <v>0</v>
      </c>
      <c r="AL104" s="107" t="s">
        <v>1906</v>
      </c>
      <c r="AM104" s="106">
        <v>0</v>
      </c>
      <c r="AN104" s="107" t="s">
        <v>1906</v>
      </c>
      <c r="AO104" s="106">
        <v>127.52</v>
      </c>
      <c r="AP104" s="107" t="s">
        <v>1906</v>
      </c>
      <c r="AQ104" s="106">
        <v>127.52</v>
      </c>
      <c r="AR104" s="106" t="s">
        <v>1906</v>
      </c>
      <c r="AS104" s="106">
        <v>127.52</v>
      </c>
      <c r="AT104" s="107" t="s">
        <v>1906</v>
      </c>
      <c r="AU104" s="106">
        <f t="shared" si="4"/>
        <v>948.61999999999989</v>
      </c>
      <c r="AV104" s="25">
        <v>0.40939999999999999</v>
      </c>
      <c r="AW104" s="30" t="str">
        <f t="shared" si="5"/>
        <v>95-70</v>
      </c>
      <c r="AX104" s="30" t="s">
        <v>1907</v>
      </c>
      <c r="AY104" s="30">
        <v>0</v>
      </c>
      <c r="AZ104" s="30">
        <v>0</v>
      </c>
    </row>
    <row r="105" spans="1:52" ht="31.2" x14ac:dyDescent="0.3">
      <c r="A105" s="103">
        <v>95</v>
      </c>
      <c r="B105" s="30" t="s">
        <v>668</v>
      </c>
      <c r="C105" s="30" t="s">
        <v>1899</v>
      </c>
      <c r="D105" s="105" t="s">
        <v>1900</v>
      </c>
      <c r="E105" s="105" t="s">
        <v>1901</v>
      </c>
      <c r="F105" s="30" t="s">
        <v>1902</v>
      </c>
      <c r="G105" s="26" t="s">
        <v>145</v>
      </c>
      <c r="H105" s="24" t="s">
        <v>146</v>
      </c>
      <c r="I105" s="25">
        <v>1</v>
      </c>
      <c r="J105" s="24" t="s">
        <v>1903</v>
      </c>
      <c r="K105" s="24">
        <v>50</v>
      </c>
      <c r="L105" s="24">
        <v>5</v>
      </c>
      <c r="M105" s="24" t="str">
        <f t="shared" si="3"/>
        <v>95-70</v>
      </c>
      <c r="N105" s="24" t="s">
        <v>529</v>
      </c>
      <c r="O105" s="24" t="s">
        <v>529</v>
      </c>
      <c r="P105" s="24">
        <v>1</v>
      </c>
      <c r="Q105" s="102">
        <v>0</v>
      </c>
      <c r="R105" s="30" t="s">
        <v>1905</v>
      </c>
      <c r="S105" s="24">
        <v>0</v>
      </c>
      <c r="T105" s="24"/>
      <c r="U105" s="94">
        <v>834.20999999999992</v>
      </c>
      <c r="V105" s="94">
        <v>939.56999999999994</v>
      </c>
      <c r="W105" s="106">
        <v>185.18</v>
      </c>
      <c r="X105" s="107" t="s">
        <v>208</v>
      </c>
      <c r="Y105" s="106">
        <v>108.44</v>
      </c>
      <c r="Z105" s="107" t="s">
        <v>208</v>
      </c>
      <c r="AA105" s="106">
        <v>162.07</v>
      </c>
      <c r="AB105" s="107" t="s">
        <v>208</v>
      </c>
      <c r="AC105" s="106">
        <v>119.06</v>
      </c>
      <c r="AD105" s="107" t="s">
        <v>208</v>
      </c>
      <c r="AE105" s="106">
        <v>38.61</v>
      </c>
      <c r="AF105" s="107" t="s">
        <v>208</v>
      </c>
      <c r="AG105" s="106">
        <v>0</v>
      </c>
      <c r="AH105" s="107" t="s">
        <v>208</v>
      </c>
      <c r="AI105" s="106">
        <v>0</v>
      </c>
      <c r="AJ105" s="107" t="s">
        <v>208</v>
      </c>
      <c r="AK105" s="106">
        <v>0</v>
      </c>
      <c r="AL105" s="107" t="s">
        <v>208</v>
      </c>
      <c r="AM105" s="106">
        <v>0</v>
      </c>
      <c r="AN105" s="107" t="s">
        <v>208</v>
      </c>
      <c r="AO105" s="106">
        <v>41.72</v>
      </c>
      <c r="AP105" s="107" t="s">
        <v>208</v>
      </c>
      <c r="AQ105" s="106">
        <v>69.959999999999994</v>
      </c>
      <c r="AR105" s="106" t="s">
        <v>208</v>
      </c>
      <c r="AS105" s="106">
        <v>107.64</v>
      </c>
      <c r="AT105" s="107" t="s">
        <v>208</v>
      </c>
      <c r="AU105" s="106">
        <f t="shared" si="4"/>
        <v>832.68000000000006</v>
      </c>
      <c r="AV105" s="25">
        <v>0.442</v>
      </c>
      <c r="AW105" s="30" t="str">
        <f t="shared" si="5"/>
        <v>95-70</v>
      </c>
      <c r="AX105" s="30" t="s">
        <v>1907</v>
      </c>
      <c r="AY105" s="30">
        <v>0</v>
      </c>
      <c r="AZ105" s="30">
        <v>0</v>
      </c>
    </row>
    <row r="106" spans="1:52" ht="31.2" x14ac:dyDescent="0.3">
      <c r="A106" s="103">
        <v>96</v>
      </c>
      <c r="B106" s="30" t="s">
        <v>669</v>
      </c>
      <c r="C106" s="30" t="s">
        <v>1899</v>
      </c>
      <c r="D106" s="105" t="s">
        <v>1900</v>
      </c>
      <c r="E106" s="105" t="s">
        <v>1901</v>
      </c>
      <c r="F106" s="30" t="s">
        <v>1902</v>
      </c>
      <c r="G106" s="26" t="s">
        <v>145</v>
      </c>
      <c r="H106" s="24" t="s">
        <v>146</v>
      </c>
      <c r="I106" s="25">
        <v>1</v>
      </c>
      <c r="J106" s="24" t="s">
        <v>1903</v>
      </c>
      <c r="K106" s="24">
        <v>32</v>
      </c>
      <c r="L106" s="24">
        <v>5</v>
      </c>
      <c r="M106" s="24" t="str">
        <f t="shared" si="3"/>
        <v>95-70</v>
      </c>
      <c r="N106" s="24" t="s">
        <v>529</v>
      </c>
      <c r="O106" s="24" t="s">
        <v>529</v>
      </c>
      <c r="P106" s="24">
        <v>1</v>
      </c>
      <c r="Q106" s="102">
        <v>0</v>
      </c>
      <c r="R106" s="30" t="s">
        <v>1905</v>
      </c>
      <c r="S106" s="24">
        <v>0</v>
      </c>
      <c r="T106" s="24"/>
      <c r="U106" s="94">
        <v>223.34</v>
      </c>
      <c r="V106" s="94">
        <v>174.75</v>
      </c>
      <c r="W106" s="106">
        <v>24.06</v>
      </c>
      <c r="X106" s="107" t="s">
        <v>1906</v>
      </c>
      <c r="Y106" s="106">
        <v>23.86</v>
      </c>
      <c r="Z106" s="107" t="s">
        <v>1906</v>
      </c>
      <c r="AA106" s="106">
        <v>23.86</v>
      </c>
      <c r="AB106" s="107" t="s">
        <v>1906</v>
      </c>
      <c r="AC106" s="106">
        <v>23.86</v>
      </c>
      <c r="AD106" s="107" t="s">
        <v>1906</v>
      </c>
      <c r="AE106" s="106">
        <v>6.9300000000000006</v>
      </c>
      <c r="AF106" s="107" t="s">
        <v>1906</v>
      </c>
      <c r="AG106" s="106">
        <v>0</v>
      </c>
      <c r="AH106" s="107" t="s">
        <v>1906</v>
      </c>
      <c r="AI106" s="106">
        <v>0</v>
      </c>
      <c r="AJ106" s="107" t="s">
        <v>1906</v>
      </c>
      <c r="AK106" s="106">
        <v>0</v>
      </c>
      <c r="AL106" s="107" t="s">
        <v>1906</v>
      </c>
      <c r="AM106" s="106">
        <v>5.43</v>
      </c>
      <c r="AN106" s="107" t="s">
        <v>1906</v>
      </c>
      <c r="AO106" s="106">
        <v>23.28</v>
      </c>
      <c r="AP106" s="107" t="s">
        <v>1906</v>
      </c>
      <c r="AQ106" s="106">
        <v>23.28</v>
      </c>
      <c r="AR106" s="106" t="s">
        <v>1906</v>
      </c>
      <c r="AS106" s="106">
        <v>23.28</v>
      </c>
      <c r="AT106" s="107" t="s">
        <v>1906</v>
      </c>
      <c r="AU106" s="106">
        <f t="shared" si="4"/>
        <v>177.84</v>
      </c>
      <c r="AV106" s="25">
        <v>0.11840000000000001</v>
      </c>
      <c r="AW106" s="30" t="str">
        <f t="shared" si="5"/>
        <v>95-70</v>
      </c>
      <c r="AX106" s="30" t="s">
        <v>1907</v>
      </c>
      <c r="AY106" s="30">
        <v>0</v>
      </c>
      <c r="AZ106" s="30">
        <v>0</v>
      </c>
    </row>
    <row r="107" spans="1:52" ht="31.2" x14ac:dyDescent="0.3">
      <c r="A107" s="103">
        <v>97</v>
      </c>
      <c r="B107" s="30" t="s">
        <v>671</v>
      </c>
      <c r="C107" s="30" t="s">
        <v>1899</v>
      </c>
      <c r="D107" s="105" t="s">
        <v>1900</v>
      </c>
      <c r="E107" s="105" t="s">
        <v>1901</v>
      </c>
      <c r="F107" s="30" t="s">
        <v>1902</v>
      </c>
      <c r="G107" s="26" t="s">
        <v>145</v>
      </c>
      <c r="H107" s="24" t="s">
        <v>146</v>
      </c>
      <c r="I107" s="25">
        <v>1</v>
      </c>
      <c r="J107" s="24" t="s">
        <v>1903</v>
      </c>
      <c r="K107" s="24">
        <v>32</v>
      </c>
      <c r="L107" s="24">
        <v>5</v>
      </c>
      <c r="M107" s="24" t="str">
        <f t="shared" si="3"/>
        <v>95-70</v>
      </c>
      <c r="N107" s="24" t="s">
        <v>529</v>
      </c>
      <c r="O107" s="24" t="s">
        <v>529</v>
      </c>
      <c r="P107" s="24">
        <v>1</v>
      </c>
      <c r="Q107" s="102">
        <v>0</v>
      </c>
      <c r="R107" s="30" t="s">
        <v>1905</v>
      </c>
      <c r="S107" s="24">
        <v>0</v>
      </c>
      <c r="T107" s="24"/>
      <c r="U107" s="94">
        <v>406.89000000000004</v>
      </c>
      <c r="V107" s="94">
        <v>146.83000000000001</v>
      </c>
      <c r="W107" s="106">
        <v>20.14</v>
      </c>
      <c r="X107" s="107" t="s">
        <v>1906</v>
      </c>
      <c r="Y107" s="106">
        <v>20.14</v>
      </c>
      <c r="Z107" s="107" t="s">
        <v>1906</v>
      </c>
      <c r="AA107" s="106">
        <v>20.14</v>
      </c>
      <c r="AB107" s="107" t="s">
        <v>1906</v>
      </c>
      <c r="AC107" s="106">
        <v>20.14</v>
      </c>
      <c r="AD107" s="107" t="s">
        <v>1906</v>
      </c>
      <c r="AE107" s="106">
        <v>5.85</v>
      </c>
      <c r="AF107" s="107" t="s">
        <v>1906</v>
      </c>
      <c r="AG107" s="106">
        <v>0</v>
      </c>
      <c r="AH107" s="107" t="s">
        <v>1906</v>
      </c>
      <c r="AI107" s="106">
        <v>0</v>
      </c>
      <c r="AJ107" s="107" t="s">
        <v>1906</v>
      </c>
      <c r="AK107" s="106">
        <v>0</v>
      </c>
      <c r="AL107" s="107" t="s">
        <v>1906</v>
      </c>
      <c r="AM107" s="106">
        <v>4.67</v>
      </c>
      <c r="AN107" s="107" t="s">
        <v>1906</v>
      </c>
      <c r="AO107" s="106">
        <v>20</v>
      </c>
      <c r="AP107" s="107" t="s">
        <v>1906</v>
      </c>
      <c r="AQ107" s="106">
        <v>20</v>
      </c>
      <c r="AR107" s="106" t="s">
        <v>1906</v>
      </c>
      <c r="AS107" s="106">
        <v>20</v>
      </c>
      <c r="AT107" s="107" t="s">
        <v>1906</v>
      </c>
      <c r="AU107" s="106">
        <f t="shared" si="4"/>
        <v>151.07999999999998</v>
      </c>
      <c r="AV107" s="25">
        <v>0.21579999999999999</v>
      </c>
      <c r="AW107" s="30" t="str">
        <f t="shared" si="5"/>
        <v>95-70</v>
      </c>
      <c r="AX107" s="30" t="s">
        <v>1907</v>
      </c>
      <c r="AY107" s="30">
        <v>0</v>
      </c>
      <c r="AZ107" s="30">
        <v>0</v>
      </c>
    </row>
    <row r="108" spans="1:52" ht="31.2" x14ac:dyDescent="0.3">
      <c r="A108" s="103">
        <v>98</v>
      </c>
      <c r="B108" s="30" t="s">
        <v>673</v>
      </c>
      <c r="C108" s="30" t="s">
        <v>1899</v>
      </c>
      <c r="D108" s="105" t="s">
        <v>1900</v>
      </c>
      <c r="E108" s="105" t="s">
        <v>1901</v>
      </c>
      <c r="F108" s="30" t="s">
        <v>1902</v>
      </c>
      <c r="G108" s="26" t="s">
        <v>145</v>
      </c>
      <c r="H108" s="24" t="s">
        <v>146</v>
      </c>
      <c r="I108" s="25">
        <v>2</v>
      </c>
      <c r="J108" s="24" t="s">
        <v>1903</v>
      </c>
      <c r="K108" s="24">
        <v>50.5</v>
      </c>
      <c r="L108" s="24">
        <v>5</v>
      </c>
      <c r="M108" s="24" t="str">
        <f t="shared" si="3"/>
        <v>95-70</v>
      </c>
      <c r="N108" s="24" t="s">
        <v>529</v>
      </c>
      <c r="O108" s="24" t="s">
        <v>529</v>
      </c>
      <c r="P108" s="24">
        <v>1</v>
      </c>
      <c r="Q108" s="102">
        <v>0</v>
      </c>
      <c r="R108" s="30" t="s">
        <v>1905</v>
      </c>
      <c r="S108" s="24">
        <v>0</v>
      </c>
      <c r="T108" s="24"/>
      <c r="U108" s="94">
        <v>1469.9</v>
      </c>
      <c r="V108" s="94">
        <v>1619.9599999999998</v>
      </c>
      <c r="W108" s="106">
        <v>312.33</v>
      </c>
      <c r="X108" s="107" t="s">
        <v>208</v>
      </c>
      <c r="Y108" s="106">
        <v>205.69</v>
      </c>
      <c r="Z108" s="107" t="s">
        <v>208</v>
      </c>
      <c r="AA108" s="106">
        <v>288.96000000000004</v>
      </c>
      <c r="AB108" s="107" t="s">
        <v>208</v>
      </c>
      <c r="AC108" s="106">
        <v>199.74</v>
      </c>
      <c r="AD108" s="107" t="s">
        <v>208</v>
      </c>
      <c r="AE108" s="106">
        <v>64.760000000000005</v>
      </c>
      <c r="AF108" s="107" t="s">
        <v>208</v>
      </c>
      <c r="AG108" s="106">
        <v>0</v>
      </c>
      <c r="AH108" s="107" t="s">
        <v>208</v>
      </c>
      <c r="AI108" s="106">
        <v>0</v>
      </c>
      <c r="AJ108" s="107" t="s">
        <v>208</v>
      </c>
      <c r="AK108" s="106">
        <v>0</v>
      </c>
      <c r="AL108" s="107" t="s">
        <v>208</v>
      </c>
      <c r="AM108" s="106">
        <v>0</v>
      </c>
      <c r="AN108" s="107" t="s">
        <v>208</v>
      </c>
      <c r="AO108" s="106">
        <v>76.41</v>
      </c>
      <c r="AP108" s="107" t="s">
        <v>208</v>
      </c>
      <c r="AQ108" s="106">
        <v>111.63999999999999</v>
      </c>
      <c r="AR108" s="106" t="s">
        <v>208</v>
      </c>
      <c r="AS108" s="106">
        <v>119.43</v>
      </c>
      <c r="AT108" s="107" t="s">
        <v>208</v>
      </c>
      <c r="AU108" s="106">
        <f t="shared" si="4"/>
        <v>1378.9600000000003</v>
      </c>
      <c r="AV108" s="25">
        <v>0.77229999999999999</v>
      </c>
      <c r="AW108" s="30" t="str">
        <f t="shared" si="5"/>
        <v>95-70</v>
      </c>
      <c r="AX108" s="30" t="s">
        <v>1907</v>
      </c>
      <c r="AY108" s="30">
        <v>0</v>
      </c>
      <c r="AZ108" s="30">
        <v>0</v>
      </c>
    </row>
    <row r="109" spans="1:52" ht="31.2" x14ac:dyDescent="0.3">
      <c r="A109" s="103">
        <v>99</v>
      </c>
      <c r="B109" s="30" t="s">
        <v>675</v>
      </c>
      <c r="C109" s="30" t="s">
        <v>1899</v>
      </c>
      <c r="D109" s="105" t="s">
        <v>1900</v>
      </c>
      <c r="E109" s="105" t="s">
        <v>1901</v>
      </c>
      <c r="F109" s="30" t="s">
        <v>1902</v>
      </c>
      <c r="G109" s="26" t="s">
        <v>145</v>
      </c>
      <c r="H109" s="24" t="s">
        <v>146</v>
      </c>
      <c r="I109" s="25">
        <v>1</v>
      </c>
      <c r="J109" s="24" t="s">
        <v>1903</v>
      </c>
      <c r="K109" s="24">
        <v>50</v>
      </c>
      <c r="L109" s="24">
        <v>5</v>
      </c>
      <c r="M109" s="24" t="str">
        <f t="shared" si="3"/>
        <v>95-70</v>
      </c>
      <c r="N109" s="24" t="s">
        <v>529</v>
      </c>
      <c r="O109" s="24" t="s">
        <v>529</v>
      </c>
      <c r="P109" s="24">
        <v>1</v>
      </c>
      <c r="Q109" s="102">
        <v>0</v>
      </c>
      <c r="R109" s="30" t="s">
        <v>1905</v>
      </c>
      <c r="S109" s="24">
        <v>0</v>
      </c>
      <c r="T109" s="24"/>
      <c r="U109" s="94">
        <v>699.23</v>
      </c>
      <c r="V109" s="94">
        <v>700.76</v>
      </c>
      <c r="W109" s="106">
        <v>92.34</v>
      </c>
      <c r="X109" s="107" t="s">
        <v>1906</v>
      </c>
      <c r="Y109" s="106">
        <v>92.31</v>
      </c>
      <c r="Z109" s="107" t="s">
        <v>1906</v>
      </c>
      <c r="AA109" s="106">
        <v>92.600000000000009</v>
      </c>
      <c r="AB109" s="107" t="s">
        <v>1906</v>
      </c>
      <c r="AC109" s="106">
        <v>93.48</v>
      </c>
      <c r="AD109" s="107" t="s">
        <v>1906</v>
      </c>
      <c r="AE109" s="106">
        <v>28.01</v>
      </c>
      <c r="AF109" s="107" t="s">
        <v>1906</v>
      </c>
      <c r="AG109" s="106">
        <v>0</v>
      </c>
      <c r="AH109" s="107" t="s">
        <v>1906</v>
      </c>
      <c r="AI109" s="106">
        <v>0</v>
      </c>
      <c r="AJ109" s="107" t="s">
        <v>1906</v>
      </c>
      <c r="AK109" s="106">
        <v>0</v>
      </c>
      <c r="AL109" s="107" t="s">
        <v>1906</v>
      </c>
      <c r="AM109" s="106">
        <v>0</v>
      </c>
      <c r="AN109" s="107" t="s">
        <v>1906</v>
      </c>
      <c r="AO109" s="106">
        <v>92.32</v>
      </c>
      <c r="AP109" s="107" t="s">
        <v>1906</v>
      </c>
      <c r="AQ109" s="106">
        <v>92.32</v>
      </c>
      <c r="AR109" s="106" t="s">
        <v>1906</v>
      </c>
      <c r="AS109" s="106">
        <v>92.32</v>
      </c>
      <c r="AT109" s="107" t="s">
        <v>1906</v>
      </c>
      <c r="AU109" s="106">
        <f t="shared" si="4"/>
        <v>675.7</v>
      </c>
      <c r="AV109" s="25">
        <v>0.29559999999999997</v>
      </c>
      <c r="AW109" s="30" t="str">
        <f t="shared" si="5"/>
        <v>95-70</v>
      </c>
      <c r="AX109" s="30" t="s">
        <v>1907</v>
      </c>
      <c r="AY109" s="30">
        <v>0</v>
      </c>
      <c r="AZ109" s="30">
        <v>0</v>
      </c>
    </row>
    <row r="110" spans="1:52" ht="31.2" x14ac:dyDescent="0.3">
      <c r="A110" s="103">
        <v>100</v>
      </c>
      <c r="B110" s="30" t="s">
        <v>676</v>
      </c>
      <c r="C110" s="30" t="s">
        <v>1899</v>
      </c>
      <c r="D110" s="105" t="s">
        <v>1900</v>
      </c>
      <c r="E110" s="105" t="s">
        <v>1901</v>
      </c>
      <c r="F110" s="30" t="s">
        <v>1902</v>
      </c>
      <c r="G110" s="26" t="s">
        <v>145</v>
      </c>
      <c r="H110" s="24" t="s">
        <v>146</v>
      </c>
      <c r="I110" s="25">
        <v>0</v>
      </c>
      <c r="J110" s="24" t="s">
        <v>1903</v>
      </c>
      <c r="K110" s="24">
        <v>40</v>
      </c>
      <c r="L110" s="24">
        <v>5</v>
      </c>
      <c r="M110" s="24" t="str">
        <f t="shared" si="3"/>
        <v>95-70</v>
      </c>
      <c r="N110" s="24" t="s">
        <v>529</v>
      </c>
      <c r="O110" s="24" t="s">
        <v>529</v>
      </c>
      <c r="P110" s="24">
        <v>0</v>
      </c>
      <c r="Q110" s="102">
        <v>0</v>
      </c>
      <c r="R110" s="30" t="s">
        <v>1905</v>
      </c>
      <c r="S110" s="24">
        <v>0</v>
      </c>
      <c r="T110" s="24"/>
      <c r="U110" s="94">
        <f>517.26*0.55</f>
        <v>284.49299999999999</v>
      </c>
      <c r="V110" s="94">
        <f>588.58*0.55</f>
        <v>323.71900000000005</v>
      </c>
      <c r="W110" s="106">
        <f>109.79*0.55</f>
        <v>60.38450000000001</v>
      </c>
      <c r="X110" s="107" t="s">
        <v>208</v>
      </c>
      <c r="Y110" s="106">
        <f>75.82*0.55</f>
        <v>41.701000000000001</v>
      </c>
      <c r="Z110" s="107" t="s">
        <v>208</v>
      </c>
      <c r="AA110" s="106">
        <f>101.38*0.55</f>
        <v>55.759</v>
      </c>
      <c r="AB110" s="107" t="s">
        <v>208</v>
      </c>
      <c r="AC110" s="106">
        <f>81.38*0.55</f>
        <v>44.759</v>
      </c>
      <c r="AD110" s="107" t="s">
        <v>208</v>
      </c>
      <c r="AE110" s="106">
        <f>26.41*0.55</f>
        <v>14.525500000000001</v>
      </c>
      <c r="AF110" s="107" t="s">
        <v>208</v>
      </c>
      <c r="AG110" s="106">
        <v>0</v>
      </c>
      <c r="AH110" s="107" t="s">
        <v>208</v>
      </c>
      <c r="AI110" s="106">
        <v>0</v>
      </c>
      <c r="AJ110" s="107" t="s">
        <v>208</v>
      </c>
      <c r="AK110" s="106">
        <v>0</v>
      </c>
      <c r="AL110" s="107" t="s">
        <v>208</v>
      </c>
      <c r="AM110" s="106">
        <v>0</v>
      </c>
      <c r="AN110" s="107" t="s">
        <v>208</v>
      </c>
      <c r="AO110" s="106">
        <f>45.99*0.51</f>
        <v>23.454900000000002</v>
      </c>
      <c r="AP110" s="107" t="s">
        <v>208</v>
      </c>
      <c r="AQ110" s="106">
        <f>50.23*0.51</f>
        <v>25.6173</v>
      </c>
      <c r="AR110" s="106" t="s">
        <v>208</v>
      </c>
      <c r="AS110" s="106">
        <f>68.44*0.51</f>
        <v>34.904400000000003</v>
      </c>
      <c r="AT110" s="107" t="s">
        <v>208</v>
      </c>
      <c r="AU110" s="106">
        <f t="shared" si="4"/>
        <v>301.10559999999998</v>
      </c>
      <c r="AV110" s="25">
        <v>0.21709999999999999</v>
      </c>
      <c r="AW110" s="30" t="str">
        <f t="shared" si="5"/>
        <v>95-70</v>
      </c>
      <c r="AX110" s="30" t="s">
        <v>1907</v>
      </c>
      <c r="AY110" s="30">
        <v>0</v>
      </c>
      <c r="AZ110" s="30">
        <v>0</v>
      </c>
    </row>
    <row r="111" spans="1:52" ht="31.2" x14ac:dyDescent="0.3">
      <c r="A111" s="103">
        <v>101</v>
      </c>
      <c r="B111" s="30" t="s">
        <v>677</v>
      </c>
      <c r="C111" s="30" t="s">
        <v>1899</v>
      </c>
      <c r="D111" s="105" t="s">
        <v>1900</v>
      </c>
      <c r="E111" s="105" t="s">
        <v>1901</v>
      </c>
      <c r="F111" s="30" t="s">
        <v>1902</v>
      </c>
      <c r="G111" s="26" t="s">
        <v>145</v>
      </c>
      <c r="H111" s="24" t="s">
        <v>146</v>
      </c>
      <c r="I111" s="25">
        <v>1</v>
      </c>
      <c r="J111" s="24" t="s">
        <v>1903</v>
      </c>
      <c r="K111" s="24">
        <v>40</v>
      </c>
      <c r="L111" s="24">
        <v>5</v>
      </c>
      <c r="M111" s="24" t="str">
        <f t="shared" si="3"/>
        <v>95-70</v>
      </c>
      <c r="N111" s="24" t="s">
        <v>529</v>
      </c>
      <c r="O111" s="24" t="s">
        <v>529</v>
      </c>
      <c r="P111" s="24">
        <v>1</v>
      </c>
      <c r="Q111" s="102">
        <v>0</v>
      </c>
      <c r="R111" s="30" t="s">
        <v>1905</v>
      </c>
      <c r="S111" s="24">
        <v>0</v>
      </c>
      <c r="T111" s="24"/>
      <c r="U111" s="94">
        <f>517.26*0.45</f>
        <v>232.767</v>
      </c>
      <c r="V111" s="94">
        <f>588.58*0.45</f>
        <v>264.86100000000005</v>
      </c>
      <c r="W111" s="106">
        <f>109.79*0.45</f>
        <v>49.405500000000004</v>
      </c>
      <c r="X111" s="107" t="s">
        <v>1906</v>
      </c>
      <c r="Y111" s="106">
        <f>75.82*0.45</f>
        <v>34.119</v>
      </c>
      <c r="Z111" s="107" t="s">
        <v>1906</v>
      </c>
      <c r="AA111" s="106">
        <f>101.38*0.45</f>
        <v>45.621000000000002</v>
      </c>
      <c r="AB111" s="107" t="s">
        <v>1906</v>
      </c>
      <c r="AC111" s="106">
        <f>81.38*0.45</f>
        <v>36.621000000000002</v>
      </c>
      <c r="AD111" s="107" t="s">
        <v>1906</v>
      </c>
      <c r="AE111" s="106">
        <f>26.41*0.45</f>
        <v>11.884500000000001</v>
      </c>
      <c r="AF111" s="107" t="s">
        <v>1906</v>
      </c>
      <c r="AG111" s="106">
        <v>0</v>
      </c>
      <c r="AH111" s="107" t="s">
        <v>1906</v>
      </c>
      <c r="AI111" s="106">
        <v>0</v>
      </c>
      <c r="AJ111" s="107" t="s">
        <v>1906</v>
      </c>
      <c r="AK111" s="106">
        <v>0</v>
      </c>
      <c r="AL111" s="107" t="s">
        <v>1906</v>
      </c>
      <c r="AM111" s="106">
        <v>0</v>
      </c>
      <c r="AN111" s="107" t="s">
        <v>1906</v>
      </c>
      <c r="AO111" s="106">
        <f>45.99*0.49</f>
        <v>22.5351</v>
      </c>
      <c r="AP111" s="107" t="s">
        <v>1906</v>
      </c>
      <c r="AQ111" s="106">
        <f>50.23*0.49</f>
        <v>24.612699999999997</v>
      </c>
      <c r="AR111" s="106" t="s">
        <v>1906</v>
      </c>
      <c r="AS111" s="106">
        <f>68.44*0.49</f>
        <v>33.535599999999995</v>
      </c>
      <c r="AT111" s="107" t="s">
        <v>1906</v>
      </c>
      <c r="AU111" s="106">
        <f t="shared" si="4"/>
        <v>258.33440000000002</v>
      </c>
      <c r="AV111" s="25">
        <v>1E-3</v>
      </c>
      <c r="AW111" s="30" t="str">
        <f t="shared" si="5"/>
        <v>95-70</v>
      </c>
      <c r="AX111" s="30" t="s">
        <v>1907</v>
      </c>
      <c r="AY111" s="30">
        <v>0</v>
      </c>
      <c r="AZ111" s="30">
        <v>0</v>
      </c>
    </row>
    <row r="112" spans="1:52" ht="31.2" x14ac:dyDescent="0.3">
      <c r="A112" s="103">
        <v>102</v>
      </c>
      <c r="B112" s="30" t="s">
        <v>678</v>
      </c>
      <c r="C112" s="30" t="s">
        <v>1899</v>
      </c>
      <c r="D112" s="105" t="s">
        <v>1900</v>
      </c>
      <c r="E112" s="105" t="s">
        <v>1901</v>
      </c>
      <c r="F112" s="30" t="s">
        <v>1902</v>
      </c>
      <c r="G112" s="26" t="s">
        <v>145</v>
      </c>
      <c r="H112" s="24" t="s">
        <v>146</v>
      </c>
      <c r="I112" s="25">
        <v>1</v>
      </c>
      <c r="J112" s="24" t="s">
        <v>1903</v>
      </c>
      <c r="K112" s="24">
        <v>50</v>
      </c>
      <c r="L112" s="24">
        <v>5</v>
      </c>
      <c r="M112" s="24" t="str">
        <f t="shared" si="3"/>
        <v>95-70</v>
      </c>
      <c r="N112" s="24" t="s">
        <v>529</v>
      </c>
      <c r="O112" s="24" t="s">
        <v>529</v>
      </c>
      <c r="P112" s="24">
        <v>1</v>
      </c>
      <c r="Q112" s="102">
        <v>0</v>
      </c>
      <c r="R112" s="30" t="s">
        <v>1905</v>
      </c>
      <c r="S112" s="24">
        <v>0</v>
      </c>
      <c r="T112" s="24"/>
      <c r="U112" s="94">
        <v>706.73</v>
      </c>
      <c r="V112" s="94">
        <v>842.04</v>
      </c>
      <c r="W112" s="106">
        <v>162.88999999999999</v>
      </c>
      <c r="X112" s="107" t="s">
        <v>208</v>
      </c>
      <c r="Y112" s="106">
        <v>94.13</v>
      </c>
      <c r="Z112" s="107" t="s">
        <v>208</v>
      </c>
      <c r="AA112" s="106">
        <v>143.88999999999999</v>
      </c>
      <c r="AB112" s="107" t="s">
        <v>208</v>
      </c>
      <c r="AC112" s="106">
        <v>111.56</v>
      </c>
      <c r="AD112" s="107" t="s">
        <v>208</v>
      </c>
      <c r="AE112" s="106">
        <v>34.93</v>
      </c>
      <c r="AF112" s="107" t="s">
        <v>208</v>
      </c>
      <c r="AG112" s="106">
        <v>0</v>
      </c>
      <c r="AH112" s="107" t="s">
        <v>208</v>
      </c>
      <c r="AI112" s="106">
        <v>0</v>
      </c>
      <c r="AJ112" s="107" t="s">
        <v>208</v>
      </c>
      <c r="AK112" s="106">
        <v>0</v>
      </c>
      <c r="AL112" s="107" t="s">
        <v>208</v>
      </c>
      <c r="AM112" s="106">
        <v>0</v>
      </c>
      <c r="AN112" s="107" t="s">
        <v>208</v>
      </c>
      <c r="AO112" s="106">
        <v>64.81</v>
      </c>
      <c r="AP112" s="107" t="s">
        <v>208</v>
      </c>
      <c r="AQ112" s="106">
        <v>69.16</v>
      </c>
      <c r="AR112" s="106" t="s">
        <v>208</v>
      </c>
      <c r="AS112" s="106">
        <v>98.12</v>
      </c>
      <c r="AT112" s="107" t="s">
        <v>208</v>
      </c>
      <c r="AU112" s="106">
        <f t="shared" si="4"/>
        <v>779.49</v>
      </c>
      <c r="AV112" s="25">
        <v>0.29609999999999997</v>
      </c>
      <c r="AW112" s="30" t="str">
        <f t="shared" si="5"/>
        <v>95-70</v>
      </c>
      <c r="AX112" s="30" t="s">
        <v>1907</v>
      </c>
      <c r="AY112" s="30">
        <v>0</v>
      </c>
      <c r="AZ112" s="30">
        <v>0</v>
      </c>
    </row>
    <row r="113" spans="1:52" ht="31.2" x14ac:dyDescent="0.3">
      <c r="A113" s="103">
        <v>103</v>
      </c>
      <c r="B113" s="30" t="s">
        <v>679</v>
      </c>
      <c r="C113" s="30" t="s">
        <v>1899</v>
      </c>
      <c r="D113" s="105" t="s">
        <v>1900</v>
      </c>
      <c r="E113" s="105" t="s">
        <v>1901</v>
      </c>
      <c r="F113" s="30" t="s">
        <v>1902</v>
      </c>
      <c r="G113" s="26" t="s">
        <v>145</v>
      </c>
      <c r="H113" s="24" t="s">
        <v>146</v>
      </c>
      <c r="I113" s="25">
        <v>1</v>
      </c>
      <c r="J113" s="24" t="s">
        <v>1903</v>
      </c>
      <c r="K113" s="24">
        <v>32</v>
      </c>
      <c r="L113" s="24">
        <v>5</v>
      </c>
      <c r="M113" s="24" t="str">
        <f t="shared" si="3"/>
        <v>95-70</v>
      </c>
      <c r="N113" s="24" t="s">
        <v>529</v>
      </c>
      <c r="O113" s="24" t="s">
        <v>529</v>
      </c>
      <c r="P113" s="24">
        <v>1</v>
      </c>
      <c r="Q113" s="102">
        <v>0</v>
      </c>
      <c r="R113" s="30" t="s">
        <v>1905</v>
      </c>
      <c r="S113" s="24">
        <v>0</v>
      </c>
      <c r="T113" s="24"/>
      <c r="U113" s="94">
        <v>310.54999999999995</v>
      </c>
      <c r="V113" s="94">
        <v>325.06</v>
      </c>
      <c r="W113" s="106">
        <v>44.59</v>
      </c>
      <c r="X113" s="107" t="s">
        <v>1906</v>
      </c>
      <c r="Y113" s="106">
        <v>44.59</v>
      </c>
      <c r="Z113" s="107" t="s">
        <v>1906</v>
      </c>
      <c r="AA113" s="106">
        <v>44.59</v>
      </c>
      <c r="AB113" s="107" t="s">
        <v>1906</v>
      </c>
      <c r="AC113" s="106">
        <v>44.59</v>
      </c>
      <c r="AD113" s="107" t="s">
        <v>1906</v>
      </c>
      <c r="AE113" s="106">
        <v>12.929999999999998</v>
      </c>
      <c r="AF113" s="107" t="s">
        <v>1906</v>
      </c>
      <c r="AG113" s="106">
        <v>0</v>
      </c>
      <c r="AH113" s="107" t="s">
        <v>1906</v>
      </c>
      <c r="AI113" s="106">
        <v>0</v>
      </c>
      <c r="AJ113" s="107" t="s">
        <v>1906</v>
      </c>
      <c r="AK113" s="106">
        <v>0</v>
      </c>
      <c r="AL113" s="107" t="s">
        <v>1906</v>
      </c>
      <c r="AM113" s="106">
        <v>10.18</v>
      </c>
      <c r="AN113" s="107" t="s">
        <v>1906</v>
      </c>
      <c r="AO113" s="106">
        <v>43.629999999999995</v>
      </c>
      <c r="AP113" s="107" t="s">
        <v>1906</v>
      </c>
      <c r="AQ113" s="106">
        <v>43.629999999999995</v>
      </c>
      <c r="AR113" s="106" t="s">
        <v>1906</v>
      </c>
      <c r="AS113" s="106">
        <v>43.629999999999995</v>
      </c>
      <c r="AT113" s="107" t="s">
        <v>1906</v>
      </c>
      <c r="AU113" s="106">
        <f t="shared" si="4"/>
        <v>332.36</v>
      </c>
      <c r="AV113" s="25">
        <v>0.13170000000000001</v>
      </c>
      <c r="AW113" s="30" t="str">
        <f t="shared" si="5"/>
        <v>95-70</v>
      </c>
      <c r="AX113" s="30" t="s">
        <v>1907</v>
      </c>
      <c r="AY113" s="30">
        <v>0</v>
      </c>
      <c r="AZ113" s="30">
        <v>0</v>
      </c>
    </row>
    <row r="114" spans="1:52" ht="31.2" x14ac:dyDescent="0.3">
      <c r="A114" s="103">
        <v>104</v>
      </c>
      <c r="B114" s="30" t="s">
        <v>680</v>
      </c>
      <c r="C114" s="30" t="s">
        <v>1899</v>
      </c>
      <c r="D114" s="105" t="s">
        <v>1900</v>
      </c>
      <c r="E114" s="105" t="s">
        <v>1901</v>
      </c>
      <c r="F114" s="30" t="s">
        <v>1902</v>
      </c>
      <c r="G114" s="26" t="s">
        <v>145</v>
      </c>
      <c r="H114" s="24" t="s">
        <v>146</v>
      </c>
      <c r="I114" s="25">
        <v>1</v>
      </c>
      <c r="J114" s="24" t="s">
        <v>1903</v>
      </c>
      <c r="K114" s="24">
        <v>50</v>
      </c>
      <c r="L114" s="24">
        <v>5</v>
      </c>
      <c r="M114" s="24" t="str">
        <f t="shared" si="3"/>
        <v>95-70</v>
      </c>
      <c r="N114" s="24" t="s">
        <v>529</v>
      </c>
      <c r="O114" s="24" t="s">
        <v>529</v>
      </c>
      <c r="P114" s="24">
        <v>1</v>
      </c>
      <c r="Q114" s="102">
        <v>0</v>
      </c>
      <c r="R114" s="30" t="s">
        <v>1905</v>
      </c>
      <c r="S114" s="24">
        <v>0</v>
      </c>
      <c r="T114" s="24"/>
      <c r="U114" s="94">
        <v>1371.08</v>
      </c>
      <c r="V114" s="94">
        <v>1426.3400000000001</v>
      </c>
      <c r="W114" s="106">
        <v>195.64999999999998</v>
      </c>
      <c r="X114" s="107" t="s">
        <v>1906</v>
      </c>
      <c r="Y114" s="106">
        <v>195.64999999999998</v>
      </c>
      <c r="Z114" s="107" t="s">
        <v>1906</v>
      </c>
      <c r="AA114" s="106">
        <v>195.64999999999998</v>
      </c>
      <c r="AB114" s="107" t="s">
        <v>1906</v>
      </c>
      <c r="AC114" s="106">
        <v>195.64999999999998</v>
      </c>
      <c r="AD114" s="107" t="s">
        <v>1906</v>
      </c>
      <c r="AE114" s="106">
        <v>56.790000000000006</v>
      </c>
      <c r="AF114" s="107" t="s">
        <v>1906</v>
      </c>
      <c r="AG114" s="106">
        <v>0</v>
      </c>
      <c r="AH114" s="107" t="s">
        <v>1906</v>
      </c>
      <c r="AI114" s="106">
        <v>0</v>
      </c>
      <c r="AJ114" s="107" t="s">
        <v>1906</v>
      </c>
      <c r="AK114" s="106">
        <v>0</v>
      </c>
      <c r="AL114" s="107" t="s">
        <v>1906</v>
      </c>
      <c r="AM114" s="106">
        <v>44.550000000000004</v>
      </c>
      <c r="AN114" s="107" t="s">
        <v>1906</v>
      </c>
      <c r="AO114" s="106">
        <v>190.93</v>
      </c>
      <c r="AP114" s="107" t="s">
        <v>1906</v>
      </c>
      <c r="AQ114" s="106">
        <v>190.93</v>
      </c>
      <c r="AR114" s="106" t="s">
        <v>1906</v>
      </c>
      <c r="AS114" s="106">
        <v>190.93</v>
      </c>
      <c r="AT114" s="107" t="s">
        <v>1906</v>
      </c>
      <c r="AU114" s="106">
        <f t="shared" si="4"/>
        <v>1456.73</v>
      </c>
      <c r="AV114" s="25">
        <v>0.63829999999999998</v>
      </c>
      <c r="AW114" s="30" t="str">
        <f t="shared" si="5"/>
        <v>95-70</v>
      </c>
      <c r="AX114" s="30" t="s">
        <v>1907</v>
      </c>
      <c r="AY114" s="30">
        <v>0</v>
      </c>
      <c r="AZ114" s="30">
        <v>0</v>
      </c>
    </row>
    <row r="115" spans="1:52" ht="31.2" x14ac:dyDescent="0.3">
      <c r="A115" s="103">
        <v>105</v>
      </c>
      <c r="B115" s="30" t="s">
        <v>681</v>
      </c>
      <c r="C115" s="30" t="s">
        <v>1899</v>
      </c>
      <c r="D115" s="105" t="s">
        <v>1900</v>
      </c>
      <c r="E115" s="105" t="s">
        <v>1901</v>
      </c>
      <c r="F115" s="30" t="s">
        <v>1902</v>
      </c>
      <c r="G115" s="26" t="s">
        <v>145</v>
      </c>
      <c r="H115" s="24" t="s">
        <v>146</v>
      </c>
      <c r="I115" s="25">
        <v>0</v>
      </c>
      <c r="J115" s="24" t="s">
        <v>1903</v>
      </c>
      <c r="K115" s="24"/>
      <c r="L115" s="24">
        <v>5</v>
      </c>
      <c r="M115" s="24" t="str">
        <f t="shared" si="3"/>
        <v>95-70</v>
      </c>
      <c r="N115" s="24" t="s">
        <v>529</v>
      </c>
      <c r="O115" s="24" t="s">
        <v>529</v>
      </c>
      <c r="P115" s="24">
        <v>0</v>
      </c>
      <c r="Q115" s="102">
        <v>0</v>
      </c>
      <c r="R115" s="30" t="s">
        <v>1905</v>
      </c>
      <c r="S115" s="24">
        <v>0</v>
      </c>
      <c r="T115" s="24"/>
      <c r="U115" s="94">
        <v>0</v>
      </c>
      <c r="V115" s="94">
        <v>0</v>
      </c>
      <c r="W115" s="106">
        <v>0</v>
      </c>
      <c r="X115" s="107" t="s">
        <v>1906</v>
      </c>
      <c r="Y115" s="106">
        <v>0</v>
      </c>
      <c r="Z115" s="107" t="s">
        <v>1906</v>
      </c>
      <c r="AA115" s="106">
        <v>0</v>
      </c>
      <c r="AB115" s="107" t="s">
        <v>1906</v>
      </c>
      <c r="AC115" s="106">
        <v>0</v>
      </c>
      <c r="AD115" s="107" t="s">
        <v>1906</v>
      </c>
      <c r="AE115" s="106">
        <v>0</v>
      </c>
      <c r="AF115" s="107" t="s">
        <v>1906</v>
      </c>
      <c r="AG115" s="106">
        <v>0</v>
      </c>
      <c r="AH115" s="107" t="s">
        <v>1906</v>
      </c>
      <c r="AI115" s="106">
        <v>0</v>
      </c>
      <c r="AJ115" s="107" t="s">
        <v>1906</v>
      </c>
      <c r="AK115" s="106">
        <v>0</v>
      </c>
      <c r="AL115" s="107" t="s">
        <v>1906</v>
      </c>
      <c r="AM115" s="106">
        <v>0</v>
      </c>
      <c r="AN115" s="107" t="s">
        <v>1906</v>
      </c>
      <c r="AO115" s="106">
        <v>34.11</v>
      </c>
      <c r="AP115" s="107" t="s">
        <v>1906</v>
      </c>
      <c r="AQ115" s="106">
        <v>34.11</v>
      </c>
      <c r="AR115" s="106" t="s">
        <v>1906</v>
      </c>
      <c r="AS115" s="106">
        <v>34.11</v>
      </c>
      <c r="AT115" s="107" t="s">
        <v>1906</v>
      </c>
      <c r="AU115" s="106">
        <f t="shared" si="4"/>
        <v>102.33</v>
      </c>
      <c r="AV115" s="25"/>
      <c r="AW115" s="30" t="str">
        <f t="shared" si="5"/>
        <v>95-70</v>
      </c>
      <c r="AX115" s="30" t="s">
        <v>1907</v>
      </c>
      <c r="AY115" s="30">
        <v>0</v>
      </c>
      <c r="AZ115" s="30">
        <v>0</v>
      </c>
    </row>
    <row r="116" spans="1:52" ht="31.2" x14ac:dyDescent="0.3">
      <c r="A116" s="103">
        <v>106</v>
      </c>
      <c r="B116" s="30" t="s">
        <v>683</v>
      </c>
      <c r="C116" s="30" t="s">
        <v>1899</v>
      </c>
      <c r="D116" s="105" t="s">
        <v>1900</v>
      </c>
      <c r="E116" s="105" t="s">
        <v>1901</v>
      </c>
      <c r="F116" s="30" t="s">
        <v>1902</v>
      </c>
      <c r="G116" s="26" t="s">
        <v>145</v>
      </c>
      <c r="H116" s="24" t="s">
        <v>146</v>
      </c>
      <c r="I116" s="25">
        <v>1</v>
      </c>
      <c r="J116" s="24" t="s">
        <v>1903</v>
      </c>
      <c r="K116" s="24">
        <v>80</v>
      </c>
      <c r="L116" s="24">
        <v>5</v>
      </c>
      <c r="M116" s="24" t="str">
        <f t="shared" si="3"/>
        <v>95-70</v>
      </c>
      <c r="N116" s="24" t="s">
        <v>529</v>
      </c>
      <c r="O116" s="24" t="s">
        <v>529</v>
      </c>
      <c r="P116" s="24">
        <v>1</v>
      </c>
      <c r="Q116" s="102">
        <v>0</v>
      </c>
      <c r="R116" s="30" t="s">
        <v>1905</v>
      </c>
      <c r="S116" s="24">
        <v>0</v>
      </c>
      <c r="T116" s="24"/>
      <c r="U116" s="94">
        <v>1374.01</v>
      </c>
      <c r="V116" s="94">
        <v>1510.2699999999998</v>
      </c>
      <c r="W116" s="106">
        <v>209.89000000000001</v>
      </c>
      <c r="X116" s="107" t="s">
        <v>208</v>
      </c>
      <c r="Y116" s="106">
        <v>209.89000000000001</v>
      </c>
      <c r="Z116" s="107" t="s">
        <v>208</v>
      </c>
      <c r="AA116" s="106">
        <v>209.89000000000001</v>
      </c>
      <c r="AB116" s="107" t="s">
        <v>208</v>
      </c>
      <c r="AC116" s="106">
        <v>209.89000000000001</v>
      </c>
      <c r="AD116" s="107" t="s">
        <v>208</v>
      </c>
      <c r="AE116" s="106">
        <v>67.7</v>
      </c>
      <c r="AF116" s="107" t="s">
        <v>208</v>
      </c>
      <c r="AG116" s="106">
        <v>0</v>
      </c>
      <c r="AH116" s="107" t="s">
        <v>208</v>
      </c>
      <c r="AI116" s="106">
        <v>0</v>
      </c>
      <c r="AJ116" s="107" t="s">
        <v>208</v>
      </c>
      <c r="AK116" s="106">
        <v>0</v>
      </c>
      <c r="AL116" s="107" t="s">
        <v>208</v>
      </c>
      <c r="AM116" s="106">
        <v>0</v>
      </c>
      <c r="AN116" s="107" t="s">
        <v>208</v>
      </c>
      <c r="AO116" s="106">
        <v>207.33</v>
      </c>
      <c r="AP116" s="107" t="s">
        <v>208</v>
      </c>
      <c r="AQ116" s="106">
        <v>207.33</v>
      </c>
      <c r="AR116" s="106" t="s">
        <v>208</v>
      </c>
      <c r="AS116" s="106">
        <v>131.88</v>
      </c>
      <c r="AT116" s="107" t="s">
        <v>208</v>
      </c>
      <c r="AU116" s="106">
        <f t="shared" si="4"/>
        <v>1453.8000000000002</v>
      </c>
      <c r="AV116" s="25">
        <v>0.6512</v>
      </c>
      <c r="AW116" s="30" t="str">
        <f t="shared" si="5"/>
        <v>95-70</v>
      </c>
      <c r="AX116" s="30" t="s">
        <v>1907</v>
      </c>
      <c r="AY116" s="30">
        <v>0</v>
      </c>
      <c r="AZ116" s="30">
        <v>0</v>
      </c>
    </row>
    <row r="117" spans="1:52" ht="31.2" x14ac:dyDescent="0.3">
      <c r="A117" s="103">
        <v>107</v>
      </c>
      <c r="B117" s="30" t="s">
        <v>684</v>
      </c>
      <c r="C117" s="30" t="s">
        <v>1899</v>
      </c>
      <c r="D117" s="105" t="s">
        <v>1900</v>
      </c>
      <c r="E117" s="105" t="s">
        <v>1910</v>
      </c>
      <c r="F117" s="30" t="s">
        <v>1902</v>
      </c>
      <c r="G117" s="26" t="s">
        <v>145</v>
      </c>
      <c r="H117" s="24" t="s">
        <v>146</v>
      </c>
      <c r="I117" s="25">
        <v>1</v>
      </c>
      <c r="J117" s="24" t="s">
        <v>1903</v>
      </c>
      <c r="K117" s="24">
        <v>20</v>
      </c>
      <c r="L117" s="24">
        <v>5</v>
      </c>
      <c r="M117" s="24" t="str">
        <f t="shared" si="3"/>
        <v>95-70</v>
      </c>
      <c r="N117" s="24" t="s">
        <v>528</v>
      </c>
      <c r="O117" s="24" t="s">
        <v>529</v>
      </c>
      <c r="P117" s="24">
        <v>1</v>
      </c>
      <c r="Q117" s="102">
        <v>0</v>
      </c>
      <c r="R117" s="30" t="s">
        <v>1905</v>
      </c>
      <c r="S117" s="24">
        <v>0</v>
      </c>
      <c r="T117" s="24"/>
      <c r="U117" s="94">
        <v>349.65</v>
      </c>
      <c r="V117" s="94">
        <v>270.80000000000007</v>
      </c>
      <c r="W117" s="106">
        <v>36.97</v>
      </c>
      <c r="X117" s="107" t="s">
        <v>208</v>
      </c>
      <c r="Y117" s="106">
        <v>22.28</v>
      </c>
      <c r="Z117" s="107" t="s">
        <v>208</v>
      </c>
      <c r="AA117" s="106">
        <v>31.73</v>
      </c>
      <c r="AB117" s="107" t="s">
        <v>208</v>
      </c>
      <c r="AC117" s="106">
        <v>21.2</v>
      </c>
      <c r="AD117" s="107" t="s">
        <v>208</v>
      </c>
      <c r="AE117" s="106">
        <v>4.8499999999999996</v>
      </c>
      <c r="AF117" s="107" t="s">
        <v>208</v>
      </c>
      <c r="AG117" s="106">
        <v>0</v>
      </c>
      <c r="AH117" s="107" t="s">
        <v>208</v>
      </c>
      <c r="AI117" s="106">
        <v>0</v>
      </c>
      <c r="AJ117" s="107" t="s">
        <v>208</v>
      </c>
      <c r="AK117" s="106">
        <v>0</v>
      </c>
      <c r="AL117" s="107" t="s">
        <v>208</v>
      </c>
      <c r="AM117" s="106">
        <v>0</v>
      </c>
      <c r="AN117" s="107" t="s">
        <v>208</v>
      </c>
      <c r="AO117" s="106">
        <v>9.33</v>
      </c>
      <c r="AP117" s="107" t="s">
        <v>208</v>
      </c>
      <c r="AQ117" s="106">
        <v>8.74</v>
      </c>
      <c r="AR117" s="106" t="s">
        <v>208</v>
      </c>
      <c r="AS117" s="106">
        <v>16.73</v>
      </c>
      <c r="AT117" s="107" t="s">
        <v>208</v>
      </c>
      <c r="AU117" s="106">
        <f t="shared" si="4"/>
        <v>151.82999999999998</v>
      </c>
      <c r="AV117" s="25">
        <v>0.2001</v>
      </c>
      <c r="AW117" s="30" t="str">
        <f t="shared" si="5"/>
        <v>95-70</v>
      </c>
      <c r="AX117" s="30" t="s">
        <v>1907</v>
      </c>
      <c r="AY117" s="30">
        <v>0</v>
      </c>
      <c r="AZ117" s="30">
        <v>0</v>
      </c>
    </row>
    <row r="118" spans="1:52" ht="31.2" x14ac:dyDescent="0.3">
      <c r="A118" s="103">
        <v>108</v>
      </c>
      <c r="B118" s="30" t="s">
        <v>685</v>
      </c>
      <c r="C118" s="30" t="s">
        <v>1899</v>
      </c>
      <c r="D118" s="105" t="s">
        <v>1900</v>
      </c>
      <c r="E118" s="105" t="s">
        <v>1901</v>
      </c>
      <c r="F118" s="30" t="s">
        <v>1902</v>
      </c>
      <c r="G118" s="26" t="s">
        <v>145</v>
      </c>
      <c r="H118" s="24" t="s">
        <v>146</v>
      </c>
      <c r="I118" s="25">
        <v>1</v>
      </c>
      <c r="J118" s="24" t="s">
        <v>1903</v>
      </c>
      <c r="K118" s="24">
        <v>32</v>
      </c>
      <c r="L118" s="24">
        <v>5</v>
      </c>
      <c r="M118" s="24" t="str">
        <f t="shared" si="3"/>
        <v>95-70</v>
      </c>
      <c r="N118" s="24" t="s">
        <v>529</v>
      </c>
      <c r="O118" s="24" t="s">
        <v>529</v>
      </c>
      <c r="P118" s="24">
        <v>1</v>
      </c>
      <c r="Q118" s="102">
        <v>0</v>
      </c>
      <c r="R118" s="30" t="s">
        <v>1905</v>
      </c>
      <c r="S118" s="24">
        <v>0</v>
      </c>
      <c r="T118" s="24"/>
      <c r="U118" s="94">
        <v>634.75000000000011</v>
      </c>
      <c r="V118" s="94">
        <v>654.35</v>
      </c>
      <c r="W118" s="106">
        <v>89.36</v>
      </c>
      <c r="X118" s="107" t="s">
        <v>1906</v>
      </c>
      <c r="Y118" s="106">
        <v>89.36</v>
      </c>
      <c r="Z118" s="107" t="s">
        <v>1906</v>
      </c>
      <c r="AA118" s="106">
        <v>89.36</v>
      </c>
      <c r="AB118" s="107" t="s">
        <v>1906</v>
      </c>
      <c r="AC118" s="106">
        <v>89.36</v>
      </c>
      <c r="AD118" s="107" t="s">
        <v>1906</v>
      </c>
      <c r="AE118" s="106">
        <v>28.83</v>
      </c>
      <c r="AF118" s="107" t="s">
        <v>1906</v>
      </c>
      <c r="AG118" s="106">
        <v>0</v>
      </c>
      <c r="AH118" s="107" t="s">
        <v>1906</v>
      </c>
      <c r="AI118" s="106">
        <v>0</v>
      </c>
      <c r="AJ118" s="107" t="s">
        <v>1906</v>
      </c>
      <c r="AK118" s="106">
        <v>0</v>
      </c>
      <c r="AL118" s="107" t="s">
        <v>1906</v>
      </c>
      <c r="AM118" s="106">
        <v>20.41</v>
      </c>
      <c r="AN118" s="107" t="s">
        <v>1906</v>
      </c>
      <c r="AO118" s="106">
        <v>87.49</v>
      </c>
      <c r="AP118" s="107" t="s">
        <v>1906</v>
      </c>
      <c r="AQ118" s="106">
        <v>87.49</v>
      </c>
      <c r="AR118" s="106" t="s">
        <v>1906</v>
      </c>
      <c r="AS118" s="106">
        <v>87.49</v>
      </c>
      <c r="AT118" s="107" t="s">
        <v>1906</v>
      </c>
      <c r="AU118" s="106">
        <f t="shared" si="4"/>
        <v>669.15</v>
      </c>
      <c r="AV118" s="25">
        <v>0.30409999999999998</v>
      </c>
      <c r="AW118" s="30" t="str">
        <f t="shared" si="5"/>
        <v>95-70</v>
      </c>
      <c r="AX118" s="30" t="s">
        <v>1907</v>
      </c>
      <c r="AY118" s="30">
        <v>0</v>
      </c>
      <c r="AZ118" s="30">
        <v>0</v>
      </c>
    </row>
    <row r="119" spans="1:52" ht="31.2" x14ac:dyDescent="0.3">
      <c r="A119" s="103">
        <v>109</v>
      </c>
      <c r="B119" s="30" t="s">
        <v>686</v>
      </c>
      <c r="C119" s="30" t="s">
        <v>1899</v>
      </c>
      <c r="D119" s="105" t="s">
        <v>1900</v>
      </c>
      <c r="E119" s="105" t="s">
        <v>1901</v>
      </c>
      <c r="F119" s="30" t="s">
        <v>1902</v>
      </c>
      <c r="G119" s="26" t="s">
        <v>145</v>
      </c>
      <c r="H119" s="24" t="s">
        <v>146</v>
      </c>
      <c r="I119" s="25">
        <v>1</v>
      </c>
      <c r="J119" s="24" t="s">
        <v>1903</v>
      </c>
      <c r="K119" s="24">
        <v>32</v>
      </c>
      <c r="L119" s="24">
        <v>5</v>
      </c>
      <c r="M119" s="24" t="str">
        <f t="shared" si="3"/>
        <v>95-70</v>
      </c>
      <c r="N119" s="24" t="s">
        <v>529</v>
      </c>
      <c r="O119" s="24" t="s">
        <v>529</v>
      </c>
      <c r="P119" s="24">
        <v>1</v>
      </c>
      <c r="Q119" s="102">
        <v>0</v>
      </c>
      <c r="R119" s="30" t="s">
        <v>1905</v>
      </c>
      <c r="S119" s="24">
        <v>0</v>
      </c>
      <c r="T119" s="24"/>
      <c r="U119" s="94">
        <v>464.65</v>
      </c>
      <c r="V119" s="94">
        <v>495.72999999999996</v>
      </c>
      <c r="W119" s="106">
        <v>66.7</v>
      </c>
      <c r="X119" s="107" t="s">
        <v>1906</v>
      </c>
      <c r="Y119" s="106">
        <v>66.7</v>
      </c>
      <c r="Z119" s="107" t="s">
        <v>1906</v>
      </c>
      <c r="AA119" s="106">
        <v>66.7</v>
      </c>
      <c r="AB119" s="107" t="s">
        <v>1906</v>
      </c>
      <c r="AC119" s="106">
        <v>66.7</v>
      </c>
      <c r="AD119" s="107" t="s">
        <v>1906</v>
      </c>
      <c r="AE119" s="106">
        <v>21.520000000000003</v>
      </c>
      <c r="AF119" s="107" t="s">
        <v>1906</v>
      </c>
      <c r="AG119" s="106">
        <v>0</v>
      </c>
      <c r="AH119" s="107" t="s">
        <v>1906</v>
      </c>
      <c r="AI119" s="106">
        <v>0</v>
      </c>
      <c r="AJ119" s="107" t="s">
        <v>1906</v>
      </c>
      <c r="AK119" s="106">
        <v>0</v>
      </c>
      <c r="AL119" s="107" t="s">
        <v>1906</v>
      </c>
      <c r="AM119" s="106">
        <v>0</v>
      </c>
      <c r="AN119" s="107" t="s">
        <v>1906</v>
      </c>
      <c r="AO119" s="106">
        <v>65.75</v>
      </c>
      <c r="AP119" s="107" t="s">
        <v>1906</v>
      </c>
      <c r="AQ119" s="106">
        <v>65.75</v>
      </c>
      <c r="AR119" s="106" t="s">
        <v>1906</v>
      </c>
      <c r="AS119" s="106">
        <v>65.75</v>
      </c>
      <c r="AT119" s="107" t="s">
        <v>1906</v>
      </c>
      <c r="AU119" s="106">
        <f t="shared" si="4"/>
        <v>485.57</v>
      </c>
      <c r="AV119" s="25">
        <v>0.22259999999999999</v>
      </c>
      <c r="AW119" s="30" t="str">
        <f t="shared" si="5"/>
        <v>95-70</v>
      </c>
      <c r="AX119" s="30" t="s">
        <v>1907</v>
      </c>
      <c r="AY119" s="30">
        <v>0</v>
      </c>
      <c r="AZ119" s="30">
        <v>0</v>
      </c>
    </row>
    <row r="120" spans="1:52" ht="31.2" x14ac:dyDescent="0.3">
      <c r="A120" s="103">
        <v>110</v>
      </c>
      <c r="B120" s="30" t="s">
        <v>687</v>
      </c>
      <c r="C120" s="30" t="s">
        <v>1899</v>
      </c>
      <c r="D120" s="105" t="s">
        <v>1900</v>
      </c>
      <c r="E120" s="105" t="s">
        <v>1901</v>
      </c>
      <c r="F120" s="30" t="s">
        <v>1902</v>
      </c>
      <c r="G120" s="26" t="s">
        <v>145</v>
      </c>
      <c r="H120" s="24" t="s">
        <v>146</v>
      </c>
      <c r="I120" s="25">
        <v>1</v>
      </c>
      <c r="J120" s="24" t="s">
        <v>1903</v>
      </c>
      <c r="K120" s="24">
        <v>32</v>
      </c>
      <c r="L120" s="24">
        <v>5</v>
      </c>
      <c r="M120" s="24" t="str">
        <f t="shared" si="3"/>
        <v>95-70</v>
      </c>
      <c r="N120" s="24" t="s">
        <v>529</v>
      </c>
      <c r="O120" s="24" t="s">
        <v>529</v>
      </c>
      <c r="P120" s="24">
        <v>1</v>
      </c>
      <c r="Q120" s="102">
        <v>0</v>
      </c>
      <c r="R120" s="30" t="s">
        <v>1905</v>
      </c>
      <c r="S120" s="24">
        <v>0</v>
      </c>
      <c r="T120" s="24"/>
      <c r="U120" s="94">
        <v>500.67</v>
      </c>
      <c r="V120" s="94">
        <v>475.89</v>
      </c>
      <c r="W120" s="106">
        <v>64.989999999999995</v>
      </c>
      <c r="X120" s="107" t="s">
        <v>1906</v>
      </c>
      <c r="Y120" s="106">
        <v>64.989999999999995</v>
      </c>
      <c r="Z120" s="107" t="s">
        <v>1906</v>
      </c>
      <c r="AA120" s="106">
        <v>64.989999999999995</v>
      </c>
      <c r="AB120" s="107" t="s">
        <v>1906</v>
      </c>
      <c r="AC120" s="106">
        <v>64.989999999999995</v>
      </c>
      <c r="AD120" s="107" t="s">
        <v>1906</v>
      </c>
      <c r="AE120" s="106">
        <v>20.96</v>
      </c>
      <c r="AF120" s="107" t="s">
        <v>1906</v>
      </c>
      <c r="AG120" s="106">
        <v>0</v>
      </c>
      <c r="AH120" s="107" t="s">
        <v>1906</v>
      </c>
      <c r="AI120" s="106">
        <v>0</v>
      </c>
      <c r="AJ120" s="107" t="s">
        <v>1906</v>
      </c>
      <c r="AK120" s="106">
        <v>0</v>
      </c>
      <c r="AL120" s="107" t="s">
        <v>1906</v>
      </c>
      <c r="AM120" s="106">
        <v>13.51</v>
      </c>
      <c r="AN120" s="107" t="s">
        <v>1906</v>
      </c>
      <c r="AO120" s="106">
        <v>57.91</v>
      </c>
      <c r="AP120" s="107" t="s">
        <v>1906</v>
      </c>
      <c r="AQ120" s="106">
        <v>57.91</v>
      </c>
      <c r="AR120" s="106" t="s">
        <v>1906</v>
      </c>
      <c r="AS120" s="106">
        <v>57.91</v>
      </c>
      <c r="AT120" s="107" t="s">
        <v>1906</v>
      </c>
      <c r="AU120" s="106">
        <f t="shared" si="4"/>
        <v>468.15999999999985</v>
      </c>
      <c r="AV120" s="25">
        <v>0.2399</v>
      </c>
      <c r="AW120" s="30" t="str">
        <f t="shared" si="5"/>
        <v>95-70</v>
      </c>
      <c r="AX120" s="30" t="s">
        <v>1907</v>
      </c>
      <c r="AY120" s="30">
        <v>0</v>
      </c>
      <c r="AZ120" s="30">
        <v>0</v>
      </c>
    </row>
    <row r="121" spans="1:52" ht="31.2" x14ac:dyDescent="0.3">
      <c r="A121" s="103">
        <v>111</v>
      </c>
      <c r="B121" s="30" t="s">
        <v>688</v>
      </c>
      <c r="C121" s="30" t="s">
        <v>1899</v>
      </c>
      <c r="D121" s="105" t="s">
        <v>1900</v>
      </c>
      <c r="E121" s="105" t="s">
        <v>1901</v>
      </c>
      <c r="F121" s="30" t="s">
        <v>1902</v>
      </c>
      <c r="G121" s="26" t="s">
        <v>145</v>
      </c>
      <c r="H121" s="24" t="s">
        <v>146</v>
      </c>
      <c r="I121" s="25">
        <v>1</v>
      </c>
      <c r="J121" s="24" t="s">
        <v>1903</v>
      </c>
      <c r="K121" s="24">
        <v>50</v>
      </c>
      <c r="L121" s="24">
        <v>5</v>
      </c>
      <c r="M121" s="24" t="str">
        <f t="shared" si="3"/>
        <v>95-70</v>
      </c>
      <c r="N121" s="24" t="s">
        <v>529</v>
      </c>
      <c r="O121" s="24" t="s">
        <v>529</v>
      </c>
      <c r="P121" s="24">
        <v>1</v>
      </c>
      <c r="Q121" s="102">
        <v>0</v>
      </c>
      <c r="R121" s="30" t="s">
        <v>1905</v>
      </c>
      <c r="S121" s="24">
        <v>0</v>
      </c>
      <c r="T121" s="24"/>
      <c r="U121" s="94">
        <v>381.62999999999994</v>
      </c>
      <c r="V121" s="94">
        <v>456.23000000000008</v>
      </c>
      <c r="W121" s="106">
        <v>94.59</v>
      </c>
      <c r="X121" s="107" t="s">
        <v>208</v>
      </c>
      <c r="Y121" s="106">
        <v>48.15</v>
      </c>
      <c r="Z121" s="107" t="s">
        <v>208</v>
      </c>
      <c r="AA121" s="106">
        <v>73.760000000000005</v>
      </c>
      <c r="AB121" s="107" t="s">
        <v>208</v>
      </c>
      <c r="AC121" s="106">
        <v>39.46</v>
      </c>
      <c r="AD121" s="107" t="s">
        <v>208</v>
      </c>
      <c r="AE121" s="106">
        <v>15.7</v>
      </c>
      <c r="AF121" s="107" t="s">
        <v>208</v>
      </c>
      <c r="AG121" s="106">
        <v>0</v>
      </c>
      <c r="AH121" s="107" t="s">
        <v>208</v>
      </c>
      <c r="AI121" s="106">
        <v>0</v>
      </c>
      <c r="AJ121" s="107" t="s">
        <v>208</v>
      </c>
      <c r="AK121" s="106">
        <v>0</v>
      </c>
      <c r="AL121" s="107" t="s">
        <v>208</v>
      </c>
      <c r="AM121" s="106">
        <v>0</v>
      </c>
      <c r="AN121" s="107" t="s">
        <v>208</v>
      </c>
      <c r="AO121" s="106">
        <v>29.73</v>
      </c>
      <c r="AP121" s="107" t="s">
        <v>208</v>
      </c>
      <c r="AQ121" s="106">
        <v>34.630000000000003</v>
      </c>
      <c r="AR121" s="106" t="s">
        <v>208</v>
      </c>
      <c r="AS121" s="106">
        <v>48.5</v>
      </c>
      <c r="AT121" s="107" t="s">
        <v>208</v>
      </c>
      <c r="AU121" s="106">
        <f t="shared" si="4"/>
        <v>384.52000000000004</v>
      </c>
      <c r="AV121" s="25">
        <v>0.24199999999999999</v>
      </c>
      <c r="AW121" s="30" t="str">
        <f t="shared" si="5"/>
        <v>95-70</v>
      </c>
      <c r="AX121" s="30" t="s">
        <v>1907</v>
      </c>
      <c r="AY121" s="30">
        <v>0</v>
      </c>
      <c r="AZ121" s="30">
        <v>0</v>
      </c>
    </row>
    <row r="122" spans="1:52" ht="31.2" x14ac:dyDescent="0.3">
      <c r="A122" s="103">
        <v>112</v>
      </c>
      <c r="B122" s="30" t="s">
        <v>689</v>
      </c>
      <c r="C122" s="30" t="s">
        <v>1899</v>
      </c>
      <c r="D122" s="105" t="s">
        <v>1900</v>
      </c>
      <c r="E122" s="105" t="s">
        <v>1901</v>
      </c>
      <c r="F122" s="30" t="s">
        <v>1902</v>
      </c>
      <c r="G122" s="26" t="s">
        <v>145</v>
      </c>
      <c r="H122" s="24" t="s">
        <v>146</v>
      </c>
      <c r="I122" s="25">
        <v>1</v>
      </c>
      <c r="J122" s="24" t="s">
        <v>1903</v>
      </c>
      <c r="K122" s="24">
        <v>50</v>
      </c>
      <c r="L122" s="24">
        <v>5</v>
      </c>
      <c r="M122" s="24" t="str">
        <f t="shared" si="3"/>
        <v>95-70</v>
      </c>
      <c r="N122" s="24" t="s">
        <v>529</v>
      </c>
      <c r="O122" s="24" t="s">
        <v>529</v>
      </c>
      <c r="P122" s="24">
        <v>1</v>
      </c>
      <c r="Q122" s="102">
        <v>0</v>
      </c>
      <c r="R122" s="30" t="s">
        <v>1905</v>
      </c>
      <c r="S122" s="24">
        <v>0</v>
      </c>
      <c r="T122" s="24"/>
      <c r="U122" s="94">
        <v>436.82</v>
      </c>
      <c r="V122" s="94">
        <v>478.84999999999997</v>
      </c>
      <c r="W122" s="106">
        <v>90.5</v>
      </c>
      <c r="X122" s="107" t="s">
        <v>208</v>
      </c>
      <c r="Y122" s="106">
        <v>58.11</v>
      </c>
      <c r="Z122" s="107" t="s">
        <v>208</v>
      </c>
      <c r="AA122" s="106">
        <v>75.09</v>
      </c>
      <c r="AB122" s="107" t="s">
        <v>208</v>
      </c>
      <c r="AC122" s="106">
        <v>80.66</v>
      </c>
      <c r="AD122" s="107" t="s">
        <v>208</v>
      </c>
      <c r="AE122" s="106">
        <v>16.809999999999999</v>
      </c>
      <c r="AF122" s="107" t="s">
        <v>208</v>
      </c>
      <c r="AG122" s="106">
        <v>0</v>
      </c>
      <c r="AH122" s="107" t="s">
        <v>208</v>
      </c>
      <c r="AI122" s="106">
        <v>0</v>
      </c>
      <c r="AJ122" s="107" t="s">
        <v>208</v>
      </c>
      <c r="AK122" s="106">
        <v>0</v>
      </c>
      <c r="AL122" s="107" t="s">
        <v>208</v>
      </c>
      <c r="AM122" s="106">
        <v>0</v>
      </c>
      <c r="AN122" s="107" t="s">
        <v>208</v>
      </c>
      <c r="AO122" s="106">
        <v>23.32</v>
      </c>
      <c r="AP122" s="107" t="s">
        <v>208</v>
      </c>
      <c r="AQ122" s="106">
        <v>38.409999999999997</v>
      </c>
      <c r="AR122" s="106" t="s">
        <v>208</v>
      </c>
      <c r="AS122" s="106">
        <v>44.26</v>
      </c>
      <c r="AT122" s="107" t="s">
        <v>208</v>
      </c>
      <c r="AU122" s="106">
        <f t="shared" si="4"/>
        <v>427.15999999999997</v>
      </c>
      <c r="AV122" s="25">
        <v>0.2059</v>
      </c>
      <c r="AW122" s="30" t="str">
        <f t="shared" si="5"/>
        <v>95-70</v>
      </c>
      <c r="AX122" s="30" t="s">
        <v>1907</v>
      </c>
      <c r="AY122" s="30">
        <v>0</v>
      </c>
      <c r="AZ122" s="30">
        <v>0</v>
      </c>
    </row>
    <row r="123" spans="1:52" ht="31.2" x14ac:dyDescent="0.3">
      <c r="A123" s="103">
        <v>113</v>
      </c>
      <c r="B123" s="30" t="s">
        <v>690</v>
      </c>
      <c r="C123" s="30" t="s">
        <v>1899</v>
      </c>
      <c r="D123" s="105" t="s">
        <v>1900</v>
      </c>
      <c r="E123" s="105" t="s">
        <v>1901</v>
      </c>
      <c r="F123" s="30" t="s">
        <v>1902</v>
      </c>
      <c r="G123" s="26" t="s">
        <v>145</v>
      </c>
      <c r="H123" s="24" t="s">
        <v>146</v>
      </c>
      <c r="I123" s="25">
        <v>1</v>
      </c>
      <c r="J123" s="24" t="s">
        <v>1903</v>
      </c>
      <c r="K123" s="24">
        <v>32</v>
      </c>
      <c r="L123" s="24">
        <v>5</v>
      </c>
      <c r="M123" s="24" t="str">
        <f t="shared" si="3"/>
        <v>95-70</v>
      </c>
      <c r="N123" s="24" t="s">
        <v>529</v>
      </c>
      <c r="O123" s="24" t="s">
        <v>529</v>
      </c>
      <c r="P123" s="24">
        <v>1</v>
      </c>
      <c r="Q123" s="102">
        <v>0</v>
      </c>
      <c r="R123" s="30" t="s">
        <v>1905</v>
      </c>
      <c r="S123" s="24">
        <v>0</v>
      </c>
      <c r="T123" s="24"/>
      <c r="U123" s="94">
        <f>566.18*0.51</f>
        <v>288.7518</v>
      </c>
      <c r="V123" s="94">
        <f>451.88*0.51</f>
        <v>230.4588</v>
      </c>
      <c r="W123" s="106">
        <f>61.71*0.51</f>
        <v>31.472100000000001</v>
      </c>
      <c r="X123" s="107" t="s">
        <v>1906</v>
      </c>
      <c r="Y123" s="106">
        <f>61.71*0.51</f>
        <v>31.472100000000001</v>
      </c>
      <c r="Z123" s="107" t="s">
        <v>1906</v>
      </c>
      <c r="AA123" s="106">
        <f>61.71*0.51</f>
        <v>31.472100000000001</v>
      </c>
      <c r="AB123" s="107" t="s">
        <v>1906</v>
      </c>
      <c r="AC123" s="106">
        <f>61.71*0.51</f>
        <v>31.472100000000001</v>
      </c>
      <c r="AD123" s="107" t="s">
        <v>1906</v>
      </c>
      <c r="AE123" s="106">
        <f>19.91*0.51</f>
        <v>10.1541</v>
      </c>
      <c r="AF123" s="107" t="s">
        <v>1906</v>
      </c>
      <c r="AG123" s="106">
        <v>0</v>
      </c>
      <c r="AH123" s="107" t="s">
        <v>1906</v>
      </c>
      <c r="AI123" s="106">
        <v>0</v>
      </c>
      <c r="AJ123" s="107" t="s">
        <v>1906</v>
      </c>
      <c r="AK123" s="106">
        <v>0</v>
      </c>
      <c r="AL123" s="107" t="s">
        <v>1906</v>
      </c>
      <c r="AM123" s="106">
        <f>14.56*0.51</f>
        <v>7.4256000000000002</v>
      </c>
      <c r="AN123" s="107" t="s">
        <v>1906</v>
      </c>
      <c r="AO123" s="106">
        <f>62.4*0.51</f>
        <v>31.823999999999998</v>
      </c>
      <c r="AP123" s="107" t="s">
        <v>1906</v>
      </c>
      <c r="AQ123" s="106">
        <f>62.4*0.51</f>
        <v>31.823999999999998</v>
      </c>
      <c r="AR123" s="106" t="s">
        <v>1906</v>
      </c>
      <c r="AS123" s="106">
        <f>62.4*0.51</f>
        <v>31.823999999999998</v>
      </c>
      <c r="AT123" s="107" t="s">
        <v>1906</v>
      </c>
      <c r="AU123" s="106">
        <f t="shared" si="4"/>
        <v>238.94010000000003</v>
      </c>
      <c r="AV123" s="25">
        <v>0.14000000000000001</v>
      </c>
      <c r="AW123" s="30" t="str">
        <f t="shared" si="5"/>
        <v>95-70</v>
      </c>
      <c r="AX123" s="30" t="s">
        <v>1907</v>
      </c>
      <c r="AY123" s="30">
        <v>0</v>
      </c>
      <c r="AZ123" s="30">
        <v>0</v>
      </c>
    </row>
    <row r="124" spans="1:52" ht="31.2" x14ac:dyDescent="0.3">
      <c r="A124" s="103">
        <v>114</v>
      </c>
      <c r="B124" s="30" t="s">
        <v>691</v>
      </c>
      <c r="C124" s="30" t="s">
        <v>1899</v>
      </c>
      <c r="D124" s="105" t="s">
        <v>1900</v>
      </c>
      <c r="E124" s="105" t="s">
        <v>1901</v>
      </c>
      <c r="F124" s="30" t="s">
        <v>1902</v>
      </c>
      <c r="G124" s="26" t="s">
        <v>145</v>
      </c>
      <c r="H124" s="24" t="s">
        <v>146</v>
      </c>
      <c r="I124" s="25">
        <v>1</v>
      </c>
      <c r="J124" s="24" t="s">
        <v>1903</v>
      </c>
      <c r="K124" s="24">
        <v>32</v>
      </c>
      <c r="L124" s="24">
        <v>5</v>
      </c>
      <c r="M124" s="24" t="str">
        <f t="shared" si="3"/>
        <v>95-70</v>
      </c>
      <c r="N124" s="24" t="s">
        <v>529</v>
      </c>
      <c r="O124" s="24" t="s">
        <v>529</v>
      </c>
      <c r="P124" s="24">
        <v>1</v>
      </c>
      <c r="Q124" s="102">
        <v>0</v>
      </c>
      <c r="R124" s="30" t="s">
        <v>1905</v>
      </c>
      <c r="S124" s="24">
        <v>0</v>
      </c>
      <c r="T124" s="24"/>
      <c r="U124" s="94">
        <f>566.18*0.49</f>
        <v>277.42819999999995</v>
      </c>
      <c r="V124" s="94">
        <f>451.88*0.49</f>
        <v>221.4212</v>
      </c>
      <c r="W124" s="106">
        <f>61.71*0.49</f>
        <v>30.2379</v>
      </c>
      <c r="X124" s="107" t="s">
        <v>1906</v>
      </c>
      <c r="Y124" s="106">
        <f>61.71*0.49</f>
        <v>30.2379</v>
      </c>
      <c r="Z124" s="107" t="s">
        <v>1906</v>
      </c>
      <c r="AA124" s="106">
        <f>61.71*0.49</f>
        <v>30.2379</v>
      </c>
      <c r="AB124" s="107" t="s">
        <v>1906</v>
      </c>
      <c r="AC124" s="106">
        <f>61.71*0.49</f>
        <v>30.2379</v>
      </c>
      <c r="AD124" s="107" t="s">
        <v>1906</v>
      </c>
      <c r="AE124" s="106">
        <f>19.91*0.49</f>
        <v>9.7559000000000005</v>
      </c>
      <c r="AF124" s="107" t="s">
        <v>1906</v>
      </c>
      <c r="AG124" s="106">
        <v>0</v>
      </c>
      <c r="AH124" s="107" t="s">
        <v>1906</v>
      </c>
      <c r="AI124" s="106">
        <v>0</v>
      </c>
      <c r="AJ124" s="107" t="s">
        <v>1906</v>
      </c>
      <c r="AK124" s="106">
        <v>0</v>
      </c>
      <c r="AL124" s="107" t="s">
        <v>1906</v>
      </c>
      <c r="AM124" s="106">
        <f>14.56*0.49</f>
        <v>7.1344000000000003</v>
      </c>
      <c r="AN124" s="107" t="s">
        <v>1906</v>
      </c>
      <c r="AO124" s="106">
        <f>62.4*0.49</f>
        <v>30.576000000000001</v>
      </c>
      <c r="AP124" s="107" t="s">
        <v>1906</v>
      </c>
      <c r="AQ124" s="106">
        <f>62.4*0.49</f>
        <v>30.576000000000001</v>
      </c>
      <c r="AR124" s="106" t="s">
        <v>1906</v>
      </c>
      <c r="AS124" s="106">
        <f>62.4*0.49</f>
        <v>30.576000000000001</v>
      </c>
      <c r="AT124" s="107" t="s">
        <v>1906</v>
      </c>
      <c r="AU124" s="106">
        <f t="shared" si="4"/>
        <v>229.56989999999999</v>
      </c>
      <c r="AV124" s="25">
        <v>0.124</v>
      </c>
      <c r="AW124" s="30" t="str">
        <f t="shared" si="5"/>
        <v>95-70</v>
      </c>
      <c r="AX124" s="30" t="s">
        <v>1907</v>
      </c>
      <c r="AY124" s="30">
        <v>0</v>
      </c>
      <c r="AZ124" s="30">
        <v>0</v>
      </c>
    </row>
    <row r="125" spans="1:52" ht="31.2" x14ac:dyDescent="0.3">
      <c r="A125" s="103">
        <v>115</v>
      </c>
      <c r="B125" s="30" t="s">
        <v>692</v>
      </c>
      <c r="C125" s="30" t="s">
        <v>1899</v>
      </c>
      <c r="D125" s="105" t="s">
        <v>1900</v>
      </c>
      <c r="E125" s="108" t="s">
        <v>1910</v>
      </c>
      <c r="F125" s="30" t="s">
        <v>1902</v>
      </c>
      <c r="G125" s="26" t="s">
        <v>145</v>
      </c>
      <c r="H125" s="24" t="s">
        <v>146</v>
      </c>
      <c r="I125" s="25">
        <v>1</v>
      </c>
      <c r="J125" s="24" t="s">
        <v>1903</v>
      </c>
      <c r="K125" s="24">
        <v>32.200000000000003</v>
      </c>
      <c r="L125" s="24">
        <v>5</v>
      </c>
      <c r="M125" s="24" t="str">
        <f t="shared" si="3"/>
        <v>95-70</v>
      </c>
      <c r="N125" s="24" t="s">
        <v>528</v>
      </c>
      <c r="O125" s="24" t="s">
        <v>529</v>
      </c>
      <c r="P125" s="24">
        <v>1</v>
      </c>
      <c r="Q125" s="102">
        <v>0</v>
      </c>
      <c r="R125" s="30" t="s">
        <v>1905</v>
      </c>
      <c r="S125" s="24">
        <v>0</v>
      </c>
      <c r="T125" s="24"/>
      <c r="U125" s="94">
        <v>441.67999999999995</v>
      </c>
      <c r="V125" s="94">
        <v>375.57</v>
      </c>
      <c r="W125" s="106">
        <v>60.6</v>
      </c>
      <c r="X125" s="107" t="s">
        <v>208</v>
      </c>
      <c r="Y125" s="106">
        <v>31.54</v>
      </c>
      <c r="Z125" s="107" t="s">
        <v>208</v>
      </c>
      <c r="AA125" s="106">
        <v>47.2</v>
      </c>
      <c r="AB125" s="107" t="s">
        <v>208</v>
      </c>
      <c r="AC125" s="106">
        <v>49.3</v>
      </c>
      <c r="AD125" s="107" t="s">
        <v>208</v>
      </c>
      <c r="AE125" s="106">
        <v>9.01</v>
      </c>
      <c r="AF125" s="107" t="s">
        <v>208</v>
      </c>
      <c r="AG125" s="106">
        <v>0</v>
      </c>
      <c r="AH125" s="107" t="s">
        <v>208</v>
      </c>
      <c r="AI125" s="106">
        <v>0</v>
      </c>
      <c r="AJ125" s="107" t="s">
        <v>208</v>
      </c>
      <c r="AK125" s="106">
        <v>0</v>
      </c>
      <c r="AL125" s="107" t="s">
        <v>208</v>
      </c>
      <c r="AM125" s="106">
        <v>0</v>
      </c>
      <c r="AN125" s="107" t="s">
        <v>208</v>
      </c>
      <c r="AO125" s="106">
        <v>18.53</v>
      </c>
      <c r="AP125" s="107" t="s">
        <v>208</v>
      </c>
      <c r="AQ125" s="106">
        <v>22.84</v>
      </c>
      <c r="AR125" s="106" t="s">
        <v>208</v>
      </c>
      <c r="AS125" s="106">
        <v>40.93</v>
      </c>
      <c r="AT125" s="107" t="s">
        <v>208</v>
      </c>
      <c r="AU125" s="106">
        <f t="shared" si="4"/>
        <v>279.95</v>
      </c>
      <c r="AV125" s="25">
        <v>0.2001</v>
      </c>
      <c r="AW125" s="30" t="str">
        <f t="shared" si="5"/>
        <v>95-70</v>
      </c>
      <c r="AX125" s="30" t="s">
        <v>1907</v>
      </c>
      <c r="AY125" s="30">
        <v>0</v>
      </c>
      <c r="AZ125" s="30">
        <v>0</v>
      </c>
    </row>
    <row r="126" spans="1:52" ht="31.2" x14ac:dyDescent="0.3">
      <c r="A126" s="103">
        <v>116</v>
      </c>
      <c r="B126" s="30" t="s">
        <v>693</v>
      </c>
      <c r="C126" s="30" t="s">
        <v>1899</v>
      </c>
      <c r="D126" s="105" t="s">
        <v>1900</v>
      </c>
      <c r="E126" s="108" t="s">
        <v>1910</v>
      </c>
      <c r="F126" s="30" t="s">
        <v>1902</v>
      </c>
      <c r="G126" s="26" t="s">
        <v>145</v>
      </c>
      <c r="H126" s="24" t="s">
        <v>146</v>
      </c>
      <c r="I126" s="25">
        <v>1</v>
      </c>
      <c r="J126" s="24" t="s">
        <v>1903</v>
      </c>
      <c r="K126" s="24">
        <v>80.2</v>
      </c>
      <c r="L126" s="24">
        <v>5</v>
      </c>
      <c r="M126" s="24" t="str">
        <f t="shared" si="3"/>
        <v>95-70</v>
      </c>
      <c r="N126" s="24" t="s">
        <v>528</v>
      </c>
      <c r="O126" s="24" t="s">
        <v>529</v>
      </c>
      <c r="P126" s="24">
        <v>1</v>
      </c>
      <c r="Q126" s="102">
        <v>0</v>
      </c>
      <c r="R126" s="30" t="s">
        <v>1905</v>
      </c>
      <c r="S126" s="24">
        <v>0</v>
      </c>
      <c r="T126" s="24"/>
      <c r="U126" s="94">
        <v>2101.04</v>
      </c>
      <c r="V126" s="94">
        <v>1882.9099999999999</v>
      </c>
      <c r="W126" s="106">
        <v>182.26000000000002</v>
      </c>
      <c r="X126" s="107" t="s">
        <v>208</v>
      </c>
      <c r="Y126" s="106">
        <v>182.26000000000002</v>
      </c>
      <c r="Z126" s="107" t="s">
        <v>208</v>
      </c>
      <c r="AA126" s="106">
        <v>182.26000000000002</v>
      </c>
      <c r="AB126" s="107" t="s">
        <v>208</v>
      </c>
      <c r="AC126" s="106">
        <v>182.26000000000002</v>
      </c>
      <c r="AD126" s="107" t="s">
        <v>208</v>
      </c>
      <c r="AE126" s="106">
        <v>52.910000000000004</v>
      </c>
      <c r="AF126" s="107" t="s">
        <v>208</v>
      </c>
      <c r="AG126" s="106">
        <v>0</v>
      </c>
      <c r="AH126" s="107" t="s">
        <v>208</v>
      </c>
      <c r="AI126" s="106">
        <v>0</v>
      </c>
      <c r="AJ126" s="107" t="s">
        <v>208</v>
      </c>
      <c r="AK126" s="106">
        <v>0</v>
      </c>
      <c r="AL126" s="107" t="s">
        <v>208</v>
      </c>
      <c r="AM126" s="106">
        <v>0</v>
      </c>
      <c r="AN126" s="107" t="s">
        <v>208</v>
      </c>
      <c r="AO126" s="106">
        <v>182.61</v>
      </c>
      <c r="AP126" s="107" t="s">
        <v>208</v>
      </c>
      <c r="AQ126" s="106">
        <v>182.61</v>
      </c>
      <c r="AR126" s="106" t="s">
        <v>208</v>
      </c>
      <c r="AS126" s="106">
        <v>118.95</v>
      </c>
      <c r="AT126" s="107" t="s">
        <v>208</v>
      </c>
      <c r="AU126" s="106">
        <f t="shared" si="4"/>
        <v>1266.1200000000001</v>
      </c>
      <c r="AV126" s="25">
        <v>0.63970000000000005</v>
      </c>
      <c r="AW126" s="30" t="str">
        <f t="shared" si="5"/>
        <v>95-70</v>
      </c>
      <c r="AX126" s="30" t="s">
        <v>1907</v>
      </c>
      <c r="AY126" s="30">
        <v>0</v>
      </c>
      <c r="AZ126" s="30">
        <v>0</v>
      </c>
    </row>
    <row r="127" spans="1:52" ht="31.2" x14ac:dyDescent="0.3">
      <c r="A127" s="103">
        <v>117</v>
      </c>
      <c r="B127" s="30" t="s">
        <v>694</v>
      </c>
      <c r="C127" s="30" t="s">
        <v>1899</v>
      </c>
      <c r="D127" s="105" t="s">
        <v>1900</v>
      </c>
      <c r="E127" s="108" t="s">
        <v>1910</v>
      </c>
      <c r="F127" s="30" t="s">
        <v>1902</v>
      </c>
      <c r="G127" s="26" t="s">
        <v>145</v>
      </c>
      <c r="H127" s="24" t="s">
        <v>146</v>
      </c>
      <c r="I127" s="25">
        <v>1</v>
      </c>
      <c r="J127" s="24" t="s">
        <v>1903</v>
      </c>
      <c r="K127" s="24">
        <v>50.32</v>
      </c>
      <c r="L127" s="24">
        <v>5</v>
      </c>
      <c r="M127" s="24" t="str">
        <f t="shared" si="3"/>
        <v>95-70</v>
      </c>
      <c r="N127" s="24" t="s">
        <v>528</v>
      </c>
      <c r="O127" s="24" t="s">
        <v>529</v>
      </c>
      <c r="P127" s="24">
        <v>1</v>
      </c>
      <c r="Q127" s="102">
        <v>0</v>
      </c>
      <c r="R127" s="30" t="s">
        <v>1905</v>
      </c>
      <c r="S127" s="24">
        <v>0</v>
      </c>
      <c r="T127" s="24"/>
      <c r="U127" s="94">
        <v>1140.8499999999999</v>
      </c>
      <c r="V127" s="94">
        <v>1200.6699999999998</v>
      </c>
      <c r="W127" s="106">
        <v>119.97999999999999</v>
      </c>
      <c r="X127" s="107" t="s">
        <v>1906</v>
      </c>
      <c r="Y127" s="106">
        <v>119.97999999999999</v>
      </c>
      <c r="Z127" s="107" t="s">
        <v>1906</v>
      </c>
      <c r="AA127" s="106">
        <v>119.97999999999999</v>
      </c>
      <c r="AB127" s="107" t="s">
        <v>1906</v>
      </c>
      <c r="AC127" s="106">
        <v>119.97999999999999</v>
      </c>
      <c r="AD127" s="107" t="s">
        <v>1906</v>
      </c>
      <c r="AE127" s="106">
        <v>34.82</v>
      </c>
      <c r="AF127" s="107" t="s">
        <v>1906</v>
      </c>
      <c r="AG127" s="106">
        <v>0</v>
      </c>
      <c r="AH127" s="107" t="s">
        <v>1906</v>
      </c>
      <c r="AI127" s="106">
        <v>0</v>
      </c>
      <c r="AJ127" s="107" t="s">
        <v>1906</v>
      </c>
      <c r="AK127" s="106">
        <v>0</v>
      </c>
      <c r="AL127" s="107" t="s">
        <v>1906</v>
      </c>
      <c r="AM127" s="106">
        <v>0</v>
      </c>
      <c r="AN127" s="107" t="s">
        <v>1906</v>
      </c>
      <c r="AO127" s="106">
        <v>113.45</v>
      </c>
      <c r="AP127" s="107" t="s">
        <v>1906</v>
      </c>
      <c r="AQ127" s="106">
        <v>113.45</v>
      </c>
      <c r="AR127" s="106" t="s">
        <v>1906</v>
      </c>
      <c r="AS127" s="106">
        <v>113.45</v>
      </c>
      <c r="AT127" s="107" t="s">
        <v>1906</v>
      </c>
      <c r="AU127" s="106">
        <f t="shared" si="4"/>
        <v>855.09000000000015</v>
      </c>
      <c r="AV127" s="25">
        <v>0.34200000000000003</v>
      </c>
      <c r="AW127" s="30" t="str">
        <f t="shared" si="5"/>
        <v>95-70</v>
      </c>
      <c r="AX127" s="30" t="s">
        <v>1907</v>
      </c>
      <c r="AY127" s="30">
        <v>0</v>
      </c>
      <c r="AZ127" s="30">
        <v>0</v>
      </c>
    </row>
    <row r="128" spans="1:52" ht="31.2" x14ac:dyDescent="0.3">
      <c r="A128" s="103">
        <v>118</v>
      </c>
      <c r="B128" s="30" t="s">
        <v>695</v>
      </c>
      <c r="C128" s="30" t="s">
        <v>1899</v>
      </c>
      <c r="D128" s="105" t="s">
        <v>1900</v>
      </c>
      <c r="E128" s="108" t="s">
        <v>1910</v>
      </c>
      <c r="F128" s="30" t="s">
        <v>1902</v>
      </c>
      <c r="G128" s="26" t="s">
        <v>145</v>
      </c>
      <c r="H128" s="24" t="s">
        <v>146</v>
      </c>
      <c r="I128" s="25">
        <v>1</v>
      </c>
      <c r="J128" s="24" t="s">
        <v>1903</v>
      </c>
      <c r="K128" s="24">
        <v>50.32</v>
      </c>
      <c r="L128" s="24">
        <v>5</v>
      </c>
      <c r="M128" s="24" t="str">
        <f t="shared" si="3"/>
        <v>95-70</v>
      </c>
      <c r="N128" s="24" t="s">
        <v>528</v>
      </c>
      <c r="O128" s="24" t="s">
        <v>529</v>
      </c>
      <c r="P128" s="24">
        <v>1</v>
      </c>
      <c r="Q128" s="102">
        <v>0</v>
      </c>
      <c r="R128" s="30" t="s">
        <v>1905</v>
      </c>
      <c r="S128" s="24">
        <v>0</v>
      </c>
      <c r="T128" s="24"/>
      <c r="U128" s="94">
        <v>1087.6300000000001</v>
      </c>
      <c r="V128" s="94">
        <v>1042.9000000000001</v>
      </c>
      <c r="W128" s="106">
        <v>156.17000000000002</v>
      </c>
      <c r="X128" s="107" t="s">
        <v>208</v>
      </c>
      <c r="Y128" s="106">
        <v>117.72</v>
      </c>
      <c r="Z128" s="107" t="s">
        <v>208</v>
      </c>
      <c r="AA128" s="106">
        <v>168.31</v>
      </c>
      <c r="AB128" s="107" t="s">
        <v>208</v>
      </c>
      <c r="AC128" s="106">
        <v>123.22</v>
      </c>
      <c r="AD128" s="107" t="s">
        <v>208</v>
      </c>
      <c r="AE128" s="106">
        <v>36.78</v>
      </c>
      <c r="AF128" s="107" t="s">
        <v>208</v>
      </c>
      <c r="AG128" s="106">
        <v>0</v>
      </c>
      <c r="AH128" s="107" t="s">
        <v>208</v>
      </c>
      <c r="AI128" s="106">
        <v>0</v>
      </c>
      <c r="AJ128" s="107" t="s">
        <v>208</v>
      </c>
      <c r="AK128" s="106">
        <v>0</v>
      </c>
      <c r="AL128" s="107" t="s">
        <v>208</v>
      </c>
      <c r="AM128" s="106">
        <v>0</v>
      </c>
      <c r="AN128" s="107" t="s">
        <v>208</v>
      </c>
      <c r="AO128" s="106">
        <v>108.67999999999999</v>
      </c>
      <c r="AP128" s="107" t="s">
        <v>208</v>
      </c>
      <c r="AQ128" s="106">
        <v>57.72</v>
      </c>
      <c r="AR128" s="106" t="s">
        <v>208</v>
      </c>
      <c r="AS128" s="106">
        <v>110.2</v>
      </c>
      <c r="AT128" s="107" t="s">
        <v>208</v>
      </c>
      <c r="AU128" s="106">
        <f t="shared" si="4"/>
        <v>878.8</v>
      </c>
      <c r="AV128" s="25">
        <v>0.35299999999999998</v>
      </c>
      <c r="AW128" s="30" t="str">
        <f t="shared" si="5"/>
        <v>95-70</v>
      </c>
      <c r="AX128" s="30" t="s">
        <v>1907</v>
      </c>
      <c r="AY128" s="30">
        <v>0</v>
      </c>
      <c r="AZ128" s="30">
        <v>0</v>
      </c>
    </row>
    <row r="129" spans="1:52" ht="31.2" x14ac:dyDescent="0.3">
      <c r="A129" s="103">
        <v>119</v>
      </c>
      <c r="B129" s="30" t="s">
        <v>696</v>
      </c>
      <c r="C129" s="30" t="s">
        <v>1899</v>
      </c>
      <c r="D129" s="105" t="s">
        <v>1900</v>
      </c>
      <c r="E129" s="108" t="s">
        <v>1901</v>
      </c>
      <c r="F129" s="30" t="s">
        <v>1902</v>
      </c>
      <c r="G129" s="26" t="s">
        <v>145</v>
      </c>
      <c r="H129" s="24" t="s">
        <v>146</v>
      </c>
      <c r="I129" s="25">
        <v>1</v>
      </c>
      <c r="J129" s="24" t="s">
        <v>1903</v>
      </c>
      <c r="K129" s="24">
        <v>32</v>
      </c>
      <c r="L129" s="24">
        <v>5</v>
      </c>
      <c r="M129" s="24" t="str">
        <f t="shared" si="3"/>
        <v>95-70</v>
      </c>
      <c r="N129" s="24" t="s">
        <v>529</v>
      </c>
      <c r="O129" s="24" t="s">
        <v>529</v>
      </c>
      <c r="P129" s="24">
        <v>1</v>
      </c>
      <c r="Q129" s="102">
        <v>0</v>
      </c>
      <c r="R129" s="30" t="s">
        <v>1905</v>
      </c>
      <c r="S129" s="24">
        <v>0</v>
      </c>
      <c r="T129" s="24"/>
      <c r="U129" s="94">
        <v>1044.19</v>
      </c>
      <c r="V129" s="94">
        <v>945.3399999999998</v>
      </c>
      <c r="W129" s="106">
        <v>129.66999999999999</v>
      </c>
      <c r="X129" s="107" t="s">
        <v>1906</v>
      </c>
      <c r="Y129" s="106">
        <v>129.66999999999999</v>
      </c>
      <c r="Z129" s="107" t="s">
        <v>1906</v>
      </c>
      <c r="AA129" s="106">
        <v>129.66999999999999</v>
      </c>
      <c r="AB129" s="107" t="s">
        <v>1906</v>
      </c>
      <c r="AC129" s="106">
        <v>129.66999999999999</v>
      </c>
      <c r="AD129" s="107" t="s">
        <v>1906</v>
      </c>
      <c r="AE129" s="106">
        <v>37.65</v>
      </c>
      <c r="AF129" s="107" t="s">
        <v>1906</v>
      </c>
      <c r="AG129" s="106">
        <v>0</v>
      </c>
      <c r="AH129" s="107" t="s">
        <v>1906</v>
      </c>
      <c r="AI129" s="106">
        <v>0</v>
      </c>
      <c r="AJ129" s="107" t="s">
        <v>1906</v>
      </c>
      <c r="AK129" s="106">
        <v>0</v>
      </c>
      <c r="AL129" s="107" t="s">
        <v>1906</v>
      </c>
      <c r="AM129" s="106">
        <v>30.13</v>
      </c>
      <c r="AN129" s="107" t="s">
        <v>1906</v>
      </c>
      <c r="AO129" s="106">
        <v>129.11000000000001</v>
      </c>
      <c r="AP129" s="107" t="s">
        <v>1906</v>
      </c>
      <c r="AQ129" s="106">
        <v>129.11000000000001</v>
      </c>
      <c r="AR129" s="106" t="s">
        <v>1906</v>
      </c>
      <c r="AS129" s="106">
        <v>129.11000000000001</v>
      </c>
      <c r="AT129" s="107" t="s">
        <v>1906</v>
      </c>
      <c r="AU129" s="106">
        <f t="shared" si="4"/>
        <v>973.79</v>
      </c>
      <c r="AV129" s="25">
        <v>0.4587</v>
      </c>
      <c r="AW129" s="30" t="str">
        <f t="shared" si="5"/>
        <v>95-70</v>
      </c>
      <c r="AX129" s="30" t="s">
        <v>1907</v>
      </c>
      <c r="AY129" s="30">
        <v>0</v>
      </c>
      <c r="AZ129" s="30">
        <v>0</v>
      </c>
    </row>
    <row r="130" spans="1:52" ht="31.2" x14ac:dyDescent="0.3">
      <c r="A130" s="103">
        <v>120</v>
      </c>
      <c r="B130" s="30" t="s">
        <v>698</v>
      </c>
      <c r="C130" s="30" t="s">
        <v>1899</v>
      </c>
      <c r="D130" s="105" t="s">
        <v>1900</v>
      </c>
      <c r="E130" s="108" t="s">
        <v>1901</v>
      </c>
      <c r="F130" s="30" t="s">
        <v>1902</v>
      </c>
      <c r="G130" s="26" t="s">
        <v>145</v>
      </c>
      <c r="H130" s="24" t="s">
        <v>146</v>
      </c>
      <c r="I130" s="25">
        <v>1</v>
      </c>
      <c r="J130" s="24" t="s">
        <v>1903</v>
      </c>
      <c r="K130" s="24">
        <v>80</v>
      </c>
      <c r="L130" s="24">
        <v>5</v>
      </c>
      <c r="M130" s="24" t="str">
        <f t="shared" si="3"/>
        <v>95-70</v>
      </c>
      <c r="N130" s="24" t="s">
        <v>529</v>
      </c>
      <c r="O130" s="24" t="s">
        <v>529</v>
      </c>
      <c r="P130" s="24">
        <v>1</v>
      </c>
      <c r="Q130" s="102">
        <v>0</v>
      </c>
      <c r="R130" s="30" t="s">
        <v>1905</v>
      </c>
      <c r="S130" s="24">
        <v>0</v>
      </c>
      <c r="T130" s="24"/>
      <c r="U130" s="94">
        <v>1536.05</v>
      </c>
      <c r="V130" s="94">
        <v>1897.8000000000002</v>
      </c>
      <c r="W130" s="106">
        <v>379.96</v>
      </c>
      <c r="X130" s="107" t="s">
        <v>208</v>
      </c>
      <c r="Y130" s="106">
        <v>223.92000000000002</v>
      </c>
      <c r="Z130" s="107" t="s">
        <v>208</v>
      </c>
      <c r="AA130" s="106">
        <v>314.2</v>
      </c>
      <c r="AB130" s="107" t="s">
        <v>208</v>
      </c>
      <c r="AC130" s="106">
        <v>227.68</v>
      </c>
      <c r="AD130" s="107" t="s">
        <v>208</v>
      </c>
      <c r="AE130" s="106">
        <v>72.16</v>
      </c>
      <c r="AF130" s="107" t="s">
        <v>208</v>
      </c>
      <c r="AG130" s="106">
        <v>0</v>
      </c>
      <c r="AH130" s="107" t="s">
        <v>208</v>
      </c>
      <c r="AI130" s="106">
        <v>0</v>
      </c>
      <c r="AJ130" s="107" t="s">
        <v>208</v>
      </c>
      <c r="AK130" s="106">
        <v>0</v>
      </c>
      <c r="AL130" s="107" t="s">
        <v>208</v>
      </c>
      <c r="AM130" s="106">
        <v>0</v>
      </c>
      <c r="AN130" s="107" t="s">
        <v>208</v>
      </c>
      <c r="AO130" s="106">
        <v>124.93</v>
      </c>
      <c r="AP130" s="107" t="s">
        <v>208</v>
      </c>
      <c r="AQ130" s="106">
        <v>159.57</v>
      </c>
      <c r="AR130" s="106" t="s">
        <v>208</v>
      </c>
      <c r="AS130" s="106">
        <v>232.87</v>
      </c>
      <c r="AT130" s="107" t="s">
        <v>208</v>
      </c>
      <c r="AU130" s="106">
        <f t="shared" si="4"/>
        <v>1735.29</v>
      </c>
      <c r="AV130" s="25">
        <v>0.59079999999999999</v>
      </c>
      <c r="AW130" s="30" t="str">
        <f t="shared" si="5"/>
        <v>95-70</v>
      </c>
      <c r="AX130" s="30" t="s">
        <v>1907</v>
      </c>
      <c r="AY130" s="30">
        <v>0</v>
      </c>
      <c r="AZ130" s="30">
        <v>0</v>
      </c>
    </row>
    <row r="131" spans="1:52" ht="31.2" x14ac:dyDescent="0.3">
      <c r="A131" s="103">
        <v>121</v>
      </c>
      <c r="B131" s="30" t="s">
        <v>699</v>
      </c>
      <c r="C131" s="30" t="s">
        <v>1899</v>
      </c>
      <c r="D131" s="105" t="s">
        <v>1900</v>
      </c>
      <c r="E131" s="108" t="s">
        <v>1901</v>
      </c>
      <c r="F131" s="30" t="s">
        <v>1902</v>
      </c>
      <c r="G131" s="26" t="s">
        <v>145</v>
      </c>
      <c r="H131" s="24" t="s">
        <v>146</v>
      </c>
      <c r="I131" s="25">
        <v>1</v>
      </c>
      <c r="J131" s="24" t="s">
        <v>1903</v>
      </c>
      <c r="K131" s="24">
        <v>50</v>
      </c>
      <c r="L131" s="24">
        <v>5</v>
      </c>
      <c r="M131" s="24" t="str">
        <f t="shared" si="3"/>
        <v>95-70</v>
      </c>
      <c r="N131" s="24" t="s">
        <v>529</v>
      </c>
      <c r="O131" s="24" t="s">
        <v>529</v>
      </c>
      <c r="P131" s="24">
        <v>1</v>
      </c>
      <c r="Q131" s="102">
        <v>0</v>
      </c>
      <c r="R131" s="30" t="s">
        <v>1905</v>
      </c>
      <c r="S131" s="24">
        <v>0</v>
      </c>
      <c r="T131" s="24"/>
      <c r="U131" s="94">
        <f>474.11*0.82</f>
        <v>388.77019999999999</v>
      </c>
      <c r="V131" s="94">
        <f>435.7*0.82</f>
        <v>357.27399999999994</v>
      </c>
      <c r="W131" s="106">
        <f>56.81*0.82</f>
        <v>46.584199999999996</v>
      </c>
      <c r="X131" s="107" t="s">
        <v>208</v>
      </c>
      <c r="Y131" s="106">
        <f>56.81*0.82</f>
        <v>46.584199999999996</v>
      </c>
      <c r="Z131" s="107" t="s">
        <v>208</v>
      </c>
      <c r="AA131" s="106">
        <f>56.81*0.82</f>
        <v>46.584199999999996</v>
      </c>
      <c r="AB131" s="107" t="s">
        <v>208</v>
      </c>
      <c r="AC131" s="106">
        <f>66.21*0.82</f>
        <v>54.292199999999994</v>
      </c>
      <c r="AD131" s="107" t="s">
        <v>208</v>
      </c>
      <c r="AE131" s="106">
        <f>28.63*0.82</f>
        <v>23.476599999999998</v>
      </c>
      <c r="AF131" s="107" t="s">
        <v>208</v>
      </c>
      <c r="AG131" s="106">
        <v>0</v>
      </c>
      <c r="AH131" s="107" t="s">
        <v>208</v>
      </c>
      <c r="AI131" s="106">
        <v>0</v>
      </c>
      <c r="AJ131" s="107" t="s">
        <v>208</v>
      </c>
      <c r="AK131" s="106">
        <v>0</v>
      </c>
      <c r="AL131" s="107" t="s">
        <v>208</v>
      </c>
      <c r="AM131" s="106">
        <v>0</v>
      </c>
      <c r="AN131" s="107" t="s">
        <v>208</v>
      </c>
      <c r="AO131" s="106">
        <f>58.36*0.82</f>
        <v>47.855199999999996</v>
      </c>
      <c r="AP131" s="107" t="s">
        <v>208</v>
      </c>
      <c r="AQ131" s="106">
        <f>30.45*0.82</f>
        <v>24.968999999999998</v>
      </c>
      <c r="AR131" s="106" t="s">
        <v>208</v>
      </c>
      <c r="AS131" s="106">
        <f>61.35*0.82</f>
        <v>50.306999999999995</v>
      </c>
      <c r="AT131" s="107" t="s">
        <v>208</v>
      </c>
      <c r="AU131" s="106">
        <f t="shared" si="4"/>
        <v>340.65259999999995</v>
      </c>
      <c r="AV131" s="25">
        <v>0.20619999999999999</v>
      </c>
      <c r="AW131" s="30" t="str">
        <f t="shared" si="5"/>
        <v>95-70</v>
      </c>
      <c r="AX131" s="30" t="s">
        <v>1907</v>
      </c>
      <c r="AY131" s="30">
        <v>0</v>
      </c>
      <c r="AZ131" s="30">
        <v>0</v>
      </c>
    </row>
    <row r="132" spans="1:52" ht="31.2" x14ac:dyDescent="0.3">
      <c r="A132" s="103">
        <v>122</v>
      </c>
      <c r="B132" s="30" t="s">
        <v>700</v>
      </c>
      <c r="C132" s="30" t="s">
        <v>1899</v>
      </c>
      <c r="D132" s="105" t="s">
        <v>1900</v>
      </c>
      <c r="E132" s="108" t="s">
        <v>1901</v>
      </c>
      <c r="F132" s="30" t="s">
        <v>1902</v>
      </c>
      <c r="G132" s="26" t="s">
        <v>145</v>
      </c>
      <c r="H132" s="24" t="s">
        <v>146</v>
      </c>
      <c r="I132" s="25">
        <v>0</v>
      </c>
      <c r="J132" s="24" t="s">
        <v>1903</v>
      </c>
      <c r="K132" s="24">
        <v>50</v>
      </c>
      <c r="L132" s="24">
        <v>5</v>
      </c>
      <c r="M132" s="24" t="str">
        <f t="shared" si="3"/>
        <v>95-70</v>
      </c>
      <c r="N132" s="24" t="s">
        <v>529</v>
      </c>
      <c r="O132" s="24" t="s">
        <v>529</v>
      </c>
      <c r="P132" s="24">
        <v>0</v>
      </c>
      <c r="Q132" s="102">
        <v>0</v>
      </c>
      <c r="R132" s="30" t="s">
        <v>1905</v>
      </c>
      <c r="S132" s="24">
        <v>0</v>
      </c>
      <c r="T132" s="24"/>
      <c r="U132" s="94">
        <f>474.11*0.18</f>
        <v>85.339799999999997</v>
      </c>
      <c r="V132" s="94">
        <f>435.7*0.18</f>
        <v>78.426000000000002</v>
      </c>
      <c r="W132" s="106">
        <f>56.81*0.18</f>
        <v>10.2258</v>
      </c>
      <c r="X132" s="107" t="s">
        <v>1906</v>
      </c>
      <c r="Y132" s="106">
        <f>56.81*0.18</f>
        <v>10.2258</v>
      </c>
      <c r="Z132" s="107" t="s">
        <v>1906</v>
      </c>
      <c r="AA132" s="106">
        <f>56.81*0.18</f>
        <v>10.2258</v>
      </c>
      <c r="AB132" s="107" t="s">
        <v>1906</v>
      </c>
      <c r="AC132" s="106">
        <f>66.21*0.18</f>
        <v>11.917799999999998</v>
      </c>
      <c r="AD132" s="107" t="s">
        <v>1906</v>
      </c>
      <c r="AE132" s="106">
        <f>28.63*0.18</f>
        <v>5.1533999999999995</v>
      </c>
      <c r="AF132" s="107" t="s">
        <v>1906</v>
      </c>
      <c r="AG132" s="106">
        <v>0</v>
      </c>
      <c r="AH132" s="107" t="s">
        <v>1906</v>
      </c>
      <c r="AI132" s="106">
        <v>0</v>
      </c>
      <c r="AJ132" s="107" t="s">
        <v>1906</v>
      </c>
      <c r="AK132" s="106">
        <v>0</v>
      </c>
      <c r="AL132" s="107" t="s">
        <v>1906</v>
      </c>
      <c r="AM132" s="106">
        <v>0</v>
      </c>
      <c r="AN132" s="107" t="s">
        <v>1906</v>
      </c>
      <c r="AO132" s="106">
        <f>58.36*0.18</f>
        <v>10.504799999999999</v>
      </c>
      <c r="AP132" s="107" t="s">
        <v>1906</v>
      </c>
      <c r="AQ132" s="106">
        <f>30.45*0.18</f>
        <v>5.4809999999999999</v>
      </c>
      <c r="AR132" s="106" t="s">
        <v>1906</v>
      </c>
      <c r="AS132" s="106">
        <f>61.35*0.18</f>
        <v>11.042999999999999</v>
      </c>
      <c r="AT132" s="107" t="s">
        <v>1906</v>
      </c>
      <c r="AU132" s="106">
        <f t="shared" si="4"/>
        <v>74.7774</v>
      </c>
      <c r="AV132" s="25">
        <v>1E-3</v>
      </c>
      <c r="AW132" s="30" t="str">
        <f t="shared" si="5"/>
        <v>95-70</v>
      </c>
      <c r="AX132" s="30" t="s">
        <v>1907</v>
      </c>
      <c r="AY132" s="30">
        <v>0</v>
      </c>
      <c r="AZ132" s="30">
        <v>0</v>
      </c>
    </row>
    <row r="133" spans="1:52" ht="31.2" x14ac:dyDescent="0.3">
      <c r="A133" s="103">
        <v>123</v>
      </c>
      <c r="B133" s="30" t="s">
        <v>701</v>
      </c>
      <c r="C133" s="30" t="s">
        <v>1899</v>
      </c>
      <c r="D133" s="105" t="s">
        <v>1900</v>
      </c>
      <c r="E133" s="108" t="s">
        <v>1901</v>
      </c>
      <c r="F133" s="30" t="s">
        <v>1902</v>
      </c>
      <c r="G133" s="26" t="s">
        <v>145</v>
      </c>
      <c r="H133" s="24" t="s">
        <v>146</v>
      </c>
      <c r="I133" s="25">
        <v>1</v>
      </c>
      <c r="J133" s="24" t="s">
        <v>1903</v>
      </c>
      <c r="K133" s="24">
        <v>40</v>
      </c>
      <c r="L133" s="24">
        <v>5</v>
      </c>
      <c r="M133" s="24" t="str">
        <f t="shared" si="3"/>
        <v>95-70</v>
      </c>
      <c r="N133" s="24" t="s">
        <v>529</v>
      </c>
      <c r="O133" s="24" t="s">
        <v>529</v>
      </c>
      <c r="P133" s="24">
        <v>1</v>
      </c>
      <c r="Q133" s="102">
        <v>0</v>
      </c>
      <c r="R133" s="30" t="s">
        <v>1905</v>
      </c>
      <c r="S133" s="24">
        <v>0</v>
      </c>
      <c r="T133" s="24"/>
      <c r="U133" s="94">
        <v>408.44</v>
      </c>
      <c r="V133" s="94">
        <v>467.67</v>
      </c>
      <c r="W133" s="106">
        <v>96.089999999999989</v>
      </c>
      <c r="X133" s="107" t="s">
        <v>208</v>
      </c>
      <c r="Y133" s="106">
        <v>57.690000000000005</v>
      </c>
      <c r="Z133" s="107" t="s">
        <v>208</v>
      </c>
      <c r="AA133" s="106">
        <v>83.52</v>
      </c>
      <c r="AB133" s="107" t="s">
        <v>208</v>
      </c>
      <c r="AC133" s="106">
        <v>63.039999999999992</v>
      </c>
      <c r="AD133" s="107" t="s">
        <v>208</v>
      </c>
      <c r="AE133" s="106">
        <v>19.86</v>
      </c>
      <c r="AF133" s="107" t="s">
        <v>208</v>
      </c>
      <c r="AG133" s="106">
        <v>0</v>
      </c>
      <c r="AH133" s="107" t="s">
        <v>208</v>
      </c>
      <c r="AI133" s="106">
        <v>0</v>
      </c>
      <c r="AJ133" s="107" t="s">
        <v>208</v>
      </c>
      <c r="AK133" s="106">
        <v>0</v>
      </c>
      <c r="AL133" s="107" t="s">
        <v>208</v>
      </c>
      <c r="AM133" s="106">
        <v>0</v>
      </c>
      <c r="AN133" s="107" t="s">
        <v>208</v>
      </c>
      <c r="AO133" s="106">
        <v>33.22</v>
      </c>
      <c r="AP133" s="107" t="s">
        <v>208</v>
      </c>
      <c r="AQ133" s="106">
        <v>41.77</v>
      </c>
      <c r="AR133" s="106" t="s">
        <v>208</v>
      </c>
      <c r="AS133" s="106">
        <v>59.21</v>
      </c>
      <c r="AT133" s="107" t="s">
        <v>208</v>
      </c>
      <c r="AU133" s="106">
        <f t="shared" si="4"/>
        <v>454.40000000000003</v>
      </c>
      <c r="AV133" s="25">
        <v>0.1726</v>
      </c>
      <c r="AW133" s="30" t="str">
        <f t="shared" si="5"/>
        <v>95-70</v>
      </c>
      <c r="AX133" s="30" t="s">
        <v>1907</v>
      </c>
      <c r="AY133" s="30">
        <v>0</v>
      </c>
      <c r="AZ133" s="30">
        <v>0</v>
      </c>
    </row>
    <row r="134" spans="1:52" ht="31.2" x14ac:dyDescent="0.3">
      <c r="A134" s="103">
        <v>124</v>
      </c>
      <c r="B134" s="30" t="s">
        <v>703</v>
      </c>
      <c r="C134" s="30" t="s">
        <v>1899</v>
      </c>
      <c r="D134" s="105" t="s">
        <v>1900</v>
      </c>
      <c r="E134" s="108" t="s">
        <v>1901</v>
      </c>
      <c r="F134" s="30" t="s">
        <v>1902</v>
      </c>
      <c r="G134" s="26" t="s">
        <v>145</v>
      </c>
      <c r="H134" s="24" t="s">
        <v>146</v>
      </c>
      <c r="I134" s="25">
        <v>1</v>
      </c>
      <c r="J134" s="24" t="s">
        <v>1903</v>
      </c>
      <c r="K134" s="24">
        <v>40</v>
      </c>
      <c r="L134" s="24">
        <v>5</v>
      </c>
      <c r="M134" s="24" t="str">
        <f t="shared" si="3"/>
        <v>95-70</v>
      </c>
      <c r="N134" s="24" t="s">
        <v>529</v>
      </c>
      <c r="O134" s="24" t="s">
        <v>529</v>
      </c>
      <c r="P134" s="24">
        <v>1</v>
      </c>
      <c r="Q134" s="102">
        <v>0</v>
      </c>
      <c r="R134" s="30" t="s">
        <v>1905</v>
      </c>
      <c r="S134" s="24">
        <v>0</v>
      </c>
      <c r="T134" s="24"/>
      <c r="U134" s="94">
        <v>871.18</v>
      </c>
      <c r="V134" s="94">
        <v>896.35000000000014</v>
      </c>
      <c r="W134" s="106">
        <v>122.94999999999999</v>
      </c>
      <c r="X134" s="107" t="s">
        <v>1906</v>
      </c>
      <c r="Y134" s="106">
        <v>122.94999999999999</v>
      </c>
      <c r="Z134" s="107" t="s">
        <v>1906</v>
      </c>
      <c r="AA134" s="106">
        <v>122.94999999999999</v>
      </c>
      <c r="AB134" s="107" t="s">
        <v>1906</v>
      </c>
      <c r="AC134" s="106">
        <v>122.94999999999999</v>
      </c>
      <c r="AD134" s="107" t="s">
        <v>1906</v>
      </c>
      <c r="AE134" s="106">
        <v>35.699999999999996</v>
      </c>
      <c r="AF134" s="107" t="s">
        <v>1906</v>
      </c>
      <c r="AG134" s="106">
        <v>0</v>
      </c>
      <c r="AH134" s="107" t="s">
        <v>1906</v>
      </c>
      <c r="AI134" s="106">
        <v>0</v>
      </c>
      <c r="AJ134" s="107" t="s">
        <v>1906</v>
      </c>
      <c r="AK134" s="106">
        <v>0</v>
      </c>
      <c r="AL134" s="107" t="s">
        <v>1906</v>
      </c>
      <c r="AM134" s="106">
        <v>27.97</v>
      </c>
      <c r="AN134" s="107" t="s">
        <v>1906</v>
      </c>
      <c r="AO134" s="106">
        <v>119.89</v>
      </c>
      <c r="AP134" s="107" t="s">
        <v>1906</v>
      </c>
      <c r="AQ134" s="106">
        <v>119.89</v>
      </c>
      <c r="AR134" s="106" t="s">
        <v>1906</v>
      </c>
      <c r="AS134" s="106">
        <v>119.89</v>
      </c>
      <c r="AT134" s="107" t="s">
        <v>1906</v>
      </c>
      <c r="AU134" s="106">
        <f t="shared" si="4"/>
        <v>915.14</v>
      </c>
      <c r="AV134" s="25">
        <v>0.38740000000000002</v>
      </c>
      <c r="AW134" s="30" t="str">
        <f t="shared" si="5"/>
        <v>95-70</v>
      </c>
      <c r="AX134" s="30" t="s">
        <v>1907</v>
      </c>
      <c r="AY134" s="30">
        <v>0</v>
      </c>
      <c r="AZ134" s="30">
        <v>0</v>
      </c>
    </row>
    <row r="135" spans="1:52" ht="31.2" x14ac:dyDescent="0.3">
      <c r="A135" s="103">
        <v>125</v>
      </c>
      <c r="B135" s="30" t="s">
        <v>704</v>
      </c>
      <c r="C135" s="30" t="s">
        <v>1899</v>
      </c>
      <c r="D135" s="105" t="s">
        <v>1900</v>
      </c>
      <c r="E135" s="108" t="s">
        <v>1901</v>
      </c>
      <c r="F135" s="30" t="s">
        <v>1902</v>
      </c>
      <c r="G135" s="26" t="s">
        <v>145</v>
      </c>
      <c r="H135" s="24" t="s">
        <v>146</v>
      </c>
      <c r="I135" s="25">
        <v>0</v>
      </c>
      <c r="J135" s="24" t="s">
        <v>1903</v>
      </c>
      <c r="K135" s="24">
        <v>32</v>
      </c>
      <c r="L135" s="24">
        <v>5</v>
      </c>
      <c r="M135" s="24" t="str">
        <f t="shared" si="3"/>
        <v>95-70</v>
      </c>
      <c r="N135" s="24" t="s">
        <v>529</v>
      </c>
      <c r="O135" s="24" t="s">
        <v>529</v>
      </c>
      <c r="P135" s="24">
        <v>0</v>
      </c>
      <c r="Q135" s="102">
        <v>0</v>
      </c>
      <c r="R135" s="30" t="s">
        <v>1905</v>
      </c>
      <c r="S135" s="24">
        <v>0</v>
      </c>
      <c r="T135" s="24"/>
      <c r="U135" s="94">
        <v>194.10000000000002</v>
      </c>
      <c r="V135" s="94">
        <v>173.1</v>
      </c>
      <c r="W135" s="106">
        <v>23.75</v>
      </c>
      <c r="X135" s="107" t="s">
        <v>1906</v>
      </c>
      <c r="Y135" s="106">
        <v>23.75</v>
      </c>
      <c r="Z135" s="107" t="s">
        <v>1906</v>
      </c>
      <c r="AA135" s="106">
        <v>23.75</v>
      </c>
      <c r="AB135" s="107" t="s">
        <v>1906</v>
      </c>
      <c r="AC135" s="106">
        <v>23.73</v>
      </c>
      <c r="AD135" s="107" t="s">
        <v>1906</v>
      </c>
      <c r="AE135" s="106">
        <v>6.87</v>
      </c>
      <c r="AF135" s="107" t="s">
        <v>1906</v>
      </c>
      <c r="AG135" s="106">
        <v>0</v>
      </c>
      <c r="AH135" s="107" t="s">
        <v>1906</v>
      </c>
      <c r="AI135" s="106">
        <v>0</v>
      </c>
      <c r="AJ135" s="107" t="s">
        <v>1906</v>
      </c>
      <c r="AK135" s="106">
        <v>0</v>
      </c>
      <c r="AL135" s="107" t="s">
        <v>1906</v>
      </c>
      <c r="AM135" s="106">
        <v>5.1100000000000003</v>
      </c>
      <c r="AN135" s="107" t="s">
        <v>1906</v>
      </c>
      <c r="AO135" s="106">
        <v>21.89</v>
      </c>
      <c r="AP135" s="107" t="s">
        <v>1906</v>
      </c>
      <c r="AQ135" s="106">
        <v>21.89</v>
      </c>
      <c r="AR135" s="106" t="s">
        <v>1906</v>
      </c>
      <c r="AS135" s="106">
        <v>21.89</v>
      </c>
      <c r="AT135" s="107" t="s">
        <v>1906</v>
      </c>
      <c r="AU135" s="106">
        <f t="shared" si="4"/>
        <v>172.63</v>
      </c>
      <c r="AV135" s="25">
        <v>8.6300000000000002E-2</v>
      </c>
      <c r="AW135" s="30" t="str">
        <f t="shared" si="5"/>
        <v>95-70</v>
      </c>
      <c r="AX135" s="30" t="s">
        <v>1907</v>
      </c>
      <c r="AY135" s="30">
        <v>0</v>
      </c>
      <c r="AZ135" s="30">
        <v>0</v>
      </c>
    </row>
    <row r="136" spans="1:52" ht="31.2" x14ac:dyDescent="0.3">
      <c r="A136" s="103">
        <v>126</v>
      </c>
      <c r="B136" s="30" t="s">
        <v>705</v>
      </c>
      <c r="C136" s="30" t="s">
        <v>1899</v>
      </c>
      <c r="D136" s="105" t="s">
        <v>1900</v>
      </c>
      <c r="E136" s="108" t="s">
        <v>1901</v>
      </c>
      <c r="F136" s="30" t="s">
        <v>1902</v>
      </c>
      <c r="G136" s="26" t="s">
        <v>145</v>
      </c>
      <c r="H136" s="24" t="s">
        <v>146</v>
      </c>
      <c r="I136" s="25">
        <v>0</v>
      </c>
      <c r="J136" s="24" t="s">
        <v>1903</v>
      </c>
      <c r="K136" s="24">
        <v>40</v>
      </c>
      <c r="L136" s="24">
        <v>5</v>
      </c>
      <c r="M136" s="24" t="str">
        <f t="shared" si="3"/>
        <v>95-70</v>
      </c>
      <c r="N136" s="24" t="s">
        <v>529</v>
      </c>
      <c r="O136" s="24" t="s">
        <v>529</v>
      </c>
      <c r="P136" s="24">
        <v>0</v>
      </c>
      <c r="Q136" s="102">
        <v>0</v>
      </c>
      <c r="R136" s="30" t="s">
        <v>1905</v>
      </c>
      <c r="S136" s="24">
        <v>0</v>
      </c>
      <c r="T136" s="24"/>
      <c r="U136" s="94">
        <v>282.12</v>
      </c>
      <c r="V136" s="94">
        <v>196.69</v>
      </c>
      <c r="W136" s="106">
        <v>26.98</v>
      </c>
      <c r="X136" s="107" t="s">
        <v>1906</v>
      </c>
      <c r="Y136" s="106">
        <v>26.98</v>
      </c>
      <c r="Z136" s="107" t="s">
        <v>1906</v>
      </c>
      <c r="AA136" s="106">
        <v>26.98</v>
      </c>
      <c r="AB136" s="107" t="s">
        <v>1906</v>
      </c>
      <c r="AC136" s="106">
        <v>26.98</v>
      </c>
      <c r="AD136" s="107" t="s">
        <v>1906</v>
      </c>
      <c r="AE136" s="106">
        <v>7.83</v>
      </c>
      <c r="AF136" s="107" t="s">
        <v>1906</v>
      </c>
      <c r="AG136" s="106">
        <v>0</v>
      </c>
      <c r="AH136" s="107" t="s">
        <v>1906</v>
      </c>
      <c r="AI136" s="106">
        <v>0</v>
      </c>
      <c r="AJ136" s="107" t="s">
        <v>1906</v>
      </c>
      <c r="AK136" s="106">
        <v>0</v>
      </c>
      <c r="AL136" s="107" t="s">
        <v>1906</v>
      </c>
      <c r="AM136" s="106">
        <v>6.1</v>
      </c>
      <c r="AN136" s="107" t="s">
        <v>1906</v>
      </c>
      <c r="AO136" s="106">
        <v>26.15</v>
      </c>
      <c r="AP136" s="107" t="s">
        <v>1906</v>
      </c>
      <c r="AQ136" s="106">
        <v>26.15</v>
      </c>
      <c r="AR136" s="106" t="s">
        <v>1906</v>
      </c>
      <c r="AS136" s="106">
        <v>26.15</v>
      </c>
      <c r="AT136" s="107" t="s">
        <v>1906</v>
      </c>
      <c r="AU136" s="106">
        <f t="shared" si="4"/>
        <v>200.3</v>
      </c>
      <c r="AV136" s="25">
        <v>0.1255</v>
      </c>
      <c r="AW136" s="30" t="str">
        <f t="shared" si="5"/>
        <v>95-70</v>
      </c>
      <c r="AX136" s="30" t="s">
        <v>1907</v>
      </c>
      <c r="AY136" s="30">
        <v>0</v>
      </c>
      <c r="AZ136" s="30">
        <v>0</v>
      </c>
    </row>
    <row r="137" spans="1:52" ht="31.2" x14ac:dyDescent="0.3">
      <c r="A137" s="103">
        <v>127</v>
      </c>
      <c r="B137" s="30" t="s">
        <v>706</v>
      </c>
      <c r="C137" s="30" t="s">
        <v>1899</v>
      </c>
      <c r="D137" s="105" t="s">
        <v>1900</v>
      </c>
      <c r="E137" s="108" t="s">
        <v>1901</v>
      </c>
      <c r="F137" s="30" t="s">
        <v>1902</v>
      </c>
      <c r="G137" s="26" t="s">
        <v>145</v>
      </c>
      <c r="H137" s="24" t="s">
        <v>146</v>
      </c>
      <c r="I137" s="25">
        <v>1</v>
      </c>
      <c r="J137" s="24" t="s">
        <v>1903</v>
      </c>
      <c r="K137" s="24">
        <v>40</v>
      </c>
      <c r="L137" s="24">
        <v>5</v>
      </c>
      <c r="M137" s="24" t="str">
        <f t="shared" si="3"/>
        <v>95-70</v>
      </c>
      <c r="N137" s="24" t="s">
        <v>529</v>
      </c>
      <c r="O137" s="24" t="s">
        <v>529</v>
      </c>
      <c r="P137" s="24">
        <v>1</v>
      </c>
      <c r="Q137" s="102">
        <v>0</v>
      </c>
      <c r="R137" s="30" t="s">
        <v>1905</v>
      </c>
      <c r="S137" s="24">
        <v>0</v>
      </c>
      <c r="T137" s="24"/>
      <c r="U137" s="94">
        <v>585.22</v>
      </c>
      <c r="V137" s="94">
        <v>578.79999999999995</v>
      </c>
      <c r="W137" s="106">
        <v>120.55000000000001</v>
      </c>
      <c r="X137" s="107" t="s">
        <v>208</v>
      </c>
      <c r="Y137" s="106">
        <v>79.960000000000008</v>
      </c>
      <c r="Z137" s="107" t="s">
        <v>208</v>
      </c>
      <c r="AA137" s="106">
        <v>118.13</v>
      </c>
      <c r="AB137" s="107" t="s">
        <v>208</v>
      </c>
      <c r="AC137" s="106">
        <v>77.28</v>
      </c>
      <c r="AD137" s="107" t="s">
        <v>208</v>
      </c>
      <c r="AE137" s="106">
        <v>23.91</v>
      </c>
      <c r="AF137" s="107" t="s">
        <v>208</v>
      </c>
      <c r="AG137" s="106">
        <v>0</v>
      </c>
      <c r="AH137" s="107" t="s">
        <v>208</v>
      </c>
      <c r="AI137" s="106">
        <v>0</v>
      </c>
      <c r="AJ137" s="107" t="s">
        <v>208</v>
      </c>
      <c r="AK137" s="106">
        <v>0</v>
      </c>
      <c r="AL137" s="107" t="s">
        <v>208</v>
      </c>
      <c r="AM137" s="106">
        <v>0</v>
      </c>
      <c r="AN137" s="107" t="s">
        <v>208</v>
      </c>
      <c r="AO137" s="106">
        <v>32.5</v>
      </c>
      <c r="AP137" s="107" t="s">
        <v>208</v>
      </c>
      <c r="AQ137" s="106">
        <v>50.26</v>
      </c>
      <c r="AR137" s="106" t="s">
        <v>208</v>
      </c>
      <c r="AS137" s="106">
        <v>73.259999999999991</v>
      </c>
      <c r="AT137" s="107" t="s">
        <v>208</v>
      </c>
      <c r="AU137" s="106">
        <f t="shared" si="4"/>
        <v>575.84999999999991</v>
      </c>
      <c r="AV137" s="25">
        <v>0.26719999999999999</v>
      </c>
      <c r="AW137" s="30" t="str">
        <f t="shared" si="5"/>
        <v>95-70</v>
      </c>
      <c r="AX137" s="30" t="s">
        <v>1907</v>
      </c>
      <c r="AY137" s="30">
        <v>0</v>
      </c>
      <c r="AZ137" s="30">
        <v>0</v>
      </c>
    </row>
    <row r="138" spans="1:52" ht="31.2" x14ac:dyDescent="0.3">
      <c r="A138" s="103">
        <v>128</v>
      </c>
      <c r="B138" s="30" t="s">
        <v>708</v>
      </c>
      <c r="C138" s="30" t="s">
        <v>1899</v>
      </c>
      <c r="D138" s="105" t="s">
        <v>1900</v>
      </c>
      <c r="E138" s="108" t="s">
        <v>1901</v>
      </c>
      <c r="F138" s="30" t="s">
        <v>1902</v>
      </c>
      <c r="G138" s="26" t="s">
        <v>145</v>
      </c>
      <c r="H138" s="24" t="s">
        <v>146</v>
      </c>
      <c r="I138" s="25">
        <v>2</v>
      </c>
      <c r="J138" s="24" t="s">
        <v>1903</v>
      </c>
      <c r="K138" s="24">
        <v>40</v>
      </c>
      <c r="L138" s="24">
        <v>5</v>
      </c>
      <c r="M138" s="24" t="str">
        <f t="shared" si="3"/>
        <v>95-70</v>
      </c>
      <c r="N138" s="24" t="s">
        <v>529</v>
      </c>
      <c r="O138" s="24" t="s">
        <v>529</v>
      </c>
      <c r="P138" s="24">
        <v>1</v>
      </c>
      <c r="Q138" s="102">
        <v>0</v>
      </c>
      <c r="R138" s="30" t="s">
        <v>1905</v>
      </c>
      <c r="S138" s="24">
        <v>0</v>
      </c>
      <c r="T138" s="24"/>
      <c r="U138" s="94">
        <v>1136.72</v>
      </c>
      <c r="V138" s="94">
        <v>1377.9600000000003</v>
      </c>
      <c r="W138" s="106">
        <v>188.17999999999998</v>
      </c>
      <c r="X138" s="107" t="s">
        <v>1906</v>
      </c>
      <c r="Y138" s="106">
        <v>188.17999999999998</v>
      </c>
      <c r="Z138" s="107" t="s">
        <v>1906</v>
      </c>
      <c r="AA138" s="106">
        <v>188.17999999999998</v>
      </c>
      <c r="AB138" s="107" t="s">
        <v>1906</v>
      </c>
      <c r="AC138" s="106">
        <v>188.17999999999998</v>
      </c>
      <c r="AD138" s="107" t="s">
        <v>1906</v>
      </c>
      <c r="AE138" s="106">
        <v>60.7</v>
      </c>
      <c r="AF138" s="107" t="s">
        <v>1906</v>
      </c>
      <c r="AG138" s="106">
        <v>0</v>
      </c>
      <c r="AH138" s="107" t="s">
        <v>1906</v>
      </c>
      <c r="AI138" s="106">
        <v>0</v>
      </c>
      <c r="AJ138" s="107" t="s">
        <v>1906</v>
      </c>
      <c r="AK138" s="106">
        <v>0</v>
      </c>
      <c r="AL138" s="107" t="s">
        <v>1906</v>
      </c>
      <c r="AM138" s="106">
        <v>44.27</v>
      </c>
      <c r="AN138" s="107" t="s">
        <v>1906</v>
      </c>
      <c r="AO138" s="106">
        <v>189.72</v>
      </c>
      <c r="AP138" s="107" t="s">
        <v>1906</v>
      </c>
      <c r="AQ138" s="106">
        <v>189.72</v>
      </c>
      <c r="AR138" s="106" t="s">
        <v>1906</v>
      </c>
      <c r="AS138" s="106">
        <v>189.72</v>
      </c>
      <c r="AT138" s="107" t="s">
        <v>1906</v>
      </c>
      <c r="AU138" s="106">
        <f t="shared" si="4"/>
        <v>1426.85</v>
      </c>
      <c r="AV138" s="25">
        <v>1.0056</v>
      </c>
      <c r="AW138" s="30" t="str">
        <f t="shared" si="5"/>
        <v>95-70</v>
      </c>
      <c r="AX138" s="30" t="s">
        <v>1907</v>
      </c>
      <c r="AY138" s="30">
        <v>0</v>
      </c>
      <c r="AZ138" s="30">
        <v>0</v>
      </c>
    </row>
    <row r="139" spans="1:52" ht="31.2" x14ac:dyDescent="0.3">
      <c r="A139" s="103">
        <v>129</v>
      </c>
      <c r="B139" s="30" t="s">
        <v>709</v>
      </c>
      <c r="C139" s="30" t="s">
        <v>1899</v>
      </c>
      <c r="D139" s="105" t="s">
        <v>1900</v>
      </c>
      <c r="E139" s="108" t="s">
        <v>1901</v>
      </c>
      <c r="F139" s="30" t="s">
        <v>1902</v>
      </c>
      <c r="G139" s="26" t="s">
        <v>145</v>
      </c>
      <c r="H139" s="24" t="s">
        <v>146</v>
      </c>
      <c r="I139" s="25">
        <v>1</v>
      </c>
      <c r="J139" s="24" t="s">
        <v>1903</v>
      </c>
      <c r="K139" s="24">
        <v>40</v>
      </c>
      <c r="L139" s="24">
        <v>5</v>
      </c>
      <c r="M139" s="24" t="str">
        <f t="shared" si="3"/>
        <v>95-70</v>
      </c>
      <c r="N139" s="24" t="s">
        <v>529</v>
      </c>
      <c r="O139" s="24" t="s">
        <v>529</v>
      </c>
      <c r="P139" s="24">
        <v>1</v>
      </c>
      <c r="Q139" s="102">
        <v>0</v>
      </c>
      <c r="R139" s="30" t="s">
        <v>1905</v>
      </c>
      <c r="S139" s="24">
        <v>0</v>
      </c>
      <c r="T139" s="24"/>
      <c r="U139" s="94">
        <v>662.48</v>
      </c>
      <c r="V139" s="94">
        <v>699.38</v>
      </c>
      <c r="W139" s="106">
        <v>139.28</v>
      </c>
      <c r="X139" s="107" t="s">
        <v>208</v>
      </c>
      <c r="Y139" s="106">
        <v>98.15</v>
      </c>
      <c r="Z139" s="107" t="s">
        <v>208</v>
      </c>
      <c r="AA139" s="106">
        <v>128.43</v>
      </c>
      <c r="AB139" s="107" t="s">
        <v>208</v>
      </c>
      <c r="AC139" s="106">
        <v>94.88</v>
      </c>
      <c r="AD139" s="107" t="s">
        <v>208</v>
      </c>
      <c r="AE139" s="106">
        <v>30.14</v>
      </c>
      <c r="AF139" s="107" t="s">
        <v>208</v>
      </c>
      <c r="AG139" s="106">
        <v>0</v>
      </c>
      <c r="AH139" s="107" t="s">
        <v>208</v>
      </c>
      <c r="AI139" s="106">
        <v>0</v>
      </c>
      <c r="AJ139" s="107" t="s">
        <v>208</v>
      </c>
      <c r="AK139" s="106">
        <v>0</v>
      </c>
      <c r="AL139" s="107" t="s">
        <v>208</v>
      </c>
      <c r="AM139" s="106">
        <v>0</v>
      </c>
      <c r="AN139" s="107" t="s">
        <v>208</v>
      </c>
      <c r="AO139" s="106">
        <v>49.81</v>
      </c>
      <c r="AP139" s="107" t="s">
        <v>208</v>
      </c>
      <c r="AQ139" s="106">
        <v>62.709999999999994</v>
      </c>
      <c r="AR139" s="106" t="s">
        <v>208</v>
      </c>
      <c r="AS139" s="106">
        <v>51.519999999999996</v>
      </c>
      <c r="AT139" s="107" t="s">
        <v>208</v>
      </c>
      <c r="AU139" s="106">
        <f t="shared" si="4"/>
        <v>654.92000000000007</v>
      </c>
      <c r="AV139" s="25">
        <v>0.28539999999999999</v>
      </c>
      <c r="AW139" s="30" t="str">
        <f t="shared" si="5"/>
        <v>95-70</v>
      </c>
      <c r="AX139" s="30" t="s">
        <v>1907</v>
      </c>
      <c r="AY139" s="30">
        <v>0</v>
      </c>
      <c r="AZ139" s="30">
        <v>0</v>
      </c>
    </row>
    <row r="140" spans="1:52" ht="31.2" x14ac:dyDescent="0.3">
      <c r="A140" s="103">
        <v>130</v>
      </c>
      <c r="B140" s="30" t="s">
        <v>711</v>
      </c>
      <c r="C140" s="30" t="s">
        <v>1899</v>
      </c>
      <c r="D140" s="105" t="s">
        <v>1900</v>
      </c>
      <c r="E140" s="108" t="s">
        <v>1901</v>
      </c>
      <c r="F140" s="30" t="s">
        <v>1902</v>
      </c>
      <c r="G140" s="26" t="s">
        <v>145</v>
      </c>
      <c r="H140" s="24" t="s">
        <v>146</v>
      </c>
      <c r="I140" s="25">
        <v>2</v>
      </c>
      <c r="J140" s="24" t="s">
        <v>1903</v>
      </c>
      <c r="K140" s="24">
        <v>50</v>
      </c>
      <c r="L140" s="24">
        <v>5</v>
      </c>
      <c r="M140" s="24" t="str">
        <f t="shared" si="3"/>
        <v>95-70</v>
      </c>
      <c r="N140" s="24" t="s">
        <v>529</v>
      </c>
      <c r="O140" s="24" t="s">
        <v>529</v>
      </c>
      <c r="P140" s="24">
        <v>1</v>
      </c>
      <c r="Q140" s="102">
        <v>0</v>
      </c>
      <c r="R140" s="30" t="s">
        <v>1905</v>
      </c>
      <c r="S140" s="24">
        <v>0</v>
      </c>
      <c r="T140" s="24"/>
      <c r="U140" s="94">
        <v>864.65</v>
      </c>
      <c r="V140" s="94">
        <v>1160.7</v>
      </c>
      <c r="W140" s="106">
        <v>159.20999999999998</v>
      </c>
      <c r="X140" s="107" t="s">
        <v>208</v>
      </c>
      <c r="Y140" s="106">
        <v>159.20999999999998</v>
      </c>
      <c r="Z140" s="107" t="s">
        <v>208</v>
      </c>
      <c r="AA140" s="106">
        <v>159.20999999999998</v>
      </c>
      <c r="AB140" s="107" t="s">
        <v>208</v>
      </c>
      <c r="AC140" s="106">
        <v>159.20999999999998</v>
      </c>
      <c r="AD140" s="107" t="s">
        <v>208</v>
      </c>
      <c r="AE140" s="106">
        <v>46.23</v>
      </c>
      <c r="AF140" s="107" t="s">
        <v>208</v>
      </c>
      <c r="AG140" s="106">
        <v>0</v>
      </c>
      <c r="AH140" s="107" t="s">
        <v>208</v>
      </c>
      <c r="AI140" s="106">
        <v>0</v>
      </c>
      <c r="AJ140" s="107" t="s">
        <v>208</v>
      </c>
      <c r="AK140" s="106">
        <v>0</v>
      </c>
      <c r="AL140" s="107" t="s">
        <v>208</v>
      </c>
      <c r="AM140" s="106">
        <v>0</v>
      </c>
      <c r="AN140" s="107" t="s">
        <v>208</v>
      </c>
      <c r="AO140" s="106">
        <v>154.35</v>
      </c>
      <c r="AP140" s="107" t="s">
        <v>208</v>
      </c>
      <c r="AQ140" s="106">
        <v>45.989999999999995</v>
      </c>
      <c r="AR140" s="106" t="s">
        <v>208</v>
      </c>
      <c r="AS140" s="106">
        <v>154.35</v>
      </c>
      <c r="AT140" s="107" t="s">
        <v>208</v>
      </c>
      <c r="AU140" s="106">
        <f t="shared" si="4"/>
        <v>1037.76</v>
      </c>
      <c r="AV140" s="25">
        <v>0.64510000000000001</v>
      </c>
      <c r="AW140" s="30" t="str">
        <f t="shared" si="5"/>
        <v>95-70</v>
      </c>
      <c r="AX140" s="30" t="s">
        <v>1907</v>
      </c>
      <c r="AY140" s="30">
        <v>0</v>
      </c>
      <c r="AZ140" s="30">
        <v>0</v>
      </c>
    </row>
    <row r="141" spans="1:52" ht="31.2" x14ac:dyDescent="0.3">
      <c r="A141" s="103">
        <v>131</v>
      </c>
      <c r="B141" s="30" t="s">
        <v>713</v>
      </c>
      <c r="C141" s="30" t="s">
        <v>1899</v>
      </c>
      <c r="D141" s="105" t="s">
        <v>1900</v>
      </c>
      <c r="E141" s="108" t="s">
        <v>1901</v>
      </c>
      <c r="F141" s="30" t="s">
        <v>1902</v>
      </c>
      <c r="G141" s="26" t="s">
        <v>145</v>
      </c>
      <c r="H141" s="24" t="s">
        <v>146</v>
      </c>
      <c r="I141" s="25">
        <v>1</v>
      </c>
      <c r="J141" s="24" t="s">
        <v>1903</v>
      </c>
      <c r="K141" s="24">
        <v>32</v>
      </c>
      <c r="L141" s="24">
        <v>5</v>
      </c>
      <c r="M141" s="24" t="str">
        <f t="shared" ref="M141:M204" si="6">M140</f>
        <v>95-70</v>
      </c>
      <c r="N141" s="24" t="s">
        <v>529</v>
      </c>
      <c r="O141" s="24" t="s">
        <v>529</v>
      </c>
      <c r="P141" s="24">
        <v>1</v>
      </c>
      <c r="Q141" s="102">
        <v>0</v>
      </c>
      <c r="R141" s="30" t="s">
        <v>1905</v>
      </c>
      <c r="S141" s="24">
        <v>0</v>
      </c>
      <c r="T141" s="24"/>
      <c r="U141" s="94">
        <v>151.57000000000002</v>
      </c>
      <c r="V141" s="94">
        <v>31.87</v>
      </c>
      <c r="W141" s="106">
        <v>3.1500000000000004</v>
      </c>
      <c r="X141" s="107" t="s">
        <v>1906</v>
      </c>
      <c r="Y141" s="106">
        <v>3.1500000000000004</v>
      </c>
      <c r="Z141" s="107" t="s">
        <v>1906</v>
      </c>
      <c r="AA141" s="106">
        <v>3.1500000000000004</v>
      </c>
      <c r="AB141" s="107" t="s">
        <v>1906</v>
      </c>
      <c r="AC141" s="106">
        <v>3.12</v>
      </c>
      <c r="AD141" s="107" t="s">
        <v>1906</v>
      </c>
      <c r="AE141" s="106">
        <v>0.88</v>
      </c>
      <c r="AF141" s="107" t="s">
        <v>1906</v>
      </c>
      <c r="AG141" s="106">
        <v>0</v>
      </c>
      <c r="AH141" s="107" t="s">
        <v>1906</v>
      </c>
      <c r="AI141" s="106">
        <v>0</v>
      </c>
      <c r="AJ141" s="107" t="s">
        <v>1906</v>
      </c>
      <c r="AK141" s="106">
        <v>0</v>
      </c>
      <c r="AL141" s="107" t="s">
        <v>1906</v>
      </c>
      <c r="AM141" s="106">
        <v>0.76</v>
      </c>
      <c r="AN141" s="107" t="s">
        <v>1906</v>
      </c>
      <c r="AO141" s="106">
        <v>3.27</v>
      </c>
      <c r="AP141" s="107" t="s">
        <v>1906</v>
      </c>
      <c r="AQ141" s="106">
        <v>3.27</v>
      </c>
      <c r="AR141" s="106" t="s">
        <v>1906</v>
      </c>
      <c r="AS141" s="106">
        <v>3.27</v>
      </c>
      <c r="AT141" s="107" t="s">
        <v>1906</v>
      </c>
      <c r="AU141" s="106">
        <f t="shared" ref="AU141:AU204" si="7">W141+Y141+AA141+AC141+AE141+AG141+AI141+AK141+AM141+AO141+AQ141+AS141</f>
        <v>24.02</v>
      </c>
      <c r="AV141" s="25">
        <v>7.6300000000000007E-2</v>
      </c>
      <c r="AW141" s="30" t="str">
        <f t="shared" ref="AW141:AW204" si="8">AW140</f>
        <v>95-70</v>
      </c>
      <c r="AX141" s="30" t="s">
        <v>1907</v>
      </c>
      <c r="AY141" s="30">
        <v>0</v>
      </c>
      <c r="AZ141" s="30">
        <v>0</v>
      </c>
    </row>
    <row r="142" spans="1:52" ht="31.2" x14ac:dyDescent="0.3">
      <c r="A142" s="103">
        <v>132</v>
      </c>
      <c r="B142" s="30" t="s">
        <v>714</v>
      </c>
      <c r="C142" s="30" t="s">
        <v>1899</v>
      </c>
      <c r="D142" s="105" t="s">
        <v>1900</v>
      </c>
      <c r="E142" s="108" t="s">
        <v>1901</v>
      </c>
      <c r="F142" s="30" t="s">
        <v>1902</v>
      </c>
      <c r="G142" s="26" t="s">
        <v>145</v>
      </c>
      <c r="H142" s="24" t="s">
        <v>146</v>
      </c>
      <c r="I142" s="25">
        <v>1</v>
      </c>
      <c r="J142" s="24" t="s">
        <v>1903</v>
      </c>
      <c r="K142" s="24">
        <v>32</v>
      </c>
      <c r="L142" s="24">
        <v>5</v>
      </c>
      <c r="M142" s="24" t="str">
        <f t="shared" si="6"/>
        <v>95-70</v>
      </c>
      <c r="N142" s="24" t="s">
        <v>529</v>
      </c>
      <c r="O142" s="24" t="s">
        <v>529</v>
      </c>
      <c r="P142" s="24">
        <v>1</v>
      </c>
      <c r="Q142" s="102">
        <v>0</v>
      </c>
      <c r="R142" s="30" t="s">
        <v>1905</v>
      </c>
      <c r="S142" s="24">
        <v>0</v>
      </c>
      <c r="T142" s="24"/>
      <c r="U142" s="94">
        <f>303.18*0.49</f>
        <v>148.5582</v>
      </c>
      <c r="V142" s="94">
        <f>234.53*0.49</f>
        <v>114.91969999999999</v>
      </c>
      <c r="W142" s="106">
        <f>31.31*0.49</f>
        <v>15.341899999999999</v>
      </c>
      <c r="X142" s="107" t="s">
        <v>1906</v>
      </c>
      <c r="Y142" s="106">
        <f>31.31*0.49</f>
        <v>15.341899999999999</v>
      </c>
      <c r="Z142" s="107" t="s">
        <v>1906</v>
      </c>
      <c r="AA142" s="106">
        <f>31.31*0.49</f>
        <v>15.341899999999999</v>
      </c>
      <c r="AB142" s="107" t="s">
        <v>1906</v>
      </c>
      <c r="AC142" s="106">
        <f>34.05*0.49</f>
        <v>16.6845</v>
      </c>
      <c r="AD142" s="107" t="s">
        <v>1906</v>
      </c>
      <c r="AE142" s="106">
        <f>12.62*0.49</f>
        <v>6.1837999999999997</v>
      </c>
      <c r="AF142" s="107" t="s">
        <v>1906</v>
      </c>
      <c r="AG142" s="106">
        <v>0</v>
      </c>
      <c r="AH142" s="107" t="s">
        <v>1906</v>
      </c>
      <c r="AI142" s="106">
        <v>0</v>
      </c>
      <c r="AJ142" s="107" t="s">
        <v>1906</v>
      </c>
      <c r="AK142" s="106">
        <v>0</v>
      </c>
      <c r="AL142" s="107" t="s">
        <v>1906</v>
      </c>
      <c r="AM142" s="106">
        <f>7.16*0.49</f>
        <v>3.5084</v>
      </c>
      <c r="AN142" s="107" t="s">
        <v>1906</v>
      </c>
      <c r="AO142" s="106">
        <f>30.68*0.49</f>
        <v>15.033199999999999</v>
      </c>
      <c r="AP142" s="107" t="s">
        <v>1906</v>
      </c>
      <c r="AQ142" s="106">
        <f>30.68*0.49</f>
        <v>15.033199999999999</v>
      </c>
      <c r="AR142" s="106" t="s">
        <v>1906</v>
      </c>
      <c r="AS142" s="106">
        <f>30.68*0.49</f>
        <v>15.033199999999999</v>
      </c>
      <c r="AT142" s="107" t="s">
        <v>1906</v>
      </c>
      <c r="AU142" s="106">
        <f t="shared" si="7"/>
        <v>117.50199999999998</v>
      </c>
      <c r="AV142" s="25">
        <v>0.15260000000000001</v>
      </c>
      <c r="AW142" s="30" t="str">
        <f t="shared" si="8"/>
        <v>95-70</v>
      </c>
      <c r="AX142" s="30" t="s">
        <v>1907</v>
      </c>
      <c r="AY142" s="30">
        <v>0</v>
      </c>
      <c r="AZ142" s="30">
        <v>0</v>
      </c>
    </row>
    <row r="143" spans="1:52" ht="31.2" x14ac:dyDescent="0.3">
      <c r="A143" s="103">
        <v>133</v>
      </c>
      <c r="B143" s="30" t="s">
        <v>715</v>
      </c>
      <c r="C143" s="30" t="s">
        <v>1899</v>
      </c>
      <c r="D143" s="105" t="s">
        <v>1900</v>
      </c>
      <c r="E143" s="108" t="s">
        <v>1901</v>
      </c>
      <c r="F143" s="30" t="s">
        <v>1902</v>
      </c>
      <c r="G143" s="26" t="s">
        <v>145</v>
      </c>
      <c r="H143" s="24" t="s">
        <v>146</v>
      </c>
      <c r="I143" s="25">
        <v>0</v>
      </c>
      <c r="J143" s="24" t="s">
        <v>1903</v>
      </c>
      <c r="K143" s="24">
        <v>32</v>
      </c>
      <c r="L143" s="24">
        <v>5</v>
      </c>
      <c r="M143" s="24" t="str">
        <f t="shared" si="6"/>
        <v>95-70</v>
      </c>
      <c r="N143" s="24" t="s">
        <v>529</v>
      </c>
      <c r="O143" s="24" t="s">
        <v>529</v>
      </c>
      <c r="P143" s="24">
        <v>0</v>
      </c>
      <c r="Q143" s="102">
        <v>0</v>
      </c>
      <c r="R143" s="30" t="s">
        <v>1905</v>
      </c>
      <c r="S143" s="24">
        <v>0</v>
      </c>
      <c r="T143" s="24"/>
      <c r="U143" s="94">
        <f>303.18*0.51</f>
        <v>154.62180000000001</v>
      </c>
      <c r="V143" s="94">
        <f>234.53*0.51</f>
        <v>119.61030000000001</v>
      </c>
      <c r="W143" s="106">
        <f>31.31*0.51</f>
        <v>15.9681</v>
      </c>
      <c r="X143" s="107" t="s">
        <v>1906</v>
      </c>
      <c r="Y143" s="106">
        <f>31.31*0.51</f>
        <v>15.9681</v>
      </c>
      <c r="Z143" s="107" t="s">
        <v>1906</v>
      </c>
      <c r="AA143" s="106">
        <f>31.31*0.51</f>
        <v>15.9681</v>
      </c>
      <c r="AB143" s="107" t="s">
        <v>1906</v>
      </c>
      <c r="AC143" s="106">
        <f>34.05*0.51</f>
        <v>17.365499999999997</v>
      </c>
      <c r="AD143" s="107" t="s">
        <v>1906</v>
      </c>
      <c r="AE143" s="106">
        <f>12.62*0.51</f>
        <v>6.4361999999999995</v>
      </c>
      <c r="AF143" s="107" t="s">
        <v>1906</v>
      </c>
      <c r="AG143" s="106">
        <v>0</v>
      </c>
      <c r="AH143" s="107" t="s">
        <v>1906</v>
      </c>
      <c r="AI143" s="106">
        <v>0</v>
      </c>
      <c r="AJ143" s="107" t="s">
        <v>1906</v>
      </c>
      <c r="AK143" s="106">
        <v>0</v>
      </c>
      <c r="AL143" s="107" t="s">
        <v>1906</v>
      </c>
      <c r="AM143" s="106">
        <f>7.16*0.51</f>
        <v>3.6516000000000002</v>
      </c>
      <c r="AN143" s="107" t="s">
        <v>1906</v>
      </c>
      <c r="AO143" s="106">
        <f>30.68*0.51</f>
        <v>15.646800000000001</v>
      </c>
      <c r="AP143" s="107" t="s">
        <v>1906</v>
      </c>
      <c r="AQ143" s="106">
        <f>30.68*0.51</f>
        <v>15.646800000000001</v>
      </c>
      <c r="AR143" s="106" t="s">
        <v>1906</v>
      </c>
      <c r="AS143" s="106">
        <f>30.68*0.51</f>
        <v>15.646800000000001</v>
      </c>
      <c r="AT143" s="107" t="s">
        <v>1906</v>
      </c>
      <c r="AU143" s="106">
        <f t="shared" si="7"/>
        <v>122.298</v>
      </c>
      <c r="AV143" s="25">
        <v>1E-3</v>
      </c>
      <c r="AW143" s="30" t="str">
        <f t="shared" si="8"/>
        <v>95-70</v>
      </c>
      <c r="AX143" s="30" t="s">
        <v>1907</v>
      </c>
      <c r="AY143" s="30">
        <v>0</v>
      </c>
      <c r="AZ143" s="30">
        <v>0</v>
      </c>
    </row>
    <row r="144" spans="1:52" ht="31.2" x14ac:dyDescent="0.3">
      <c r="A144" s="103">
        <v>134</v>
      </c>
      <c r="B144" s="30" t="s">
        <v>716</v>
      </c>
      <c r="C144" s="30" t="s">
        <v>1899</v>
      </c>
      <c r="D144" s="105" t="s">
        <v>1900</v>
      </c>
      <c r="E144" s="108" t="s">
        <v>1901</v>
      </c>
      <c r="F144" s="30" t="s">
        <v>1902</v>
      </c>
      <c r="G144" s="26" t="s">
        <v>145</v>
      </c>
      <c r="H144" s="24" t="s">
        <v>146</v>
      </c>
      <c r="I144" s="25">
        <v>0</v>
      </c>
      <c r="J144" s="24" t="s">
        <v>1903</v>
      </c>
      <c r="K144" s="24">
        <v>32</v>
      </c>
      <c r="L144" s="24">
        <v>5</v>
      </c>
      <c r="M144" s="24" t="str">
        <f t="shared" si="6"/>
        <v>95-70</v>
      </c>
      <c r="N144" s="24" t="s">
        <v>529</v>
      </c>
      <c r="O144" s="24" t="s">
        <v>529</v>
      </c>
      <c r="P144" s="24">
        <v>0</v>
      </c>
      <c r="Q144" s="102">
        <v>0</v>
      </c>
      <c r="R144" s="30" t="s">
        <v>1905</v>
      </c>
      <c r="S144" s="24">
        <v>0</v>
      </c>
      <c r="T144" s="24"/>
      <c r="U144" s="94">
        <v>307.14000000000004</v>
      </c>
      <c r="V144" s="94">
        <v>326.81999999999994</v>
      </c>
      <c r="W144" s="106">
        <v>44.83</v>
      </c>
      <c r="X144" s="107" t="s">
        <v>1906</v>
      </c>
      <c r="Y144" s="106">
        <v>44.83</v>
      </c>
      <c r="Z144" s="107" t="s">
        <v>1906</v>
      </c>
      <c r="AA144" s="106">
        <v>44.83</v>
      </c>
      <c r="AB144" s="107" t="s">
        <v>1906</v>
      </c>
      <c r="AC144" s="106">
        <v>44.83</v>
      </c>
      <c r="AD144" s="107" t="s">
        <v>1906</v>
      </c>
      <c r="AE144" s="106">
        <v>13.01</v>
      </c>
      <c r="AF144" s="107" t="s">
        <v>1906</v>
      </c>
      <c r="AG144" s="106">
        <v>0</v>
      </c>
      <c r="AH144" s="107" t="s">
        <v>1906</v>
      </c>
      <c r="AI144" s="106">
        <v>0</v>
      </c>
      <c r="AJ144" s="107" t="s">
        <v>1906</v>
      </c>
      <c r="AK144" s="106">
        <v>0</v>
      </c>
      <c r="AL144" s="107" t="s">
        <v>1906</v>
      </c>
      <c r="AM144" s="106">
        <v>9.9</v>
      </c>
      <c r="AN144" s="107" t="s">
        <v>1906</v>
      </c>
      <c r="AO144" s="106">
        <v>42.42</v>
      </c>
      <c r="AP144" s="107" t="s">
        <v>1906</v>
      </c>
      <c r="AQ144" s="106">
        <v>42.42</v>
      </c>
      <c r="AR144" s="106" t="s">
        <v>1906</v>
      </c>
      <c r="AS144" s="106">
        <v>42.42</v>
      </c>
      <c r="AT144" s="107" t="s">
        <v>1906</v>
      </c>
      <c r="AU144" s="106">
        <f t="shared" si="7"/>
        <v>329.49</v>
      </c>
      <c r="AV144" s="25">
        <v>0.15459999999999999</v>
      </c>
      <c r="AW144" s="30" t="str">
        <f t="shared" si="8"/>
        <v>95-70</v>
      </c>
      <c r="AX144" s="30" t="s">
        <v>1907</v>
      </c>
      <c r="AY144" s="30">
        <v>0</v>
      </c>
      <c r="AZ144" s="30">
        <v>0</v>
      </c>
    </row>
    <row r="145" spans="1:52" ht="31.2" x14ac:dyDescent="0.3">
      <c r="A145" s="103">
        <v>135</v>
      </c>
      <c r="B145" s="30" t="s">
        <v>718</v>
      </c>
      <c r="C145" s="30" t="s">
        <v>1899</v>
      </c>
      <c r="D145" s="105" t="s">
        <v>1900</v>
      </c>
      <c r="E145" s="108" t="s">
        <v>1901</v>
      </c>
      <c r="F145" s="30" t="s">
        <v>1902</v>
      </c>
      <c r="G145" s="26" t="s">
        <v>145</v>
      </c>
      <c r="H145" s="24" t="s">
        <v>146</v>
      </c>
      <c r="I145" s="25">
        <v>1</v>
      </c>
      <c r="J145" s="24" t="s">
        <v>1903</v>
      </c>
      <c r="K145" s="24">
        <v>50</v>
      </c>
      <c r="L145" s="24">
        <v>5</v>
      </c>
      <c r="M145" s="24" t="str">
        <f t="shared" si="6"/>
        <v>95-70</v>
      </c>
      <c r="N145" s="24" t="s">
        <v>529</v>
      </c>
      <c r="O145" s="24" t="s">
        <v>529</v>
      </c>
      <c r="P145" s="24">
        <v>1</v>
      </c>
      <c r="Q145" s="102">
        <v>0</v>
      </c>
      <c r="R145" s="30" t="s">
        <v>1905</v>
      </c>
      <c r="S145" s="24">
        <v>0</v>
      </c>
      <c r="T145" s="24"/>
      <c r="U145" s="94">
        <v>704.49000000000012</v>
      </c>
      <c r="V145" s="94">
        <v>619.18999999999994</v>
      </c>
      <c r="W145" s="106">
        <v>80.600000000000009</v>
      </c>
      <c r="X145" s="107" t="s">
        <v>1906</v>
      </c>
      <c r="Y145" s="106">
        <v>80.600000000000009</v>
      </c>
      <c r="Z145" s="107" t="s">
        <v>1906</v>
      </c>
      <c r="AA145" s="106">
        <v>80.600000000000009</v>
      </c>
      <c r="AB145" s="107" t="s">
        <v>1906</v>
      </c>
      <c r="AC145" s="106">
        <v>74.91</v>
      </c>
      <c r="AD145" s="107" t="s">
        <v>1906</v>
      </c>
      <c r="AE145" s="106">
        <v>25.55</v>
      </c>
      <c r="AF145" s="107" t="s">
        <v>1906</v>
      </c>
      <c r="AG145" s="106">
        <v>0</v>
      </c>
      <c r="AH145" s="107" t="s">
        <v>1906</v>
      </c>
      <c r="AI145" s="106">
        <v>0</v>
      </c>
      <c r="AJ145" s="107" t="s">
        <v>1906</v>
      </c>
      <c r="AK145" s="106">
        <v>0</v>
      </c>
      <c r="AL145" s="107" t="s">
        <v>1906</v>
      </c>
      <c r="AM145" s="106">
        <v>0</v>
      </c>
      <c r="AN145" s="107" t="s">
        <v>1906</v>
      </c>
      <c r="AO145" s="106">
        <v>75.239999999999995</v>
      </c>
      <c r="AP145" s="107" t="s">
        <v>1906</v>
      </c>
      <c r="AQ145" s="106">
        <v>75.239999999999995</v>
      </c>
      <c r="AR145" s="106" t="s">
        <v>1906</v>
      </c>
      <c r="AS145" s="106">
        <v>75.239999999999995</v>
      </c>
      <c r="AT145" s="107" t="s">
        <v>1906</v>
      </c>
      <c r="AU145" s="106">
        <f t="shared" si="7"/>
        <v>567.98</v>
      </c>
      <c r="AV145" s="25">
        <v>0.30809999999999998</v>
      </c>
      <c r="AW145" s="30" t="str">
        <f t="shared" si="8"/>
        <v>95-70</v>
      </c>
      <c r="AX145" s="30" t="s">
        <v>1907</v>
      </c>
      <c r="AY145" s="30">
        <v>0</v>
      </c>
      <c r="AZ145" s="30">
        <v>0</v>
      </c>
    </row>
    <row r="146" spans="1:52" ht="31.2" x14ac:dyDescent="0.3">
      <c r="A146" s="103">
        <v>136</v>
      </c>
      <c r="B146" s="30" t="s">
        <v>720</v>
      </c>
      <c r="C146" s="30" t="s">
        <v>1899</v>
      </c>
      <c r="D146" s="105" t="s">
        <v>1900</v>
      </c>
      <c r="E146" s="108" t="s">
        <v>1901</v>
      </c>
      <c r="F146" s="30" t="s">
        <v>1902</v>
      </c>
      <c r="G146" s="26" t="s">
        <v>145</v>
      </c>
      <c r="H146" s="24" t="s">
        <v>146</v>
      </c>
      <c r="I146" s="25">
        <v>1</v>
      </c>
      <c r="J146" s="24" t="s">
        <v>1903</v>
      </c>
      <c r="K146" s="24">
        <v>50</v>
      </c>
      <c r="L146" s="24">
        <v>5</v>
      </c>
      <c r="M146" s="24" t="str">
        <f t="shared" si="6"/>
        <v>95-70</v>
      </c>
      <c r="N146" s="24" t="s">
        <v>529</v>
      </c>
      <c r="O146" s="24" t="s">
        <v>529</v>
      </c>
      <c r="P146" s="24">
        <v>1</v>
      </c>
      <c r="Q146" s="102">
        <v>0</v>
      </c>
      <c r="R146" s="30" t="s">
        <v>1905</v>
      </c>
      <c r="S146" s="24">
        <v>0</v>
      </c>
      <c r="T146" s="24"/>
      <c r="U146" s="94">
        <v>502.81999999999994</v>
      </c>
      <c r="V146" s="94">
        <v>505.84999999999997</v>
      </c>
      <c r="W146" s="106">
        <v>102.78</v>
      </c>
      <c r="X146" s="107" t="s">
        <v>208</v>
      </c>
      <c r="Y146" s="106">
        <v>63.57</v>
      </c>
      <c r="Z146" s="107" t="s">
        <v>208</v>
      </c>
      <c r="AA146" s="106">
        <v>87.56</v>
      </c>
      <c r="AB146" s="107" t="s">
        <v>208</v>
      </c>
      <c r="AC146" s="106">
        <v>72.83</v>
      </c>
      <c r="AD146" s="107" t="s">
        <v>208</v>
      </c>
      <c r="AE146" s="106">
        <v>10.45</v>
      </c>
      <c r="AF146" s="107" t="s">
        <v>208</v>
      </c>
      <c r="AG146" s="106">
        <v>0</v>
      </c>
      <c r="AH146" s="107" t="s">
        <v>208</v>
      </c>
      <c r="AI146" s="106">
        <v>0</v>
      </c>
      <c r="AJ146" s="107" t="s">
        <v>208</v>
      </c>
      <c r="AK146" s="106">
        <v>0</v>
      </c>
      <c r="AL146" s="107" t="s">
        <v>208</v>
      </c>
      <c r="AM146" s="106">
        <v>0</v>
      </c>
      <c r="AN146" s="107" t="s">
        <v>208</v>
      </c>
      <c r="AO146" s="106">
        <v>39.92</v>
      </c>
      <c r="AP146" s="107" t="s">
        <v>208</v>
      </c>
      <c r="AQ146" s="106">
        <v>37.31</v>
      </c>
      <c r="AR146" s="106" t="s">
        <v>208</v>
      </c>
      <c r="AS146" s="106">
        <v>56.05</v>
      </c>
      <c r="AT146" s="107" t="s">
        <v>208</v>
      </c>
      <c r="AU146" s="106">
        <f t="shared" si="7"/>
        <v>470.47</v>
      </c>
      <c r="AV146" s="25">
        <v>0.2195</v>
      </c>
      <c r="AW146" s="30" t="str">
        <f t="shared" si="8"/>
        <v>95-70</v>
      </c>
      <c r="AX146" s="30" t="s">
        <v>1907</v>
      </c>
      <c r="AY146" s="30">
        <v>0</v>
      </c>
      <c r="AZ146" s="30">
        <v>0</v>
      </c>
    </row>
    <row r="147" spans="1:52" ht="31.2" x14ac:dyDescent="0.3">
      <c r="A147" s="103">
        <v>137</v>
      </c>
      <c r="B147" s="30" t="s">
        <v>722</v>
      </c>
      <c r="C147" s="30" t="s">
        <v>1899</v>
      </c>
      <c r="D147" s="105" t="s">
        <v>1900</v>
      </c>
      <c r="E147" s="108" t="s">
        <v>1901</v>
      </c>
      <c r="F147" s="30" t="s">
        <v>1902</v>
      </c>
      <c r="G147" s="26" t="s">
        <v>145</v>
      </c>
      <c r="H147" s="24" t="s">
        <v>146</v>
      </c>
      <c r="I147" s="25">
        <v>1</v>
      </c>
      <c r="J147" s="24" t="s">
        <v>1903</v>
      </c>
      <c r="K147" s="24">
        <v>50</v>
      </c>
      <c r="L147" s="24">
        <v>5</v>
      </c>
      <c r="M147" s="24" t="str">
        <f t="shared" si="6"/>
        <v>95-70</v>
      </c>
      <c r="N147" s="24" t="s">
        <v>529</v>
      </c>
      <c r="O147" s="24" t="s">
        <v>529</v>
      </c>
      <c r="P147" s="24">
        <v>1</v>
      </c>
      <c r="Q147" s="102">
        <v>0</v>
      </c>
      <c r="R147" s="30" t="s">
        <v>1905</v>
      </c>
      <c r="S147" s="24">
        <v>0</v>
      </c>
      <c r="T147" s="24"/>
      <c r="U147" s="94">
        <v>1179.5900000000001</v>
      </c>
      <c r="V147" s="94">
        <v>1345.6</v>
      </c>
      <c r="W147" s="106">
        <v>183.76</v>
      </c>
      <c r="X147" s="107" t="s">
        <v>1906</v>
      </c>
      <c r="Y147" s="106">
        <v>183.76</v>
      </c>
      <c r="Z147" s="107" t="s">
        <v>1906</v>
      </c>
      <c r="AA147" s="106">
        <v>183.76</v>
      </c>
      <c r="AB147" s="107" t="s">
        <v>1906</v>
      </c>
      <c r="AC147" s="106">
        <v>183.76</v>
      </c>
      <c r="AD147" s="107" t="s">
        <v>1906</v>
      </c>
      <c r="AE147" s="106">
        <v>59.28</v>
      </c>
      <c r="AF147" s="107" t="s">
        <v>1906</v>
      </c>
      <c r="AG147" s="106">
        <v>0</v>
      </c>
      <c r="AH147" s="107" t="s">
        <v>1906</v>
      </c>
      <c r="AI147" s="106">
        <v>0</v>
      </c>
      <c r="AJ147" s="107" t="s">
        <v>1906</v>
      </c>
      <c r="AK147" s="106">
        <v>0</v>
      </c>
      <c r="AL147" s="107" t="s">
        <v>1906</v>
      </c>
      <c r="AM147" s="106">
        <v>41.6</v>
      </c>
      <c r="AN147" s="107" t="s">
        <v>1906</v>
      </c>
      <c r="AO147" s="106">
        <v>178.3</v>
      </c>
      <c r="AP147" s="107" t="s">
        <v>1906</v>
      </c>
      <c r="AQ147" s="106">
        <v>178.3</v>
      </c>
      <c r="AR147" s="106" t="s">
        <v>1906</v>
      </c>
      <c r="AS147" s="106">
        <v>178.3</v>
      </c>
      <c r="AT147" s="107" t="s">
        <v>1906</v>
      </c>
      <c r="AU147" s="106">
        <f t="shared" si="7"/>
        <v>1370.82</v>
      </c>
      <c r="AV147" s="25">
        <v>0.50349999999999995</v>
      </c>
      <c r="AW147" s="30" t="str">
        <f t="shared" si="8"/>
        <v>95-70</v>
      </c>
      <c r="AX147" s="30" t="s">
        <v>1907</v>
      </c>
      <c r="AY147" s="30">
        <v>0</v>
      </c>
      <c r="AZ147" s="30">
        <v>0</v>
      </c>
    </row>
    <row r="148" spans="1:52" ht="31.2" x14ac:dyDescent="0.3">
      <c r="A148" s="103">
        <v>138</v>
      </c>
      <c r="B148" s="30" t="s">
        <v>723</v>
      </c>
      <c r="C148" s="30" t="s">
        <v>1899</v>
      </c>
      <c r="D148" s="105" t="s">
        <v>1900</v>
      </c>
      <c r="E148" s="108" t="s">
        <v>1901</v>
      </c>
      <c r="F148" s="30" t="s">
        <v>1902</v>
      </c>
      <c r="G148" s="26" t="s">
        <v>145</v>
      </c>
      <c r="H148" s="24" t="s">
        <v>146</v>
      </c>
      <c r="I148" s="25">
        <v>0</v>
      </c>
      <c r="J148" s="24" t="s">
        <v>1903</v>
      </c>
      <c r="K148" s="24">
        <v>50</v>
      </c>
      <c r="L148" s="24">
        <v>5</v>
      </c>
      <c r="M148" s="24" t="str">
        <f t="shared" si="6"/>
        <v>95-70</v>
      </c>
      <c r="N148" s="24" t="s">
        <v>529</v>
      </c>
      <c r="O148" s="24" t="s">
        <v>529</v>
      </c>
      <c r="P148" s="24">
        <v>0</v>
      </c>
      <c r="Q148" s="102">
        <v>0</v>
      </c>
      <c r="R148" s="30" t="s">
        <v>1905</v>
      </c>
      <c r="S148" s="24">
        <v>0</v>
      </c>
      <c r="T148" s="24"/>
      <c r="U148" s="94">
        <v>284.04000000000002</v>
      </c>
      <c r="V148" s="94">
        <v>294.67</v>
      </c>
      <c r="W148" s="106">
        <v>40.239999999999995</v>
      </c>
      <c r="X148" s="107" t="s">
        <v>1906</v>
      </c>
      <c r="Y148" s="106">
        <v>40.239999999999995</v>
      </c>
      <c r="Z148" s="107" t="s">
        <v>1906</v>
      </c>
      <c r="AA148" s="106">
        <v>40.239999999999995</v>
      </c>
      <c r="AB148" s="107" t="s">
        <v>1906</v>
      </c>
      <c r="AC148" s="106">
        <v>40.239999999999995</v>
      </c>
      <c r="AD148" s="107" t="s">
        <v>1906</v>
      </c>
      <c r="AE148" s="106">
        <v>12.99</v>
      </c>
      <c r="AF148" s="107" t="s">
        <v>1906</v>
      </c>
      <c r="AG148" s="106">
        <v>0</v>
      </c>
      <c r="AH148" s="107" t="s">
        <v>1906</v>
      </c>
      <c r="AI148" s="106">
        <v>0</v>
      </c>
      <c r="AJ148" s="107" t="s">
        <v>1906</v>
      </c>
      <c r="AK148" s="106">
        <v>0</v>
      </c>
      <c r="AL148" s="107" t="s">
        <v>1906</v>
      </c>
      <c r="AM148" s="106">
        <v>9.1199999999999992</v>
      </c>
      <c r="AN148" s="107" t="s">
        <v>1906</v>
      </c>
      <c r="AO148" s="106">
        <v>39.08</v>
      </c>
      <c r="AP148" s="107" t="s">
        <v>1906</v>
      </c>
      <c r="AQ148" s="106">
        <v>39.08</v>
      </c>
      <c r="AR148" s="106" t="s">
        <v>1906</v>
      </c>
      <c r="AS148" s="106">
        <v>39.08</v>
      </c>
      <c r="AT148" s="107" t="s">
        <v>1906</v>
      </c>
      <c r="AU148" s="106">
        <f t="shared" si="7"/>
        <v>300.30999999999995</v>
      </c>
      <c r="AV148" s="25">
        <v>0.13150000000000001</v>
      </c>
      <c r="AW148" s="30" t="str">
        <f t="shared" si="8"/>
        <v>95-70</v>
      </c>
      <c r="AX148" s="30" t="s">
        <v>1907</v>
      </c>
      <c r="AY148" s="30">
        <v>0</v>
      </c>
      <c r="AZ148" s="30">
        <v>0</v>
      </c>
    </row>
    <row r="149" spans="1:52" ht="31.2" x14ac:dyDescent="0.3">
      <c r="A149" s="103">
        <v>139</v>
      </c>
      <c r="B149" s="30" t="s">
        <v>725</v>
      </c>
      <c r="C149" s="30" t="s">
        <v>1899</v>
      </c>
      <c r="D149" s="105" t="s">
        <v>1900</v>
      </c>
      <c r="E149" s="108" t="s">
        <v>1910</v>
      </c>
      <c r="F149" s="30" t="s">
        <v>1902</v>
      </c>
      <c r="G149" s="26" t="s">
        <v>145</v>
      </c>
      <c r="H149" s="24" t="s">
        <v>146</v>
      </c>
      <c r="I149" s="25">
        <v>1</v>
      </c>
      <c r="J149" s="24" t="s">
        <v>1903</v>
      </c>
      <c r="K149" s="24">
        <v>50</v>
      </c>
      <c r="L149" s="24">
        <v>5</v>
      </c>
      <c r="M149" s="24" t="str">
        <f t="shared" si="6"/>
        <v>95-70</v>
      </c>
      <c r="N149" s="24" t="s">
        <v>528</v>
      </c>
      <c r="O149" s="24" t="s">
        <v>529</v>
      </c>
      <c r="P149" s="24">
        <v>1</v>
      </c>
      <c r="Q149" s="102">
        <v>0</v>
      </c>
      <c r="R149" s="30" t="s">
        <v>1905</v>
      </c>
      <c r="S149" s="24">
        <v>0</v>
      </c>
      <c r="T149" s="24"/>
      <c r="U149" s="94">
        <v>467.22</v>
      </c>
      <c r="V149" s="94">
        <v>212.51</v>
      </c>
      <c r="W149" s="106">
        <v>18.670000000000002</v>
      </c>
      <c r="X149" s="107" t="s">
        <v>1906</v>
      </c>
      <c r="Y149" s="106">
        <v>18.670000000000002</v>
      </c>
      <c r="Z149" s="107" t="s">
        <v>1906</v>
      </c>
      <c r="AA149" s="106">
        <v>18.670000000000002</v>
      </c>
      <c r="AB149" s="107" t="s">
        <v>1906</v>
      </c>
      <c r="AC149" s="106">
        <v>18.670000000000002</v>
      </c>
      <c r="AD149" s="107" t="s">
        <v>1906</v>
      </c>
      <c r="AE149" s="106">
        <v>6.02</v>
      </c>
      <c r="AF149" s="107" t="s">
        <v>1906</v>
      </c>
      <c r="AG149" s="106">
        <v>0</v>
      </c>
      <c r="AH149" s="107" t="s">
        <v>1906</v>
      </c>
      <c r="AI149" s="106">
        <v>0</v>
      </c>
      <c r="AJ149" s="107" t="s">
        <v>1906</v>
      </c>
      <c r="AK149" s="106">
        <v>0</v>
      </c>
      <c r="AL149" s="107" t="s">
        <v>1906</v>
      </c>
      <c r="AM149" s="106">
        <v>3.99</v>
      </c>
      <c r="AN149" s="107" t="s">
        <v>1906</v>
      </c>
      <c r="AO149" s="106">
        <v>17.09</v>
      </c>
      <c r="AP149" s="107" t="s">
        <v>1906</v>
      </c>
      <c r="AQ149" s="106">
        <v>17.09</v>
      </c>
      <c r="AR149" s="106" t="s">
        <v>1906</v>
      </c>
      <c r="AS149" s="106">
        <v>17.09</v>
      </c>
      <c r="AT149" s="107" t="s">
        <v>1906</v>
      </c>
      <c r="AU149" s="106">
        <f t="shared" si="7"/>
        <v>135.96</v>
      </c>
      <c r="AV149" s="25">
        <v>0.111</v>
      </c>
      <c r="AW149" s="30" t="str">
        <f t="shared" si="8"/>
        <v>95-70</v>
      </c>
      <c r="AX149" s="30" t="s">
        <v>1907</v>
      </c>
      <c r="AY149" s="30">
        <v>0</v>
      </c>
      <c r="AZ149" s="30">
        <v>0</v>
      </c>
    </row>
    <row r="150" spans="1:52" ht="31.2" x14ac:dyDescent="0.3">
      <c r="A150" s="103">
        <v>140</v>
      </c>
      <c r="B150" s="30" t="s">
        <v>726</v>
      </c>
      <c r="C150" s="30" t="s">
        <v>1899</v>
      </c>
      <c r="D150" s="105" t="s">
        <v>1900</v>
      </c>
      <c r="E150" s="108" t="s">
        <v>1901</v>
      </c>
      <c r="F150" s="30" t="s">
        <v>1902</v>
      </c>
      <c r="G150" s="26" t="s">
        <v>145</v>
      </c>
      <c r="H150" s="24" t="s">
        <v>146</v>
      </c>
      <c r="I150" s="25">
        <v>1</v>
      </c>
      <c r="J150" s="24" t="s">
        <v>1903</v>
      </c>
      <c r="K150" s="24">
        <v>50</v>
      </c>
      <c r="L150" s="24">
        <v>5</v>
      </c>
      <c r="M150" s="24" t="str">
        <f t="shared" si="6"/>
        <v>95-70</v>
      </c>
      <c r="N150" s="24" t="s">
        <v>529</v>
      </c>
      <c r="O150" s="24" t="s">
        <v>529</v>
      </c>
      <c r="P150" s="24">
        <v>1</v>
      </c>
      <c r="Q150" s="102">
        <v>0</v>
      </c>
      <c r="R150" s="30" t="s">
        <v>1905</v>
      </c>
      <c r="S150" s="24">
        <v>0</v>
      </c>
      <c r="T150" s="24"/>
      <c r="U150" s="94">
        <v>214.84000000000003</v>
      </c>
      <c r="V150" s="94">
        <v>195.22</v>
      </c>
      <c r="W150" s="106">
        <v>26.66</v>
      </c>
      <c r="X150" s="107" t="s">
        <v>1906</v>
      </c>
      <c r="Y150" s="106">
        <v>26.66</v>
      </c>
      <c r="Z150" s="107" t="s">
        <v>1906</v>
      </c>
      <c r="AA150" s="106">
        <v>26.66</v>
      </c>
      <c r="AB150" s="107" t="s">
        <v>1906</v>
      </c>
      <c r="AC150" s="106">
        <v>26.66</v>
      </c>
      <c r="AD150" s="107" t="s">
        <v>1906</v>
      </c>
      <c r="AE150" s="106">
        <v>8.6</v>
      </c>
      <c r="AF150" s="107" t="s">
        <v>1906</v>
      </c>
      <c r="AG150" s="106">
        <v>0</v>
      </c>
      <c r="AH150" s="107" t="s">
        <v>1906</v>
      </c>
      <c r="AI150" s="106">
        <v>0</v>
      </c>
      <c r="AJ150" s="107" t="s">
        <v>1906</v>
      </c>
      <c r="AK150" s="106">
        <v>0</v>
      </c>
      <c r="AL150" s="107" t="s">
        <v>1906</v>
      </c>
      <c r="AM150" s="106">
        <v>5.53</v>
      </c>
      <c r="AN150" s="107" t="s">
        <v>1906</v>
      </c>
      <c r="AO150" s="106">
        <v>23.72</v>
      </c>
      <c r="AP150" s="107" t="s">
        <v>1906</v>
      </c>
      <c r="AQ150" s="106">
        <v>23.72</v>
      </c>
      <c r="AR150" s="106" t="s">
        <v>1906</v>
      </c>
      <c r="AS150" s="106">
        <v>23.72</v>
      </c>
      <c r="AT150" s="107" t="s">
        <v>1906</v>
      </c>
      <c r="AU150" s="106">
        <f t="shared" si="7"/>
        <v>191.93</v>
      </c>
      <c r="AV150" s="25">
        <v>0.10440000000000001</v>
      </c>
      <c r="AW150" s="30" t="str">
        <f t="shared" si="8"/>
        <v>95-70</v>
      </c>
      <c r="AX150" s="30" t="s">
        <v>1907</v>
      </c>
      <c r="AY150" s="30">
        <v>0</v>
      </c>
      <c r="AZ150" s="30">
        <v>0</v>
      </c>
    </row>
    <row r="151" spans="1:52" ht="31.2" x14ac:dyDescent="0.3">
      <c r="A151" s="103">
        <v>141</v>
      </c>
      <c r="B151" s="30" t="s">
        <v>727</v>
      </c>
      <c r="C151" s="30" t="s">
        <v>1899</v>
      </c>
      <c r="D151" s="105" t="s">
        <v>1900</v>
      </c>
      <c r="E151" s="108" t="s">
        <v>1901</v>
      </c>
      <c r="F151" s="30" t="s">
        <v>1902</v>
      </c>
      <c r="G151" s="26" t="s">
        <v>145</v>
      </c>
      <c r="H151" s="24" t="s">
        <v>146</v>
      </c>
      <c r="I151" s="25">
        <v>1</v>
      </c>
      <c r="J151" s="24" t="s">
        <v>1903</v>
      </c>
      <c r="K151" s="24">
        <v>40</v>
      </c>
      <c r="L151" s="24">
        <v>5</v>
      </c>
      <c r="M151" s="24" t="str">
        <f t="shared" si="6"/>
        <v>95-70</v>
      </c>
      <c r="N151" s="24" t="s">
        <v>529</v>
      </c>
      <c r="O151" s="24" t="s">
        <v>529</v>
      </c>
      <c r="P151" s="24">
        <v>1</v>
      </c>
      <c r="Q151" s="102">
        <v>0</v>
      </c>
      <c r="R151" s="30" t="s">
        <v>1905</v>
      </c>
      <c r="S151" s="24">
        <v>0</v>
      </c>
      <c r="T151" s="24"/>
      <c r="U151" s="94">
        <v>517.14999999999986</v>
      </c>
      <c r="V151" s="94">
        <v>498.83</v>
      </c>
      <c r="W151" s="106">
        <v>70.7</v>
      </c>
      <c r="X151" s="107" t="s">
        <v>1906</v>
      </c>
      <c r="Y151" s="106">
        <v>68.12</v>
      </c>
      <c r="Z151" s="107" t="s">
        <v>1906</v>
      </c>
      <c r="AA151" s="106">
        <v>71.010000000000005</v>
      </c>
      <c r="AB151" s="107" t="s">
        <v>1906</v>
      </c>
      <c r="AC151" s="106">
        <v>65.77</v>
      </c>
      <c r="AD151" s="107" t="s">
        <v>1906</v>
      </c>
      <c r="AE151" s="106">
        <v>22.32</v>
      </c>
      <c r="AF151" s="107" t="s">
        <v>1906</v>
      </c>
      <c r="AG151" s="106">
        <v>0</v>
      </c>
      <c r="AH151" s="107" t="s">
        <v>1906</v>
      </c>
      <c r="AI151" s="106">
        <v>0</v>
      </c>
      <c r="AJ151" s="107" t="s">
        <v>1906</v>
      </c>
      <c r="AK151" s="106">
        <v>0</v>
      </c>
      <c r="AL151" s="107" t="s">
        <v>1906</v>
      </c>
      <c r="AM151" s="106">
        <v>14.56</v>
      </c>
      <c r="AN151" s="107" t="s">
        <v>1906</v>
      </c>
      <c r="AO151" s="106">
        <v>62.38</v>
      </c>
      <c r="AP151" s="107" t="s">
        <v>1906</v>
      </c>
      <c r="AQ151" s="106">
        <v>62.730000000000004</v>
      </c>
      <c r="AR151" s="106" t="s">
        <v>1906</v>
      </c>
      <c r="AS151" s="106">
        <v>64.84</v>
      </c>
      <c r="AT151" s="107" t="s">
        <v>1906</v>
      </c>
      <c r="AU151" s="106">
        <f t="shared" si="7"/>
        <v>502.42999999999995</v>
      </c>
      <c r="AV151" s="25">
        <v>0.23050000000000001</v>
      </c>
      <c r="AW151" s="30" t="str">
        <f t="shared" si="8"/>
        <v>95-70</v>
      </c>
      <c r="AX151" s="30" t="s">
        <v>1907</v>
      </c>
      <c r="AY151" s="30">
        <v>0</v>
      </c>
      <c r="AZ151" s="30">
        <v>0</v>
      </c>
    </row>
    <row r="152" spans="1:52" ht="31.2" x14ac:dyDescent="0.3">
      <c r="A152" s="103">
        <v>142</v>
      </c>
      <c r="B152" s="30" t="s">
        <v>728</v>
      </c>
      <c r="C152" s="30" t="s">
        <v>1899</v>
      </c>
      <c r="D152" s="105" t="s">
        <v>1900</v>
      </c>
      <c r="E152" s="108" t="s">
        <v>1901</v>
      </c>
      <c r="F152" s="30" t="s">
        <v>1902</v>
      </c>
      <c r="G152" s="26" t="s">
        <v>145</v>
      </c>
      <c r="H152" s="24" t="s">
        <v>146</v>
      </c>
      <c r="I152" s="25">
        <v>0</v>
      </c>
      <c r="J152" s="24" t="s">
        <v>1903</v>
      </c>
      <c r="K152" s="24">
        <v>32</v>
      </c>
      <c r="L152" s="24">
        <v>5</v>
      </c>
      <c r="M152" s="24" t="str">
        <f t="shared" si="6"/>
        <v>95-70</v>
      </c>
      <c r="N152" s="24" t="s">
        <v>529</v>
      </c>
      <c r="O152" s="24" t="s">
        <v>529</v>
      </c>
      <c r="P152" s="24">
        <v>0</v>
      </c>
      <c r="Q152" s="102">
        <v>0</v>
      </c>
      <c r="R152" s="30" t="s">
        <v>1905</v>
      </c>
      <c r="S152" s="24">
        <v>0</v>
      </c>
      <c r="T152" s="24"/>
      <c r="U152" s="94">
        <v>141.07</v>
      </c>
      <c r="V152" s="94">
        <v>94.240000000000009</v>
      </c>
      <c r="W152" s="106">
        <v>12.87</v>
      </c>
      <c r="X152" s="107" t="s">
        <v>1906</v>
      </c>
      <c r="Y152" s="106">
        <v>12.87</v>
      </c>
      <c r="Z152" s="107" t="s">
        <v>1906</v>
      </c>
      <c r="AA152" s="106">
        <v>12.87</v>
      </c>
      <c r="AB152" s="107" t="s">
        <v>1906</v>
      </c>
      <c r="AC152" s="106">
        <v>12.87</v>
      </c>
      <c r="AD152" s="107" t="s">
        <v>1906</v>
      </c>
      <c r="AE152" s="106">
        <v>4.1500000000000004</v>
      </c>
      <c r="AF152" s="107" t="s">
        <v>1906</v>
      </c>
      <c r="AG152" s="106">
        <v>0</v>
      </c>
      <c r="AH152" s="107" t="s">
        <v>1906</v>
      </c>
      <c r="AI152" s="106">
        <v>0</v>
      </c>
      <c r="AJ152" s="107" t="s">
        <v>1906</v>
      </c>
      <c r="AK152" s="106">
        <v>0</v>
      </c>
      <c r="AL152" s="107" t="s">
        <v>1906</v>
      </c>
      <c r="AM152" s="106">
        <v>2.62</v>
      </c>
      <c r="AN152" s="107" t="s">
        <v>1906</v>
      </c>
      <c r="AO152" s="106">
        <v>11.23</v>
      </c>
      <c r="AP152" s="107" t="s">
        <v>1906</v>
      </c>
      <c r="AQ152" s="106">
        <v>11.23</v>
      </c>
      <c r="AR152" s="106" t="s">
        <v>1906</v>
      </c>
      <c r="AS152" s="106">
        <v>11.23</v>
      </c>
      <c r="AT152" s="107" t="s">
        <v>1906</v>
      </c>
      <c r="AU152" s="106">
        <f t="shared" si="7"/>
        <v>91.94</v>
      </c>
      <c r="AV152" s="25">
        <v>6.0199999999999997E-2</v>
      </c>
      <c r="AW152" s="30" t="str">
        <f t="shared" si="8"/>
        <v>95-70</v>
      </c>
      <c r="AX152" s="30" t="s">
        <v>1907</v>
      </c>
      <c r="AY152" s="30">
        <v>0</v>
      </c>
      <c r="AZ152" s="30">
        <v>0</v>
      </c>
    </row>
    <row r="153" spans="1:52" ht="31.2" x14ac:dyDescent="0.3">
      <c r="A153" s="103">
        <v>143</v>
      </c>
      <c r="B153" s="30" t="s">
        <v>729</v>
      </c>
      <c r="C153" s="30" t="s">
        <v>1899</v>
      </c>
      <c r="D153" s="105" t="s">
        <v>1900</v>
      </c>
      <c r="E153" s="108" t="s">
        <v>1901</v>
      </c>
      <c r="F153" s="30" t="s">
        <v>1902</v>
      </c>
      <c r="G153" s="26" t="s">
        <v>145</v>
      </c>
      <c r="H153" s="24" t="s">
        <v>146</v>
      </c>
      <c r="I153" s="25">
        <v>1</v>
      </c>
      <c r="J153" s="24" t="s">
        <v>1903</v>
      </c>
      <c r="K153" s="24">
        <v>32</v>
      </c>
      <c r="L153" s="24">
        <v>5</v>
      </c>
      <c r="M153" s="24" t="str">
        <f t="shared" si="6"/>
        <v>95-70</v>
      </c>
      <c r="N153" s="24" t="s">
        <v>529</v>
      </c>
      <c r="O153" s="24" t="s">
        <v>529</v>
      </c>
      <c r="P153" s="24">
        <v>1</v>
      </c>
      <c r="Q153" s="102">
        <v>0</v>
      </c>
      <c r="R153" s="30" t="s">
        <v>1905</v>
      </c>
      <c r="S153" s="24">
        <v>0</v>
      </c>
      <c r="T153" s="24"/>
      <c r="U153" s="94">
        <v>443.21000000000004</v>
      </c>
      <c r="V153" s="94">
        <v>410.28999999999991</v>
      </c>
      <c r="W153" s="106">
        <v>56.03</v>
      </c>
      <c r="X153" s="107" t="s">
        <v>1906</v>
      </c>
      <c r="Y153" s="106">
        <v>56.03</v>
      </c>
      <c r="Z153" s="107" t="s">
        <v>1906</v>
      </c>
      <c r="AA153" s="106">
        <v>56.03</v>
      </c>
      <c r="AB153" s="107" t="s">
        <v>1906</v>
      </c>
      <c r="AC153" s="106">
        <v>56.03</v>
      </c>
      <c r="AD153" s="107" t="s">
        <v>1906</v>
      </c>
      <c r="AE153" s="106">
        <v>18.079999999999998</v>
      </c>
      <c r="AF153" s="107" t="s">
        <v>1906</v>
      </c>
      <c r="AG153" s="106">
        <v>0</v>
      </c>
      <c r="AH153" s="107" t="s">
        <v>1906</v>
      </c>
      <c r="AI153" s="106">
        <v>0</v>
      </c>
      <c r="AJ153" s="107" t="s">
        <v>1906</v>
      </c>
      <c r="AK153" s="106">
        <v>0</v>
      </c>
      <c r="AL153" s="107" t="s">
        <v>1906</v>
      </c>
      <c r="AM153" s="106">
        <v>12.28</v>
      </c>
      <c r="AN153" s="107" t="s">
        <v>1906</v>
      </c>
      <c r="AO153" s="106">
        <v>52.61</v>
      </c>
      <c r="AP153" s="107" t="s">
        <v>1906</v>
      </c>
      <c r="AQ153" s="106">
        <v>52.61</v>
      </c>
      <c r="AR153" s="106" t="s">
        <v>1906</v>
      </c>
      <c r="AS153" s="106">
        <v>52.61</v>
      </c>
      <c r="AT153" s="107" t="s">
        <v>1906</v>
      </c>
      <c r="AU153" s="106">
        <f t="shared" si="7"/>
        <v>412.31</v>
      </c>
      <c r="AV153" s="25">
        <v>0.20039999999999999</v>
      </c>
      <c r="AW153" s="30" t="str">
        <f t="shared" si="8"/>
        <v>95-70</v>
      </c>
      <c r="AX153" s="30" t="s">
        <v>1907</v>
      </c>
      <c r="AY153" s="30">
        <v>0</v>
      </c>
      <c r="AZ153" s="30">
        <v>0</v>
      </c>
    </row>
    <row r="154" spans="1:52" ht="31.2" x14ac:dyDescent="0.3">
      <c r="A154" s="103">
        <v>144</v>
      </c>
      <c r="B154" s="30" t="s">
        <v>731</v>
      </c>
      <c r="C154" s="30" t="s">
        <v>1899</v>
      </c>
      <c r="D154" s="105" t="s">
        <v>1900</v>
      </c>
      <c r="E154" s="108" t="s">
        <v>1901</v>
      </c>
      <c r="F154" s="30" t="s">
        <v>1902</v>
      </c>
      <c r="G154" s="26" t="s">
        <v>145</v>
      </c>
      <c r="H154" s="24" t="s">
        <v>146</v>
      </c>
      <c r="I154" s="25">
        <v>1</v>
      </c>
      <c r="J154" s="24" t="s">
        <v>1903</v>
      </c>
      <c r="K154" s="24">
        <v>32</v>
      </c>
      <c r="L154" s="24">
        <v>5</v>
      </c>
      <c r="M154" s="24" t="str">
        <f t="shared" si="6"/>
        <v>95-70</v>
      </c>
      <c r="N154" s="24" t="s">
        <v>529</v>
      </c>
      <c r="O154" s="24" t="s">
        <v>529</v>
      </c>
      <c r="P154" s="24">
        <v>1</v>
      </c>
      <c r="Q154" s="102">
        <v>0</v>
      </c>
      <c r="R154" s="30" t="s">
        <v>1905</v>
      </c>
      <c r="S154" s="24">
        <v>0</v>
      </c>
      <c r="T154" s="24"/>
      <c r="U154" s="94">
        <v>434.46999999999997</v>
      </c>
      <c r="V154" s="94">
        <v>468.91999999999996</v>
      </c>
      <c r="W154" s="106">
        <v>64.319999999999993</v>
      </c>
      <c r="X154" s="107" t="s">
        <v>1906</v>
      </c>
      <c r="Y154" s="106">
        <v>64.319999999999993</v>
      </c>
      <c r="Z154" s="107" t="s">
        <v>1906</v>
      </c>
      <c r="AA154" s="106">
        <v>64.319999999999993</v>
      </c>
      <c r="AB154" s="107" t="s">
        <v>1906</v>
      </c>
      <c r="AC154" s="106">
        <v>64.319999999999993</v>
      </c>
      <c r="AD154" s="107" t="s">
        <v>1906</v>
      </c>
      <c r="AE154" s="106">
        <v>18.68</v>
      </c>
      <c r="AF154" s="107" t="s">
        <v>1906</v>
      </c>
      <c r="AG154" s="106">
        <v>0</v>
      </c>
      <c r="AH154" s="107" t="s">
        <v>1906</v>
      </c>
      <c r="AI154" s="106">
        <v>0</v>
      </c>
      <c r="AJ154" s="107" t="s">
        <v>1906</v>
      </c>
      <c r="AK154" s="106">
        <v>0</v>
      </c>
      <c r="AL154" s="107" t="s">
        <v>1906</v>
      </c>
      <c r="AM154" s="106">
        <v>15.13</v>
      </c>
      <c r="AN154" s="107" t="s">
        <v>1906</v>
      </c>
      <c r="AO154" s="106">
        <v>64.849999999999994</v>
      </c>
      <c r="AP154" s="107" t="s">
        <v>1906</v>
      </c>
      <c r="AQ154" s="106">
        <v>64.849999999999994</v>
      </c>
      <c r="AR154" s="106" t="s">
        <v>1906</v>
      </c>
      <c r="AS154" s="106">
        <v>64.849999999999994</v>
      </c>
      <c r="AT154" s="107" t="s">
        <v>1906</v>
      </c>
      <c r="AU154" s="106">
        <f t="shared" si="7"/>
        <v>485.64</v>
      </c>
      <c r="AV154" s="25">
        <v>0.21879999999999999</v>
      </c>
      <c r="AW154" s="30" t="str">
        <f t="shared" si="8"/>
        <v>95-70</v>
      </c>
      <c r="AX154" s="30" t="s">
        <v>1907</v>
      </c>
      <c r="AY154" s="30">
        <v>0</v>
      </c>
      <c r="AZ154" s="30">
        <v>0</v>
      </c>
    </row>
    <row r="155" spans="1:52" ht="31.2" x14ac:dyDescent="0.3">
      <c r="A155" s="103">
        <v>145</v>
      </c>
      <c r="B155" s="30" t="s">
        <v>732</v>
      </c>
      <c r="C155" s="30" t="s">
        <v>1899</v>
      </c>
      <c r="D155" s="105" t="s">
        <v>1900</v>
      </c>
      <c r="E155" s="108" t="s">
        <v>1901</v>
      </c>
      <c r="F155" s="30" t="s">
        <v>1902</v>
      </c>
      <c r="G155" s="26" t="s">
        <v>145</v>
      </c>
      <c r="H155" s="24" t="s">
        <v>146</v>
      </c>
      <c r="I155" s="25">
        <v>1</v>
      </c>
      <c r="J155" s="24" t="s">
        <v>1903</v>
      </c>
      <c r="K155" s="24">
        <v>32</v>
      </c>
      <c r="L155" s="24">
        <v>5</v>
      </c>
      <c r="M155" s="24" t="str">
        <f t="shared" si="6"/>
        <v>95-70</v>
      </c>
      <c r="N155" s="24" t="s">
        <v>529</v>
      </c>
      <c r="O155" s="24" t="s">
        <v>529</v>
      </c>
      <c r="P155" s="24">
        <v>1</v>
      </c>
      <c r="Q155" s="102">
        <v>0</v>
      </c>
      <c r="R155" s="30" t="s">
        <v>1905</v>
      </c>
      <c r="S155" s="24">
        <v>0</v>
      </c>
      <c r="T155" s="24"/>
      <c r="U155" s="94">
        <v>430.49</v>
      </c>
      <c r="V155" s="94">
        <v>532.19000000000005</v>
      </c>
      <c r="W155" s="106">
        <v>73</v>
      </c>
      <c r="X155" s="107" t="s">
        <v>1906</v>
      </c>
      <c r="Y155" s="106">
        <v>73</v>
      </c>
      <c r="Z155" s="107" t="s">
        <v>1906</v>
      </c>
      <c r="AA155" s="106">
        <v>73</v>
      </c>
      <c r="AB155" s="107" t="s">
        <v>1906</v>
      </c>
      <c r="AC155" s="106">
        <v>73</v>
      </c>
      <c r="AD155" s="107" t="s">
        <v>1906</v>
      </c>
      <c r="AE155" s="106">
        <v>21.189999999999998</v>
      </c>
      <c r="AF155" s="107" t="s">
        <v>1906</v>
      </c>
      <c r="AG155" s="106">
        <v>0</v>
      </c>
      <c r="AH155" s="107" t="s">
        <v>1906</v>
      </c>
      <c r="AI155" s="106">
        <v>0</v>
      </c>
      <c r="AJ155" s="107" t="s">
        <v>1906</v>
      </c>
      <c r="AK155" s="106">
        <v>0</v>
      </c>
      <c r="AL155" s="107" t="s">
        <v>1906</v>
      </c>
      <c r="AM155" s="106">
        <v>15.76</v>
      </c>
      <c r="AN155" s="107" t="s">
        <v>1906</v>
      </c>
      <c r="AO155" s="106">
        <v>67.55</v>
      </c>
      <c r="AP155" s="107" t="s">
        <v>1906</v>
      </c>
      <c r="AQ155" s="106">
        <v>67.55</v>
      </c>
      <c r="AR155" s="106" t="s">
        <v>1906</v>
      </c>
      <c r="AS155" s="106">
        <v>67.55</v>
      </c>
      <c r="AT155" s="107" t="s">
        <v>1906</v>
      </c>
      <c r="AU155" s="106">
        <f t="shared" si="7"/>
        <v>531.6</v>
      </c>
      <c r="AV155" s="25">
        <v>0.21679999999999999</v>
      </c>
      <c r="AW155" s="30" t="str">
        <f t="shared" si="8"/>
        <v>95-70</v>
      </c>
      <c r="AX155" s="30" t="s">
        <v>1907</v>
      </c>
      <c r="AY155" s="30">
        <v>0</v>
      </c>
      <c r="AZ155" s="30">
        <v>0</v>
      </c>
    </row>
    <row r="156" spans="1:52" ht="31.2" x14ac:dyDescent="0.3">
      <c r="A156" s="103">
        <v>146</v>
      </c>
      <c r="B156" s="30" t="s">
        <v>735</v>
      </c>
      <c r="C156" s="30" t="s">
        <v>1899</v>
      </c>
      <c r="D156" s="105" t="s">
        <v>1900</v>
      </c>
      <c r="E156" s="108" t="s">
        <v>1901</v>
      </c>
      <c r="F156" s="30" t="s">
        <v>1902</v>
      </c>
      <c r="G156" s="26" t="s">
        <v>145</v>
      </c>
      <c r="H156" s="24" t="s">
        <v>146</v>
      </c>
      <c r="I156" s="25">
        <v>1</v>
      </c>
      <c r="J156" s="24" t="s">
        <v>1903</v>
      </c>
      <c r="K156" s="24">
        <v>50</v>
      </c>
      <c r="L156" s="24">
        <v>5</v>
      </c>
      <c r="M156" s="24" t="str">
        <f t="shared" si="6"/>
        <v>95-70</v>
      </c>
      <c r="N156" s="24" t="s">
        <v>529</v>
      </c>
      <c r="O156" s="24" t="s">
        <v>529</v>
      </c>
      <c r="P156" s="24">
        <v>1</v>
      </c>
      <c r="Q156" s="102">
        <v>0</v>
      </c>
      <c r="R156" s="30" t="s">
        <v>1905</v>
      </c>
      <c r="S156" s="24">
        <v>0</v>
      </c>
      <c r="T156" s="24"/>
      <c r="U156" s="94">
        <v>901.93000000000006</v>
      </c>
      <c r="V156" s="94">
        <v>1100.2</v>
      </c>
      <c r="W156" s="106">
        <v>163.51</v>
      </c>
      <c r="X156" s="107" t="s">
        <v>1906</v>
      </c>
      <c r="Y156" s="106">
        <v>163.51</v>
      </c>
      <c r="Z156" s="107" t="s">
        <v>1906</v>
      </c>
      <c r="AA156" s="106">
        <v>163.51</v>
      </c>
      <c r="AB156" s="107" t="s">
        <v>1906</v>
      </c>
      <c r="AC156" s="106">
        <v>163.51</v>
      </c>
      <c r="AD156" s="107" t="s">
        <v>1906</v>
      </c>
      <c r="AE156" s="106">
        <v>47.47</v>
      </c>
      <c r="AF156" s="107" t="s">
        <v>1906</v>
      </c>
      <c r="AG156" s="106">
        <v>0</v>
      </c>
      <c r="AH156" s="107" t="s">
        <v>1906</v>
      </c>
      <c r="AI156" s="106">
        <v>0</v>
      </c>
      <c r="AJ156" s="107" t="s">
        <v>1906</v>
      </c>
      <c r="AK156" s="106">
        <v>0</v>
      </c>
      <c r="AL156" s="107" t="s">
        <v>1906</v>
      </c>
      <c r="AM156" s="106">
        <v>0</v>
      </c>
      <c r="AN156" s="107" t="s">
        <v>1906</v>
      </c>
      <c r="AO156" s="106">
        <v>144.72999999999999</v>
      </c>
      <c r="AP156" s="107" t="s">
        <v>1906</v>
      </c>
      <c r="AQ156" s="106">
        <v>144.72999999999999</v>
      </c>
      <c r="AR156" s="106" t="s">
        <v>1906</v>
      </c>
      <c r="AS156" s="106">
        <v>144.72999999999999</v>
      </c>
      <c r="AT156" s="107" t="s">
        <v>1906</v>
      </c>
      <c r="AU156" s="106">
        <f t="shared" si="7"/>
        <v>1135.7</v>
      </c>
      <c r="AV156" s="25">
        <v>0.38440000000000002</v>
      </c>
      <c r="AW156" s="30" t="str">
        <f t="shared" si="8"/>
        <v>95-70</v>
      </c>
      <c r="AX156" s="30" t="s">
        <v>1907</v>
      </c>
      <c r="AY156" s="30">
        <v>0</v>
      </c>
      <c r="AZ156" s="30">
        <v>0</v>
      </c>
    </row>
    <row r="157" spans="1:52" ht="31.2" x14ac:dyDescent="0.3">
      <c r="A157" s="103">
        <v>147</v>
      </c>
      <c r="B157" s="30" t="s">
        <v>736</v>
      </c>
      <c r="C157" s="30" t="s">
        <v>1899</v>
      </c>
      <c r="D157" s="105" t="s">
        <v>1900</v>
      </c>
      <c r="E157" s="108" t="s">
        <v>1901</v>
      </c>
      <c r="F157" s="30" t="s">
        <v>1902</v>
      </c>
      <c r="G157" s="26" t="s">
        <v>145</v>
      </c>
      <c r="H157" s="24" t="s">
        <v>146</v>
      </c>
      <c r="I157" s="25">
        <v>1</v>
      </c>
      <c r="J157" s="24" t="s">
        <v>1903</v>
      </c>
      <c r="K157" s="24">
        <v>50</v>
      </c>
      <c r="L157" s="24">
        <v>5</v>
      </c>
      <c r="M157" s="24" t="str">
        <f t="shared" si="6"/>
        <v>95-70</v>
      </c>
      <c r="N157" s="24" t="s">
        <v>529</v>
      </c>
      <c r="O157" s="24" t="s">
        <v>529</v>
      </c>
      <c r="P157" s="24">
        <v>1</v>
      </c>
      <c r="Q157" s="102">
        <v>0</v>
      </c>
      <c r="R157" s="30" t="s">
        <v>1905</v>
      </c>
      <c r="S157" s="24">
        <v>0</v>
      </c>
      <c r="T157" s="24"/>
      <c r="U157" s="94">
        <v>552.04</v>
      </c>
      <c r="V157" s="94">
        <v>518.58000000000004</v>
      </c>
      <c r="W157" s="106">
        <v>71.67</v>
      </c>
      <c r="X157" s="107" t="s">
        <v>1906</v>
      </c>
      <c r="Y157" s="106">
        <v>71.67</v>
      </c>
      <c r="Z157" s="107" t="s">
        <v>1906</v>
      </c>
      <c r="AA157" s="106">
        <v>71.67</v>
      </c>
      <c r="AB157" s="107" t="s">
        <v>1906</v>
      </c>
      <c r="AC157" s="106">
        <v>71.67</v>
      </c>
      <c r="AD157" s="107" t="s">
        <v>1906</v>
      </c>
      <c r="AE157" s="106">
        <v>20.810000000000002</v>
      </c>
      <c r="AF157" s="107" t="s">
        <v>1906</v>
      </c>
      <c r="AG157" s="106">
        <v>0</v>
      </c>
      <c r="AH157" s="107" t="s">
        <v>1906</v>
      </c>
      <c r="AI157" s="106">
        <v>0</v>
      </c>
      <c r="AJ157" s="107" t="s">
        <v>1906</v>
      </c>
      <c r="AK157" s="106">
        <v>0</v>
      </c>
      <c r="AL157" s="107" t="s">
        <v>1906</v>
      </c>
      <c r="AM157" s="106">
        <v>0</v>
      </c>
      <c r="AN157" s="107" t="s">
        <v>1906</v>
      </c>
      <c r="AO157" s="106">
        <v>68.599999999999994</v>
      </c>
      <c r="AP157" s="107" t="s">
        <v>1906</v>
      </c>
      <c r="AQ157" s="106">
        <v>68.599999999999994</v>
      </c>
      <c r="AR157" s="106" t="s">
        <v>1906</v>
      </c>
      <c r="AS157" s="106">
        <v>68.599999999999994</v>
      </c>
      <c r="AT157" s="107" t="s">
        <v>1906</v>
      </c>
      <c r="AU157" s="106">
        <f t="shared" si="7"/>
        <v>513.29000000000008</v>
      </c>
      <c r="AV157" s="25">
        <v>0.2298</v>
      </c>
      <c r="AW157" s="30" t="str">
        <f t="shared" si="8"/>
        <v>95-70</v>
      </c>
      <c r="AX157" s="30" t="s">
        <v>1907</v>
      </c>
      <c r="AY157" s="30">
        <v>0</v>
      </c>
      <c r="AZ157" s="30">
        <v>0</v>
      </c>
    </row>
    <row r="158" spans="1:52" ht="31.2" x14ac:dyDescent="0.3">
      <c r="A158" s="103">
        <v>148</v>
      </c>
      <c r="B158" s="30" t="s">
        <v>738</v>
      </c>
      <c r="C158" s="30" t="s">
        <v>1899</v>
      </c>
      <c r="D158" s="105" t="s">
        <v>1900</v>
      </c>
      <c r="E158" s="108" t="s">
        <v>1901</v>
      </c>
      <c r="F158" s="30" t="s">
        <v>1902</v>
      </c>
      <c r="G158" s="26" t="s">
        <v>145</v>
      </c>
      <c r="H158" s="24" t="s">
        <v>146</v>
      </c>
      <c r="I158" s="25">
        <v>1</v>
      </c>
      <c r="J158" s="24" t="s">
        <v>1903</v>
      </c>
      <c r="K158" s="24">
        <v>32</v>
      </c>
      <c r="L158" s="24">
        <v>5</v>
      </c>
      <c r="M158" s="24" t="str">
        <f t="shared" si="6"/>
        <v>95-70</v>
      </c>
      <c r="N158" s="24" t="s">
        <v>529</v>
      </c>
      <c r="O158" s="24" t="s">
        <v>529</v>
      </c>
      <c r="P158" s="24">
        <v>1</v>
      </c>
      <c r="Q158" s="102">
        <v>0</v>
      </c>
      <c r="R158" s="30" t="s">
        <v>1905</v>
      </c>
      <c r="S158" s="24">
        <v>0</v>
      </c>
      <c r="T158" s="24"/>
      <c r="U158" s="94">
        <v>356.34000000000003</v>
      </c>
      <c r="V158" s="94">
        <v>485.97999999999996</v>
      </c>
      <c r="W158" s="106">
        <v>78.069999999999993</v>
      </c>
      <c r="X158" s="107" t="s">
        <v>208</v>
      </c>
      <c r="Y158" s="106">
        <v>50.46</v>
      </c>
      <c r="Z158" s="107" t="s">
        <v>208</v>
      </c>
      <c r="AA158" s="106">
        <v>71.81</v>
      </c>
      <c r="AB158" s="107" t="s">
        <v>208</v>
      </c>
      <c r="AC158" s="106">
        <v>51.34</v>
      </c>
      <c r="AD158" s="107" t="s">
        <v>208</v>
      </c>
      <c r="AE158" s="106">
        <v>13.43</v>
      </c>
      <c r="AF158" s="107" t="s">
        <v>208</v>
      </c>
      <c r="AG158" s="106">
        <v>0</v>
      </c>
      <c r="AH158" s="107" t="s">
        <v>208</v>
      </c>
      <c r="AI158" s="106">
        <v>0</v>
      </c>
      <c r="AJ158" s="107" t="s">
        <v>208</v>
      </c>
      <c r="AK158" s="106">
        <v>0</v>
      </c>
      <c r="AL158" s="107" t="s">
        <v>208</v>
      </c>
      <c r="AM158" s="106">
        <v>0</v>
      </c>
      <c r="AN158" s="107" t="s">
        <v>208</v>
      </c>
      <c r="AO158" s="106">
        <v>27.42</v>
      </c>
      <c r="AP158" s="107" t="s">
        <v>208</v>
      </c>
      <c r="AQ158" s="106">
        <v>31.5</v>
      </c>
      <c r="AR158" s="106" t="s">
        <v>208</v>
      </c>
      <c r="AS158" s="106">
        <v>45.23</v>
      </c>
      <c r="AT158" s="107" t="s">
        <v>208</v>
      </c>
      <c r="AU158" s="106">
        <f t="shared" si="7"/>
        <v>369.26000000000005</v>
      </c>
      <c r="AV158" s="25">
        <v>0.14849999999999999</v>
      </c>
      <c r="AW158" s="30" t="str">
        <f t="shared" si="8"/>
        <v>95-70</v>
      </c>
      <c r="AX158" s="30" t="s">
        <v>1907</v>
      </c>
      <c r="AY158" s="30">
        <v>0</v>
      </c>
      <c r="AZ158" s="30">
        <v>0</v>
      </c>
    </row>
    <row r="159" spans="1:52" ht="31.2" x14ac:dyDescent="0.3">
      <c r="A159" s="103">
        <v>149</v>
      </c>
      <c r="B159" s="30" t="s">
        <v>740</v>
      </c>
      <c r="C159" s="30" t="s">
        <v>1899</v>
      </c>
      <c r="D159" s="105" t="s">
        <v>1900</v>
      </c>
      <c r="E159" s="108" t="s">
        <v>1901</v>
      </c>
      <c r="F159" s="30" t="s">
        <v>1902</v>
      </c>
      <c r="G159" s="26" t="s">
        <v>145</v>
      </c>
      <c r="H159" s="24" t="s">
        <v>146</v>
      </c>
      <c r="I159" s="25">
        <v>1</v>
      </c>
      <c r="J159" s="24" t="s">
        <v>1903</v>
      </c>
      <c r="K159" s="24">
        <v>50</v>
      </c>
      <c r="L159" s="24">
        <v>5</v>
      </c>
      <c r="M159" s="24" t="str">
        <f t="shared" si="6"/>
        <v>95-70</v>
      </c>
      <c r="N159" s="24" t="s">
        <v>529</v>
      </c>
      <c r="O159" s="24" t="s">
        <v>529</v>
      </c>
      <c r="P159" s="24">
        <v>1</v>
      </c>
      <c r="Q159" s="102">
        <v>0</v>
      </c>
      <c r="R159" s="30" t="s">
        <v>1905</v>
      </c>
      <c r="S159" s="24">
        <v>0</v>
      </c>
      <c r="T159" s="24"/>
      <c r="U159" s="94">
        <f>1256.35*0.2</f>
        <v>251.26999999999998</v>
      </c>
      <c r="V159" s="94">
        <f>1088.06*0.2</f>
        <v>217.61199999999999</v>
      </c>
      <c r="W159" s="106">
        <f>148.59*0.2</f>
        <v>29.718000000000004</v>
      </c>
      <c r="X159" s="107" t="s">
        <v>1906</v>
      </c>
      <c r="Y159" s="106">
        <f>148.59*0.2</f>
        <v>29.718000000000004</v>
      </c>
      <c r="Z159" s="107" t="s">
        <v>1906</v>
      </c>
      <c r="AA159" s="106">
        <f>148.59*0.2</f>
        <v>29.718000000000004</v>
      </c>
      <c r="AB159" s="107" t="s">
        <v>1906</v>
      </c>
      <c r="AC159" s="106">
        <f>148.59*0.2</f>
        <v>29.718000000000004</v>
      </c>
      <c r="AD159" s="107" t="s">
        <v>1906</v>
      </c>
      <c r="AE159" s="106">
        <f>47.93*0.2</f>
        <v>9.5860000000000003</v>
      </c>
      <c r="AF159" s="107" t="s">
        <v>1906</v>
      </c>
      <c r="AG159" s="106">
        <v>0</v>
      </c>
      <c r="AH159" s="107" t="s">
        <v>1906</v>
      </c>
      <c r="AI159" s="106">
        <v>0</v>
      </c>
      <c r="AJ159" s="107" t="s">
        <v>1906</v>
      </c>
      <c r="AK159" s="106">
        <v>0</v>
      </c>
      <c r="AL159" s="107" t="s">
        <v>1906</v>
      </c>
      <c r="AM159" s="106">
        <f>29.11*0.2</f>
        <v>5.8220000000000001</v>
      </c>
      <c r="AN159" s="107" t="s">
        <v>1906</v>
      </c>
      <c r="AO159" s="106">
        <f>145.5*0.2</f>
        <v>29.1</v>
      </c>
      <c r="AP159" s="107" t="s">
        <v>1906</v>
      </c>
      <c r="AQ159" s="106">
        <f>145.5*0.2</f>
        <v>29.1</v>
      </c>
      <c r="AR159" s="106" t="s">
        <v>1906</v>
      </c>
      <c r="AS159" s="106">
        <f>145.5*0.2</f>
        <v>29.1</v>
      </c>
      <c r="AT159" s="107" t="s">
        <v>1906</v>
      </c>
      <c r="AU159" s="106">
        <f t="shared" si="7"/>
        <v>221.58</v>
      </c>
      <c r="AV159" s="25">
        <v>0.5716</v>
      </c>
      <c r="AW159" s="30" t="str">
        <f t="shared" si="8"/>
        <v>95-70</v>
      </c>
      <c r="AX159" s="30" t="s">
        <v>1907</v>
      </c>
      <c r="AY159" s="30">
        <v>0</v>
      </c>
      <c r="AZ159" s="30">
        <v>0</v>
      </c>
    </row>
    <row r="160" spans="1:52" ht="31.2" x14ac:dyDescent="0.3">
      <c r="A160" s="103">
        <v>150</v>
      </c>
      <c r="B160" s="30" t="s">
        <v>741</v>
      </c>
      <c r="C160" s="30" t="s">
        <v>1899</v>
      </c>
      <c r="D160" s="105" t="s">
        <v>1900</v>
      </c>
      <c r="E160" s="108" t="s">
        <v>1901</v>
      </c>
      <c r="F160" s="30" t="s">
        <v>1902</v>
      </c>
      <c r="G160" s="26" t="s">
        <v>145</v>
      </c>
      <c r="H160" s="24" t="s">
        <v>146</v>
      </c>
      <c r="I160" s="25">
        <v>1</v>
      </c>
      <c r="J160" s="24" t="s">
        <v>1903</v>
      </c>
      <c r="K160" s="24">
        <v>32</v>
      </c>
      <c r="L160" s="24">
        <v>5</v>
      </c>
      <c r="M160" s="24" t="str">
        <f t="shared" si="6"/>
        <v>95-70</v>
      </c>
      <c r="N160" s="24" t="s">
        <v>529</v>
      </c>
      <c r="O160" s="24" t="s">
        <v>529</v>
      </c>
      <c r="P160" s="24">
        <v>1</v>
      </c>
      <c r="Q160" s="102">
        <v>0</v>
      </c>
      <c r="R160" s="30" t="s">
        <v>1905</v>
      </c>
      <c r="S160" s="24">
        <v>0</v>
      </c>
      <c r="T160" s="24"/>
      <c r="U160" s="94">
        <f>1256.35*0.2</f>
        <v>251.26999999999998</v>
      </c>
      <c r="V160" s="94">
        <f>1088.06*0.2</f>
        <v>217.61199999999999</v>
      </c>
      <c r="W160" s="106">
        <f>148.59*0.2</f>
        <v>29.718000000000004</v>
      </c>
      <c r="X160" s="107" t="s">
        <v>1906</v>
      </c>
      <c r="Y160" s="106">
        <f>148.59*0.2</f>
        <v>29.718000000000004</v>
      </c>
      <c r="Z160" s="107" t="s">
        <v>1906</v>
      </c>
      <c r="AA160" s="106">
        <f>148.59*0.2</f>
        <v>29.718000000000004</v>
      </c>
      <c r="AB160" s="107" t="s">
        <v>1906</v>
      </c>
      <c r="AC160" s="106">
        <f>148.59*0.2</f>
        <v>29.718000000000004</v>
      </c>
      <c r="AD160" s="107" t="s">
        <v>1906</v>
      </c>
      <c r="AE160" s="106">
        <f>47.93*0.2</f>
        <v>9.5860000000000003</v>
      </c>
      <c r="AF160" s="107" t="s">
        <v>1906</v>
      </c>
      <c r="AG160" s="106">
        <v>0</v>
      </c>
      <c r="AH160" s="107" t="s">
        <v>1906</v>
      </c>
      <c r="AI160" s="106">
        <v>0</v>
      </c>
      <c r="AJ160" s="107" t="s">
        <v>1906</v>
      </c>
      <c r="AK160" s="106">
        <v>0</v>
      </c>
      <c r="AL160" s="107" t="s">
        <v>1906</v>
      </c>
      <c r="AM160" s="106">
        <f>29.11*0.2</f>
        <v>5.8220000000000001</v>
      </c>
      <c r="AN160" s="107" t="s">
        <v>1906</v>
      </c>
      <c r="AO160" s="106">
        <f>145.5*0.2</f>
        <v>29.1</v>
      </c>
      <c r="AP160" s="107" t="s">
        <v>1906</v>
      </c>
      <c r="AQ160" s="106">
        <f>145.5*0.2</f>
        <v>29.1</v>
      </c>
      <c r="AR160" s="106" t="s">
        <v>1906</v>
      </c>
      <c r="AS160" s="106">
        <f>145.5*0.2</f>
        <v>29.1</v>
      </c>
      <c r="AT160" s="107" t="s">
        <v>1906</v>
      </c>
      <c r="AU160" s="106">
        <f t="shared" si="7"/>
        <v>221.58</v>
      </c>
      <c r="AV160" s="25">
        <v>0.10730000000000001</v>
      </c>
      <c r="AW160" s="30" t="str">
        <f t="shared" si="8"/>
        <v>95-70</v>
      </c>
      <c r="AX160" s="30" t="s">
        <v>1907</v>
      </c>
      <c r="AY160" s="30">
        <v>0</v>
      </c>
      <c r="AZ160" s="30">
        <v>0</v>
      </c>
    </row>
    <row r="161" spans="1:52" ht="31.2" x14ac:dyDescent="0.3">
      <c r="A161" s="103">
        <v>151</v>
      </c>
      <c r="B161" s="30" t="s">
        <v>742</v>
      </c>
      <c r="C161" s="30" t="s">
        <v>1899</v>
      </c>
      <c r="D161" s="105" t="s">
        <v>1900</v>
      </c>
      <c r="E161" s="108" t="s">
        <v>1901</v>
      </c>
      <c r="F161" s="30" t="s">
        <v>1902</v>
      </c>
      <c r="G161" s="26" t="s">
        <v>145</v>
      </c>
      <c r="H161" s="24" t="s">
        <v>146</v>
      </c>
      <c r="I161" s="25">
        <v>1</v>
      </c>
      <c r="J161" s="24" t="s">
        <v>1903</v>
      </c>
      <c r="K161" s="24">
        <v>32</v>
      </c>
      <c r="L161" s="24">
        <v>5</v>
      </c>
      <c r="M161" s="24" t="str">
        <f t="shared" si="6"/>
        <v>95-70</v>
      </c>
      <c r="N161" s="24" t="s">
        <v>529</v>
      </c>
      <c r="O161" s="24" t="s">
        <v>529</v>
      </c>
      <c r="P161" s="24">
        <v>1</v>
      </c>
      <c r="Q161" s="102">
        <v>0</v>
      </c>
      <c r="R161" s="30" t="s">
        <v>1905</v>
      </c>
      <c r="S161" s="24">
        <v>0</v>
      </c>
      <c r="T161" s="24"/>
      <c r="U161" s="94">
        <f>1256.35*0.11</f>
        <v>138.1985</v>
      </c>
      <c r="V161" s="94">
        <f>1088.06*0.11</f>
        <v>119.6866</v>
      </c>
      <c r="W161" s="106">
        <f>148.59*0.11</f>
        <v>16.344899999999999</v>
      </c>
      <c r="X161" s="107" t="s">
        <v>1906</v>
      </c>
      <c r="Y161" s="106">
        <f>148.59*0.11</f>
        <v>16.344899999999999</v>
      </c>
      <c r="Z161" s="107" t="s">
        <v>1906</v>
      </c>
      <c r="AA161" s="106">
        <f>148.59*0.11</f>
        <v>16.344899999999999</v>
      </c>
      <c r="AB161" s="107" t="s">
        <v>1906</v>
      </c>
      <c r="AC161" s="106">
        <f>148.59*0.11</f>
        <v>16.344899999999999</v>
      </c>
      <c r="AD161" s="107" t="s">
        <v>1906</v>
      </c>
      <c r="AE161" s="106">
        <f>47.93*0.11</f>
        <v>5.2723000000000004</v>
      </c>
      <c r="AF161" s="107" t="s">
        <v>1906</v>
      </c>
      <c r="AG161" s="106">
        <v>0</v>
      </c>
      <c r="AH161" s="107" t="s">
        <v>1906</v>
      </c>
      <c r="AI161" s="106">
        <v>0</v>
      </c>
      <c r="AJ161" s="107" t="s">
        <v>1906</v>
      </c>
      <c r="AK161" s="106">
        <v>0</v>
      </c>
      <c r="AL161" s="107" t="s">
        <v>1906</v>
      </c>
      <c r="AM161" s="106">
        <f>29.11*0.11</f>
        <v>3.2021000000000002</v>
      </c>
      <c r="AN161" s="107" t="s">
        <v>1906</v>
      </c>
      <c r="AO161" s="106">
        <f>145.5*0.11</f>
        <v>16.004999999999999</v>
      </c>
      <c r="AP161" s="107" t="s">
        <v>1906</v>
      </c>
      <c r="AQ161" s="106">
        <f>145.5*0.11</f>
        <v>16.004999999999999</v>
      </c>
      <c r="AR161" s="106" t="s">
        <v>1906</v>
      </c>
      <c r="AS161" s="106">
        <f>145.5*0.11</f>
        <v>16.004999999999999</v>
      </c>
      <c r="AT161" s="107" t="s">
        <v>1906</v>
      </c>
      <c r="AU161" s="106">
        <f t="shared" si="7"/>
        <v>121.86899999999999</v>
      </c>
      <c r="AV161" s="25">
        <v>7.3300000000000004E-2</v>
      </c>
      <c r="AW161" s="30" t="str">
        <f t="shared" si="8"/>
        <v>95-70</v>
      </c>
      <c r="AX161" s="30" t="s">
        <v>1907</v>
      </c>
      <c r="AY161" s="30">
        <v>0</v>
      </c>
      <c r="AZ161" s="30">
        <v>0</v>
      </c>
    </row>
    <row r="162" spans="1:52" ht="31.2" x14ac:dyDescent="0.3">
      <c r="A162" s="103">
        <v>152</v>
      </c>
      <c r="B162" s="30" t="s">
        <v>743</v>
      </c>
      <c r="C162" s="30" t="s">
        <v>1899</v>
      </c>
      <c r="D162" s="105" t="s">
        <v>1900</v>
      </c>
      <c r="E162" s="108" t="s">
        <v>1901</v>
      </c>
      <c r="F162" s="30" t="s">
        <v>1902</v>
      </c>
      <c r="G162" s="26" t="s">
        <v>145</v>
      </c>
      <c r="H162" s="24" t="s">
        <v>146</v>
      </c>
      <c r="I162" s="25">
        <v>1</v>
      </c>
      <c r="J162" s="24" t="s">
        <v>1903</v>
      </c>
      <c r="K162" s="24">
        <v>32</v>
      </c>
      <c r="L162" s="24">
        <v>5</v>
      </c>
      <c r="M162" s="24" t="str">
        <f t="shared" si="6"/>
        <v>95-70</v>
      </c>
      <c r="N162" s="24" t="s">
        <v>529</v>
      </c>
      <c r="O162" s="24" t="s">
        <v>529</v>
      </c>
      <c r="P162" s="24">
        <v>1</v>
      </c>
      <c r="Q162" s="102">
        <v>0</v>
      </c>
      <c r="R162" s="30" t="s">
        <v>1905</v>
      </c>
      <c r="S162" s="24">
        <v>0</v>
      </c>
      <c r="T162" s="24"/>
      <c r="U162" s="94">
        <f>1256.35*0.2</f>
        <v>251.26999999999998</v>
      </c>
      <c r="V162" s="94">
        <f>1088.06*0.2</f>
        <v>217.61199999999999</v>
      </c>
      <c r="W162" s="106">
        <f>148.59*0.2</f>
        <v>29.718000000000004</v>
      </c>
      <c r="X162" s="107" t="s">
        <v>1906</v>
      </c>
      <c r="Y162" s="106">
        <f>148.59*0.2</f>
        <v>29.718000000000004</v>
      </c>
      <c r="Z162" s="107" t="s">
        <v>1906</v>
      </c>
      <c r="AA162" s="106">
        <f>148.59*0.2</f>
        <v>29.718000000000004</v>
      </c>
      <c r="AB162" s="107" t="s">
        <v>1906</v>
      </c>
      <c r="AC162" s="106">
        <f>148.59*0.2</f>
        <v>29.718000000000004</v>
      </c>
      <c r="AD162" s="107" t="s">
        <v>1906</v>
      </c>
      <c r="AE162" s="106">
        <f>47.93*0.2</f>
        <v>9.5860000000000003</v>
      </c>
      <c r="AF162" s="107" t="s">
        <v>1906</v>
      </c>
      <c r="AG162" s="106">
        <v>0</v>
      </c>
      <c r="AH162" s="107" t="s">
        <v>1906</v>
      </c>
      <c r="AI162" s="106">
        <v>0</v>
      </c>
      <c r="AJ162" s="107" t="s">
        <v>1906</v>
      </c>
      <c r="AK162" s="106">
        <v>0</v>
      </c>
      <c r="AL162" s="107" t="s">
        <v>1906</v>
      </c>
      <c r="AM162" s="106">
        <f>29.11*0.2</f>
        <v>5.8220000000000001</v>
      </c>
      <c r="AN162" s="107" t="s">
        <v>1906</v>
      </c>
      <c r="AO162" s="106">
        <f>145.5*0.2</f>
        <v>29.1</v>
      </c>
      <c r="AP162" s="107" t="s">
        <v>1906</v>
      </c>
      <c r="AQ162" s="106">
        <f>145.5*0.2</f>
        <v>29.1</v>
      </c>
      <c r="AR162" s="106" t="s">
        <v>1906</v>
      </c>
      <c r="AS162" s="106">
        <f>145.5*0.2</f>
        <v>29.1</v>
      </c>
      <c r="AT162" s="107" t="s">
        <v>1906</v>
      </c>
      <c r="AU162" s="106">
        <f t="shared" si="7"/>
        <v>221.58</v>
      </c>
      <c r="AV162" s="25">
        <v>0.11360000000000001</v>
      </c>
      <c r="AW162" s="30" t="str">
        <f t="shared" si="8"/>
        <v>95-70</v>
      </c>
      <c r="AX162" s="30" t="s">
        <v>1907</v>
      </c>
      <c r="AY162" s="30">
        <v>0</v>
      </c>
      <c r="AZ162" s="30">
        <v>0</v>
      </c>
    </row>
    <row r="163" spans="1:52" ht="31.2" x14ac:dyDescent="0.3">
      <c r="A163" s="103">
        <v>153</v>
      </c>
      <c r="B163" s="30" t="s">
        <v>744</v>
      </c>
      <c r="C163" s="30" t="s">
        <v>1899</v>
      </c>
      <c r="D163" s="105" t="s">
        <v>1900</v>
      </c>
      <c r="E163" s="108" t="s">
        <v>1901</v>
      </c>
      <c r="F163" s="30" t="s">
        <v>1902</v>
      </c>
      <c r="G163" s="26" t="s">
        <v>145</v>
      </c>
      <c r="H163" s="24" t="s">
        <v>146</v>
      </c>
      <c r="I163" s="25">
        <v>1</v>
      </c>
      <c r="J163" s="24" t="s">
        <v>1903</v>
      </c>
      <c r="K163" s="24">
        <v>32</v>
      </c>
      <c r="L163" s="24">
        <v>5</v>
      </c>
      <c r="M163" s="24" t="str">
        <f t="shared" si="6"/>
        <v>95-70</v>
      </c>
      <c r="N163" s="24" t="s">
        <v>529</v>
      </c>
      <c r="O163" s="24" t="s">
        <v>529</v>
      </c>
      <c r="P163" s="24">
        <v>1</v>
      </c>
      <c r="Q163" s="102">
        <v>0</v>
      </c>
      <c r="R163" s="30" t="s">
        <v>1905</v>
      </c>
      <c r="S163" s="24">
        <v>0</v>
      </c>
      <c r="T163" s="24"/>
      <c r="U163" s="94">
        <f>1256.35*0.27</f>
        <v>339.21449999999999</v>
      </c>
      <c r="V163" s="94">
        <f>1088.06*0.27</f>
        <v>293.77620000000002</v>
      </c>
      <c r="W163" s="106">
        <f>148.59*0.27</f>
        <v>40.119300000000003</v>
      </c>
      <c r="X163" s="107" t="s">
        <v>1906</v>
      </c>
      <c r="Y163" s="106">
        <f>148.59*0.27</f>
        <v>40.119300000000003</v>
      </c>
      <c r="Z163" s="107" t="s">
        <v>1906</v>
      </c>
      <c r="AA163" s="106">
        <f>148.59*0.27</f>
        <v>40.119300000000003</v>
      </c>
      <c r="AB163" s="107" t="s">
        <v>1906</v>
      </c>
      <c r="AC163" s="106">
        <f>148.59*0.27</f>
        <v>40.119300000000003</v>
      </c>
      <c r="AD163" s="107" t="s">
        <v>1906</v>
      </c>
      <c r="AE163" s="106">
        <f>47.93*0.27</f>
        <v>12.9411</v>
      </c>
      <c r="AF163" s="107" t="s">
        <v>1906</v>
      </c>
      <c r="AG163" s="106">
        <v>0</v>
      </c>
      <c r="AH163" s="107" t="s">
        <v>1906</v>
      </c>
      <c r="AI163" s="106">
        <v>0</v>
      </c>
      <c r="AJ163" s="107" t="s">
        <v>1906</v>
      </c>
      <c r="AK163" s="106">
        <v>0</v>
      </c>
      <c r="AL163" s="107" t="s">
        <v>1906</v>
      </c>
      <c r="AM163" s="106">
        <f>29.11*0.27</f>
        <v>7.8597000000000001</v>
      </c>
      <c r="AN163" s="107" t="s">
        <v>1906</v>
      </c>
      <c r="AO163" s="106">
        <f>145.5*0.27</f>
        <v>39.285000000000004</v>
      </c>
      <c r="AP163" s="107" t="s">
        <v>1906</v>
      </c>
      <c r="AQ163" s="106">
        <f>145.5*0.27</f>
        <v>39.285000000000004</v>
      </c>
      <c r="AR163" s="106" t="s">
        <v>1906</v>
      </c>
      <c r="AS163" s="106">
        <f>145.5*0.27</f>
        <v>39.285000000000004</v>
      </c>
      <c r="AT163" s="107" t="s">
        <v>1906</v>
      </c>
      <c r="AU163" s="106">
        <f t="shared" si="7"/>
        <v>299.13300000000004</v>
      </c>
      <c r="AV163" s="25">
        <v>0.15670000000000001</v>
      </c>
      <c r="AW163" s="30" t="str">
        <f t="shared" si="8"/>
        <v>95-70</v>
      </c>
      <c r="AX163" s="30" t="s">
        <v>1907</v>
      </c>
      <c r="AY163" s="30">
        <v>0</v>
      </c>
      <c r="AZ163" s="30">
        <v>0</v>
      </c>
    </row>
    <row r="164" spans="1:52" ht="31.2" x14ac:dyDescent="0.3">
      <c r="A164" s="103">
        <v>154</v>
      </c>
      <c r="B164" s="30" t="s">
        <v>745</v>
      </c>
      <c r="C164" s="30" t="s">
        <v>1899</v>
      </c>
      <c r="D164" s="105" t="s">
        <v>1900</v>
      </c>
      <c r="E164" s="108" t="s">
        <v>1901</v>
      </c>
      <c r="F164" s="30" t="s">
        <v>1902</v>
      </c>
      <c r="G164" s="26" t="s">
        <v>145</v>
      </c>
      <c r="H164" s="24" t="s">
        <v>146</v>
      </c>
      <c r="I164" s="25">
        <v>0</v>
      </c>
      <c r="J164" s="24" t="s">
        <v>1903</v>
      </c>
      <c r="K164" s="24">
        <v>32</v>
      </c>
      <c r="L164" s="24">
        <v>5</v>
      </c>
      <c r="M164" s="24" t="str">
        <f t="shared" si="6"/>
        <v>95-70</v>
      </c>
      <c r="N164" s="24" t="s">
        <v>529</v>
      </c>
      <c r="O164" s="24" t="s">
        <v>529</v>
      </c>
      <c r="P164" s="24">
        <v>0</v>
      </c>
      <c r="Q164" s="102">
        <v>0</v>
      </c>
      <c r="R164" s="30" t="s">
        <v>1905</v>
      </c>
      <c r="S164" s="24">
        <v>0</v>
      </c>
      <c r="T164" s="24"/>
      <c r="U164" s="94">
        <f>1256.35*0.02</f>
        <v>25.126999999999999</v>
      </c>
      <c r="V164" s="94">
        <f>1088.06*0.02</f>
        <v>21.761199999999999</v>
      </c>
      <c r="W164" s="106">
        <f>148.59*0.02</f>
        <v>2.9718</v>
      </c>
      <c r="X164" s="107" t="s">
        <v>1906</v>
      </c>
      <c r="Y164" s="106">
        <f>148.59*0.02</f>
        <v>2.9718</v>
      </c>
      <c r="Z164" s="107" t="s">
        <v>1906</v>
      </c>
      <c r="AA164" s="106">
        <f>148.59*0.02</f>
        <v>2.9718</v>
      </c>
      <c r="AB164" s="107" t="s">
        <v>1906</v>
      </c>
      <c r="AC164" s="106">
        <f>148.59*0.02</f>
        <v>2.9718</v>
      </c>
      <c r="AD164" s="107" t="s">
        <v>1906</v>
      </c>
      <c r="AE164" s="106">
        <f>47.93*0.02</f>
        <v>0.95860000000000001</v>
      </c>
      <c r="AF164" s="107" t="s">
        <v>1906</v>
      </c>
      <c r="AG164" s="106">
        <v>0</v>
      </c>
      <c r="AH164" s="107" t="s">
        <v>1906</v>
      </c>
      <c r="AI164" s="106">
        <v>0</v>
      </c>
      <c r="AJ164" s="107" t="s">
        <v>1906</v>
      </c>
      <c r="AK164" s="106">
        <v>0</v>
      </c>
      <c r="AL164" s="107" t="s">
        <v>1906</v>
      </c>
      <c r="AM164" s="106">
        <f>29.11*0.02</f>
        <v>0.58220000000000005</v>
      </c>
      <c r="AN164" s="107" t="s">
        <v>1906</v>
      </c>
      <c r="AO164" s="106">
        <f>145.5*0.02</f>
        <v>2.91</v>
      </c>
      <c r="AP164" s="107" t="s">
        <v>1906</v>
      </c>
      <c r="AQ164" s="106">
        <f>145.5*0.02</f>
        <v>2.91</v>
      </c>
      <c r="AR164" s="106" t="s">
        <v>1906</v>
      </c>
      <c r="AS164" s="106">
        <f>145.5*0.02</f>
        <v>2.91</v>
      </c>
      <c r="AT164" s="107" t="s">
        <v>1906</v>
      </c>
      <c r="AU164" s="106">
        <f t="shared" si="7"/>
        <v>22.158000000000001</v>
      </c>
      <c r="AV164" s="25">
        <v>1E-3</v>
      </c>
      <c r="AW164" s="30" t="str">
        <f t="shared" si="8"/>
        <v>95-70</v>
      </c>
      <c r="AX164" s="30" t="s">
        <v>1907</v>
      </c>
      <c r="AY164" s="30">
        <v>0</v>
      </c>
      <c r="AZ164" s="30">
        <v>0</v>
      </c>
    </row>
    <row r="165" spans="1:52" ht="31.2" x14ac:dyDescent="0.3">
      <c r="A165" s="103">
        <v>155</v>
      </c>
      <c r="B165" s="30" t="s">
        <v>747</v>
      </c>
      <c r="C165" s="30" t="s">
        <v>1899</v>
      </c>
      <c r="D165" s="105" t="s">
        <v>1900</v>
      </c>
      <c r="E165" s="108" t="s">
        <v>1901</v>
      </c>
      <c r="F165" s="30" t="s">
        <v>1902</v>
      </c>
      <c r="G165" s="26" t="s">
        <v>145</v>
      </c>
      <c r="H165" s="24" t="s">
        <v>146</v>
      </c>
      <c r="I165" s="25">
        <v>1</v>
      </c>
      <c r="J165" s="24" t="s">
        <v>1903</v>
      </c>
      <c r="K165" s="24">
        <v>65</v>
      </c>
      <c r="L165" s="24">
        <v>5</v>
      </c>
      <c r="M165" s="24" t="str">
        <f t="shared" si="6"/>
        <v>95-70</v>
      </c>
      <c r="N165" s="24" t="s">
        <v>529</v>
      </c>
      <c r="O165" s="24" t="s">
        <v>529</v>
      </c>
      <c r="P165" s="24">
        <v>1</v>
      </c>
      <c r="Q165" s="102">
        <v>0</v>
      </c>
      <c r="R165" s="30" t="s">
        <v>1905</v>
      </c>
      <c r="S165" s="24">
        <v>0</v>
      </c>
      <c r="T165" s="24"/>
      <c r="U165" s="94">
        <v>1336.8</v>
      </c>
      <c r="V165" s="94">
        <v>1853.82</v>
      </c>
      <c r="W165" s="106">
        <v>255.57999999999998</v>
      </c>
      <c r="X165" s="107" t="s">
        <v>1906</v>
      </c>
      <c r="Y165" s="106">
        <v>255.57999999999998</v>
      </c>
      <c r="Z165" s="107" t="s">
        <v>1906</v>
      </c>
      <c r="AA165" s="106">
        <v>255.57999999999998</v>
      </c>
      <c r="AB165" s="107" t="s">
        <v>1906</v>
      </c>
      <c r="AC165" s="106">
        <v>255.5</v>
      </c>
      <c r="AD165" s="107" t="s">
        <v>1906</v>
      </c>
      <c r="AE165" s="106">
        <v>74.100000000000009</v>
      </c>
      <c r="AF165" s="107" t="s">
        <v>1906</v>
      </c>
      <c r="AG165" s="106">
        <v>0</v>
      </c>
      <c r="AH165" s="107" t="s">
        <v>1906</v>
      </c>
      <c r="AI165" s="106">
        <v>0</v>
      </c>
      <c r="AJ165" s="107" t="s">
        <v>1906</v>
      </c>
      <c r="AK165" s="106">
        <v>0</v>
      </c>
      <c r="AL165" s="107" t="s">
        <v>1906</v>
      </c>
      <c r="AM165" s="106">
        <v>58.5</v>
      </c>
      <c r="AN165" s="107" t="s">
        <v>1906</v>
      </c>
      <c r="AO165" s="106">
        <v>250.73</v>
      </c>
      <c r="AP165" s="107" t="s">
        <v>1906</v>
      </c>
      <c r="AQ165" s="106">
        <v>250.73</v>
      </c>
      <c r="AR165" s="106" t="s">
        <v>1906</v>
      </c>
      <c r="AS165" s="106">
        <v>250.73</v>
      </c>
      <c r="AT165" s="107" t="s">
        <v>1906</v>
      </c>
      <c r="AU165" s="106">
        <f t="shared" si="7"/>
        <v>1907.03</v>
      </c>
      <c r="AV165" s="25">
        <v>0.81179999999999997</v>
      </c>
      <c r="AW165" s="30" t="str">
        <f t="shared" si="8"/>
        <v>95-70</v>
      </c>
      <c r="AX165" s="30" t="s">
        <v>1907</v>
      </c>
      <c r="AY165" s="30">
        <v>0</v>
      </c>
      <c r="AZ165" s="30">
        <v>0</v>
      </c>
    </row>
    <row r="166" spans="1:52" ht="31.2" x14ac:dyDescent="0.3">
      <c r="A166" s="103">
        <v>156</v>
      </c>
      <c r="B166" s="30" t="s">
        <v>748</v>
      </c>
      <c r="C166" s="30" t="s">
        <v>1899</v>
      </c>
      <c r="D166" s="105" t="s">
        <v>1900</v>
      </c>
      <c r="E166" s="108" t="s">
        <v>1901</v>
      </c>
      <c r="F166" s="30" t="s">
        <v>1902</v>
      </c>
      <c r="G166" s="26" t="s">
        <v>145</v>
      </c>
      <c r="H166" s="24" t="s">
        <v>146</v>
      </c>
      <c r="I166" s="25">
        <v>2</v>
      </c>
      <c r="J166" s="24" t="s">
        <v>1903</v>
      </c>
      <c r="K166" s="24">
        <v>32.32</v>
      </c>
      <c r="L166" s="24">
        <v>5</v>
      </c>
      <c r="M166" s="24" t="str">
        <f t="shared" si="6"/>
        <v>95-70</v>
      </c>
      <c r="N166" s="24" t="s">
        <v>529</v>
      </c>
      <c r="O166" s="24" t="s">
        <v>529</v>
      </c>
      <c r="P166" s="24">
        <v>1</v>
      </c>
      <c r="Q166" s="102">
        <v>0</v>
      </c>
      <c r="R166" s="30" t="s">
        <v>1905</v>
      </c>
      <c r="S166" s="24">
        <v>0</v>
      </c>
      <c r="T166" s="24"/>
      <c r="U166" s="94">
        <v>620.95000000000005</v>
      </c>
      <c r="V166" s="94">
        <v>404.25999999999993</v>
      </c>
      <c r="W166" s="106">
        <v>56.51</v>
      </c>
      <c r="X166" s="107" t="s">
        <v>1906</v>
      </c>
      <c r="Y166" s="106">
        <v>55.849999999999994</v>
      </c>
      <c r="Z166" s="107" t="s">
        <v>1906</v>
      </c>
      <c r="AA166" s="106">
        <v>56.44</v>
      </c>
      <c r="AB166" s="107" t="s">
        <v>1906</v>
      </c>
      <c r="AC166" s="106">
        <v>57.269999999999996</v>
      </c>
      <c r="AD166" s="107" t="s">
        <v>1906</v>
      </c>
      <c r="AE166" s="106">
        <v>17.45</v>
      </c>
      <c r="AF166" s="107" t="s">
        <v>1906</v>
      </c>
      <c r="AG166" s="106">
        <v>0</v>
      </c>
      <c r="AH166" s="107" t="s">
        <v>1906</v>
      </c>
      <c r="AI166" s="106">
        <v>0</v>
      </c>
      <c r="AJ166" s="107" t="s">
        <v>1906</v>
      </c>
      <c r="AK166" s="106">
        <v>0</v>
      </c>
      <c r="AL166" s="107" t="s">
        <v>1906</v>
      </c>
      <c r="AM166" s="106">
        <v>0</v>
      </c>
      <c r="AN166" s="107" t="s">
        <v>1906</v>
      </c>
      <c r="AO166" s="106">
        <v>54.58</v>
      </c>
      <c r="AP166" s="107" t="s">
        <v>1906</v>
      </c>
      <c r="AQ166" s="106">
        <v>54.58</v>
      </c>
      <c r="AR166" s="106" t="s">
        <v>1906</v>
      </c>
      <c r="AS166" s="106">
        <v>54.58</v>
      </c>
      <c r="AT166" s="107" t="s">
        <v>1906</v>
      </c>
      <c r="AU166" s="106">
        <f t="shared" si="7"/>
        <v>407.25999999999993</v>
      </c>
      <c r="AV166" s="25">
        <v>0.4002</v>
      </c>
      <c r="AW166" s="30" t="str">
        <f t="shared" si="8"/>
        <v>95-70</v>
      </c>
      <c r="AX166" s="30" t="s">
        <v>1907</v>
      </c>
      <c r="AY166" s="30">
        <v>0</v>
      </c>
      <c r="AZ166" s="30">
        <v>0</v>
      </c>
    </row>
    <row r="167" spans="1:52" ht="46.8" x14ac:dyDescent="0.3">
      <c r="A167" s="103">
        <v>157</v>
      </c>
      <c r="B167" s="30" t="s">
        <v>750</v>
      </c>
      <c r="C167" s="30" t="s">
        <v>1908</v>
      </c>
      <c r="D167" s="105" t="s">
        <v>1900</v>
      </c>
      <c r="E167" s="108" t="s">
        <v>1901</v>
      </c>
      <c r="F167" s="30" t="s">
        <v>1902</v>
      </c>
      <c r="G167" s="26" t="s">
        <v>145</v>
      </c>
      <c r="H167" s="24" t="s">
        <v>146</v>
      </c>
      <c r="I167" s="25">
        <v>1</v>
      </c>
      <c r="J167" s="24" t="s">
        <v>1903</v>
      </c>
      <c r="K167" s="24">
        <v>32</v>
      </c>
      <c r="L167" s="24">
        <v>5</v>
      </c>
      <c r="M167" s="24" t="str">
        <f t="shared" si="6"/>
        <v>95-70</v>
      </c>
      <c r="N167" s="24" t="s">
        <v>529</v>
      </c>
      <c r="O167" s="24" t="s">
        <v>529</v>
      </c>
      <c r="P167" s="24">
        <v>1</v>
      </c>
      <c r="Q167" s="102">
        <v>0</v>
      </c>
      <c r="R167" s="30" t="s">
        <v>1905</v>
      </c>
      <c r="S167" s="24">
        <v>0</v>
      </c>
      <c r="T167" s="24"/>
      <c r="U167" s="94">
        <v>0</v>
      </c>
      <c r="V167" s="94">
        <v>0</v>
      </c>
      <c r="W167" s="106">
        <v>0</v>
      </c>
      <c r="X167" s="107" t="s">
        <v>1906</v>
      </c>
      <c r="Y167" s="106">
        <v>0</v>
      </c>
      <c r="Z167" s="107" t="s">
        <v>1906</v>
      </c>
      <c r="AA167" s="106">
        <v>0</v>
      </c>
      <c r="AB167" s="107" t="s">
        <v>1906</v>
      </c>
      <c r="AC167" s="106">
        <v>0</v>
      </c>
      <c r="AD167" s="107" t="s">
        <v>1906</v>
      </c>
      <c r="AE167" s="106">
        <v>0</v>
      </c>
      <c r="AF167" s="107" t="s">
        <v>1906</v>
      </c>
      <c r="AG167" s="106">
        <v>0</v>
      </c>
      <c r="AH167" s="107" t="s">
        <v>1906</v>
      </c>
      <c r="AI167" s="106">
        <v>0</v>
      </c>
      <c r="AJ167" s="107" t="s">
        <v>1906</v>
      </c>
      <c r="AK167" s="106">
        <v>0</v>
      </c>
      <c r="AL167" s="107" t="s">
        <v>1906</v>
      </c>
      <c r="AM167" s="106">
        <v>0</v>
      </c>
      <c r="AN167" s="107" t="s">
        <v>1906</v>
      </c>
      <c r="AO167" s="106">
        <v>0</v>
      </c>
      <c r="AP167" s="107" t="s">
        <v>1906</v>
      </c>
      <c r="AQ167" s="106">
        <v>0</v>
      </c>
      <c r="AR167" s="106" t="s">
        <v>1906</v>
      </c>
      <c r="AS167" s="106">
        <v>0</v>
      </c>
      <c r="AT167" s="107" t="s">
        <v>1906</v>
      </c>
      <c r="AU167" s="106">
        <f t="shared" si="7"/>
        <v>0</v>
      </c>
      <c r="AV167" s="25">
        <v>0.35</v>
      </c>
      <c r="AW167" s="30" t="str">
        <f t="shared" si="8"/>
        <v>95-70</v>
      </c>
      <c r="AX167" s="30" t="s">
        <v>1907</v>
      </c>
      <c r="AY167" s="30">
        <v>0</v>
      </c>
      <c r="AZ167" s="30">
        <v>0</v>
      </c>
    </row>
    <row r="168" spans="1:52" ht="31.2" x14ac:dyDescent="0.3">
      <c r="A168" s="103">
        <v>158</v>
      </c>
      <c r="B168" s="30" t="s">
        <v>751</v>
      </c>
      <c r="C168" s="30" t="s">
        <v>1899</v>
      </c>
      <c r="D168" s="105" t="s">
        <v>1900</v>
      </c>
      <c r="E168" s="108" t="s">
        <v>1901</v>
      </c>
      <c r="F168" s="30" t="s">
        <v>1902</v>
      </c>
      <c r="G168" s="26" t="s">
        <v>145</v>
      </c>
      <c r="H168" s="24" t="s">
        <v>146</v>
      </c>
      <c r="I168" s="25">
        <v>1</v>
      </c>
      <c r="J168" s="24" t="s">
        <v>1903</v>
      </c>
      <c r="K168" s="24">
        <v>32</v>
      </c>
      <c r="L168" s="24">
        <v>5</v>
      </c>
      <c r="M168" s="24" t="str">
        <f t="shared" si="6"/>
        <v>95-70</v>
      </c>
      <c r="N168" s="24" t="s">
        <v>529</v>
      </c>
      <c r="O168" s="24" t="s">
        <v>529</v>
      </c>
      <c r="P168" s="24">
        <v>1</v>
      </c>
      <c r="Q168" s="102">
        <v>0</v>
      </c>
      <c r="R168" s="30" t="s">
        <v>1905</v>
      </c>
      <c r="S168" s="24">
        <v>0</v>
      </c>
      <c r="T168" s="24"/>
      <c r="U168" s="94">
        <v>453.94</v>
      </c>
      <c r="V168" s="94">
        <v>356.54999999999995</v>
      </c>
      <c r="W168" s="106">
        <v>38.15</v>
      </c>
      <c r="X168" s="107" t="s">
        <v>1906</v>
      </c>
      <c r="Y168" s="106">
        <v>38.15</v>
      </c>
      <c r="Z168" s="107" t="s">
        <v>1906</v>
      </c>
      <c r="AA168" s="106">
        <v>38.15</v>
      </c>
      <c r="AB168" s="107" t="s">
        <v>1906</v>
      </c>
      <c r="AC168" s="106">
        <v>38.15</v>
      </c>
      <c r="AD168" s="107" t="s">
        <v>1906</v>
      </c>
      <c r="AE168" s="106">
        <v>11.07</v>
      </c>
      <c r="AF168" s="107" t="s">
        <v>1906</v>
      </c>
      <c r="AG168" s="106">
        <v>0</v>
      </c>
      <c r="AH168" s="107" t="s">
        <v>1906</v>
      </c>
      <c r="AI168" s="106">
        <v>0</v>
      </c>
      <c r="AJ168" s="107" t="s">
        <v>1906</v>
      </c>
      <c r="AK168" s="106">
        <v>0</v>
      </c>
      <c r="AL168" s="107" t="s">
        <v>1906</v>
      </c>
      <c r="AM168" s="106">
        <v>7.25</v>
      </c>
      <c r="AN168" s="107" t="s">
        <v>1906</v>
      </c>
      <c r="AO168" s="106">
        <v>36.26</v>
      </c>
      <c r="AP168" s="107" t="s">
        <v>1906</v>
      </c>
      <c r="AQ168" s="106">
        <v>36.26</v>
      </c>
      <c r="AR168" s="106" t="s">
        <v>1906</v>
      </c>
      <c r="AS168" s="106">
        <v>36.26</v>
      </c>
      <c r="AT168" s="107" t="s">
        <v>1906</v>
      </c>
      <c r="AU168" s="106">
        <f t="shared" si="7"/>
        <v>279.7</v>
      </c>
      <c r="AV168" s="25">
        <v>0.18010000000000001</v>
      </c>
      <c r="AW168" s="30" t="str">
        <f t="shared" si="8"/>
        <v>95-70</v>
      </c>
      <c r="AX168" s="30" t="s">
        <v>1907</v>
      </c>
      <c r="AY168" s="30">
        <v>0</v>
      </c>
      <c r="AZ168" s="30">
        <v>0</v>
      </c>
    </row>
    <row r="169" spans="1:52" ht="31.2" x14ac:dyDescent="0.3">
      <c r="A169" s="103">
        <v>159</v>
      </c>
      <c r="B169" s="30" t="s">
        <v>752</v>
      </c>
      <c r="C169" s="30" t="s">
        <v>1899</v>
      </c>
      <c r="D169" s="105" t="s">
        <v>1900</v>
      </c>
      <c r="E169" s="108" t="s">
        <v>1901</v>
      </c>
      <c r="F169" s="30" t="s">
        <v>1902</v>
      </c>
      <c r="G169" s="26" t="s">
        <v>145</v>
      </c>
      <c r="H169" s="24" t="s">
        <v>146</v>
      </c>
      <c r="I169" s="25">
        <v>1</v>
      </c>
      <c r="J169" s="24" t="s">
        <v>1903</v>
      </c>
      <c r="K169" s="24">
        <v>32</v>
      </c>
      <c r="L169" s="24">
        <v>5</v>
      </c>
      <c r="M169" s="24" t="str">
        <f t="shared" si="6"/>
        <v>95-70</v>
      </c>
      <c r="N169" s="24" t="s">
        <v>529</v>
      </c>
      <c r="O169" s="24" t="s">
        <v>529</v>
      </c>
      <c r="P169" s="24">
        <v>1</v>
      </c>
      <c r="Q169" s="102">
        <v>0</v>
      </c>
      <c r="R169" s="30" t="s">
        <v>1905</v>
      </c>
      <c r="S169" s="24">
        <v>0</v>
      </c>
      <c r="T169" s="24"/>
      <c r="U169" s="94">
        <f>658.37*0.94</f>
        <v>618.86779999999999</v>
      </c>
      <c r="V169" s="94">
        <f>838.87*0.94</f>
        <v>788.53779999999995</v>
      </c>
      <c r="W169" s="106">
        <f>115.97*0.94</f>
        <v>109.01179999999999</v>
      </c>
      <c r="X169" s="107" t="s">
        <v>1906</v>
      </c>
      <c r="Y169" s="106">
        <f>115.97*0.94</f>
        <v>109.01179999999999</v>
      </c>
      <c r="Z169" s="107" t="s">
        <v>1906</v>
      </c>
      <c r="AA169" s="106">
        <f>115.97*0.94</f>
        <v>109.01179999999999</v>
      </c>
      <c r="AB169" s="107" t="s">
        <v>1906</v>
      </c>
      <c r="AC169" s="106">
        <f>115.97*0.94</f>
        <v>109.01179999999999</v>
      </c>
      <c r="AD169" s="107" t="s">
        <v>1906</v>
      </c>
      <c r="AE169" s="106">
        <f>33.67*0.94</f>
        <v>31.649799999999999</v>
      </c>
      <c r="AF169" s="107" t="s">
        <v>1906</v>
      </c>
      <c r="AG169" s="106">
        <v>0</v>
      </c>
      <c r="AH169" s="107" t="s">
        <v>1906</v>
      </c>
      <c r="AI169" s="106">
        <v>0</v>
      </c>
      <c r="AJ169" s="107" t="s">
        <v>1906</v>
      </c>
      <c r="AK169" s="106">
        <v>0</v>
      </c>
      <c r="AL169" s="107" t="s">
        <v>1906</v>
      </c>
      <c r="AM169" s="106">
        <f>22.36*0.94</f>
        <v>21.0184</v>
      </c>
      <c r="AN169" s="107" t="s">
        <v>1906</v>
      </c>
      <c r="AO169" s="106">
        <f>111.8*0.94</f>
        <v>105.09199999999998</v>
      </c>
      <c r="AP169" s="107" t="s">
        <v>1906</v>
      </c>
      <c r="AQ169" s="106">
        <f>111.8*0.94</f>
        <v>105.09199999999998</v>
      </c>
      <c r="AR169" s="106" t="s">
        <v>1906</v>
      </c>
      <c r="AS169" s="106">
        <f>111.8*0.94</f>
        <v>105.09199999999998</v>
      </c>
      <c r="AT169" s="107" t="s">
        <v>1906</v>
      </c>
      <c r="AU169" s="106">
        <f t="shared" si="7"/>
        <v>803.99139999999989</v>
      </c>
      <c r="AV169" s="25">
        <v>0.36980000000000002</v>
      </c>
      <c r="AW169" s="30" t="str">
        <f t="shared" si="8"/>
        <v>95-70</v>
      </c>
      <c r="AX169" s="30" t="s">
        <v>1907</v>
      </c>
      <c r="AY169" s="30">
        <v>0</v>
      </c>
      <c r="AZ169" s="30">
        <v>0</v>
      </c>
    </row>
    <row r="170" spans="1:52" ht="31.2" x14ac:dyDescent="0.3">
      <c r="A170" s="103">
        <v>160</v>
      </c>
      <c r="B170" s="30" t="s">
        <v>753</v>
      </c>
      <c r="C170" s="30" t="s">
        <v>1899</v>
      </c>
      <c r="D170" s="105" t="s">
        <v>1900</v>
      </c>
      <c r="E170" s="108" t="s">
        <v>1901</v>
      </c>
      <c r="F170" s="30" t="s">
        <v>1902</v>
      </c>
      <c r="G170" s="26" t="s">
        <v>145</v>
      </c>
      <c r="H170" s="24" t="s">
        <v>146</v>
      </c>
      <c r="I170" s="25">
        <v>0</v>
      </c>
      <c r="J170" s="24" t="s">
        <v>1903</v>
      </c>
      <c r="K170" s="24">
        <v>32</v>
      </c>
      <c r="L170" s="24">
        <v>5</v>
      </c>
      <c r="M170" s="24" t="str">
        <f t="shared" si="6"/>
        <v>95-70</v>
      </c>
      <c r="N170" s="24" t="s">
        <v>529</v>
      </c>
      <c r="O170" s="24" t="s">
        <v>529</v>
      </c>
      <c r="P170" s="24">
        <v>0</v>
      </c>
      <c r="Q170" s="102">
        <v>0</v>
      </c>
      <c r="R170" s="30" t="s">
        <v>1905</v>
      </c>
      <c r="S170" s="24">
        <v>0</v>
      </c>
      <c r="T170" s="24"/>
      <c r="U170" s="94">
        <f>658.37*0.06</f>
        <v>39.502200000000002</v>
      </c>
      <c r="V170" s="94">
        <f>838.87*0.06</f>
        <v>50.3322</v>
      </c>
      <c r="W170" s="106">
        <f>115.97*0.06</f>
        <v>6.9581999999999997</v>
      </c>
      <c r="X170" s="107" t="s">
        <v>1906</v>
      </c>
      <c r="Y170" s="106">
        <f>115.97*0.06</f>
        <v>6.9581999999999997</v>
      </c>
      <c r="Z170" s="107" t="s">
        <v>1906</v>
      </c>
      <c r="AA170" s="106">
        <f>115.97*0.06</f>
        <v>6.9581999999999997</v>
      </c>
      <c r="AB170" s="107" t="s">
        <v>1906</v>
      </c>
      <c r="AC170" s="106">
        <f>115.97*0.06</f>
        <v>6.9581999999999997</v>
      </c>
      <c r="AD170" s="107" t="s">
        <v>1906</v>
      </c>
      <c r="AE170" s="106">
        <f>33.67*0.06</f>
        <v>2.0202</v>
      </c>
      <c r="AF170" s="107" t="s">
        <v>1906</v>
      </c>
      <c r="AG170" s="106">
        <v>0</v>
      </c>
      <c r="AH170" s="107" t="s">
        <v>1906</v>
      </c>
      <c r="AI170" s="106">
        <v>0</v>
      </c>
      <c r="AJ170" s="107" t="s">
        <v>1906</v>
      </c>
      <c r="AK170" s="106">
        <v>0</v>
      </c>
      <c r="AL170" s="107" t="s">
        <v>1906</v>
      </c>
      <c r="AM170" s="106">
        <f>22.36*0.06</f>
        <v>1.3415999999999999</v>
      </c>
      <c r="AN170" s="107" t="s">
        <v>1906</v>
      </c>
      <c r="AO170" s="106">
        <f>111.8*0.06</f>
        <v>6.7079999999999993</v>
      </c>
      <c r="AP170" s="107" t="s">
        <v>1906</v>
      </c>
      <c r="AQ170" s="106">
        <f>111.8*0.06</f>
        <v>6.7079999999999993</v>
      </c>
      <c r="AR170" s="106" t="s">
        <v>1906</v>
      </c>
      <c r="AS170" s="106">
        <f>111.8*0.06</f>
        <v>6.7079999999999993</v>
      </c>
      <c r="AT170" s="107" t="s">
        <v>1906</v>
      </c>
      <c r="AU170" s="106">
        <f t="shared" si="7"/>
        <v>51.318599999999996</v>
      </c>
      <c r="AV170" s="25">
        <v>1E-3</v>
      </c>
      <c r="AW170" s="30" t="str">
        <f t="shared" si="8"/>
        <v>95-70</v>
      </c>
      <c r="AX170" s="30" t="s">
        <v>1907</v>
      </c>
      <c r="AY170" s="30">
        <v>0</v>
      </c>
      <c r="AZ170" s="30">
        <v>0</v>
      </c>
    </row>
    <row r="171" spans="1:52" ht="31.2" x14ac:dyDescent="0.3">
      <c r="A171" s="103">
        <v>161</v>
      </c>
      <c r="B171" s="30" t="s">
        <v>754</v>
      </c>
      <c r="C171" s="30" t="s">
        <v>1899</v>
      </c>
      <c r="D171" s="105" t="s">
        <v>1900</v>
      </c>
      <c r="E171" s="108" t="s">
        <v>1901</v>
      </c>
      <c r="F171" s="30" t="s">
        <v>1902</v>
      </c>
      <c r="G171" s="26" t="s">
        <v>145</v>
      </c>
      <c r="H171" s="24" t="s">
        <v>146</v>
      </c>
      <c r="I171" s="25">
        <v>1</v>
      </c>
      <c r="J171" s="24" t="s">
        <v>1903</v>
      </c>
      <c r="K171" s="24">
        <v>50</v>
      </c>
      <c r="L171" s="24">
        <v>5</v>
      </c>
      <c r="M171" s="24" t="str">
        <f t="shared" si="6"/>
        <v>95-70</v>
      </c>
      <c r="N171" s="24" t="s">
        <v>529</v>
      </c>
      <c r="O171" s="24" t="s">
        <v>529</v>
      </c>
      <c r="P171" s="24">
        <v>1</v>
      </c>
      <c r="Q171" s="102">
        <v>0</v>
      </c>
      <c r="R171" s="30" t="s">
        <v>1905</v>
      </c>
      <c r="S171" s="24">
        <v>0</v>
      </c>
      <c r="T171" s="24"/>
      <c r="U171" s="94">
        <v>505.36</v>
      </c>
      <c r="V171" s="94">
        <v>622.68999999999994</v>
      </c>
      <c r="W171" s="106">
        <v>114.44000000000001</v>
      </c>
      <c r="X171" s="107" t="s">
        <v>208</v>
      </c>
      <c r="Y171" s="106">
        <v>72.62</v>
      </c>
      <c r="Z171" s="107" t="s">
        <v>208</v>
      </c>
      <c r="AA171" s="106">
        <v>103.48</v>
      </c>
      <c r="AB171" s="107" t="s">
        <v>208</v>
      </c>
      <c r="AC171" s="106">
        <v>71.52</v>
      </c>
      <c r="AD171" s="107" t="s">
        <v>208</v>
      </c>
      <c r="AE171" s="106">
        <v>24.33</v>
      </c>
      <c r="AF171" s="107" t="s">
        <v>208</v>
      </c>
      <c r="AG171" s="106">
        <v>0</v>
      </c>
      <c r="AH171" s="107" t="s">
        <v>208</v>
      </c>
      <c r="AI171" s="106">
        <v>0</v>
      </c>
      <c r="AJ171" s="107" t="s">
        <v>208</v>
      </c>
      <c r="AK171" s="106">
        <v>0</v>
      </c>
      <c r="AL171" s="107" t="s">
        <v>208</v>
      </c>
      <c r="AM171" s="106">
        <v>0</v>
      </c>
      <c r="AN171" s="107" t="s">
        <v>208</v>
      </c>
      <c r="AO171" s="106">
        <v>41.66</v>
      </c>
      <c r="AP171" s="107" t="s">
        <v>208</v>
      </c>
      <c r="AQ171" s="106">
        <v>42.78</v>
      </c>
      <c r="AR171" s="106" t="s">
        <v>208</v>
      </c>
      <c r="AS171" s="106">
        <v>63.400000000000006</v>
      </c>
      <c r="AT171" s="107" t="s">
        <v>208</v>
      </c>
      <c r="AU171" s="106">
        <f t="shared" si="7"/>
        <v>534.2299999999999</v>
      </c>
      <c r="AV171" s="25">
        <v>0.24399999999999999</v>
      </c>
      <c r="AW171" s="30" t="str">
        <f t="shared" si="8"/>
        <v>95-70</v>
      </c>
      <c r="AX171" s="30" t="s">
        <v>1907</v>
      </c>
      <c r="AY171" s="30">
        <v>0</v>
      </c>
      <c r="AZ171" s="30">
        <v>0</v>
      </c>
    </row>
    <row r="172" spans="1:52" ht="31.2" x14ac:dyDescent="0.3">
      <c r="A172" s="103">
        <v>162</v>
      </c>
      <c r="B172" s="30" t="s">
        <v>756</v>
      </c>
      <c r="C172" s="30" t="s">
        <v>1899</v>
      </c>
      <c r="D172" s="105" t="s">
        <v>1900</v>
      </c>
      <c r="E172" s="108" t="s">
        <v>1901</v>
      </c>
      <c r="F172" s="30" t="s">
        <v>1902</v>
      </c>
      <c r="G172" s="26" t="s">
        <v>145</v>
      </c>
      <c r="H172" s="24" t="s">
        <v>146</v>
      </c>
      <c r="I172" s="25">
        <v>1</v>
      </c>
      <c r="J172" s="24" t="s">
        <v>1903</v>
      </c>
      <c r="K172" s="24">
        <v>50</v>
      </c>
      <c r="L172" s="24">
        <v>5</v>
      </c>
      <c r="M172" s="24" t="str">
        <f t="shared" si="6"/>
        <v>95-70</v>
      </c>
      <c r="N172" s="24" t="s">
        <v>529</v>
      </c>
      <c r="O172" s="24" t="s">
        <v>529</v>
      </c>
      <c r="P172" s="24">
        <v>1</v>
      </c>
      <c r="Q172" s="102">
        <v>0</v>
      </c>
      <c r="R172" s="30" t="s">
        <v>1905</v>
      </c>
      <c r="S172" s="24">
        <v>0</v>
      </c>
      <c r="T172" s="24"/>
      <c r="U172" s="94">
        <v>527.12</v>
      </c>
      <c r="V172" s="94">
        <v>496.82000000000005</v>
      </c>
      <c r="W172" s="106">
        <v>80.100000000000009</v>
      </c>
      <c r="X172" s="107" t="s">
        <v>208</v>
      </c>
      <c r="Y172" s="106">
        <v>80.100000000000009</v>
      </c>
      <c r="Z172" s="107" t="s">
        <v>208</v>
      </c>
      <c r="AA172" s="106">
        <v>80.100000000000009</v>
      </c>
      <c r="AB172" s="107" t="s">
        <v>208</v>
      </c>
      <c r="AC172" s="106">
        <v>75.34</v>
      </c>
      <c r="AD172" s="107" t="s">
        <v>208</v>
      </c>
      <c r="AE172" s="106">
        <v>22.81</v>
      </c>
      <c r="AF172" s="107" t="s">
        <v>208</v>
      </c>
      <c r="AG172" s="106">
        <v>0</v>
      </c>
      <c r="AH172" s="107" t="s">
        <v>208</v>
      </c>
      <c r="AI172" s="106">
        <v>0</v>
      </c>
      <c r="AJ172" s="107" t="s">
        <v>208</v>
      </c>
      <c r="AK172" s="106">
        <v>0</v>
      </c>
      <c r="AL172" s="107" t="s">
        <v>208</v>
      </c>
      <c r="AM172" s="106">
        <v>0</v>
      </c>
      <c r="AN172" s="107" t="s">
        <v>208</v>
      </c>
      <c r="AO172" s="106">
        <v>38.93</v>
      </c>
      <c r="AP172" s="107" t="s">
        <v>208</v>
      </c>
      <c r="AQ172" s="106">
        <v>45.04</v>
      </c>
      <c r="AR172" s="106" t="s">
        <v>208</v>
      </c>
      <c r="AS172" s="106">
        <v>63.91</v>
      </c>
      <c r="AT172" s="107" t="s">
        <v>208</v>
      </c>
      <c r="AU172" s="106">
        <f t="shared" si="7"/>
        <v>486.33000000000004</v>
      </c>
      <c r="AV172" s="25">
        <v>0.29609999999999997</v>
      </c>
      <c r="AW172" s="30" t="str">
        <f t="shared" si="8"/>
        <v>95-70</v>
      </c>
      <c r="AX172" s="30" t="s">
        <v>1907</v>
      </c>
      <c r="AY172" s="30">
        <v>0</v>
      </c>
      <c r="AZ172" s="30">
        <v>0</v>
      </c>
    </row>
    <row r="173" spans="1:52" ht="31.2" x14ac:dyDescent="0.3">
      <c r="A173" s="103">
        <v>163</v>
      </c>
      <c r="B173" s="30" t="s">
        <v>758</v>
      </c>
      <c r="C173" s="30" t="s">
        <v>1899</v>
      </c>
      <c r="D173" s="105" t="s">
        <v>1900</v>
      </c>
      <c r="E173" s="108" t="s">
        <v>1901</v>
      </c>
      <c r="F173" s="30" t="s">
        <v>1902</v>
      </c>
      <c r="G173" s="26" t="s">
        <v>145</v>
      </c>
      <c r="H173" s="24" t="s">
        <v>146</v>
      </c>
      <c r="I173" s="25">
        <v>1</v>
      </c>
      <c r="J173" s="24" t="s">
        <v>1903</v>
      </c>
      <c r="K173" s="24">
        <v>50</v>
      </c>
      <c r="L173" s="24">
        <v>5</v>
      </c>
      <c r="M173" s="24" t="str">
        <f t="shared" si="6"/>
        <v>95-70</v>
      </c>
      <c r="N173" s="24" t="s">
        <v>529</v>
      </c>
      <c r="O173" s="24" t="s">
        <v>529</v>
      </c>
      <c r="P173" s="24">
        <v>1</v>
      </c>
      <c r="Q173" s="102">
        <v>0</v>
      </c>
      <c r="R173" s="30" t="s">
        <v>1905</v>
      </c>
      <c r="S173" s="24">
        <v>0</v>
      </c>
      <c r="T173" s="24"/>
      <c r="U173" s="94">
        <v>1029.5999999999999</v>
      </c>
      <c r="V173" s="94">
        <v>1036.3999999999999</v>
      </c>
      <c r="W173" s="106">
        <v>142.15999999999997</v>
      </c>
      <c r="X173" s="107" t="s">
        <v>1906</v>
      </c>
      <c r="Y173" s="106">
        <v>142.15999999999997</v>
      </c>
      <c r="Z173" s="107" t="s">
        <v>1906</v>
      </c>
      <c r="AA173" s="106">
        <v>142.15999999999997</v>
      </c>
      <c r="AB173" s="107" t="s">
        <v>1906</v>
      </c>
      <c r="AC173" s="106">
        <v>142.15999999999997</v>
      </c>
      <c r="AD173" s="107" t="s">
        <v>1906</v>
      </c>
      <c r="AE173" s="106">
        <v>41.28</v>
      </c>
      <c r="AF173" s="107" t="s">
        <v>1906</v>
      </c>
      <c r="AG173" s="106">
        <v>0</v>
      </c>
      <c r="AH173" s="107" t="s">
        <v>1906</v>
      </c>
      <c r="AI173" s="106">
        <v>0</v>
      </c>
      <c r="AJ173" s="107" t="s">
        <v>1906</v>
      </c>
      <c r="AK173" s="106">
        <v>0</v>
      </c>
      <c r="AL173" s="107" t="s">
        <v>1906</v>
      </c>
      <c r="AM173" s="106">
        <v>32.200000000000003</v>
      </c>
      <c r="AN173" s="107" t="s">
        <v>1906</v>
      </c>
      <c r="AO173" s="106">
        <v>138.03</v>
      </c>
      <c r="AP173" s="107" t="s">
        <v>1906</v>
      </c>
      <c r="AQ173" s="106">
        <v>138.03</v>
      </c>
      <c r="AR173" s="106" t="s">
        <v>1906</v>
      </c>
      <c r="AS173" s="106">
        <v>138.03</v>
      </c>
      <c r="AT173" s="107" t="s">
        <v>1906</v>
      </c>
      <c r="AU173" s="106">
        <f t="shared" si="7"/>
        <v>1056.2099999999998</v>
      </c>
      <c r="AV173" s="25">
        <v>0.50160000000000005</v>
      </c>
      <c r="AW173" s="30" t="str">
        <f t="shared" si="8"/>
        <v>95-70</v>
      </c>
      <c r="AX173" s="30" t="s">
        <v>1907</v>
      </c>
      <c r="AY173" s="30">
        <v>0</v>
      </c>
      <c r="AZ173" s="30">
        <v>0</v>
      </c>
    </row>
    <row r="174" spans="1:52" ht="31.2" x14ac:dyDescent="0.3">
      <c r="A174" s="103">
        <v>164</v>
      </c>
      <c r="B174" s="30" t="s">
        <v>759</v>
      </c>
      <c r="C174" s="30" t="s">
        <v>1899</v>
      </c>
      <c r="D174" s="105" t="s">
        <v>1900</v>
      </c>
      <c r="E174" s="108" t="s">
        <v>1901</v>
      </c>
      <c r="F174" s="30" t="s">
        <v>1902</v>
      </c>
      <c r="G174" s="26" t="s">
        <v>145</v>
      </c>
      <c r="H174" s="24" t="s">
        <v>146</v>
      </c>
      <c r="I174" s="25">
        <v>1</v>
      </c>
      <c r="J174" s="24" t="s">
        <v>1903</v>
      </c>
      <c r="K174" s="24">
        <v>50</v>
      </c>
      <c r="L174" s="24">
        <v>5</v>
      </c>
      <c r="M174" s="24" t="str">
        <f t="shared" si="6"/>
        <v>95-70</v>
      </c>
      <c r="N174" s="24" t="s">
        <v>529</v>
      </c>
      <c r="O174" s="24" t="s">
        <v>529</v>
      </c>
      <c r="P174" s="24">
        <v>1</v>
      </c>
      <c r="Q174" s="102">
        <v>0</v>
      </c>
      <c r="R174" s="30" t="s">
        <v>1905</v>
      </c>
      <c r="S174" s="24">
        <v>0</v>
      </c>
      <c r="T174" s="24"/>
      <c r="U174" s="94">
        <v>791.68999999999994</v>
      </c>
      <c r="V174" s="94">
        <v>638.93000000000006</v>
      </c>
      <c r="W174" s="106">
        <v>87.64</v>
      </c>
      <c r="X174" s="107" t="s">
        <v>1906</v>
      </c>
      <c r="Y174" s="106">
        <v>87.64</v>
      </c>
      <c r="Z174" s="107" t="s">
        <v>1906</v>
      </c>
      <c r="AA174" s="106">
        <v>87.64</v>
      </c>
      <c r="AB174" s="107" t="s">
        <v>1906</v>
      </c>
      <c r="AC174" s="106">
        <v>87.64</v>
      </c>
      <c r="AD174" s="107" t="s">
        <v>1906</v>
      </c>
      <c r="AE174" s="106">
        <v>25.45</v>
      </c>
      <c r="AF174" s="107" t="s">
        <v>1906</v>
      </c>
      <c r="AG174" s="106">
        <v>0</v>
      </c>
      <c r="AH174" s="107" t="s">
        <v>1906</v>
      </c>
      <c r="AI174" s="106">
        <v>0</v>
      </c>
      <c r="AJ174" s="107" t="s">
        <v>1906</v>
      </c>
      <c r="AK174" s="106">
        <v>0</v>
      </c>
      <c r="AL174" s="107" t="s">
        <v>1906</v>
      </c>
      <c r="AM174" s="106">
        <v>0</v>
      </c>
      <c r="AN174" s="107" t="s">
        <v>1906</v>
      </c>
      <c r="AO174" s="106">
        <v>86.55</v>
      </c>
      <c r="AP174" s="107" t="s">
        <v>1906</v>
      </c>
      <c r="AQ174" s="106">
        <v>86.55</v>
      </c>
      <c r="AR174" s="106" t="s">
        <v>1906</v>
      </c>
      <c r="AS174" s="106">
        <v>86.55</v>
      </c>
      <c r="AT174" s="107" t="s">
        <v>1906</v>
      </c>
      <c r="AU174" s="106">
        <f t="shared" si="7"/>
        <v>635.66</v>
      </c>
      <c r="AV174" s="25">
        <v>0.35730000000000001</v>
      </c>
      <c r="AW174" s="30" t="str">
        <f t="shared" si="8"/>
        <v>95-70</v>
      </c>
      <c r="AX174" s="30" t="s">
        <v>1907</v>
      </c>
      <c r="AY174" s="30">
        <v>0</v>
      </c>
      <c r="AZ174" s="30">
        <v>0</v>
      </c>
    </row>
    <row r="175" spans="1:52" ht="31.2" x14ac:dyDescent="0.3">
      <c r="A175" s="103">
        <v>165</v>
      </c>
      <c r="B175" s="30" t="s">
        <v>760</v>
      </c>
      <c r="C175" s="30" t="s">
        <v>1899</v>
      </c>
      <c r="D175" s="105" t="s">
        <v>1900</v>
      </c>
      <c r="E175" s="108" t="s">
        <v>1901</v>
      </c>
      <c r="F175" s="30" t="s">
        <v>1902</v>
      </c>
      <c r="G175" s="26" t="s">
        <v>145</v>
      </c>
      <c r="H175" s="24" t="s">
        <v>146</v>
      </c>
      <c r="I175" s="25">
        <v>1</v>
      </c>
      <c r="J175" s="24" t="s">
        <v>1903</v>
      </c>
      <c r="K175" s="24">
        <v>50</v>
      </c>
      <c r="L175" s="24">
        <v>5</v>
      </c>
      <c r="M175" s="24" t="str">
        <f t="shared" si="6"/>
        <v>95-70</v>
      </c>
      <c r="N175" s="24" t="s">
        <v>529</v>
      </c>
      <c r="O175" s="24" t="s">
        <v>529</v>
      </c>
      <c r="P175" s="24">
        <v>1</v>
      </c>
      <c r="Q175" s="102">
        <v>0</v>
      </c>
      <c r="R175" s="30" t="s">
        <v>1905</v>
      </c>
      <c r="S175" s="24">
        <v>0</v>
      </c>
      <c r="T175" s="24"/>
      <c r="U175" s="94">
        <v>772.79999999999984</v>
      </c>
      <c r="V175" s="94">
        <v>206.17000000000002</v>
      </c>
      <c r="W175" s="106">
        <v>28.28</v>
      </c>
      <c r="X175" s="107" t="s">
        <v>1906</v>
      </c>
      <c r="Y175" s="106">
        <v>28.28</v>
      </c>
      <c r="Z175" s="107" t="s">
        <v>1906</v>
      </c>
      <c r="AA175" s="106">
        <v>28.28</v>
      </c>
      <c r="AB175" s="107" t="s">
        <v>1906</v>
      </c>
      <c r="AC175" s="106">
        <v>28.28</v>
      </c>
      <c r="AD175" s="107" t="s">
        <v>1906</v>
      </c>
      <c r="AE175" s="106">
        <v>8.2100000000000009</v>
      </c>
      <c r="AF175" s="107" t="s">
        <v>1906</v>
      </c>
      <c r="AG175" s="106">
        <v>0</v>
      </c>
      <c r="AH175" s="107" t="s">
        <v>1906</v>
      </c>
      <c r="AI175" s="106">
        <v>0</v>
      </c>
      <c r="AJ175" s="107" t="s">
        <v>1906</v>
      </c>
      <c r="AK175" s="106">
        <v>0</v>
      </c>
      <c r="AL175" s="107" t="s">
        <v>1906</v>
      </c>
      <c r="AM175" s="106">
        <v>0</v>
      </c>
      <c r="AN175" s="107" t="s">
        <v>1906</v>
      </c>
      <c r="AO175" s="106">
        <v>27.83</v>
      </c>
      <c r="AP175" s="107" t="s">
        <v>1906</v>
      </c>
      <c r="AQ175" s="106">
        <v>27.83</v>
      </c>
      <c r="AR175" s="106" t="s">
        <v>1906</v>
      </c>
      <c r="AS175" s="106">
        <v>27.83</v>
      </c>
      <c r="AT175" s="107" t="s">
        <v>1906</v>
      </c>
      <c r="AU175" s="106">
        <f t="shared" si="7"/>
        <v>204.82</v>
      </c>
      <c r="AV175" s="25">
        <v>0.3488</v>
      </c>
      <c r="AW175" s="30" t="str">
        <f t="shared" si="8"/>
        <v>95-70</v>
      </c>
      <c r="AX175" s="30" t="s">
        <v>1907</v>
      </c>
      <c r="AY175" s="30">
        <v>0</v>
      </c>
      <c r="AZ175" s="30">
        <v>0</v>
      </c>
    </row>
    <row r="176" spans="1:52" ht="31.2" x14ac:dyDescent="0.3">
      <c r="A176" s="103">
        <v>166</v>
      </c>
      <c r="B176" s="30" t="s">
        <v>761</v>
      </c>
      <c r="C176" s="30" t="s">
        <v>1899</v>
      </c>
      <c r="D176" s="105" t="s">
        <v>1900</v>
      </c>
      <c r="E176" s="108" t="s">
        <v>1901</v>
      </c>
      <c r="F176" s="30" t="s">
        <v>1902</v>
      </c>
      <c r="G176" s="26" t="s">
        <v>145</v>
      </c>
      <c r="H176" s="24" t="s">
        <v>146</v>
      </c>
      <c r="I176" s="25">
        <v>1</v>
      </c>
      <c r="J176" s="24" t="s">
        <v>1903</v>
      </c>
      <c r="K176" s="24">
        <v>50</v>
      </c>
      <c r="L176" s="24">
        <v>5</v>
      </c>
      <c r="M176" s="24" t="str">
        <f t="shared" si="6"/>
        <v>95-70</v>
      </c>
      <c r="N176" s="24" t="s">
        <v>529</v>
      </c>
      <c r="O176" s="24" t="s">
        <v>529</v>
      </c>
      <c r="P176" s="24">
        <v>1</v>
      </c>
      <c r="Q176" s="102">
        <v>0</v>
      </c>
      <c r="R176" s="30" t="s">
        <v>1905</v>
      </c>
      <c r="S176" s="24">
        <v>0</v>
      </c>
      <c r="T176" s="24"/>
      <c r="U176" s="94">
        <f>1114.81*0.49</f>
        <v>546.25689999999997</v>
      </c>
      <c r="V176" s="94">
        <f>664.37*0.49</f>
        <v>325.54129999999998</v>
      </c>
      <c r="W176" s="106">
        <f>91.13*0.49</f>
        <v>44.653699999999994</v>
      </c>
      <c r="X176" s="107" t="s">
        <v>1906</v>
      </c>
      <c r="Y176" s="106">
        <f>91.13*0.49</f>
        <v>44.653699999999994</v>
      </c>
      <c r="Z176" s="107" t="s">
        <v>1906</v>
      </c>
      <c r="AA176" s="106">
        <f>91.13*0.49</f>
        <v>44.653699999999994</v>
      </c>
      <c r="AB176" s="107" t="s">
        <v>1906</v>
      </c>
      <c r="AC176" s="106">
        <f>91.13*0.49</f>
        <v>44.653699999999994</v>
      </c>
      <c r="AD176" s="107" t="s">
        <v>1906</v>
      </c>
      <c r="AE176" s="106">
        <f>26.46*0.49</f>
        <v>12.965400000000001</v>
      </c>
      <c r="AF176" s="107" t="s">
        <v>1906</v>
      </c>
      <c r="AG176" s="106">
        <v>0</v>
      </c>
      <c r="AH176" s="107" t="s">
        <v>1906</v>
      </c>
      <c r="AI176" s="106">
        <v>0</v>
      </c>
      <c r="AJ176" s="107" t="s">
        <v>1906</v>
      </c>
      <c r="AK176" s="106">
        <v>0</v>
      </c>
      <c r="AL176" s="107" t="s">
        <v>1906</v>
      </c>
      <c r="AM176" s="106">
        <v>0</v>
      </c>
      <c r="AN176" s="107" t="s">
        <v>1906</v>
      </c>
      <c r="AO176" s="106">
        <f>86.55*0.49</f>
        <v>42.409500000000001</v>
      </c>
      <c r="AP176" s="107" t="s">
        <v>1906</v>
      </c>
      <c r="AQ176" s="106">
        <f>86.55*0.49</f>
        <v>42.409500000000001</v>
      </c>
      <c r="AR176" s="106" t="s">
        <v>1906</v>
      </c>
      <c r="AS176" s="106">
        <f>86.55*0.49</f>
        <v>42.409500000000001</v>
      </c>
      <c r="AT176" s="107" t="s">
        <v>1906</v>
      </c>
      <c r="AU176" s="106">
        <f t="shared" si="7"/>
        <v>318.80869999999993</v>
      </c>
      <c r="AV176" s="25">
        <v>0.49430000000000002</v>
      </c>
      <c r="AW176" s="30" t="str">
        <f t="shared" si="8"/>
        <v>95-70</v>
      </c>
      <c r="AX176" s="30" t="s">
        <v>1907</v>
      </c>
      <c r="AY176" s="30">
        <v>0</v>
      </c>
      <c r="AZ176" s="30">
        <v>0</v>
      </c>
    </row>
    <row r="177" spans="1:52" ht="31.2" x14ac:dyDescent="0.3">
      <c r="A177" s="103">
        <v>167</v>
      </c>
      <c r="B177" s="30" t="s">
        <v>762</v>
      </c>
      <c r="C177" s="30" t="s">
        <v>1899</v>
      </c>
      <c r="D177" s="105" t="s">
        <v>1900</v>
      </c>
      <c r="E177" s="108" t="s">
        <v>1901</v>
      </c>
      <c r="F177" s="30" t="s">
        <v>1902</v>
      </c>
      <c r="G177" s="26" t="s">
        <v>145</v>
      </c>
      <c r="H177" s="24" t="s">
        <v>146</v>
      </c>
      <c r="I177" s="25">
        <v>0</v>
      </c>
      <c r="J177" s="24" t="s">
        <v>1903</v>
      </c>
      <c r="K177" s="24"/>
      <c r="L177" s="24">
        <v>5</v>
      </c>
      <c r="M177" s="24" t="str">
        <f t="shared" si="6"/>
        <v>95-70</v>
      </c>
      <c r="N177" s="24" t="s">
        <v>529</v>
      </c>
      <c r="O177" s="24" t="s">
        <v>529</v>
      </c>
      <c r="P177" s="24">
        <v>0</v>
      </c>
      <c r="Q177" s="102">
        <v>0</v>
      </c>
      <c r="R177" s="30" t="s">
        <v>1905</v>
      </c>
      <c r="S177" s="24">
        <v>0</v>
      </c>
      <c r="T177" s="24"/>
      <c r="U177" s="94">
        <v>0</v>
      </c>
      <c r="V177" s="94">
        <v>0</v>
      </c>
      <c r="W177" s="106">
        <v>0</v>
      </c>
      <c r="X177" s="107" t="s">
        <v>1906</v>
      </c>
      <c r="Y177" s="106">
        <v>0</v>
      </c>
      <c r="Z177" s="107" t="s">
        <v>1906</v>
      </c>
      <c r="AA177" s="106">
        <v>0</v>
      </c>
      <c r="AB177" s="107" t="s">
        <v>1906</v>
      </c>
      <c r="AC177" s="106">
        <v>0</v>
      </c>
      <c r="AD177" s="107" t="s">
        <v>1906</v>
      </c>
      <c r="AE177" s="106">
        <v>0</v>
      </c>
      <c r="AF177" s="107" t="s">
        <v>1906</v>
      </c>
      <c r="AG177" s="106">
        <v>0</v>
      </c>
      <c r="AH177" s="107" t="s">
        <v>1906</v>
      </c>
      <c r="AI177" s="106">
        <v>0</v>
      </c>
      <c r="AJ177" s="107" t="s">
        <v>1906</v>
      </c>
      <c r="AK177" s="106">
        <v>0</v>
      </c>
      <c r="AL177" s="107" t="s">
        <v>1906</v>
      </c>
      <c r="AM177" s="106">
        <v>0</v>
      </c>
      <c r="AN177" s="107" t="s">
        <v>1906</v>
      </c>
      <c r="AO177" s="106">
        <v>0</v>
      </c>
      <c r="AP177" s="107" t="s">
        <v>1906</v>
      </c>
      <c r="AQ177" s="106">
        <v>0</v>
      </c>
      <c r="AR177" s="106" t="s">
        <v>1906</v>
      </c>
      <c r="AS177" s="106">
        <v>0</v>
      </c>
      <c r="AT177" s="107" t="s">
        <v>1906</v>
      </c>
      <c r="AU177" s="106">
        <f t="shared" si="7"/>
        <v>0</v>
      </c>
      <c r="AV177" s="25"/>
      <c r="AW177" s="30" t="str">
        <f t="shared" si="8"/>
        <v>95-70</v>
      </c>
      <c r="AX177" s="30" t="s">
        <v>1907</v>
      </c>
      <c r="AY177" s="30">
        <v>0</v>
      </c>
      <c r="AZ177" s="30">
        <v>0</v>
      </c>
    </row>
    <row r="178" spans="1:52" ht="31.2" x14ac:dyDescent="0.3">
      <c r="A178" s="103">
        <v>168</v>
      </c>
      <c r="B178" s="30" t="s">
        <v>764</v>
      </c>
      <c r="C178" s="30" t="s">
        <v>1899</v>
      </c>
      <c r="D178" s="105" t="s">
        <v>1900</v>
      </c>
      <c r="E178" s="108" t="s">
        <v>1901</v>
      </c>
      <c r="F178" s="30" t="s">
        <v>1902</v>
      </c>
      <c r="G178" s="26" t="s">
        <v>145</v>
      </c>
      <c r="H178" s="24" t="s">
        <v>146</v>
      </c>
      <c r="I178" s="25">
        <v>0</v>
      </c>
      <c r="J178" s="24" t="s">
        <v>1903</v>
      </c>
      <c r="K178" s="24">
        <v>50</v>
      </c>
      <c r="L178" s="24">
        <v>5</v>
      </c>
      <c r="M178" s="24" t="str">
        <f t="shared" si="6"/>
        <v>95-70</v>
      </c>
      <c r="N178" s="24" t="s">
        <v>529</v>
      </c>
      <c r="O178" s="24" t="s">
        <v>529</v>
      </c>
      <c r="P178" s="24">
        <v>0</v>
      </c>
      <c r="Q178" s="102">
        <v>0</v>
      </c>
      <c r="R178" s="30" t="s">
        <v>1905</v>
      </c>
      <c r="S178" s="24">
        <v>0</v>
      </c>
      <c r="T178" s="24"/>
      <c r="U178" s="94">
        <f>1114.81*0.51</f>
        <v>568.55309999999997</v>
      </c>
      <c r="V178" s="94">
        <f>664.37*0.51</f>
        <v>338.82870000000003</v>
      </c>
      <c r="W178" s="106">
        <f>91.13*0.51</f>
        <v>46.476300000000002</v>
      </c>
      <c r="X178" s="107" t="s">
        <v>1906</v>
      </c>
      <c r="Y178" s="106">
        <f>91.13*0.51</f>
        <v>46.476300000000002</v>
      </c>
      <c r="Z178" s="107" t="s">
        <v>1906</v>
      </c>
      <c r="AA178" s="106">
        <f>91.13*0.51</f>
        <v>46.476300000000002</v>
      </c>
      <c r="AB178" s="107" t="s">
        <v>1906</v>
      </c>
      <c r="AC178" s="106">
        <f>91.13*0.51</f>
        <v>46.476300000000002</v>
      </c>
      <c r="AD178" s="107" t="s">
        <v>1906</v>
      </c>
      <c r="AE178" s="106">
        <f>26.46*0.51</f>
        <v>13.4946</v>
      </c>
      <c r="AF178" s="107" t="s">
        <v>1906</v>
      </c>
      <c r="AG178" s="106">
        <v>0</v>
      </c>
      <c r="AH178" s="107" t="s">
        <v>1906</v>
      </c>
      <c r="AI178" s="106">
        <v>0</v>
      </c>
      <c r="AJ178" s="107" t="s">
        <v>1906</v>
      </c>
      <c r="AK178" s="106">
        <v>0</v>
      </c>
      <c r="AL178" s="107" t="s">
        <v>1906</v>
      </c>
      <c r="AM178" s="106">
        <v>0</v>
      </c>
      <c r="AN178" s="107" t="s">
        <v>1906</v>
      </c>
      <c r="AO178" s="106">
        <f>86.55*0.51</f>
        <v>44.140499999999996</v>
      </c>
      <c r="AP178" s="107" t="s">
        <v>1906</v>
      </c>
      <c r="AQ178" s="106">
        <f>86.55*0.51</f>
        <v>44.140499999999996</v>
      </c>
      <c r="AR178" s="106" t="s">
        <v>1906</v>
      </c>
      <c r="AS178" s="106">
        <f>86.55*0.51</f>
        <v>44.140499999999996</v>
      </c>
      <c r="AT178" s="107" t="s">
        <v>1906</v>
      </c>
      <c r="AU178" s="106">
        <f t="shared" si="7"/>
        <v>331.82129999999995</v>
      </c>
      <c r="AV178" s="25">
        <v>1E-3</v>
      </c>
      <c r="AW178" s="30" t="str">
        <f t="shared" si="8"/>
        <v>95-70</v>
      </c>
      <c r="AX178" s="30" t="s">
        <v>1907</v>
      </c>
      <c r="AY178" s="30">
        <v>0</v>
      </c>
      <c r="AZ178" s="30">
        <v>0</v>
      </c>
    </row>
    <row r="179" spans="1:52" ht="31.2" x14ac:dyDescent="0.3">
      <c r="A179" s="103">
        <v>169</v>
      </c>
      <c r="B179" s="30" t="s">
        <v>766</v>
      </c>
      <c r="C179" s="30" t="s">
        <v>1899</v>
      </c>
      <c r="D179" s="105" t="s">
        <v>1900</v>
      </c>
      <c r="E179" s="108" t="s">
        <v>1910</v>
      </c>
      <c r="F179" s="30" t="s">
        <v>1902</v>
      </c>
      <c r="G179" s="26" t="s">
        <v>145</v>
      </c>
      <c r="H179" s="24" t="s">
        <v>146</v>
      </c>
      <c r="I179" s="25">
        <v>1</v>
      </c>
      <c r="J179" s="24" t="s">
        <v>1903</v>
      </c>
      <c r="K179" s="24">
        <v>80.319999999999993</v>
      </c>
      <c r="L179" s="24">
        <v>5</v>
      </c>
      <c r="M179" s="24" t="str">
        <f t="shared" si="6"/>
        <v>95-70</v>
      </c>
      <c r="N179" s="24" t="s">
        <v>528</v>
      </c>
      <c r="O179" s="24" t="s">
        <v>529</v>
      </c>
      <c r="P179" s="24">
        <v>1</v>
      </c>
      <c r="Q179" s="102">
        <v>0</v>
      </c>
      <c r="R179" s="30" t="s">
        <v>1905</v>
      </c>
      <c r="S179" s="24">
        <v>0</v>
      </c>
      <c r="T179" s="24"/>
      <c r="U179" s="94">
        <v>2421.75</v>
      </c>
      <c r="V179" s="94">
        <v>2207.7599999999998</v>
      </c>
      <c r="W179" s="106">
        <v>335.32</v>
      </c>
      <c r="X179" s="107" t="s">
        <v>208</v>
      </c>
      <c r="Y179" s="106">
        <v>222.66</v>
      </c>
      <c r="Z179" s="107" t="s">
        <v>208</v>
      </c>
      <c r="AA179" s="106">
        <v>305.66000000000003</v>
      </c>
      <c r="AB179" s="107" t="s">
        <v>208</v>
      </c>
      <c r="AC179" s="106">
        <v>244.58</v>
      </c>
      <c r="AD179" s="107" t="s">
        <v>208</v>
      </c>
      <c r="AE179" s="106">
        <v>62.31</v>
      </c>
      <c r="AF179" s="107" t="s">
        <v>208</v>
      </c>
      <c r="AG179" s="106">
        <v>0</v>
      </c>
      <c r="AH179" s="107" t="s">
        <v>208</v>
      </c>
      <c r="AI179" s="106">
        <v>0</v>
      </c>
      <c r="AJ179" s="107" t="s">
        <v>208</v>
      </c>
      <c r="AK179" s="106">
        <v>0</v>
      </c>
      <c r="AL179" s="107" t="s">
        <v>208</v>
      </c>
      <c r="AM179" s="106">
        <v>0</v>
      </c>
      <c r="AN179" s="107" t="s">
        <v>208</v>
      </c>
      <c r="AO179" s="106">
        <v>120.53</v>
      </c>
      <c r="AP179" s="107" t="s">
        <v>208</v>
      </c>
      <c r="AQ179" s="106">
        <v>131.33000000000001</v>
      </c>
      <c r="AR179" s="106" t="s">
        <v>208</v>
      </c>
      <c r="AS179" s="106">
        <v>206.74</v>
      </c>
      <c r="AT179" s="107" t="s">
        <v>208</v>
      </c>
      <c r="AU179" s="106">
        <f t="shared" si="7"/>
        <v>1629.1299999999999</v>
      </c>
      <c r="AV179" s="25">
        <v>0.65110000000000001</v>
      </c>
      <c r="AW179" s="30" t="str">
        <f t="shared" si="8"/>
        <v>95-70</v>
      </c>
      <c r="AX179" s="30" t="s">
        <v>1907</v>
      </c>
      <c r="AY179" s="30">
        <v>0</v>
      </c>
      <c r="AZ179" s="30">
        <v>0</v>
      </c>
    </row>
    <row r="180" spans="1:52" ht="31.2" x14ac:dyDescent="0.3">
      <c r="A180" s="103">
        <v>170</v>
      </c>
      <c r="B180" s="30" t="s">
        <v>767</v>
      </c>
      <c r="C180" s="30" t="s">
        <v>1899</v>
      </c>
      <c r="D180" s="105" t="s">
        <v>1900</v>
      </c>
      <c r="E180" s="108" t="s">
        <v>1910</v>
      </c>
      <c r="F180" s="30" t="s">
        <v>1902</v>
      </c>
      <c r="G180" s="26" t="s">
        <v>145</v>
      </c>
      <c r="H180" s="24" t="s">
        <v>146</v>
      </c>
      <c r="I180" s="25">
        <v>1</v>
      </c>
      <c r="J180" s="24" t="s">
        <v>1903</v>
      </c>
      <c r="K180" s="24">
        <v>50.32</v>
      </c>
      <c r="L180" s="24">
        <v>5</v>
      </c>
      <c r="M180" s="24" t="str">
        <f t="shared" si="6"/>
        <v>95-70</v>
      </c>
      <c r="N180" s="24" t="s">
        <v>528</v>
      </c>
      <c r="O180" s="24" t="s">
        <v>529</v>
      </c>
      <c r="P180" s="24">
        <v>1</v>
      </c>
      <c r="Q180" s="102">
        <v>0</v>
      </c>
      <c r="R180" s="30" t="s">
        <v>1905</v>
      </c>
      <c r="S180" s="24">
        <v>0</v>
      </c>
      <c r="T180" s="24"/>
      <c r="U180" s="94">
        <v>1555.77</v>
      </c>
      <c r="V180" s="94">
        <v>1525.16</v>
      </c>
      <c r="W180" s="106">
        <v>225.66</v>
      </c>
      <c r="X180" s="107" t="s">
        <v>208</v>
      </c>
      <c r="Y180" s="106">
        <v>159.30000000000001</v>
      </c>
      <c r="Z180" s="107" t="s">
        <v>208</v>
      </c>
      <c r="AA180" s="106">
        <v>218.34</v>
      </c>
      <c r="AB180" s="107" t="s">
        <v>208</v>
      </c>
      <c r="AC180" s="106">
        <v>174.52</v>
      </c>
      <c r="AD180" s="107" t="s">
        <v>208</v>
      </c>
      <c r="AE180" s="106">
        <v>45.36</v>
      </c>
      <c r="AF180" s="107" t="s">
        <v>208</v>
      </c>
      <c r="AG180" s="106">
        <v>0</v>
      </c>
      <c r="AH180" s="107" t="s">
        <v>208</v>
      </c>
      <c r="AI180" s="106">
        <v>0</v>
      </c>
      <c r="AJ180" s="107" t="s">
        <v>208</v>
      </c>
      <c r="AK180" s="106">
        <v>0</v>
      </c>
      <c r="AL180" s="107" t="s">
        <v>208</v>
      </c>
      <c r="AM180" s="106">
        <v>0</v>
      </c>
      <c r="AN180" s="107" t="s">
        <v>208</v>
      </c>
      <c r="AO180" s="106">
        <v>87.88000000000001</v>
      </c>
      <c r="AP180" s="107" t="s">
        <v>208</v>
      </c>
      <c r="AQ180" s="106">
        <v>91.490000000000009</v>
      </c>
      <c r="AR180" s="106" t="s">
        <v>208</v>
      </c>
      <c r="AS180" s="106">
        <v>141.69</v>
      </c>
      <c r="AT180" s="107" t="s">
        <v>208</v>
      </c>
      <c r="AU180" s="106">
        <f t="shared" si="7"/>
        <v>1144.24</v>
      </c>
      <c r="AV180" s="25">
        <v>0.50180000000000002</v>
      </c>
      <c r="AW180" s="30" t="str">
        <f t="shared" si="8"/>
        <v>95-70</v>
      </c>
      <c r="AX180" s="30" t="s">
        <v>1907</v>
      </c>
      <c r="AY180" s="30">
        <v>0</v>
      </c>
      <c r="AZ180" s="30">
        <v>0</v>
      </c>
    </row>
    <row r="181" spans="1:52" ht="31.2" x14ac:dyDescent="0.3">
      <c r="A181" s="103">
        <v>171</v>
      </c>
      <c r="B181" s="30" t="s">
        <v>768</v>
      </c>
      <c r="C181" s="30" t="s">
        <v>1899</v>
      </c>
      <c r="D181" s="105" t="s">
        <v>1900</v>
      </c>
      <c r="E181" s="108" t="s">
        <v>1910</v>
      </c>
      <c r="F181" s="30" t="s">
        <v>1902</v>
      </c>
      <c r="G181" s="26" t="s">
        <v>145</v>
      </c>
      <c r="H181" s="24" t="s">
        <v>146</v>
      </c>
      <c r="I181" s="25">
        <v>1</v>
      </c>
      <c r="J181" s="24" t="s">
        <v>1903</v>
      </c>
      <c r="K181" s="24">
        <v>50.32</v>
      </c>
      <c r="L181" s="24">
        <v>5</v>
      </c>
      <c r="M181" s="24" t="str">
        <f t="shared" si="6"/>
        <v>95-70</v>
      </c>
      <c r="N181" s="24" t="s">
        <v>528</v>
      </c>
      <c r="O181" s="24" t="s">
        <v>529</v>
      </c>
      <c r="P181" s="24">
        <v>1</v>
      </c>
      <c r="Q181" s="102">
        <v>0</v>
      </c>
      <c r="R181" s="30" t="s">
        <v>1905</v>
      </c>
      <c r="S181" s="24">
        <v>0</v>
      </c>
      <c r="T181" s="24"/>
      <c r="U181" s="94">
        <v>1771.8799999999997</v>
      </c>
      <c r="V181" s="94">
        <v>1704.88</v>
      </c>
      <c r="W181" s="106">
        <v>240.13</v>
      </c>
      <c r="X181" s="107" t="s">
        <v>208</v>
      </c>
      <c r="Y181" s="106">
        <v>161.12</v>
      </c>
      <c r="Z181" s="107" t="s">
        <v>208</v>
      </c>
      <c r="AA181" s="106">
        <v>220.25</v>
      </c>
      <c r="AB181" s="107" t="s">
        <v>208</v>
      </c>
      <c r="AC181" s="106">
        <v>169.56</v>
      </c>
      <c r="AD181" s="107" t="s">
        <v>208</v>
      </c>
      <c r="AE181" s="106">
        <v>43.73</v>
      </c>
      <c r="AF181" s="107" t="s">
        <v>208</v>
      </c>
      <c r="AG181" s="106">
        <v>0</v>
      </c>
      <c r="AH181" s="107" t="s">
        <v>208</v>
      </c>
      <c r="AI181" s="106">
        <v>0</v>
      </c>
      <c r="AJ181" s="107" t="s">
        <v>208</v>
      </c>
      <c r="AK181" s="106">
        <v>0</v>
      </c>
      <c r="AL181" s="107" t="s">
        <v>208</v>
      </c>
      <c r="AM181" s="106">
        <v>0</v>
      </c>
      <c r="AN181" s="107" t="s">
        <v>208</v>
      </c>
      <c r="AO181" s="106">
        <v>84.65</v>
      </c>
      <c r="AP181" s="107" t="s">
        <v>208</v>
      </c>
      <c r="AQ181" s="106">
        <v>90.33</v>
      </c>
      <c r="AR181" s="106" t="s">
        <v>208</v>
      </c>
      <c r="AS181" s="106">
        <v>141.27000000000001</v>
      </c>
      <c r="AT181" s="107" t="s">
        <v>208</v>
      </c>
      <c r="AU181" s="106">
        <f t="shared" si="7"/>
        <v>1151.04</v>
      </c>
      <c r="AV181" s="25">
        <v>0.50690000000000002</v>
      </c>
      <c r="AW181" s="30" t="str">
        <f t="shared" si="8"/>
        <v>95-70</v>
      </c>
      <c r="AX181" s="30" t="s">
        <v>1907</v>
      </c>
      <c r="AY181" s="30">
        <v>0</v>
      </c>
      <c r="AZ181" s="30">
        <v>0</v>
      </c>
    </row>
    <row r="182" spans="1:52" ht="31.2" x14ac:dyDescent="0.3">
      <c r="A182" s="103">
        <v>172</v>
      </c>
      <c r="B182" s="30" t="s">
        <v>770</v>
      </c>
      <c r="C182" s="30" t="s">
        <v>1899</v>
      </c>
      <c r="D182" s="105" t="s">
        <v>1900</v>
      </c>
      <c r="E182" s="108" t="s">
        <v>1910</v>
      </c>
      <c r="F182" s="30" t="s">
        <v>1902</v>
      </c>
      <c r="G182" s="26" t="s">
        <v>145</v>
      </c>
      <c r="H182" s="24" t="s">
        <v>146</v>
      </c>
      <c r="I182" s="25">
        <v>1</v>
      </c>
      <c r="J182" s="24" t="s">
        <v>1903</v>
      </c>
      <c r="K182" s="24">
        <v>50.32</v>
      </c>
      <c r="L182" s="24">
        <v>5</v>
      </c>
      <c r="M182" s="24" t="str">
        <f t="shared" si="6"/>
        <v>95-70</v>
      </c>
      <c r="N182" s="24" t="s">
        <v>528</v>
      </c>
      <c r="O182" s="24" t="s">
        <v>529</v>
      </c>
      <c r="P182" s="24">
        <v>1</v>
      </c>
      <c r="Q182" s="102">
        <v>0</v>
      </c>
      <c r="R182" s="30" t="s">
        <v>1905</v>
      </c>
      <c r="S182" s="24">
        <v>0</v>
      </c>
      <c r="T182" s="24"/>
      <c r="U182" s="94">
        <v>1366.98</v>
      </c>
      <c r="V182" s="94">
        <v>1292.5899999999999</v>
      </c>
      <c r="W182" s="106">
        <v>194.59</v>
      </c>
      <c r="X182" s="107" t="s">
        <v>208</v>
      </c>
      <c r="Y182" s="106">
        <v>123.05</v>
      </c>
      <c r="Z182" s="107" t="s">
        <v>208</v>
      </c>
      <c r="AA182" s="106">
        <v>173.7</v>
      </c>
      <c r="AB182" s="107" t="s">
        <v>208</v>
      </c>
      <c r="AC182" s="106">
        <v>132.76</v>
      </c>
      <c r="AD182" s="107" t="s">
        <v>208</v>
      </c>
      <c r="AE182" s="106">
        <v>42.16</v>
      </c>
      <c r="AF182" s="107" t="s">
        <v>208</v>
      </c>
      <c r="AG182" s="106">
        <v>0</v>
      </c>
      <c r="AH182" s="107" t="s">
        <v>208</v>
      </c>
      <c r="AI182" s="106">
        <v>0</v>
      </c>
      <c r="AJ182" s="107" t="s">
        <v>208</v>
      </c>
      <c r="AK182" s="106">
        <v>0</v>
      </c>
      <c r="AL182" s="107" t="s">
        <v>208</v>
      </c>
      <c r="AM182" s="106">
        <v>0</v>
      </c>
      <c r="AN182" s="107" t="s">
        <v>208</v>
      </c>
      <c r="AO182" s="106">
        <v>151.74</v>
      </c>
      <c r="AP182" s="107" t="s">
        <v>208</v>
      </c>
      <c r="AQ182" s="106">
        <v>98.320000000000007</v>
      </c>
      <c r="AR182" s="106" t="s">
        <v>208</v>
      </c>
      <c r="AS182" s="106">
        <v>136.25</v>
      </c>
      <c r="AT182" s="107" t="s">
        <v>208</v>
      </c>
      <c r="AU182" s="106">
        <f t="shared" si="7"/>
        <v>1052.57</v>
      </c>
      <c r="AV182" s="25">
        <v>0.45079999999999998</v>
      </c>
      <c r="AW182" s="30" t="str">
        <f t="shared" si="8"/>
        <v>95-70</v>
      </c>
      <c r="AX182" s="30" t="s">
        <v>1907</v>
      </c>
      <c r="AY182" s="30">
        <v>0</v>
      </c>
      <c r="AZ182" s="30">
        <v>0</v>
      </c>
    </row>
    <row r="183" spans="1:52" ht="31.2" x14ac:dyDescent="0.3">
      <c r="A183" s="103">
        <v>173</v>
      </c>
      <c r="B183" s="30" t="s">
        <v>772</v>
      </c>
      <c r="C183" s="30" t="s">
        <v>1899</v>
      </c>
      <c r="D183" s="105" t="s">
        <v>1900</v>
      </c>
      <c r="E183" s="108" t="s">
        <v>1901</v>
      </c>
      <c r="F183" s="30" t="s">
        <v>1902</v>
      </c>
      <c r="G183" s="26" t="s">
        <v>145</v>
      </c>
      <c r="H183" s="24" t="s">
        <v>146</v>
      </c>
      <c r="I183" s="25">
        <v>1</v>
      </c>
      <c r="J183" s="24" t="s">
        <v>1903</v>
      </c>
      <c r="K183" s="24">
        <v>32</v>
      </c>
      <c r="L183" s="24">
        <v>5</v>
      </c>
      <c r="M183" s="24" t="str">
        <f t="shared" si="6"/>
        <v>95-70</v>
      </c>
      <c r="N183" s="24" t="s">
        <v>529</v>
      </c>
      <c r="O183" s="24" t="s">
        <v>529</v>
      </c>
      <c r="P183" s="24">
        <v>1</v>
      </c>
      <c r="Q183" s="102">
        <v>0</v>
      </c>
      <c r="R183" s="30" t="s">
        <v>1905</v>
      </c>
      <c r="S183" s="24">
        <v>0</v>
      </c>
      <c r="T183" s="24"/>
      <c r="U183" s="94">
        <v>1184.8400000000001</v>
      </c>
      <c r="V183" s="94">
        <v>1256.04</v>
      </c>
      <c r="W183" s="106">
        <v>171.53</v>
      </c>
      <c r="X183" s="107" t="s">
        <v>208</v>
      </c>
      <c r="Y183" s="106">
        <v>171.53</v>
      </c>
      <c r="Z183" s="107" t="s">
        <v>208</v>
      </c>
      <c r="AA183" s="106">
        <v>171.53</v>
      </c>
      <c r="AB183" s="107" t="s">
        <v>208</v>
      </c>
      <c r="AC183" s="106">
        <v>171.53</v>
      </c>
      <c r="AD183" s="107" t="s">
        <v>208</v>
      </c>
      <c r="AE183" s="106">
        <v>55.33</v>
      </c>
      <c r="AF183" s="107" t="s">
        <v>208</v>
      </c>
      <c r="AG183" s="106">
        <v>0</v>
      </c>
      <c r="AH183" s="107" t="s">
        <v>208</v>
      </c>
      <c r="AI183" s="106">
        <v>0</v>
      </c>
      <c r="AJ183" s="107" t="s">
        <v>208</v>
      </c>
      <c r="AK183" s="106">
        <v>0</v>
      </c>
      <c r="AL183" s="107" t="s">
        <v>208</v>
      </c>
      <c r="AM183" s="106">
        <v>0</v>
      </c>
      <c r="AN183" s="107" t="s">
        <v>208</v>
      </c>
      <c r="AO183" s="106">
        <v>171.6</v>
      </c>
      <c r="AP183" s="107" t="s">
        <v>208</v>
      </c>
      <c r="AQ183" s="106">
        <v>53.43</v>
      </c>
      <c r="AR183" s="106" t="s">
        <v>208</v>
      </c>
      <c r="AS183" s="106">
        <v>110.7</v>
      </c>
      <c r="AT183" s="107" t="s">
        <v>208</v>
      </c>
      <c r="AU183" s="106">
        <f t="shared" si="7"/>
        <v>1077.18</v>
      </c>
      <c r="AV183" s="25">
        <v>0.67</v>
      </c>
      <c r="AW183" s="30" t="str">
        <f t="shared" si="8"/>
        <v>95-70</v>
      </c>
      <c r="AX183" s="30" t="s">
        <v>1907</v>
      </c>
      <c r="AY183" s="30">
        <v>0</v>
      </c>
      <c r="AZ183" s="30">
        <v>0</v>
      </c>
    </row>
    <row r="184" spans="1:52" ht="31.2" x14ac:dyDescent="0.3">
      <c r="A184" s="103">
        <v>174</v>
      </c>
      <c r="B184" s="30" t="s">
        <v>773</v>
      </c>
      <c r="C184" s="30" t="s">
        <v>1899</v>
      </c>
      <c r="D184" s="105" t="s">
        <v>1900</v>
      </c>
      <c r="E184" s="108" t="s">
        <v>1910</v>
      </c>
      <c r="F184" s="30" t="s">
        <v>1902</v>
      </c>
      <c r="G184" s="26" t="s">
        <v>145</v>
      </c>
      <c r="H184" s="24" t="s">
        <v>146</v>
      </c>
      <c r="I184" s="25">
        <v>1</v>
      </c>
      <c r="J184" s="24" t="s">
        <v>1903</v>
      </c>
      <c r="K184" s="24">
        <v>80.319999999999993</v>
      </c>
      <c r="L184" s="24">
        <v>5</v>
      </c>
      <c r="M184" s="24" t="str">
        <f t="shared" si="6"/>
        <v>95-70</v>
      </c>
      <c r="N184" s="24" t="s">
        <v>528</v>
      </c>
      <c r="O184" s="24" t="s">
        <v>529</v>
      </c>
      <c r="P184" s="24">
        <v>1</v>
      </c>
      <c r="Q184" s="102">
        <v>0</v>
      </c>
      <c r="R184" s="30" t="s">
        <v>1905</v>
      </c>
      <c r="S184" s="24">
        <v>0</v>
      </c>
      <c r="T184" s="24"/>
      <c r="U184" s="94">
        <v>1496.9</v>
      </c>
      <c r="V184" s="94">
        <v>1611.28</v>
      </c>
      <c r="W184" s="106">
        <v>158.39999999999998</v>
      </c>
      <c r="X184" s="107" t="s">
        <v>208</v>
      </c>
      <c r="Y184" s="106">
        <v>158.39999999999998</v>
      </c>
      <c r="Z184" s="107" t="s">
        <v>208</v>
      </c>
      <c r="AA184" s="106">
        <v>158.39999999999998</v>
      </c>
      <c r="AB184" s="107" t="s">
        <v>208</v>
      </c>
      <c r="AC184" s="106">
        <v>158.39999999999998</v>
      </c>
      <c r="AD184" s="107" t="s">
        <v>208</v>
      </c>
      <c r="AE184" s="106">
        <v>45.980000000000004</v>
      </c>
      <c r="AF184" s="107" t="s">
        <v>208</v>
      </c>
      <c r="AG184" s="106">
        <v>0</v>
      </c>
      <c r="AH184" s="107" t="s">
        <v>208</v>
      </c>
      <c r="AI184" s="106">
        <v>0</v>
      </c>
      <c r="AJ184" s="107" t="s">
        <v>208</v>
      </c>
      <c r="AK184" s="106">
        <v>0</v>
      </c>
      <c r="AL184" s="107" t="s">
        <v>208</v>
      </c>
      <c r="AM184" s="106">
        <v>0</v>
      </c>
      <c r="AN184" s="107" t="s">
        <v>208</v>
      </c>
      <c r="AO184" s="106">
        <v>158.04</v>
      </c>
      <c r="AP184" s="107" t="s">
        <v>208</v>
      </c>
      <c r="AQ184" s="106">
        <v>158.04</v>
      </c>
      <c r="AR184" s="106" t="s">
        <v>208</v>
      </c>
      <c r="AS184" s="106">
        <v>158.04</v>
      </c>
      <c r="AT184" s="107" t="s">
        <v>208</v>
      </c>
      <c r="AU184" s="106">
        <f t="shared" si="7"/>
        <v>1153.6999999999998</v>
      </c>
      <c r="AV184" s="25">
        <v>0.51659999999999995</v>
      </c>
      <c r="AW184" s="30" t="str">
        <f t="shared" si="8"/>
        <v>95-70</v>
      </c>
      <c r="AX184" s="30" t="s">
        <v>1907</v>
      </c>
      <c r="AY184" s="30">
        <v>0</v>
      </c>
      <c r="AZ184" s="30">
        <v>0</v>
      </c>
    </row>
    <row r="185" spans="1:52" ht="31.2" x14ac:dyDescent="0.3">
      <c r="A185" s="103">
        <v>175</v>
      </c>
      <c r="B185" s="30" t="s">
        <v>774</v>
      </c>
      <c r="C185" s="30" t="s">
        <v>1899</v>
      </c>
      <c r="D185" s="105" t="s">
        <v>1900</v>
      </c>
      <c r="E185" s="108" t="s">
        <v>1910</v>
      </c>
      <c r="F185" s="30" t="s">
        <v>1902</v>
      </c>
      <c r="G185" s="26" t="s">
        <v>145</v>
      </c>
      <c r="H185" s="24" t="s">
        <v>146</v>
      </c>
      <c r="I185" s="25">
        <v>1</v>
      </c>
      <c r="J185" s="24" t="s">
        <v>1903</v>
      </c>
      <c r="K185" s="24">
        <v>50.2</v>
      </c>
      <c r="L185" s="24">
        <v>5</v>
      </c>
      <c r="M185" s="24" t="str">
        <f t="shared" si="6"/>
        <v>95-70</v>
      </c>
      <c r="N185" s="24" t="s">
        <v>528</v>
      </c>
      <c r="O185" s="24" t="s">
        <v>529</v>
      </c>
      <c r="P185" s="24">
        <v>1</v>
      </c>
      <c r="Q185" s="102">
        <v>0</v>
      </c>
      <c r="R185" s="30" t="s">
        <v>1905</v>
      </c>
      <c r="S185" s="24">
        <v>0</v>
      </c>
      <c r="T185" s="24"/>
      <c r="U185" s="94">
        <v>587.27</v>
      </c>
      <c r="V185" s="94">
        <v>747.83000000000015</v>
      </c>
      <c r="W185" s="106">
        <v>99.68</v>
      </c>
      <c r="X185" s="107" t="s">
        <v>208</v>
      </c>
      <c r="Y185" s="106">
        <v>64.510000000000005</v>
      </c>
      <c r="Z185" s="107" t="s">
        <v>208</v>
      </c>
      <c r="AA185" s="106">
        <v>89.9</v>
      </c>
      <c r="AB185" s="107" t="s">
        <v>208</v>
      </c>
      <c r="AC185" s="106">
        <v>65.599999999999994</v>
      </c>
      <c r="AD185" s="107" t="s">
        <v>208</v>
      </c>
      <c r="AE185" s="106">
        <v>21.1</v>
      </c>
      <c r="AF185" s="107" t="s">
        <v>208</v>
      </c>
      <c r="AG185" s="106">
        <v>0</v>
      </c>
      <c r="AH185" s="107" t="s">
        <v>208</v>
      </c>
      <c r="AI185" s="106">
        <v>0</v>
      </c>
      <c r="AJ185" s="107" t="s">
        <v>208</v>
      </c>
      <c r="AK185" s="106">
        <v>0</v>
      </c>
      <c r="AL185" s="107" t="s">
        <v>208</v>
      </c>
      <c r="AM185" s="106">
        <v>0</v>
      </c>
      <c r="AN185" s="107" t="s">
        <v>208</v>
      </c>
      <c r="AO185" s="106">
        <v>35.200000000000003</v>
      </c>
      <c r="AP185" s="107" t="s">
        <v>208</v>
      </c>
      <c r="AQ185" s="106">
        <v>39.15</v>
      </c>
      <c r="AR185" s="106" t="s">
        <v>208</v>
      </c>
      <c r="AS185" s="106">
        <v>66.05</v>
      </c>
      <c r="AT185" s="107" t="s">
        <v>208</v>
      </c>
      <c r="AU185" s="106">
        <f t="shared" si="7"/>
        <v>481.19</v>
      </c>
      <c r="AV185" s="25">
        <v>0.2001</v>
      </c>
      <c r="AW185" s="30" t="str">
        <f t="shared" si="8"/>
        <v>95-70</v>
      </c>
      <c r="AX185" s="30" t="s">
        <v>1907</v>
      </c>
      <c r="AY185" s="30">
        <v>0</v>
      </c>
      <c r="AZ185" s="30">
        <v>0</v>
      </c>
    </row>
    <row r="186" spans="1:52" ht="31.2" x14ac:dyDescent="0.3">
      <c r="A186" s="103">
        <v>176</v>
      </c>
      <c r="B186" s="30" t="s">
        <v>776</v>
      </c>
      <c r="C186" s="30" t="s">
        <v>1899</v>
      </c>
      <c r="D186" s="105" t="s">
        <v>1900</v>
      </c>
      <c r="E186" s="108" t="s">
        <v>1901</v>
      </c>
      <c r="F186" s="30" t="s">
        <v>1902</v>
      </c>
      <c r="G186" s="26" t="s">
        <v>145</v>
      </c>
      <c r="H186" s="24" t="s">
        <v>146</v>
      </c>
      <c r="I186" s="25">
        <v>1</v>
      </c>
      <c r="J186" s="24" t="s">
        <v>1903</v>
      </c>
      <c r="K186" s="24">
        <v>50</v>
      </c>
      <c r="L186" s="24">
        <v>5</v>
      </c>
      <c r="M186" s="24" t="str">
        <f t="shared" si="6"/>
        <v>95-70</v>
      </c>
      <c r="N186" s="24" t="s">
        <v>529</v>
      </c>
      <c r="O186" s="24" t="s">
        <v>529</v>
      </c>
      <c r="P186" s="24">
        <v>1</v>
      </c>
      <c r="Q186" s="102">
        <v>0</v>
      </c>
      <c r="R186" s="30" t="s">
        <v>1905</v>
      </c>
      <c r="S186" s="24">
        <v>0</v>
      </c>
      <c r="T186" s="24"/>
      <c r="U186" s="94">
        <v>1007.2900000000001</v>
      </c>
      <c r="V186" s="94">
        <v>1102.1100000000001</v>
      </c>
      <c r="W186" s="106">
        <v>210.16</v>
      </c>
      <c r="X186" s="107" t="s">
        <v>208</v>
      </c>
      <c r="Y186" s="106">
        <v>144.30000000000001</v>
      </c>
      <c r="Z186" s="107" t="s">
        <v>208</v>
      </c>
      <c r="AA186" s="106">
        <v>200.71</v>
      </c>
      <c r="AB186" s="107" t="s">
        <v>208</v>
      </c>
      <c r="AC186" s="106">
        <v>122.4</v>
      </c>
      <c r="AD186" s="107" t="s">
        <v>208</v>
      </c>
      <c r="AE186" s="106">
        <v>38.4</v>
      </c>
      <c r="AF186" s="107" t="s">
        <v>208</v>
      </c>
      <c r="AG186" s="106">
        <v>0</v>
      </c>
      <c r="AH186" s="107" t="s">
        <v>208</v>
      </c>
      <c r="AI186" s="106">
        <v>0</v>
      </c>
      <c r="AJ186" s="107" t="s">
        <v>208</v>
      </c>
      <c r="AK186" s="106">
        <v>0</v>
      </c>
      <c r="AL186" s="107" t="s">
        <v>208</v>
      </c>
      <c r="AM186" s="106">
        <v>0</v>
      </c>
      <c r="AN186" s="107" t="s">
        <v>208</v>
      </c>
      <c r="AO186" s="106">
        <v>74.91</v>
      </c>
      <c r="AP186" s="107" t="s">
        <v>208</v>
      </c>
      <c r="AQ186" s="106">
        <v>87.34</v>
      </c>
      <c r="AR186" s="106" t="s">
        <v>208</v>
      </c>
      <c r="AS186" s="106">
        <v>128.72</v>
      </c>
      <c r="AT186" s="107" t="s">
        <v>208</v>
      </c>
      <c r="AU186" s="106">
        <f t="shared" si="7"/>
        <v>1006.94</v>
      </c>
      <c r="AV186" s="25">
        <v>0.47199999999999998</v>
      </c>
      <c r="AW186" s="30" t="str">
        <f t="shared" si="8"/>
        <v>95-70</v>
      </c>
      <c r="AX186" s="30" t="s">
        <v>1907</v>
      </c>
      <c r="AY186" s="30">
        <v>0</v>
      </c>
      <c r="AZ186" s="30">
        <v>0</v>
      </c>
    </row>
    <row r="187" spans="1:52" ht="31.2" x14ac:dyDescent="0.3">
      <c r="A187" s="103">
        <v>177</v>
      </c>
      <c r="B187" s="30" t="s">
        <v>777</v>
      </c>
      <c r="C187" s="30" t="s">
        <v>1899</v>
      </c>
      <c r="D187" s="105" t="s">
        <v>1900</v>
      </c>
      <c r="E187" s="108" t="s">
        <v>1901</v>
      </c>
      <c r="F187" s="30" t="s">
        <v>1902</v>
      </c>
      <c r="G187" s="26" t="s">
        <v>145</v>
      </c>
      <c r="H187" s="24" t="s">
        <v>146</v>
      </c>
      <c r="I187" s="25">
        <v>0</v>
      </c>
      <c r="J187" s="24" t="s">
        <v>1903</v>
      </c>
      <c r="K187" s="24">
        <v>32</v>
      </c>
      <c r="L187" s="24">
        <v>5</v>
      </c>
      <c r="M187" s="24" t="str">
        <f t="shared" si="6"/>
        <v>95-70</v>
      </c>
      <c r="N187" s="24" t="s">
        <v>529</v>
      </c>
      <c r="O187" s="24" t="s">
        <v>529</v>
      </c>
      <c r="P187" s="24">
        <v>0</v>
      </c>
      <c r="Q187" s="102">
        <v>0</v>
      </c>
      <c r="R187" s="30" t="s">
        <v>1905</v>
      </c>
      <c r="S187" s="24">
        <v>0</v>
      </c>
      <c r="T187" s="24"/>
      <c r="U187" s="94">
        <v>314.09999999999997</v>
      </c>
      <c r="V187" s="94">
        <v>268.79999999999995</v>
      </c>
      <c r="W187" s="106">
        <v>36.870000000000005</v>
      </c>
      <c r="X187" s="107" t="s">
        <v>1906</v>
      </c>
      <c r="Y187" s="106">
        <v>36.870000000000005</v>
      </c>
      <c r="Z187" s="107" t="s">
        <v>1906</v>
      </c>
      <c r="AA187" s="106">
        <v>36.870000000000005</v>
      </c>
      <c r="AB187" s="107" t="s">
        <v>1906</v>
      </c>
      <c r="AC187" s="106">
        <v>36.870000000000005</v>
      </c>
      <c r="AD187" s="107" t="s">
        <v>1906</v>
      </c>
      <c r="AE187" s="106">
        <v>10.709999999999999</v>
      </c>
      <c r="AF187" s="107" t="s">
        <v>1906</v>
      </c>
      <c r="AG187" s="106">
        <v>0</v>
      </c>
      <c r="AH187" s="107" t="s">
        <v>1906</v>
      </c>
      <c r="AI187" s="106">
        <v>0</v>
      </c>
      <c r="AJ187" s="107" t="s">
        <v>1906</v>
      </c>
      <c r="AK187" s="106">
        <v>0</v>
      </c>
      <c r="AL187" s="107" t="s">
        <v>1906</v>
      </c>
      <c r="AM187" s="106">
        <v>8.67</v>
      </c>
      <c r="AN187" s="107" t="s">
        <v>1906</v>
      </c>
      <c r="AO187" s="106">
        <v>37.17</v>
      </c>
      <c r="AP187" s="107" t="s">
        <v>1906</v>
      </c>
      <c r="AQ187" s="106">
        <v>37.17</v>
      </c>
      <c r="AR187" s="106" t="s">
        <v>1906</v>
      </c>
      <c r="AS187" s="106">
        <v>37.17</v>
      </c>
      <c r="AT187" s="107" t="s">
        <v>1906</v>
      </c>
      <c r="AU187" s="106">
        <f t="shared" si="7"/>
        <v>278.37000000000006</v>
      </c>
      <c r="AV187" s="25">
        <v>0.13350000000000001</v>
      </c>
      <c r="AW187" s="30" t="str">
        <f t="shared" si="8"/>
        <v>95-70</v>
      </c>
      <c r="AX187" s="30" t="s">
        <v>1907</v>
      </c>
      <c r="AY187" s="30">
        <v>0</v>
      </c>
      <c r="AZ187" s="30">
        <v>0</v>
      </c>
    </row>
    <row r="188" spans="1:52" ht="31.2" x14ac:dyDescent="0.3">
      <c r="A188" s="103">
        <v>178</v>
      </c>
      <c r="B188" s="30" t="s">
        <v>779</v>
      </c>
      <c r="C188" s="30" t="s">
        <v>1899</v>
      </c>
      <c r="D188" s="105" t="s">
        <v>1900</v>
      </c>
      <c r="E188" s="108" t="s">
        <v>1901</v>
      </c>
      <c r="F188" s="30" t="s">
        <v>1902</v>
      </c>
      <c r="G188" s="26" t="s">
        <v>145</v>
      </c>
      <c r="H188" s="24" t="s">
        <v>146</v>
      </c>
      <c r="I188" s="25">
        <v>1</v>
      </c>
      <c r="J188" s="24" t="s">
        <v>1903</v>
      </c>
      <c r="K188" s="24">
        <v>65</v>
      </c>
      <c r="L188" s="24">
        <v>5</v>
      </c>
      <c r="M188" s="24" t="str">
        <f t="shared" si="6"/>
        <v>95-70</v>
      </c>
      <c r="N188" s="24" t="s">
        <v>529</v>
      </c>
      <c r="O188" s="24" t="s">
        <v>529</v>
      </c>
      <c r="P188" s="24">
        <v>1</v>
      </c>
      <c r="Q188" s="102">
        <v>0</v>
      </c>
      <c r="R188" s="30" t="s">
        <v>1905</v>
      </c>
      <c r="S188" s="24">
        <v>0</v>
      </c>
      <c r="T188" s="24"/>
      <c r="U188" s="94">
        <v>1633.32</v>
      </c>
      <c r="V188" s="94">
        <v>1479.6799999999998</v>
      </c>
      <c r="W188" s="106">
        <v>202.07</v>
      </c>
      <c r="X188" s="107" t="s">
        <v>1906</v>
      </c>
      <c r="Y188" s="106">
        <v>202.07</v>
      </c>
      <c r="Z188" s="107" t="s">
        <v>1906</v>
      </c>
      <c r="AA188" s="106">
        <v>202.07</v>
      </c>
      <c r="AB188" s="107" t="s">
        <v>1906</v>
      </c>
      <c r="AC188" s="106">
        <v>202.07</v>
      </c>
      <c r="AD188" s="107" t="s">
        <v>1906</v>
      </c>
      <c r="AE188" s="106">
        <v>65.19</v>
      </c>
      <c r="AF188" s="107" t="s">
        <v>1906</v>
      </c>
      <c r="AG188" s="106">
        <v>0</v>
      </c>
      <c r="AH188" s="107" t="s">
        <v>1906</v>
      </c>
      <c r="AI188" s="106">
        <v>0</v>
      </c>
      <c r="AJ188" s="107" t="s">
        <v>1906</v>
      </c>
      <c r="AK188" s="106">
        <v>0</v>
      </c>
      <c r="AL188" s="107" t="s">
        <v>1906</v>
      </c>
      <c r="AM188" s="106">
        <v>47.02</v>
      </c>
      <c r="AN188" s="107" t="s">
        <v>1906</v>
      </c>
      <c r="AO188" s="106">
        <v>201.53</v>
      </c>
      <c r="AP188" s="107" t="s">
        <v>1906</v>
      </c>
      <c r="AQ188" s="106">
        <v>201.53</v>
      </c>
      <c r="AR188" s="106" t="s">
        <v>1906</v>
      </c>
      <c r="AS188" s="106">
        <v>201.53</v>
      </c>
      <c r="AT188" s="107" t="s">
        <v>1906</v>
      </c>
      <c r="AU188" s="106">
        <f t="shared" si="7"/>
        <v>1525.08</v>
      </c>
      <c r="AV188" s="25">
        <v>0.78069999999999995</v>
      </c>
      <c r="AW188" s="30" t="str">
        <f t="shared" si="8"/>
        <v>95-70</v>
      </c>
      <c r="AX188" s="30" t="s">
        <v>1907</v>
      </c>
      <c r="AY188" s="30">
        <v>0</v>
      </c>
      <c r="AZ188" s="30">
        <v>0</v>
      </c>
    </row>
    <row r="189" spans="1:52" ht="31.2" x14ac:dyDescent="0.3">
      <c r="A189" s="103">
        <v>179</v>
      </c>
      <c r="B189" s="30" t="s">
        <v>781</v>
      </c>
      <c r="C189" s="30" t="s">
        <v>1899</v>
      </c>
      <c r="D189" s="105" t="s">
        <v>1900</v>
      </c>
      <c r="E189" s="108" t="s">
        <v>1901</v>
      </c>
      <c r="F189" s="30" t="s">
        <v>1902</v>
      </c>
      <c r="G189" s="26" t="s">
        <v>145</v>
      </c>
      <c r="H189" s="24" t="s">
        <v>146</v>
      </c>
      <c r="I189" s="25">
        <v>1</v>
      </c>
      <c r="J189" s="24" t="s">
        <v>1903</v>
      </c>
      <c r="K189" s="24">
        <v>50</v>
      </c>
      <c r="L189" s="24">
        <v>5</v>
      </c>
      <c r="M189" s="24" t="str">
        <f t="shared" si="6"/>
        <v>95-70</v>
      </c>
      <c r="N189" s="24" t="s">
        <v>529</v>
      </c>
      <c r="O189" s="24" t="s">
        <v>529</v>
      </c>
      <c r="P189" s="24">
        <v>1</v>
      </c>
      <c r="Q189" s="102">
        <v>0</v>
      </c>
      <c r="R189" s="30" t="s">
        <v>1905</v>
      </c>
      <c r="S189" s="24">
        <v>0</v>
      </c>
      <c r="T189" s="24"/>
      <c r="U189" s="94">
        <v>972.19999999999993</v>
      </c>
      <c r="V189" s="94">
        <v>737.7</v>
      </c>
      <c r="W189" s="106">
        <v>93.95</v>
      </c>
      <c r="X189" s="107" t="s">
        <v>208</v>
      </c>
      <c r="Y189" s="106">
        <v>98.44</v>
      </c>
      <c r="Z189" s="107" t="s">
        <v>208</v>
      </c>
      <c r="AA189" s="106">
        <v>109.9</v>
      </c>
      <c r="AB189" s="107" t="s">
        <v>208</v>
      </c>
      <c r="AC189" s="106">
        <v>104.55</v>
      </c>
      <c r="AD189" s="107" t="s">
        <v>208</v>
      </c>
      <c r="AE189" s="106">
        <v>19.36</v>
      </c>
      <c r="AF189" s="107" t="s">
        <v>208</v>
      </c>
      <c r="AG189" s="106">
        <v>0</v>
      </c>
      <c r="AH189" s="107" t="s">
        <v>208</v>
      </c>
      <c r="AI189" s="106">
        <v>0</v>
      </c>
      <c r="AJ189" s="107" t="s">
        <v>208</v>
      </c>
      <c r="AK189" s="106">
        <v>0</v>
      </c>
      <c r="AL189" s="107" t="s">
        <v>208</v>
      </c>
      <c r="AM189" s="106">
        <v>0</v>
      </c>
      <c r="AN189" s="107" t="s">
        <v>208</v>
      </c>
      <c r="AO189" s="106">
        <v>83.77</v>
      </c>
      <c r="AP189" s="107" t="s">
        <v>208</v>
      </c>
      <c r="AQ189" s="106">
        <v>103.04</v>
      </c>
      <c r="AR189" s="106" t="s">
        <v>208</v>
      </c>
      <c r="AS189" s="106">
        <v>69.53</v>
      </c>
      <c r="AT189" s="107" t="s">
        <v>208</v>
      </c>
      <c r="AU189" s="106">
        <f t="shared" si="7"/>
        <v>682.54</v>
      </c>
      <c r="AV189" s="25">
        <v>0.4647</v>
      </c>
      <c r="AW189" s="30" t="str">
        <f t="shared" si="8"/>
        <v>95-70</v>
      </c>
      <c r="AX189" s="30" t="s">
        <v>1907</v>
      </c>
      <c r="AY189" s="30">
        <v>0</v>
      </c>
      <c r="AZ189" s="30">
        <v>0</v>
      </c>
    </row>
    <row r="190" spans="1:52" ht="31.2" x14ac:dyDescent="0.3">
      <c r="A190" s="103">
        <v>180</v>
      </c>
      <c r="B190" s="30" t="s">
        <v>783</v>
      </c>
      <c r="C190" s="30" t="s">
        <v>1899</v>
      </c>
      <c r="D190" s="105" t="s">
        <v>1900</v>
      </c>
      <c r="E190" s="108" t="s">
        <v>1901</v>
      </c>
      <c r="F190" s="30" t="s">
        <v>1902</v>
      </c>
      <c r="G190" s="26" t="s">
        <v>145</v>
      </c>
      <c r="H190" s="24" t="s">
        <v>146</v>
      </c>
      <c r="I190" s="25">
        <v>1</v>
      </c>
      <c r="J190" s="24" t="s">
        <v>1903</v>
      </c>
      <c r="K190" s="24">
        <v>50</v>
      </c>
      <c r="L190" s="24">
        <v>5</v>
      </c>
      <c r="M190" s="24" t="str">
        <f t="shared" si="6"/>
        <v>95-70</v>
      </c>
      <c r="N190" s="24" t="s">
        <v>529</v>
      </c>
      <c r="O190" s="24" t="s">
        <v>529</v>
      </c>
      <c r="P190" s="24">
        <v>1</v>
      </c>
      <c r="Q190" s="102">
        <v>0</v>
      </c>
      <c r="R190" s="30" t="s">
        <v>1905</v>
      </c>
      <c r="S190" s="24">
        <v>0</v>
      </c>
      <c r="T190" s="24"/>
      <c r="U190" s="94">
        <v>417.84000000000003</v>
      </c>
      <c r="V190" s="94">
        <v>371.07000000000005</v>
      </c>
      <c r="W190" s="106">
        <v>71.47</v>
      </c>
      <c r="X190" s="107" t="s">
        <v>1906</v>
      </c>
      <c r="Y190" s="106">
        <v>52.63</v>
      </c>
      <c r="Z190" s="107" t="s">
        <v>1906</v>
      </c>
      <c r="AA190" s="106">
        <v>75.62</v>
      </c>
      <c r="AB190" s="107" t="s">
        <v>1906</v>
      </c>
      <c r="AC190" s="106">
        <v>53.78</v>
      </c>
      <c r="AD190" s="107" t="s">
        <v>1906</v>
      </c>
      <c r="AE190" s="106">
        <v>16.329999999999998</v>
      </c>
      <c r="AF190" s="107" t="s">
        <v>1906</v>
      </c>
      <c r="AG190" s="106">
        <v>0</v>
      </c>
      <c r="AH190" s="107" t="s">
        <v>1906</v>
      </c>
      <c r="AI190" s="106">
        <v>0</v>
      </c>
      <c r="AJ190" s="107" t="s">
        <v>1906</v>
      </c>
      <c r="AK190" s="106">
        <v>0</v>
      </c>
      <c r="AL190" s="107" t="s">
        <v>1906</v>
      </c>
      <c r="AM190" s="106">
        <v>0</v>
      </c>
      <c r="AN190" s="107" t="s">
        <v>1906</v>
      </c>
      <c r="AO190" s="106">
        <v>39.979999999999997</v>
      </c>
      <c r="AP190" s="107" t="s">
        <v>1906</v>
      </c>
      <c r="AQ190" s="106">
        <v>39.979999999999997</v>
      </c>
      <c r="AR190" s="106" t="s">
        <v>1906</v>
      </c>
      <c r="AS190" s="106">
        <v>39.979999999999997</v>
      </c>
      <c r="AT190" s="107" t="s">
        <v>1906</v>
      </c>
      <c r="AU190" s="106">
        <f t="shared" si="7"/>
        <v>389.77000000000004</v>
      </c>
      <c r="AV190" s="25">
        <v>0.2001</v>
      </c>
      <c r="AW190" s="30" t="str">
        <f t="shared" si="8"/>
        <v>95-70</v>
      </c>
      <c r="AX190" s="30" t="s">
        <v>1907</v>
      </c>
      <c r="AY190" s="30">
        <v>0</v>
      </c>
      <c r="AZ190" s="30">
        <v>0</v>
      </c>
    </row>
    <row r="191" spans="1:52" ht="31.2" x14ac:dyDescent="0.3">
      <c r="A191" s="103">
        <v>181</v>
      </c>
      <c r="B191" s="30" t="s">
        <v>784</v>
      </c>
      <c r="C191" s="30" t="s">
        <v>1899</v>
      </c>
      <c r="D191" s="105" t="s">
        <v>1900</v>
      </c>
      <c r="E191" s="108" t="s">
        <v>1901</v>
      </c>
      <c r="F191" s="30" t="s">
        <v>1902</v>
      </c>
      <c r="G191" s="26" t="s">
        <v>145</v>
      </c>
      <c r="H191" s="24" t="s">
        <v>146</v>
      </c>
      <c r="I191" s="25">
        <v>1</v>
      </c>
      <c r="J191" s="24" t="s">
        <v>1903</v>
      </c>
      <c r="K191" s="24">
        <v>50</v>
      </c>
      <c r="L191" s="24">
        <v>5</v>
      </c>
      <c r="M191" s="24" t="str">
        <f t="shared" si="6"/>
        <v>95-70</v>
      </c>
      <c r="N191" s="24" t="s">
        <v>529</v>
      </c>
      <c r="O191" s="24" t="s">
        <v>529</v>
      </c>
      <c r="P191" s="24">
        <v>1</v>
      </c>
      <c r="Q191" s="102">
        <v>0</v>
      </c>
      <c r="R191" s="30" t="s">
        <v>1905</v>
      </c>
      <c r="S191" s="24">
        <v>0</v>
      </c>
      <c r="T191" s="24"/>
      <c r="U191" s="94">
        <f>513.93*0.88</f>
        <v>452.25839999999994</v>
      </c>
      <c r="V191" s="94">
        <f>543.49*0.88</f>
        <v>478.27120000000002</v>
      </c>
      <c r="W191" s="106">
        <f>74.55*0.88</f>
        <v>65.603999999999999</v>
      </c>
      <c r="X191" s="107" t="s">
        <v>1906</v>
      </c>
      <c r="Y191" s="106">
        <f>74.55*0.88</f>
        <v>65.603999999999999</v>
      </c>
      <c r="Z191" s="107" t="s">
        <v>1906</v>
      </c>
      <c r="AA191" s="106">
        <f>74.55*0.88</f>
        <v>65.603999999999999</v>
      </c>
      <c r="AB191" s="107" t="s">
        <v>1906</v>
      </c>
      <c r="AC191" s="106">
        <f>74.55*0.88</f>
        <v>65.603999999999999</v>
      </c>
      <c r="AD191" s="107" t="s">
        <v>1906</v>
      </c>
      <c r="AE191" s="106">
        <f>21.64*0.88</f>
        <v>19.043200000000002</v>
      </c>
      <c r="AF191" s="107" t="s">
        <v>1906</v>
      </c>
      <c r="AG191" s="106">
        <v>0</v>
      </c>
      <c r="AH191" s="107" t="s">
        <v>1906</v>
      </c>
      <c r="AI191" s="106">
        <v>0</v>
      </c>
      <c r="AJ191" s="107" t="s">
        <v>1906</v>
      </c>
      <c r="AK191" s="106">
        <v>0</v>
      </c>
      <c r="AL191" s="107" t="s">
        <v>1906</v>
      </c>
      <c r="AM191" s="106">
        <f>1.23*0.88</f>
        <v>1.0824</v>
      </c>
      <c r="AN191" s="107" t="s">
        <v>1906</v>
      </c>
      <c r="AO191" s="106">
        <f>69.98*0.88</f>
        <v>61.582400000000007</v>
      </c>
      <c r="AP191" s="107" t="s">
        <v>1906</v>
      </c>
      <c r="AQ191" s="106">
        <f>69.98*0.88</f>
        <v>61.582400000000007</v>
      </c>
      <c r="AR191" s="106" t="s">
        <v>1906</v>
      </c>
      <c r="AS191" s="106">
        <f>69.98*0.88</f>
        <v>61.582400000000007</v>
      </c>
      <c r="AT191" s="107" t="s">
        <v>1906</v>
      </c>
      <c r="AU191" s="106">
        <f t="shared" si="7"/>
        <v>467.28880000000004</v>
      </c>
      <c r="AV191" s="25">
        <v>0.2001</v>
      </c>
      <c r="AW191" s="30" t="str">
        <f t="shared" si="8"/>
        <v>95-70</v>
      </c>
      <c r="AX191" s="30" t="s">
        <v>1907</v>
      </c>
      <c r="AY191" s="30">
        <v>0</v>
      </c>
      <c r="AZ191" s="30">
        <v>0</v>
      </c>
    </row>
    <row r="192" spans="1:52" ht="31.2" x14ac:dyDescent="0.3">
      <c r="A192" s="103">
        <v>182</v>
      </c>
      <c r="B192" s="30" t="s">
        <v>785</v>
      </c>
      <c r="C192" s="30" t="s">
        <v>1899</v>
      </c>
      <c r="D192" s="105" t="s">
        <v>1900</v>
      </c>
      <c r="E192" s="108" t="s">
        <v>1901</v>
      </c>
      <c r="F192" s="30" t="s">
        <v>1902</v>
      </c>
      <c r="G192" s="26" t="s">
        <v>145</v>
      </c>
      <c r="H192" s="24" t="s">
        <v>146</v>
      </c>
      <c r="I192" s="25">
        <v>1</v>
      </c>
      <c r="J192" s="24" t="s">
        <v>1903</v>
      </c>
      <c r="K192" s="24">
        <v>32</v>
      </c>
      <c r="L192" s="24">
        <v>5</v>
      </c>
      <c r="M192" s="24" t="str">
        <f t="shared" si="6"/>
        <v>95-70</v>
      </c>
      <c r="N192" s="24" t="s">
        <v>529</v>
      </c>
      <c r="O192" s="24" t="s">
        <v>529</v>
      </c>
      <c r="P192" s="24">
        <v>1</v>
      </c>
      <c r="Q192" s="102">
        <v>0</v>
      </c>
      <c r="R192" s="30" t="s">
        <v>1905</v>
      </c>
      <c r="S192" s="24">
        <v>0</v>
      </c>
      <c r="T192" s="24"/>
      <c r="U192" s="94">
        <f>513.93*0.12</f>
        <v>61.671599999999991</v>
      </c>
      <c r="V192" s="94">
        <f>543.49*0.12</f>
        <v>65.218800000000002</v>
      </c>
      <c r="W192" s="106">
        <f>74.55*0.12</f>
        <v>8.9459999999999997</v>
      </c>
      <c r="X192" s="107" t="s">
        <v>1906</v>
      </c>
      <c r="Y192" s="106">
        <f>74.55*0.12</f>
        <v>8.9459999999999997</v>
      </c>
      <c r="Z192" s="107" t="s">
        <v>1906</v>
      </c>
      <c r="AA192" s="106">
        <f>74.55*0.12</f>
        <v>8.9459999999999997</v>
      </c>
      <c r="AB192" s="107" t="s">
        <v>1906</v>
      </c>
      <c r="AC192" s="106">
        <f>74.55*0.12</f>
        <v>8.9459999999999997</v>
      </c>
      <c r="AD192" s="107" t="s">
        <v>1906</v>
      </c>
      <c r="AE192" s="106">
        <f>21.64*0.12</f>
        <v>2.5968</v>
      </c>
      <c r="AF192" s="107" t="s">
        <v>1906</v>
      </c>
      <c r="AG192" s="106">
        <v>0</v>
      </c>
      <c r="AH192" s="107" t="s">
        <v>1906</v>
      </c>
      <c r="AI192" s="106">
        <v>0</v>
      </c>
      <c r="AJ192" s="107" t="s">
        <v>1906</v>
      </c>
      <c r="AK192" s="106">
        <v>0</v>
      </c>
      <c r="AL192" s="107" t="s">
        <v>1906</v>
      </c>
      <c r="AM192" s="106">
        <f>1.23*0.12</f>
        <v>0.14759999999999998</v>
      </c>
      <c r="AN192" s="107" t="s">
        <v>1906</v>
      </c>
      <c r="AO192" s="106">
        <f>69.98*0.12</f>
        <v>8.3976000000000006</v>
      </c>
      <c r="AP192" s="107" t="s">
        <v>1906</v>
      </c>
      <c r="AQ192" s="106">
        <f>69.98*0.12</f>
        <v>8.3976000000000006</v>
      </c>
      <c r="AR192" s="106" t="s">
        <v>1906</v>
      </c>
      <c r="AS192" s="106">
        <f>69.98*0.12</f>
        <v>8.3976000000000006</v>
      </c>
      <c r="AT192" s="107" t="s">
        <v>1906</v>
      </c>
      <c r="AU192" s="106">
        <f t="shared" si="7"/>
        <v>63.721199999999996</v>
      </c>
      <c r="AV192" s="25">
        <v>2.81E-2</v>
      </c>
      <c r="AW192" s="30" t="str">
        <f t="shared" si="8"/>
        <v>95-70</v>
      </c>
      <c r="AX192" s="30" t="s">
        <v>1907</v>
      </c>
      <c r="AY192" s="30">
        <v>0</v>
      </c>
      <c r="AZ192" s="30">
        <v>0</v>
      </c>
    </row>
    <row r="193" spans="1:52" ht="31.2" x14ac:dyDescent="0.3">
      <c r="A193" s="103">
        <v>183</v>
      </c>
      <c r="B193" s="30" t="s">
        <v>786</v>
      </c>
      <c r="C193" s="30" t="s">
        <v>1899</v>
      </c>
      <c r="D193" s="105" t="s">
        <v>1900</v>
      </c>
      <c r="E193" s="108" t="s">
        <v>1910</v>
      </c>
      <c r="F193" s="30" t="s">
        <v>1902</v>
      </c>
      <c r="G193" s="26" t="s">
        <v>145</v>
      </c>
      <c r="H193" s="24" t="s">
        <v>146</v>
      </c>
      <c r="I193" s="25">
        <v>1</v>
      </c>
      <c r="J193" s="24" t="s">
        <v>1903</v>
      </c>
      <c r="K193" s="24">
        <v>40.32</v>
      </c>
      <c r="L193" s="24">
        <v>5</v>
      </c>
      <c r="M193" s="24" t="str">
        <f t="shared" si="6"/>
        <v>95-70</v>
      </c>
      <c r="N193" s="24" t="s">
        <v>528</v>
      </c>
      <c r="O193" s="24" t="s">
        <v>529</v>
      </c>
      <c r="P193" s="24">
        <v>1</v>
      </c>
      <c r="Q193" s="102">
        <v>0</v>
      </c>
      <c r="R193" s="30" t="s">
        <v>1905</v>
      </c>
      <c r="S193" s="24">
        <v>0</v>
      </c>
      <c r="T193" s="24"/>
      <c r="U193" s="94">
        <v>696.9</v>
      </c>
      <c r="V193" s="94">
        <v>501.88</v>
      </c>
      <c r="W193" s="106">
        <v>52.919999999999995</v>
      </c>
      <c r="X193" s="107" t="s">
        <v>1906</v>
      </c>
      <c r="Y193" s="106">
        <v>52.919999999999995</v>
      </c>
      <c r="Z193" s="107" t="s">
        <v>1906</v>
      </c>
      <c r="AA193" s="106">
        <v>52.919999999999995</v>
      </c>
      <c r="AB193" s="107" t="s">
        <v>1906</v>
      </c>
      <c r="AC193" s="106">
        <v>52.919999999999995</v>
      </c>
      <c r="AD193" s="107" t="s">
        <v>1906</v>
      </c>
      <c r="AE193" s="106">
        <v>15.37</v>
      </c>
      <c r="AF193" s="107" t="s">
        <v>1906</v>
      </c>
      <c r="AG193" s="106">
        <v>0</v>
      </c>
      <c r="AH193" s="107" t="s">
        <v>1906</v>
      </c>
      <c r="AI193" s="106">
        <v>0</v>
      </c>
      <c r="AJ193" s="107" t="s">
        <v>1906</v>
      </c>
      <c r="AK193" s="106">
        <v>0</v>
      </c>
      <c r="AL193" s="107" t="s">
        <v>1906</v>
      </c>
      <c r="AM193" s="106">
        <v>0</v>
      </c>
      <c r="AN193" s="107" t="s">
        <v>1906</v>
      </c>
      <c r="AO193" s="106">
        <v>53.29</v>
      </c>
      <c r="AP193" s="107" t="s">
        <v>1906</v>
      </c>
      <c r="AQ193" s="106">
        <v>53.29</v>
      </c>
      <c r="AR193" s="106" t="s">
        <v>1906</v>
      </c>
      <c r="AS193" s="106">
        <v>53.29</v>
      </c>
      <c r="AT193" s="107" t="s">
        <v>1906</v>
      </c>
      <c r="AU193" s="106">
        <f t="shared" si="7"/>
        <v>386.92</v>
      </c>
      <c r="AV193" s="25">
        <v>0.28760000000000002</v>
      </c>
      <c r="AW193" s="30" t="str">
        <f t="shared" si="8"/>
        <v>95-70</v>
      </c>
      <c r="AX193" s="30" t="s">
        <v>1907</v>
      </c>
      <c r="AY193" s="30">
        <v>0</v>
      </c>
      <c r="AZ193" s="30">
        <v>0</v>
      </c>
    </row>
    <row r="194" spans="1:52" ht="31.2" x14ac:dyDescent="0.3">
      <c r="A194" s="103">
        <v>184</v>
      </c>
      <c r="B194" s="30" t="s">
        <v>788</v>
      </c>
      <c r="C194" s="30" t="s">
        <v>1899</v>
      </c>
      <c r="D194" s="105" t="s">
        <v>1900</v>
      </c>
      <c r="E194" s="108" t="s">
        <v>1910</v>
      </c>
      <c r="F194" s="30" t="s">
        <v>1902</v>
      </c>
      <c r="G194" s="26" t="s">
        <v>145</v>
      </c>
      <c r="H194" s="24" t="s">
        <v>146</v>
      </c>
      <c r="I194" s="25">
        <v>1</v>
      </c>
      <c r="J194" s="24" t="s">
        <v>1903</v>
      </c>
      <c r="K194" s="24">
        <v>50.2</v>
      </c>
      <c r="L194" s="24">
        <v>5</v>
      </c>
      <c r="M194" s="24" t="str">
        <f t="shared" si="6"/>
        <v>95-70</v>
      </c>
      <c r="N194" s="24" t="s">
        <v>528</v>
      </c>
      <c r="O194" s="24" t="s">
        <v>529</v>
      </c>
      <c r="P194" s="24">
        <v>1</v>
      </c>
      <c r="Q194" s="102">
        <v>0</v>
      </c>
      <c r="R194" s="30" t="s">
        <v>1905</v>
      </c>
      <c r="S194" s="24">
        <v>0</v>
      </c>
      <c r="T194" s="24"/>
      <c r="U194" s="94">
        <v>1420.42</v>
      </c>
      <c r="V194" s="94">
        <v>1369.5900000000001</v>
      </c>
      <c r="W194" s="106">
        <v>134.5</v>
      </c>
      <c r="X194" s="107" t="s">
        <v>208</v>
      </c>
      <c r="Y194" s="106">
        <v>134.5</v>
      </c>
      <c r="Z194" s="107" t="s">
        <v>208</v>
      </c>
      <c r="AA194" s="106">
        <v>134.5</v>
      </c>
      <c r="AB194" s="107" t="s">
        <v>208</v>
      </c>
      <c r="AC194" s="106">
        <v>134.5</v>
      </c>
      <c r="AD194" s="107" t="s">
        <v>208</v>
      </c>
      <c r="AE194" s="106">
        <v>39.049999999999997</v>
      </c>
      <c r="AF194" s="107" t="s">
        <v>208</v>
      </c>
      <c r="AG194" s="106">
        <v>0</v>
      </c>
      <c r="AH194" s="107" t="s">
        <v>208</v>
      </c>
      <c r="AI194" s="106">
        <v>0</v>
      </c>
      <c r="AJ194" s="107" t="s">
        <v>208</v>
      </c>
      <c r="AK194" s="106">
        <v>0</v>
      </c>
      <c r="AL194" s="107" t="s">
        <v>208</v>
      </c>
      <c r="AM194" s="106">
        <v>0</v>
      </c>
      <c r="AN194" s="107" t="s">
        <v>208</v>
      </c>
      <c r="AO194" s="106">
        <v>128.99</v>
      </c>
      <c r="AP194" s="107" t="s">
        <v>208</v>
      </c>
      <c r="AQ194" s="106">
        <v>128.99</v>
      </c>
      <c r="AR194" s="106" t="s">
        <v>208</v>
      </c>
      <c r="AS194" s="106">
        <v>74.199999999999989</v>
      </c>
      <c r="AT194" s="107" t="s">
        <v>208</v>
      </c>
      <c r="AU194" s="106">
        <f t="shared" si="7"/>
        <v>909.23</v>
      </c>
      <c r="AV194" s="25">
        <v>0.45700000000000002</v>
      </c>
      <c r="AW194" s="30" t="str">
        <f t="shared" si="8"/>
        <v>95-70</v>
      </c>
      <c r="AX194" s="30" t="s">
        <v>1907</v>
      </c>
      <c r="AY194" s="30">
        <v>0</v>
      </c>
      <c r="AZ194" s="30">
        <v>0</v>
      </c>
    </row>
    <row r="195" spans="1:52" ht="31.2" x14ac:dyDescent="0.3">
      <c r="A195" s="103">
        <v>185</v>
      </c>
      <c r="B195" s="30" t="s">
        <v>789</v>
      </c>
      <c r="C195" s="30" t="s">
        <v>1899</v>
      </c>
      <c r="D195" s="105" t="s">
        <v>1900</v>
      </c>
      <c r="E195" s="108" t="s">
        <v>1901</v>
      </c>
      <c r="F195" s="30" t="s">
        <v>1902</v>
      </c>
      <c r="G195" s="26" t="s">
        <v>145</v>
      </c>
      <c r="H195" s="24" t="s">
        <v>146</v>
      </c>
      <c r="I195" s="25">
        <v>2</v>
      </c>
      <c r="J195" s="24" t="s">
        <v>1903</v>
      </c>
      <c r="K195" s="24">
        <v>32</v>
      </c>
      <c r="L195" s="24">
        <v>5</v>
      </c>
      <c r="M195" s="24" t="str">
        <f t="shared" si="6"/>
        <v>95-70</v>
      </c>
      <c r="N195" s="24" t="s">
        <v>529</v>
      </c>
      <c r="O195" s="24" t="s">
        <v>529</v>
      </c>
      <c r="P195" s="24">
        <v>1</v>
      </c>
      <c r="Q195" s="102">
        <v>0</v>
      </c>
      <c r="R195" s="30" t="s">
        <v>1905</v>
      </c>
      <c r="S195" s="24">
        <v>0</v>
      </c>
      <c r="T195" s="24"/>
      <c r="U195" s="94">
        <f>1312.89*0.76</f>
        <v>997.79640000000006</v>
      </c>
      <c r="V195" s="94">
        <f>1586.87*0.76</f>
        <v>1206.0211999999999</v>
      </c>
      <c r="W195" s="106">
        <f>218.17*0.76</f>
        <v>165.8092</v>
      </c>
      <c r="X195" s="107" t="s">
        <v>1906</v>
      </c>
      <c r="Y195" s="106">
        <f>217.69*0.76</f>
        <v>165.4444</v>
      </c>
      <c r="Z195" s="107" t="s">
        <v>1906</v>
      </c>
      <c r="AA195" s="106">
        <f>218.38*0.76</f>
        <v>165.96879999999999</v>
      </c>
      <c r="AB195" s="107" t="s">
        <v>1906</v>
      </c>
      <c r="AC195" s="106">
        <f>217.21*0.76</f>
        <v>165.0796</v>
      </c>
      <c r="AD195" s="107" t="s">
        <v>1906</v>
      </c>
      <c r="AE195" s="106">
        <f>62.91*0.76</f>
        <v>47.811599999999999</v>
      </c>
      <c r="AF195" s="107" t="s">
        <v>1906</v>
      </c>
      <c r="AG195" s="106">
        <v>0</v>
      </c>
      <c r="AH195" s="107" t="s">
        <v>1906</v>
      </c>
      <c r="AI195" s="106">
        <v>0</v>
      </c>
      <c r="AJ195" s="107" t="s">
        <v>1906</v>
      </c>
      <c r="AK195" s="106">
        <v>0</v>
      </c>
      <c r="AL195" s="107" t="s">
        <v>1906</v>
      </c>
      <c r="AM195" s="106">
        <f>40.34*0.76</f>
        <v>30.658400000000004</v>
      </c>
      <c r="AN195" s="107" t="s">
        <v>1906</v>
      </c>
      <c r="AO195" s="106">
        <f>217.66*0.76</f>
        <v>165.42160000000001</v>
      </c>
      <c r="AP195" s="107" t="s">
        <v>1906</v>
      </c>
      <c r="AQ195" s="106">
        <f>217.76*0.76</f>
        <v>165.49760000000001</v>
      </c>
      <c r="AR195" s="106" t="s">
        <v>1906</v>
      </c>
      <c r="AS195" s="106">
        <f>218.19*0.76</f>
        <v>165.8244</v>
      </c>
      <c r="AT195" s="107" t="s">
        <v>1906</v>
      </c>
      <c r="AU195" s="106">
        <f t="shared" si="7"/>
        <v>1237.5155999999999</v>
      </c>
      <c r="AV195" s="25">
        <v>0.92800000000000005</v>
      </c>
      <c r="AW195" s="30" t="str">
        <f t="shared" si="8"/>
        <v>95-70</v>
      </c>
      <c r="AX195" s="30" t="s">
        <v>1907</v>
      </c>
      <c r="AY195" s="30">
        <v>0</v>
      </c>
      <c r="AZ195" s="30">
        <v>0</v>
      </c>
    </row>
    <row r="196" spans="1:52" ht="31.2" x14ac:dyDescent="0.3">
      <c r="A196" s="103">
        <v>186</v>
      </c>
      <c r="B196" s="30" t="s">
        <v>790</v>
      </c>
      <c r="C196" s="30" t="s">
        <v>1899</v>
      </c>
      <c r="D196" s="105" t="s">
        <v>1900</v>
      </c>
      <c r="E196" s="108" t="s">
        <v>1901</v>
      </c>
      <c r="F196" s="30" t="s">
        <v>1902</v>
      </c>
      <c r="G196" s="26" t="s">
        <v>145</v>
      </c>
      <c r="H196" s="24" t="s">
        <v>146</v>
      </c>
      <c r="I196" s="25">
        <v>1</v>
      </c>
      <c r="J196" s="24" t="s">
        <v>1903</v>
      </c>
      <c r="K196" s="24">
        <v>32</v>
      </c>
      <c r="L196" s="24">
        <v>5</v>
      </c>
      <c r="M196" s="24" t="str">
        <f t="shared" si="6"/>
        <v>95-70</v>
      </c>
      <c r="N196" s="24" t="s">
        <v>529</v>
      </c>
      <c r="O196" s="24" t="s">
        <v>529</v>
      </c>
      <c r="P196" s="24">
        <v>1</v>
      </c>
      <c r="Q196" s="102">
        <v>0</v>
      </c>
      <c r="R196" s="30" t="s">
        <v>1905</v>
      </c>
      <c r="S196" s="24">
        <v>0</v>
      </c>
      <c r="T196" s="24"/>
      <c r="U196" s="94">
        <f>1312.89*0.24</f>
        <v>315.09360000000004</v>
      </c>
      <c r="V196" s="94">
        <f>1586.87*0.24</f>
        <v>380.84879999999998</v>
      </c>
      <c r="W196" s="106">
        <f>218.17*0.24</f>
        <v>52.360799999999998</v>
      </c>
      <c r="X196" s="107" t="s">
        <v>1906</v>
      </c>
      <c r="Y196" s="106">
        <f>217.69*0.24</f>
        <v>52.245599999999996</v>
      </c>
      <c r="Z196" s="107" t="s">
        <v>1906</v>
      </c>
      <c r="AA196" s="106">
        <f>218.38*0.24</f>
        <v>52.411199999999994</v>
      </c>
      <c r="AB196" s="107" t="s">
        <v>1906</v>
      </c>
      <c r="AC196" s="106">
        <f>217.21*0.24</f>
        <v>52.130400000000002</v>
      </c>
      <c r="AD196" s="107" t="s">
        <v>1906</v>
      </c>
      <c r="AE196" s="106">
        <f>62.91*0.24</f>
        <v>15.098399999999998</v>
      </c>
      <c r="AF196" s="107" t="s">
        <v>1906</v>
      </c>
      <c r="AG196" s="106">
        <v>0</v>
      </c>
      <c r="AH196" s="107" t="s">
        <v>1906</v>
      </c>
      <c r="AI196" s="106">
        <v>0</v>
      </c>
      <c r="AJ196" s="107" t="s">
        <v>1906</v>
      </c>
      <c r="AK196" s="106">
        <v>0</v>
      </c>
      <c r="AL196" s="107" t="s">
        <v>1906</v>
      </c>
      <c r="AM196" s="106">
        <f>40.34*0.24</f>
        <v>9.6816000000000013</v>
      </c>
      <c r="AN196" s="107" t="s">
        <v>1906</v>
      </c>
      <c r="AO196" s="106">
        <f>217.66*0.24</f>
        <v>52.238399999999999</v>
      </c>
      <c r="AP196" s="107" t="s">
        <v>1906</v>
      </c>
      <c r="AQ196" s="106">
        <f>217.76*0.24</f>
        <v>52.262399999999992</v>
      </c>
      <c r="AR196" s="106" t="s">
        <v>1906</v>
      </c>
      <c r="AS196" s="106">
        <f>218.19*0.24</f>
        <v>52.365600000000001</v>
      </c>
      <c r="AT196" s="107" t="s">
        <v>1906</v>
      </c>
      <c r="AU196" s="106">
        <f t="shared" si="7"/>
        <v>390.7944</v>
      </c>
      <c r="AV196" s="25">
        <v>0.13519999999999999</v>
      </c>
      <c r="AW196" s="30" t="str">
        <f t="shared" si="8"/>
        <v>95-70</v>
      </c>
      <c r="AX196" s="30" t="s">
        <v>1907</v>
      </c>
      <c r="AY196" s="30">
        <v>0</v>
      </c>
      <c r="AZ196" s="30">
        <v>0</v>
      </c>
    </row>
    <row r="197" spans="1:52" ht="31.2" x14ac:dyDescent="0.3">
      <c r="A197" s="103">
        <v>187</v>
      </c>
      <c r="B197" s="30" t="s">
        <v>791</v>
      </c>
      <c r="C197" s="30" t="s">
        <v>1899</v>
      </c>
      <c r="D197" s="105" t="s">
        <v>1900</v>
      </c>
      <c r="E197" s="108" t="s">
        <v>1901</v>
      </c>
      <c r="F197" s="30" t="s">
        <v>1902</v>
      </c>
      <c r="G197" s="26" t="s">
        <v>145</v>
      </c>
      <c r="H197" s="24" t="s">
        <v>146</v>
      </c>
      <c r="I197" s="25">
        <v>1</v>
      </c>
      <c r="J197" s="24" t="s">
        <v>1903</v>
      </c>
      <c r="K197" s="24">
        <v>50</v>
      </c>
      <c r="L197" s="24">
        <v>5</v>
      </c>
      <c r="M197" s="24" t="str">
        <f t="shared" si="6"/>
        <v>95-70</v>
      </c>
      <c r="N197" s="24" t="s">
        <v>529</v>
      </c>
      <c r="O197" s="24" t="s">
        <v>529</v>
      </c>
      <c r="P197" s="24">
        <v>1</v>
      </c>
      <c r="Q197" s="102">
        <v>0</v>
      </c>
      <c r="R197" s="30" t="s">
        <v>1905</v>
      </c>
      <c r="S197" s="24">
        <v>0</v>
      </c>
      <c r="T197" s="24"/>
      <c r="U197" s="94">
        <v>955.92000000000007</v>
      </c>
      <c r="V197" s="94">
        <v>1069.57</v>
      </c>
      <c r="W197" s="106">
        <v>146.70999999999998</v>
      </c>
      <c r="X197" s="107" t="s">
        <v>1906</v>
      </c>
      <c r="Y197" s="106">
        <v>146.70999999999998</v>
      </c>
      <c r="Z197" s="107" t="s">
        <v>1906</v>
      </c>
      <c r="AA197" s="106">
        <v>146.70999999999998</v>
      </c>
      <c r="AB197" s="107" t="s">
        <v>1906</v>
      </c>
      <c r="AC197" s="106">
        <v>146.70999999999998</v>
      </c>
      <c r="AD197" s="107" t="s">
        <v>1906</v>
      </c>
      <c r="AE197" s="106">
        <v>42.6</v>
      </c>
      <c r="AF197" s="107" t="s">
        <v>1906</v>
      </c>
      <c r="AG197" s="106">
        <v>0</v>
      </c>
      <c r="AH197" s="107" t="s">
        <v>1906</v>
      </c>
      <c r="AI197" s="106">
        <v>0</v>
      </c>
      <c r="AJ197" s="107" t="s">
        <v>1906</v>
      </c>
      <c r="AK197" s="106">
        <v>0</v>
      </c>
      <c r="AL197" s="107" t="s">
        <v>1906</v>
      </c>
      <c r="AM197" s="106">
        <v>0</v>
      </c>
      <c r="AN197" s="107" t="s">
        <v>1906</v>
      </c>
      <c r="AO197" s="106">
        <v>141.38999999999999</v>
      </c>
      <c r="AP197" s="107" t="s">
        <v>1906</v>
      </c>
      <c r="AQ197" s="106">
        <v>141.38999999999999</v>
      </c>
      <c r="AR197" s="106" t="s">
        <v>1906</v>
      </c>
      <c r="AS197" s="106">
        <v>141.38999999999999</v>
      </c>
      <c r="AT197" s="107" t="s">
        <v>1906</v>
      </c>
      <c r="AU197" s="106">
        <f t="shared" si="7"/>
        <v>1053.6099999999999</v>
      </c>
      <c r="AV197" s="25">
        <v>0.41249999999999998</v>
      </c>
      <c r="AW197" s="30" t="str">
        <f t="shared" si="8"/>
        <v>95-70</v>
      </c>
      <c r="AX197" s="30" t="s">
        <v>1907</v>
      </c>
      <c r="AY197" s="30">
        <v>0</v>
      </c>
      <c r="AZ197" s="30">
        <v>0</v>
      </c>
    </row>
    <row r="198" spans="1:52" ht="31.2" x14ac:dyDescent="0.3">
      <c r="A198" s="103">
        <v>188</v>
      </c>
      <c r="B198" s="30" t="s">
        <v>792</v>
      </c>
      <c r="C198" s="30" t="s">
        <v>1899</v>
      </c>
      <c r="D198" s="105" t="s">
        <v>1900</v>
      </c>
      <c r="E198" s="108" t="s">
        <v>1901</v>
      </c>
      <c r="F198" s="30" t="s">
        <v>1902</v>
      </c>
      <c r="G198" s="26" t="s">
        <v>145</v>
      </c>
      <c r="H198" s="24" t="s">
        <v>146</v>
      </c>
      <c r="I198" s="25">
        <v>2</v>
      </c>
      <c r="J198" s="24" t="s">
        <v>1903</v>
      </c>
      <c r="K198" s="24">
        <v>65</v>
      </c>
      <c r="L198" s="24">
        <v>5</v>
      </c>
      <c r="M198" s="24" t="str">
        <f t="shared" si="6"/>
        <v>95-70</v>
      </c>
      <c r="N198" s="24" t="s">
        <v>529</v>
      </c>
      <c r="O198" s="24" t="s">
        <v>529</v>
      </c>
      <c r="P198" s="24">
        <v>1</v>
      </c>
      <c r="Q198" s="102">
        <v>0</v>
      </c>
      <c r="R198" s="30" t="s">
        <v>1905</v>
      </c>
      <c r="S198" s="24">
        <v>0</v>
      </c>
      <c r="T198" s="24"/>
      <c r="U198" s="94">
        <v>1273.33</v>
      </c>
      <c r="V198" s="94">
        <v>1276.83</v>
      </c>
      <c r="W198" s="106">
        <v>176.54999999999998</v>
      </c>
      <c r="X198" s="107" t="s">
        <v>1906</v>
      </c>
      <c r="Y198" s="106">
        <v>176.54999999999998</v>
      </c>
      <c r="Z198" s="107" t="s">
        <v>1906</v>
      </c>
      <c r="AA198" s="106">
        <v>176.54999999999998</v>
      </c>
      <c r="AB198" s="107" t="s">
        <v>1906</v>
      </c>
      <c r="AC198" s="106">
        <v>176.54999999999998</v>
      </c>
      <c r="AD198" s="107" t="s">
        <v>1906</v>
      </c>
      <c r="AE198" s="106">
        <v>51.26</v>
      </c>
      <c r="AF198" s="107" t="s">
        <v>1906</v>
      </c>
      <c r="AG198" s="106">
        <v>0</v>
      </c>
      <c r="AH198" s="107" t="s">
        <v>1906</v>
      </c>
      <c r="AI198" s="106">
        <v>0</v>
      </c>
      <c r="AJ198" s="107" t="s">
        <v>1906</v>
      </c>
      <c r="AK198" s="106">
        <v>0</v>
      </c>
      <c r="AL198" s="107" t="s">
        <v>1906</v>
      </c>
      <c r="AM198" s="106">
        <v>40.619999999999997</v>
      </c>
      <c r="AN198" s="107" t="s">
        <v>1906</v>
      </c>
      <c r="AO198" s="106">
        <v>174.07</v>
      </c>
      <c r="AP198" s="107" t="s">
        <v>1906</v>
      </c>
      <c r="AQ198" s="106">
        <v>174.07</v>
      </c>
      <c r="AR198" s="106" t="s">
        <v>1906</v>
      </c>
      <c r="AS198" s="106">
        <v>174.07</v>
      </c>
      <c r="AT198" s="107" t="s">
        <v>1906</v>
      </c>
      <c r="AU198" s="106">
        <f t="shared" si="7"/>
        <v>1320.2899999999997</v>
      </c>
      <c r="AV198" s="25">
        <v>1.1621999999999999</v>
      </c>
      <c r="AW198" s="30" t="str">
        <f t="shared" si="8"/>
        <v>95-70</v>
      </c>
      <c r="AX198" s="30" t="s">
        <v>1907</v>
      </c>
      <c r="AY198" s="30">
        <v>0</v>
      </c>
      <c r="AZ198" s="30">
        <v>0</v>
      </c>
    </row>
    <row r="199" spans="1:52" ht="31.2" x14ac:dyDescent="0.3">
      <c r="A199" s="103">
        <v>189</v>
      </c>
      <c r="B199" s="30" t="s">
        <v>793</v>
      </c>
      <c r="C199" s="30" t="s">
        <v>1899</v>
      </c>
      <c r="D199" s="105" t="s">
        <v>1900</v>
      </c>
      <c r="E199" s="108" t="s">
        <v>1901</v>
      </c>
      <c r="F199" s="30" t="s">
        <v>1902</v>
      </c>
      <c r="G199" s="26" t="s">
        <v>145</v>
      </c>
      <c r="H199" s="24" t="s">
        <v>146</v>
      </c>
      <c r="I199" s="25">
        <v>1</v>
      </c>
      <c r="J199" s="24" t="s">
        <v>1903</v>
      </c>
      <c r="K199" s="24">
        <v>50</v>
      </c>
      <c r="L199" s="24">
        <v>5</v>
      </c>
      <c r="M199" s="24" t="str">
        <f t="shared" si="6"/>
        <v>95-70</v>
      </c>
      <c r="N199" s="24" t="s">
        <v>529</v>
      </c>
      <c r="O199" s="24" t="s">
        <v>529</v>
      </c>
      <c r="P199" s="24">
        <v>1</v>
      </c>
      <c r="Q199" s="102">
        <v>0</v>
      </c>
      <c r="R199" s="30" t="s">
        <v>1905</v>
      </c>
      <c r="S199" s="24">
        <v>0</v>
      </c>
      <c r="T199" s="24"/>
      <c r="U199" s="94">
        <v>960.85</v>
      </c>
      <c r="V199" s="94">
        <v>1160.32</v>
      </c>
      <c r="W199" s="106">
        <v>161.66</v>
      </c>
      <c r="X199" s="107" t="s">
        <v>1906</v>
      </c>
      <c r="Y199" s="106">
        <v>161.66</v>
      </c>
      <c r="Z199" s="107" t="s">
        <v>1906</v>
      </c>
      <c r="AA199" s="106">
        <v>161.66</v>
      </c>
      <c r="AB199" s="107" t="s">
        <v>1906</v>
      </c>
      <c r="AC199" s="106">
        <v>159.9</v>
      </c>
      <c r="AD199" s="107" t="s">
        <v>1906</v>
      </c>
      <c r="AE199" s="106">
        <v>44.66</v>
      </c>
      <c r="AF199" s="107" t="s">
        <v>1906</v>
      </c>
      <c r="AG199" s="106">
        <v>0</v>
      </c>
      <c r="AH199" s="107" t="s">
        <v>1906</v>
      </c>
      <c r="AI199" s="106">
        <v>0</v>
      </c>
      <c r="AJ199" s="107" t="s">
        <v>1906</v>
      </c>
      <c r="AK199" s="106">
        <v>0</v>
      </c>
      <c r="AL199" s="107" t="s">
        <v>1906</v>
      </c>
      <c r="AM199" s="106">
        <v>36.869999999999997</v>
      </c>
      <c r="AN199" s="107" t="s">
        <v>1906</v>
      </c>
      <c r="AO199" s="106">
        <v>158.03</v>
      </c>
      <c r="AP199" s="107" t="s">
        <v>1906</v>
      </c>
      <c r="AQ199" s="106">
        <v>158.03</v>
      </c>
      <c r="AR199" s="106" t="s">
        <v>1906</v>
      </c>
      <c r="AS199" s="106">
        <v>158.03</v>
      </c>
      <c r="AT199" s="107" t="s">
        <v>1906</v>
      </c>
      <c r="AU199" s="106">
        <f t="shared" si="7"/>
        <v>1200.5</v>
      </c>
      <c r="AV199" s="25">
        <v>0.4385</v>
      </c>
      <c r="AW199" s="30" t="str">
        <f t="shared" si="8"/>
        <v>95-70</v>
      </c>
      <c r="AX199" s="30" t="s">
        <v>1907</v>
      </c>
      <c r="AY199" s="30">
        <v>0</v>
      </c>
      <c r="AZ199" s="30">
        <v>0</v>
      </c>
    </row>
    <row r="200" spans="1:52" ht="31.2" x14ac:dyDescent="0.3">
      <c r="A200" s="103">
        <v>190</v>
      </c>
      <c r="B200" s="30" t="s">
        <v>794</v>
      </c>
      <c r="C200" s="30" t="s">
        <v>1899</v>
      </c>
      <c r="D200" s="105" t="s">
        <v>1900</v>
      </c>
      <c r="E200" s="108" t="s">
        <v>1901</v>
      </c>
      <c r="F200" s="30" t="s">
        <v>1902</v>
      </c>
      <c r="G200" s="26" t="s">
        <v>145</v>
      </c>
      <c r="H200" s="24" t="s">
        <v>146</v>
      </c>
      <c r="I200" s="25">
        <v>1</v>
      </c>
      <c r="J200" s="24" t="s">
        <v>1903</v>
      </c>
      <c r="K200" s="24">
        <v>50</v>
      </c>
      <c r="L200" s="24">
        <v>5</v>
      </c>
      <c r="M200" s="24" t="str">
        <f t="shared" si="6"/>
        <v>95-70</v>
      </c>
      <c r="N200" s="24" t="s">
        <v>529</v>
      </c>
      <c r="O200" s="24" t="s">
        <v>529</v>
      </c>
      <c r="P200" s="24">
        <v>1</v>
      </c>
      <c r="Q200" s="102">
        <v>0</v>
      </c>
      <c r="R200" s="30" t="s">
        <v>1905</v>
      </c>
      <c r="S200" s="24">
        <v>0</v>
      </c>
      <c r="T200" s="24"/>
      <c r="U200" s="94">
        <v>1157.45</v>
      </c>
      <c r="V200" s="94">
        <v>1361.0400000000002</v>
      </c>
      <c r="W200" s="106">
        <v>186.69</v>
      </c>
      <c r="X200" s="107" t="s">
        <v>1906</v>
      </c>
      <c r="Y200" s="106">
        <v>186.69</v>
      </c>
      <c r="Z200" s="107" t="s">
        <v>1906</v>
      </c>
      <c r="AA200" s="106">
        <v>186.69</v>
      </c>
      <c r="AB200" s="107" t="s">
        <v>1906</v>
      </c>
      <c r="AC200" s="106">
        <v>186.69</v>
      </c>
      <c r="AD200" s="107" t="s">
        <v>1906</v>
      </c>
      <c r="AE200" s="106">
        <v>54.21</v>
      </c>
      <c r="AF200" s="107" t="s">
        <v>1906</v>
      </c>
      <c r="AG200" s="106">
        <v>0</v>
      </c>
      <c r="AH200" s="107" t="s">
        <v>1906</v>
      </c>
      <c r="AI200" s="106">
        <v>0</v>
      </c>
      <c r="AJ200" s="107" t="s">
        <v>1906</v>
      </c>
      <c r="AK200" s="106">
        <v>0</v>
      </c>
      <c r="AL200" s="107" t="s">
        <v>1906</v>
      </c>
      <c r="AM200" s="106">
        <v>42.18</v>
      </c>
      <c r="AN200" s="107" t="s">
        <v>1906</v>
      </c>
      <c r="AO200" s="106">
        <v>180.75</v>
      </c>
      <c r="AP200" s="107" t="s">
        <v>1906</v>
      </c>
      <c r="AQ200" s="106">
        <v>180.75</v>
      </c>
      <c r="AR200" s="106" t="s">
        <v>1906</v>
      </c>
      <c r="AS200" s="106">
        <v>180.75</v>
      </c>
      <c r="AT200" s="107" t="s">
        <v>1906</v>
      </c>
      <c r="AU200" s="106">
        <f t="shared" si="7"/>
        <v>1385.4</v>
      </c>
      <c r="AV200" s="25">
        <v>0.5282</v>
      </c>
      <c r="AW200" s="30" t="str">
        <f t="shared" si="8"/>
        <v>95-70</v>
      </c>
      <c r="AX200" s="30" t="s">
        <v>1907</v>
      </c>
      <c r="AY200" s="30">
        <v>0</v>
      </c>
      <c r="AZ200" s="30">
        <v>0</v>
      </c>
    </row>
    <row r="201" spans="1:52" ht="31.2" x14ac:dyDescent="0.3">
      <c r="A201" s="103">
        <v>191</v>
      </c>
      <c r="B201" s="30" t="s">
        <v>796</v>
      </c>
      <c r="C201" s="30" t="s">
        <v>1899</v>
      </c>
      <c r="D201" s="105" t="s">
        <v>1900</v>
      </c>
      <c r="E201" s="108" t="s">
        <v>1910</v>
      </c>
      <c r="F201" s="30" t="s">
        <v>1902</v>
      </c>
      <c r="G201" s="26" t="s">
        <v>145</v>
      </c>
      <c r="H201" s="24" t="s">
        <v>146</v>
      </c>
      <c r="I201" s="25">
        <v>2</v>
      </c>
      <c r="J201" s="24" t="s">
        <v>1903</v>
      </c>
      <c r="K201" s="24">
        <v>32</v>
      </c>
      <c r="L201" s="24">
        <v>5</v>
      </c>
      <c r="M201" s="24" t="str">
        <f t="shared" si="6"/>
        <v>95-70</v>
      </c>
      <c r="N201" s="24" t="s">
        <v>528</v>
      </c>
      <c r="O201" s="24" t="s">
        <v>529</v>
      </c>
      <c r="P201" s="24">
        <v>1</v>
      </c>
      <c r="Q201" s="102">
        <v>0</v>
      </c>
      <c r="R201" s="30" t="s">
        <v>1905</v>
      </c>
      <c r="S201" s="24">
        <v>0</v>
      </c>
      <c r="T201" s="24"/>
      <c r="U201" s="94">
        <v>3874.74</v>
      </c>
      <c r="V201" s="94">
        <v>3424.43</v>
      </c>
      <c r="W201" s="106">
        <v>430.34999999999997</v>
      </c>
      <c r="X201" s="107" t="s">
        <v>1906</v>
      </c>
      <c r="Y201" s="106">
        <v>430.34999999999997</v>
      </c>
      <c r="Z201" s="107" t="s">
        <v>1906</v>
      </c>
      <c r="AA201" s="106">
        <v>430.34999999999997</v>
      </c>
      <c r="AB201" s="107" t="s">
        <v>1906</v>
      </c>
      <c r="AC201" s="106">
        <v>430.34999999999997</v>
      </c>
      <c r="AD201" s="107" t="s">
        <v>1906</v>
      </c>
      <c r="AE201" s="106">
        <v>124.95</v>
      </c>
      <c r="AF201" s="107" t="s">
        <v>1906</v>
      </c>
      <c r="AG201" s="106">
        <v>0</v>
      </c>
      <c r="AH201" s="107" t="s">
        <v>1906</v>
      </c>
      <c r="AI201" s="106">
        <v>0</v>
      </c>
      <c r="AJ201" s="107" t="s">
        <v>1906</v>
      </c>
      <c r="AK201" s="106">
        <v>0</v>
      </c>
      <c r="AL201" s="107" t="s">
        <v>1906</v>
      </c>
      <c r="AM201" s="106">
        <v>101.95</v>
      </c>
      <c r="AN201" s="107" t="s">
        <v>1906</v>
      </c>
      <c r="AO201" s="106">
        <v>436.95</v>
      </c>
      <c r="AP201" s="107" t="s">
        <v>1906</v>
      </c>
      <c r="AQ201" s="106">
        <v>436.95</v>
      </c>
      <c r="AR201" s="106" t="s">
        <v>1906</v>
      </c>
      <c r="AS201" s="106">
        <v>436.95</v>
      </c>
      <c r="AT201" s="107" t="s">
        <v>1906</v>
      </c>
      <c r="AU201" s="106">
        <f t="shared" si="7"/>
        <v>3259.1499999999996</v>
      </c>
      <c r="AV201" s="25">
        <v>0.2001</v>
      </c>
      <c r="AW201" s="30" t="str">
        <f t="shared" si="8"/>
        <v>95-70</v>
      </c>
      <c r="AX201" s="30" t="s">
        <v>1907</v>
      </c>
      <c r="AY201" s="30">
        <v>0</v>
      </c>
      <c r="AZ201" s="30">
        <v>0</v>
      </c>
    </row>
    <row r="202" spans="1:52" ht="31.2" x14ac:dyDescent="0.3">
      <c r="A202" s="103">
        <v>192</v>
      </c>
      <c r="B202" s="30" t="s">
        <v>798</v>
      </c>
      <c r="C202" s="30" t="s">
        <v>1899</v>
      </c>
      <c r="D202" s="105" t="s">
        <v>1900</v>
      </c>
      <c r="E202" s="108" t="s">
        <v>1910</v>
      </c>
      <c r="F202" s="30" t="s">
        <v>1902</v>
      </c>
      <c r="G202" s="26" t="s">
        <v>145</v>
      </c>
      <c r="H202" s="24" t="s">
        <v>146</v>
      </c>
      <c r="I202" s="25">
        <v>1</v>
      </c>
      <c r="J202" s="24" t="s">
        <v>1903</v>
      </c>
      <c r="K202" s="24">
        <v>80.319999999999993</v>
      </c>
      <c r="L202" s="24">
        <v>5</v>
      </c>
      <c r="M202" s="24" t="str">
        <f t="shared" si="6"/>
        <v>95-70</v>
      </c>
      <c r="N202" s="24" t="s">
        <v>528</v>
      </c>
      <c r="O202" s="24" t="s">
        <v>529</v>
      </c>
      <c r="P202" s="24">
        <v>1</v>
      </c>
      <c r="Q202" s="102">
        <v>0</v>
      </c>
      <c r="R202" s="30" t="s">
        <v>1905</v>
      </c>
      <c r="S202" s="24">
        <v>0</v>
      </c>
      <c r="T202" s="24"/>
      <c r="U202" s="94">
        <v>1514.18</v>
      </c>
      <c r="V202" s="94">
        <v>1668.1899999999998</v>
      </c>
      <c r="W202" s="106">
        <v>266.89999999999998</v>
      </c>
      <c r="X202" s="107" t="s">
        <v>1906</v>
      </c>
      <c r="Y202" s="106">
        <v>161.18</v>
      </c>
      <c r="Z202" s="107" t="s">
        <v>1906</v>
      </c>
      <c r="AA202" s="106">
        <v>236.65</v>
      </c>
      <c r="AB202" s="107" t="s">
        <v>1906</v>
      </c>
      <c r="AC202" s="106">
        <v>161.94</v>
      </c>
      <c r="AD202" s="107" t="s">
        <v>1906</v>
      </c>
      <c r="AE202" s="106">
        <v>53.870000000000005</v>
      </c>
      <c r="AF202" s="107" t="s">
        <v>1906</v>
      </c>
      <c r="AG202" s="106">
        <v>0</v>
      </c>
      <c r="AH202" s="107" t="s">
        <v>1906</v>
      </c>
      <c r="AI202" s="106">
        <v>0</v>
      </c>
      <c r="AJ202" s="107" t="s">
        <v>1906</v>
      </c>
      <c r="AK202" s="106">
        <v>0</v>
      </c>
      <c r="AL202" s="107" t="s">
        <v>1906</v>
      </c>
      <c r="AM202" s="106">
        <v>0</v>
      </c>
      <c r="AN202" s="107" t="s">
        <v>1906</v>
      </c>
      <c r="AO202" s="106">
        <v>150.79000000000002</v>
      </c>
      <c r="AP202" s="107" t="s">
        <v>1906</v>
      </c>
      <c r="AQ202" s="106">
        <v>150.79000000000002</v>
      </c>
      <c r="AR202" s="106" t="s">
        <v>1906</v>
      </c>
      <c r="AS202" s="106">
        <v>150.79000000000002</v>
      </c>
      <c r="AT202" s="107" t="s">
        <v>1906</v>
      </c>
      <c r="AU202" s="106">
        <f t="shared" si="7"/>
        <v>1332.91</v>
      </c>
      <c r="AV202" s="25">
        <v>0.501</v>
      </c>
      <c r="AW202" s="30" t="str">
        <f t="shared" si="8"/>
        <v>95-70</v>
      </c>
      <c r="AX202" s="30" t="s">
        <v>1907</v>
      </c>
      <c r="AY202" s="30">
        <v>0</v>
      </c>
      <c r="AZ202" s="30">
        <v>0</v>
      </c>
    </row>
    <row r="203" spans="1:52" ht="31.2" x14ac:dyDescent="0.3">
      <c r="A203" s="103">
        <v>193</v>
      </c>
      <c r="B203" s="30" t="s">
        <v>799</v>
      </c>
      <c r="C203" s="30" t="s">
        <v>1899</v>
      </c>
      <c r="D203" s="105" t="s">
        <v>1900</v>
      </c>
      <c r="E203" s="108" t="s">
        <v>1901</v>
      </c>
      <c r="F203" s="30" t="s">
        <v>1902</v>
      </c>
      <c r="G203" s="26" t="s">
        <v>145</v>
      </c>
      <c r="H203" s="24" t="s">
        <v>146</v>
      </c>
      <c r="I203" s="25">
        <v>1</v>
      </c>
      <c r="J203" s="24" t="s">
        <v>1903</v>
      </c>
      <c r="K203" s="24">
        <v>32</v>
      </c>
      <c r="L203" s="24">
        <v>5</v>
      </c>
      <c r="M203" s="24" t="str">
        <f t="shared" si="6"/>
        <v>95-70</v>
      </c>
      <c r="N203" s="24" t="s">
        <v>529</v>
      </c>
      <c r="O203" s="24" t="s">
        <v>529</v>
      </c>
      <c r="P203" s="24">
        <v>1</v>
      </c>
      <c r="Q203" s="102">
        <v>0</v>
      </c>
      <c r="R203" s="30" t="s">
        <v>1905</v>
      </c>
      <c r="S203" s="24">
        <v>0</v>
      </c>
      <c r="T203" s="24"/>
      <c r="U203" s="94">
        <v>275.08999999999997</v>
      </c>
      <c r="V203" s="94">
        <v>197.33</v>
      </c>
      <c r="W203" s="106">
        <v>27.31</v>
      </c>
      <c r="X203" s="107" t="s">
        <v>1906</v>
      </c>
      <c r="Y203" s="106">
        <v>27.31</v>
      </c>
      <c r="Z203" s="107" t="s">
        <v>1906</v>
      </c>
      <c r="AA203" s="106">
        <v>27.31</v>
      </c>
      <c r="AB203" s="107" t="s">
        <v>1906</v>
      </c>
      <c r="AC203" s="106">
        <v>27.31</v>
      </c>
      <c r="AD203" s="107" t="s">
        <v>1906</v>
      </c>
      <c r="AE203" s="106">
        <v>8.8099999999999987</v>
      </c>
      <c r="AF203" s="107" t="s">
        <v>1906</v>
      </c>
      <c r="AG203" s="106">
        <v>0</v>
      </c>
      <c r="AH203" s="107" t="s">
        <v>1906</v>
      </c>
      <c r="AI203" s="106">
        <v>0</v>
      </c>
      <c r="AJ203" s="107" t="s">
        <v>1906</v>
      </c>
      <c r="AK203" s="106">
        <v>0</v>
      </c>
      <c r="AL203" s="107" t="s">
        <v>1906</v>
      </c>
      <c r="AM203" s="106">
        <v>0</v>
      </c>
      <c r="AN203" s="107" t="s">
        <v>1906</v>
      </c>
      <c r="AO203" s="106">
        <v>28.07</v>
      </c>
      <c r="AP203" s="107" t="s">
        <v>1906</v>
      </c>
      <c r="AQ203" s="106">
        <v>28.07</v>
      </c>
      <c r="AR203" s="106" t="s">
        <v>1906</v>
      </c>
      <c r="AS203" s="106">
        <v>28.07</v>
      </c>
      <c r="AT203" s="107" t="s">
        <v>1906</v>
      </c>
      <c r="AU203" s="106">
        <f t="shared" si="7"/>
        <v>202.26</v>
      </c>
      <c r="AV203" s="25">
        <v>0.13150000000000001</v>
      </c>
      <c r="AW203" s="30" t="str">
        <f t="shared" si="8"/>
        <v>95-70</v>
      </c>
      <c r="AX203" s="30" t="s">
        <v>1907</v>
      </c>
      <c r="AY203" s="30">
        <v>0</v>
      </c>
      <c r="AZ203" s="30">
        <v>0</v>
      </c>
    </row>
    <row r="204" spans="1:52" ht="31.2" x14ac:dyDescent="0.3">
      <c r="A204" s="103">
        <v>194</v>
      </c>
      <c r="B204" s="30" t="s">
        <v>800</v>
      </c>
      <c r="C204" s="30" t="s">
        <v>1899</v>
      </c>
      <c r="D204" s="105" t="s">
        <v>1900</v>
      </c>
      <c r="E204" s="108" t="s">
        <v>1901</v>
      </c>
      <c r="F204" s="30" t="s">
        <v>1902</v>
      </c>
      <c r="G204" s="26" t="s">
        <v>145</v>
      </c>
      <c r="H204" s="24" t="s">
        <v>146</v>
      </c>
      <c r="I204" s="25">
        <v>1</v>
      </c>
      <c r="J204" s="24" t="s">
        <v>1903</v>
      </c>
      <c r="K204" s="24">
        <v>50</v>
      </c>
      <c r="L204" s="24">
        <v>5</v>
      </c>
      <c r="M204" s="24" t="str">
        <f t="shared" si="6"/>
        <v>95-70</v>
      </c>
      <c r="N204" s="24" t="s">
        <v>529</v>
      </c>
      <c r="O204" s="24" t="s">
        <v>529</v>
      </c>
      <c r="P204" s="24">
        <v>1</v>
      </c>
      <c r="Q204" s="102">
        <v>0</v>
      </c>
      <c r="R204" s="30" t="s">
        <v>1905</v>
      </c>
      <c r="S204" s="24">
        <v>0</v>
      </c>
      <c r="T204" s="24"/>
      <c r="U204" s="94">
        <v>724.4</v>
      </c>
      <c r="V204" s="94">
        <v>282.21999999999997</v>
      </c>
      <c r="W204" s="106">
        <v>38.54</v>
      </c>
      <c r="X204" s="107" t="s">
        <v>1906</v>
      </c>
      <c r="Y204" s="106">
        <v>38.54</v>
      </c>
      <c r="Z204" s="107" t="s">
        <v>1906</v>
      </c>
      <c r="AA204" s="106">
        <v>38.54</v>
      </c>
      <c r="AB204" s="107" t="s">
        <v>1906</v>
      </c>
      <c r="AC204" s="106">
        <v>38.54</v>
      </c>
      <c r="AD204" s="107" t="s">
        <v>1906</v>
      </c>
      <c r="AE204" s="106">
        <v>12.44</v>
      </c>
      <c r="AF204" s="107" t="s">
        <v>1906</v>
      </c>
      <c r="AG204" s="106">
        <v>0</v>
      </c>
      <c r="AH204" s="107" t="s">
        <v>1906</v>
      </c>
      <c r="AI204" s="106">
        <v>0</v>
      </c>
      <c r="AJ204" s="107" t="s">
        <v>1906</v>
      </c>
      <c r="AK204" s="106">
        <v>0</v>
      </c>
      <c r="AL204" s="107" t="s">
        <v>1906</v>
      </c>
      <c r="AM204" s="106">
        <v>0</v>
      </c>
      <c r="AN204" s="107" t="s">
        <v>1906</v>
      </c>
      <c r="AO204" s="106">
        <v>35.94</v>
      </c>
      <c r="AP204" s="107" t="s">
        <v>1906</v>
      </c>
      <c r="AQ204" s="106">
        <v>35.94</v>
      </c>
      <c r="AR204" s="106" t="s">
        <v>1906</v>
      </c>
      <c r="AS204" s="106">
        <v>35.94</v>
      </c>
      <c r="AT204" s="107" t="s">
        <v>1906</v>
      </c>
      <c r="AU204" s="106">
        <f t="shared" si="7"/>
        <v>274.41999999999996</v>
      </c>
      <c r="AV204" s="25">
        <v>0.3463</v>
      </c>
      <c r="AW204" s="30" t="str">
        <f t="shared" si="8"/>
        <v>95-70</v>
      </c>
      <c r="AX204" s="30" t="s">
        <v>1907</v>
      </c>
      <c r="AY204" s="30">
        <v>0</v>
      </c>
      <c r="AZ204" s="30">
        <v>0</v>
      </c>
    </row>
    <row r="205" spans="1:52" ht="31.2" x14ac:dyDescent="0.3">
      <c r="A205" s="103">
        <v>195</v>
      </c>
      <c r="B205" s="30" t="s">
        <v>801</v>
      </c>
      <c r="C205" s="30" t="s">
        <v>1899</v>
      </c>
      <c r="D205" s="105" t="s">
        <v>1900</v>
      </c>
      <c r="E205" s="108" t="s">
        <v>1901</v>
      </c>
      <c r="F205" s="30" t="s">
        <v>1902</v>
      </c>
      <c r="G205" s="26" t="s">
        <v>145</v>
      </c>
      <c r="H205" s="24" t="s">
        <v>146</v>
      </c>
      <c r="I205" s="25">
        <v>2</v>
      </c>
      <c r="J205" s="24" t="s">
        <v>1903</v>
      </c>
      <c r="K205" s="24">
        <v>80</v>
      </c>
      <c r="L205" s="24">
        <v>5</v>
      </c>
      <c r="M205" s="24" t="str">
        <f t="shared" ref="M205:M268" si="9">M204</f>
        <v>95-70</v>
      </c>
      <c r="N205" s="24" t="s">
        <v>529</v>
      </c>
      <c r="O205" s="24" t="s">
        <v>529</v>
      </c>
      <c r="P205" s="24">
        <v>1</v>
      </c>
      <c r="Q205" s="102">
        <v>0</v>
      </c>
      <c r="R205" s="30" t="s">
        <v>1905</v>
      </c>
      <c r="S205" s="24">
        <v>0</v>
      </c>
      <c r="T205" s="24"/>
      <c r="U205" s="94">
        <v>1711.2500000000002</v>
      </c>
      <c r="V205" s="94">
        <v>1439.9299999999998</v>
      </c>
      <c r="W205" s="106">
        <v>270.27</v>
      </c>
      <c r="X205" s="107" t="s">
        <v>208</v>
      </c>
      <c r="Y205" s="106">
        <v>207.41000000000003</v>
      </c>
      <c r="Z205" s="107" t="s">
        <v>208</v>
      </c>
      <c r="AA205" s="106">
        <v>278.65999999999997</v>
      </c>
      <c r="AB205" s="107" t="s">
        <v>208</v>
      </c>
      <c r="AC205" s="106">
        <v>191.85999999999999</v>
      </c>
      <c r="AD205" s="107" t="s">
        <v>208</v>
      </c>
      <c r="AE205" s="106">
        <v>63.800000000000004</v>
      </c>
      <c r="AF205" s="107" t="s">
        <v>208</v>
      </c>
      <c r="AG205" s="106">
        <v>0</v>
      </c>
      <c r="AH205" s="107" t="s">
        <v>208</v>
      </c>
      <c r="AI205" s="106">
        <v>0</v>
      </c>
      <c r="AJ205" s="107" t="s">
        <v>208</v>
      </c>
      <c r="AK205" s="106">
        <v>0</v>
      </c>
      <c r="AL205" s="107" t="s">
        <v>208</v>
      </c>
      <c r="AM205" s="106">
        <v>0</v>
      </c>
      <c r="AN205" s="107" t="s">
        <v>208</v>
      </c>
      <c r="AO205" s="106">
        <v>278.43</v>
      </c>
      <c r="AP205" s="107" t="s">
        <v>208</v>
      </c>
      <c r="AQ205" s="106">
        <v>161.06</v>
      </c>
      <c r="AR205" s="106" t="s">
        <v>208</v>
      </c>
      <c r="AS205" s="106">
        <v>199.35000000000002</v>
      </c>
      <c r="AT205" s="107" t="s">
        <v>208</v>
      </c>
      <c r="AU205" s="106">
        <f t="shared" ref="AU205:AU268" si="10">W205+Y205+AA205+AC205+AE205+AG205+AI205+AK205+AM205+AO205+AQ205+AS205</f>
        <v>1650.8399999999997</v>
      </c>
      <c r="AV205" s="25">
        <v>0.80669999999999997</v>
      </c>
      <c r="AW205" s="30" t="str">
        <f t="shared" ref="AW205:AW268" si="11">AW204</f>
        <v>95-70</v>
      </c>
      <c r="AX205" s="30" t="s">
        <v>1907</v>
      </c>
      <c r="AY205" s="30">
        <v>0</v>
      </c>
      <c r="AZ205" s="30">
        <v>0</v>
      </c>
    </row>
    <row r="206" spans="1:52" ht="31.2" x14ac:dyDescent="0.3">
      <c r="A206" s="103">
        <v>196</v>
      </c>
      <c r="B206" s="30" t="s">
        <v>802</v>
      </c>
      <c r="C206" s="30" t="s">
        <v>1899</v>
      </c>
      <c r="D206" s="105" t="s">
        <v>1900</v>
      </c>
      <c r="E206" s="108" t="s">
        <v>1901</v>
      </c>
      <c r="F206" s="30" t="s">
        <v>1902</v>
      </c>
      <c r="G206" s="26" t="s">
        <v>145</v>
      </c>
      <c r="H206" s="24" t="s">
        <v>146</v>
      </c>
      <c r="I206" s="25">
        <v>1</v>
      </c>
      <c r="J206" s="24" t="s">
        <v>1903</v>
      </c>
      <c r="K206" s="24">
        <v>32</v>
      </c>
      <c r="L206" s="24">
        <v>5</v>
      </c>
      <c r="M206" s="24" t="str">
        <f t="shared" si="9"/>
        <v>95-70</v>
      </c>
      <c r="N206" s="24" t="s">
        <v>529</v>
      </c>
      <c r="O206" s="24" t="s">
        <v>529</v>
      </c>
      <c r="P206" s="24">
        <v>1</v>
      </c>
      <c r="Q206" s="102">
        <v>0</v>
      </c>
      <c r="R206" s="30" t="s">
        <v>1905</v>
      </c>
      <c r="S206" s="24">
        <v>0</v>
      </c>
      <c r="T206" s="24"/>
      <c r="U206" s="94">
        <f>701.95*0.55</f>
        <v>386.07250000000005</v>
      </c>
      <c r="V206" s="94">
        <f>530.53*0.55</f>
        <v>291.79149999999998</v>
      </c>
      <c r="W206" s="106">
        <f>72.6*0.55</f>
        <v>39.93</v>
      </c>
      <c r="X206" s="107" t="s">
        <v>1906</v>
      </c>
      <c r="Y206" s="106">
        <f>72.6*0.55</f>
        <v>39.93</v>
      </c>
      <c r="Z206" s="107" t="s">
        <v>1906</v>
      </c>
      <c r="AA206" s="106">
        <f>72.6*0.55</f>
        <v>39.93</v>
      </c>
      <c r="AB206" s="107" t="s">
        <v>1906</v>
      </c>
      <c r="AC206" s="106">
        <f>72.6*0.55</f>
        <v>39.93</v>
      </c>
      <c r="AD206" s="107" t="s">
        <v>1906</v>
      </c>
      <c r="AE206" s="106">
        <f>23.43*0.55</f>
        <v>12.886500000000002</v>
      </c>
      <c r="AF206" s="107" t="s">
        <v>1906</v>
      </c>
      <c r="AG206" s="106">
        <v>0</v>
      </c>
      <c r="AH206" s="107" t="s">
        <v>1906</v>
      </c>
      <c r="AI206" s="106">
        <v>0</v>
      </c>
      <c r="AJ206" s="107" t="s">
        <v>1906</v>
      </c>
      <c r="AK206" s="106">
        <v>0</v>
      </c>
      <c r="AL206" s="107" t="s">
        <v>1906</v>
      </c>
      <c r="AM206" s="106">
        <f>9.6*0.55</f>
        <v>5.28</v>
      </c>
      <c r="AN206" s="107" t="s">
        <v>1906</v>
      </c>
      <c r="AO206" s="106">
        <f>67.88*0.55</f>
        <v>37.334000000000003</v>
      </c>
      <c r="AP206" s="107" t="s">
        <v>1906</v>
      </c>
      <c r="AQ206" s="106">
        <f>67.88*0.55</f>
        <v>37.334000000000003</v>
      </c>
      <c r="AR206" s="106" t="s">
        <v>1906</v>
      </c>
      <c r="AS206" s="106">
        <f>67.88*0.55</f>
        <v>37.334000000000003</v>
      </c>
      <c r="AT206" s="107" t="s">
        <v>1906</v>
      </c>
      <c r="AU206" s="106">
        <f t="shared" si="10"/>
        <v>289.88850000000002</v>
      </c>
      <c r="AV206" s="25">
        <v>0.1636</v>
      </c>
      <c r="AW206" s="30" t="str">
        <f t="shared" si="11"/>
        <v>95-70</v>
      </c>
      <c r="AX206" s="30" t="s">
        <v>1907</v>
      </c>
      <c r="AY206" s="30">
        <v>0</v>
      </c>
      <c r="AZ206" s="30">
        <v>0</v>
      </c>
    </row>
    <row r="207" spans="1:52" ht="31.2" x14ac:dyDescent="0.3">
      <c r="A207" s="103">
        <v>197</v>
      </c>
      <c r="B207" s="30" t="s">
        <v>803</v>
      </c>
      <c r="C207" s="30" t="s">
        <v>1899</v>
      </c>
      <c r="D207" s="105" t="s">
        <v>1900</v>
      </c>
      <c r="E207" s="108" t="s">
        <v>1901</v>
      </c>
      <c r="F207" s="30" t="s">
        <v>1902</v>
      </c>
      <c r="G207" s="26" t="s">
        <v>145</v>
      </c>
      <c r="H207" s="24" t="s">
        <v>146</v>
      </c>
      <c r="I207" s="25">
        <v>1</v>
      </c>
      <c r="J207" s="24" t="s">
        <v>1903</v>
      </c>
      <c r="K207" s="24">
        <v>32</v>
      </c>
      <c r="L207" s="24">
        <v>5</v>
      </c>
      <c r="M207" s="24" t="str">
        <f t="shared" si="9"/>
        <v>95-70</v>
      </c>
      <c r="N207" s="24" t="s">
        <v>529</v>
      </c>
      <c r="O207" s="24" t="s">
        <v>529</v>
      </c>
      <c r="P207" s="24">
        <v>1</v>
      </c>
      <c r="Q207" s="102">
        <v>0</v>
      </c>
      <c r="R207" s="30" t="s">
        <v>1905</v>
      </c>
      <c r="S207" s="24">
        <v>0</v>
      </c>
      <c r="T207" s="24"/>
      <c r="U207" s="94">
        <f>701.95*0.45</f>
        <v>315.87750000000005</v>
      </c>
      <c r="V207" s="94">
        <f>530.53*0.45</f>
        <v>238.73849999999999</v>
      </c>
      <c r="W207" s="106">
        <f>72.6*0.45</f>
        <v>32.67</v>
      </c>
      <c r="X207" s="107" t="s">
        <v>1906</v>
      </c>
      <c r="Y207" s="106">
        <f>72.6*0.45</f>
        <v>32.67</v>
      </c>
      <c r="Z207" s="107" t="s">
        <v>1906</v>
      </c>
      <c r="AA207" s="106">
        <f>72.6*0.45</f>
        <v>32.67</v>
      </c>
      <c r="AB207" s="107" t="s">
        <v>1906</v>
      </c>
      <c r="AC207" s="106">
        <f>72.6*0.45</f>
        <v>32.67</v>
      </c>
      <c r="AD207" s="107" t="s">
        <v>1906</v>
      </c>
      <c r="AE207" s="106">
        <f>23.43*0.45</f>
        <v>10.5435</v>
      </c>
      <c r="AF207" s="107" t="s">
        <v>1906</v>
      </c>
      <c r="AG207" s="106">
        <v>0</v>
      </c>
      <c r="AH207" s="107" t="s">
        <v>1906</v>
      </c>
      <c r="AI207" s="106">
        <v>0</v>
      </c>
      <c r="AJ207" s="107" t="s">
        <v>1906</v>
      </c>
      <c r="AK207" s="106">
        <v>0</v>
      </c>
      <c r="AL207" s="107" t="s">
        <v>1906</v>
      </c>
      <c r="AM207" s="106">
        <f>9.6*0.45</f>
        <v>4.32</v>
      </c>
      <c r="AN207" s="107" t="s">
        <v>1906</v>
      </c>
      <c r="AO207" s="106">
        <f>67.88*0.45</f>
        <v>30.545999999999999</v>
      </c>
      <c r="AP207" s="107" t="s">
        <v>1906</v>
      </c>
      <c r="AQ207" s="106">
        <f>67.88*0.45</f>
        <v>30.545999999999999</v>
      </c>
      <c r="AR207" s="106" t="s">
        <v>1906</v>
      </c>
      <c r="AS207" s="106">
        <f>67.88*0.45</f>
        <v>30.545999999999999</v>
      </c>
      <c r="AT207" s="107" t="s">
        <v>1906</v>
      </c>
      <c r="AU207" s="106">
        <f t="shared" si="10"/>
        <v>237.18149999999997</v>
      </c>
      <c r="AV207" s="25">
        <v>0.1719</v>
      </c>
      <c r="AW207" s="30" t="str">
        <f t="shared" si="11"/>
        <v>95-70</v>
      </c>
      <c r="AX207" s="30" t="s">
        <v>1907</v>
      </c>
      <c r="AY207" s="30">
        <v>0</v>
      </c>
      <c r="AZ207" s="30">
        <v>0</v>
      </c>
    </row>
    <row r="208" spans="1:52" ht="31.2" x14ac:dyDescent="0.3">
      <c r="A208" s="103">
        <v>198</v>
      </c>
      <c r="B208" s="30" t="s">
        <v>804</v>
      </c>
      <c r="C208" s="30" t="s">
        <v>1899</v>
      </c>
      <c r="D208" s="105" t="s">
        <v>1900</v>
      </c>
      <c r="E208" s="108" t="s">
        <v>1901</v>
      </c>
      <c r="F208" s="30" t="s">
        <v>1902</v>
      </c>
      <c r="G208" s="26" t="s">
        <v>145</v>
      </c>
      <c r="H208" s="24" t="s">
        <v>146</v>
      </c>
      <c r="I208" s="25">
        <v>1</v>
      </c>
      <c r="J208" s="24" t="s">
        <v>1903</v>
      </c>
      <c r="K208" s="24">
        <v>50</v>
      </c>
      <c r="L208" s="24">
        <v>5</v>
      </c>
      <c r="M208" s="24" t="str">
        <f t="shared" si="9"/>
        <v>95-70</v>
      </c>
      <c r="N208" s="24" t="s">
        <v>529</v>
      </c>
      <c r="O208" s="24" t="s">
        <v>529</v>
      </c>
      <c r="P208" s="24">
        <v>1</v>
      </c>
      <c r="Q208" s="102">
        <v>0</v>
      </c>
      <c r="R208" s="30" t="s">
        <v>1905</v>
      </c>
      <c r="S208" s="24">
        <v>0</v>
      </c>
      <c r="T208" s="24"/>
      <c r="U208" s="94">
        <v>435.88000000000005</v>
      </c>
      <c r="V208" s="94">
        <v>348.62</v>
      </c>
      <c r="W208" s="106">
        <v>47.82</v>
      </c>
      <c r="X208" s="107" t="s">
        <v>208</v>
      </c>
      <c r="Y208" s="106">
        <v>47.82</v>
      </c>
      <c r="Z208" s="107" t="s">
        <v>208</v>
      </c>
      <c r="AA208" s="106">
        <v>47.82</v>
      </c>
      <c r="AB208" s="107" t="s">
        <v>208</v>
      </c>
      <c r="AC208" s="106">
        <v>47.82</v>
      </c>
      <c r="AD208" s="107" t="s">
        <v>208</v>
      </c>
      <c r="AE208" s="106">
        <v>13.879999999999999</v>
      </c>
      <c r="AF208" s="107" t="s">
        <v>208</v>
      </c>
      <c r="AG208" s="106">
        <v>0</v>
      </c>
      <c r="AH208" s="107" t="s">
        <v>208</v>
      </c>
      <c r="AI208" s="106">
        <v>0</v>
      </c>
      <c r="AJ208" s="107" t="s">
        <v>208</v>
      </c>
      <c r="AK208" s="106">
        <v>0</v>
      </c>
      <c r="AL208" s="107" t="s">
        <v>208</v>
      </c>
      <c r="AM208" s="106">
        <v>0</v>
      </c>
      <c r="AN208" s="107" t="s">
        <v>208</v>
      </c>
      <c r="AO208" s="106">
        <v>46.48</v>
      </c>
      <c r="AP208" s="107" t="s">
        <v>208</v>
      </c>
      <c r="AQ208" s="106">
        <v>46.48</v>
      </c>
      <c r="AR208" s="106" t="s">
        <v>208</v>
      </c>
      <c r="AS208" s="106">
        <v>28.91</v>
      </c>
      <c r="AT208" s="107" t="s">
        <v>208</v>
      </c>
      <c r="AU208" s="106">
        <f t="shared" si="10"/>
        <v>327.03000000000003</v>
      </c>
      <c r="AV208" s="25">
        <v>0.20319999999999999</v>
      </c>
      <c r="AW208" s="30" t="str">
        <f t="shared" si="11"/>
        <v>95-70</v>
      </c>
      <c r="AX208" s="30" t="s">
        <v>1907</v>
      </c>
      <c r="AY208" s="30">
        <v>0</v>
      </c>
      <c r="AZ208" s="30">
        <v>0</v>
      </c>
    </row>
    <row r="209" spans="1:52" ht="31.2" x14ac:dyDescent="0.3">
      <c r="A209" s="103">
        <v>199</v>
      </c>
      <c r="B209" s="30" t="s">
        <v>805</v>
      </c>
      <c r="C209" s="30" t="s">
        <v>1899</v>
      </c>
      <c r="D209" s="105" t="s">
        <v>1900</v>
      </c>
      <c r="E209" s="108" t="s">
        <v>1901</v>
      </c>
      <c r="F209" s="30" t="s">
        <v>1902</v>
      </c>
      <c r="G209" s="26" t="s">
        <v>145</v>
      </c>
      <c r="H209" s="24" t="s">
        <v>146</v>
      </c>
      <c r="I209" s="25">
        <v>1</v>
      </c>
      <c r="J209" s="24" t="s">
        <v>1903</v>
      </c>
      <c r="K209" s="24">
        <v>50</v>
      </c>
      <c r="L209" s="24">
        <v>5</v>
      </c>
      <c r="M209" s="24" t="str">
        <f t="shared" si="9"/>
        <v>95-70</v>
      </c>
      <c r="N209" s="24" t="s">
        <v>529</v>
      </c>
      <c r="O209" s="24" t="s">
        <v>529</v>
      </c>
      <c r="P209" s="24">
        <v>1</v>
      </c>
      <c r="Q209" s="102">
        <v>0</v>
      </c>
      <c r="R209" s="30" t="s">
        <v>1905</v>
      </c>
      <c r="S209" s="24">
        <v>0</v>
      </c>
      <c r="T209" s="24"/>
      <c r="U209" s="94">
        <v>556.94999999999993</v>
      </c>
      <c r="V209" s="94">
        <v>517.67999999999995</v>
      </c>
      <c r="W209" s="106">
        <v>106.55</v>
      </c>
      <c r="X209" s="107" t="s">
        <v>208</v>
      </c>
      <c r="Y209" s="106">
        <v>63.79</v>
      </c>
      <c r="Z209" s="107" t="s">
        <v>208</v>
      </c>
      <c r="AA209" s="106">
        <v>94.53</v>
      </c>
      <c r="AB209" s="107" t="s">
        <v>208</v>
      </c>
      <c r="AC209" s="106">
        <v>67.319999999999993</v>
      </c>
      <c r="AD209" s="107" t="s">
        <v>208</v>
      </c>
      <c r="AE209" s="106">
        <v>21.040000000000003</v>
      </c>
      <c r="AF209" s="107" t="s">
        <v>208</v>
      </c>
      <c r="AG209" s="106">
        <v>0</v>
      </c>
      <c r="AH209" s="107" t="s">
        <v>208</v>
      </c>
      <c r="AI209" s="106">
        <v>0</v>
      </c>
      <c r="AJ209" s="107" t="s">
        <v>208</v>
      </c>
      <c r="AK209" s="106">
        <v>0</v>
      </c>
      <c r="AL209" s="107" t="s">
        <v>208</v>
      </c>
      <c r="AM209" s="106">
        <v>0</v>
      </c>
      <c r="AN209" s="107" t="s">
        <v>208</v>
      </c>
      <c r="AO209" s="106">
        <v>43.51</v>
      </c>
      <c r="AP209" s="107" t="s">
        <v>208</v>
      </c>
      <c r="AQ209" s="106">
        <v>38.019999999999996</v>
      </c>
      <c r="AR209" s="106" t="s">
        <v>208</v>
      </c>
      <c r="AS209" s="106">
        <v>77.510000000000005</v>
      </c>
      <c r="AT209" s="107" t="s">
        <v>208</v>
      </c>
      <c r="AU209" s="106">
        <f t="shared" si="10"/>
        <v>512.27</v>
      </c>
      <c r="AV209" s="25">
        <v>0.25440000000000002</v>
      </c>
      <c r="AW209" s="30" t="str">
        <f t="shared" si="11"/>
        <v>95-70</v>
      </c>
      <c r="AX209" s="30" t="s">
        <v>1907</v>
      </c>
      <c r="AY209" s="30">
        <v>0</v>
      </c>
      <c r="AZ209" s="30">
        <v>0</v>
      </c>
    </row>
    <row r="210" spans="1:52" ht="31.2" x14ac:dyDescent="0.3">
      <c r="A210" s="103">
        <v>200</v>
      </c>
      <c r="B210" s="30" t="s">
        <v>807</v>
      </c>
      <c r="C210" s="30" t="s">
        <v>1899</v>
      </c>
      <c r="D210" s="105" t="s">
        <v>1900</v>
      </c>
      <c r="E210" s="108" t="s">
        <v>1901</v>
      </c>
      <c r="F210" s="30" t="s">
        <v>1902</v>
      </c>
      <c r="G210" s="26" t="s">
        <v>145</v>
      </c>
      <c r="H210" s="24" t="s">
        <v>146</v>
      </c>
      <c r="I210" s="25">
        <v>0</v>
      </c>
      <c r="J210" s="24" t="s">
        <v>1903</v>
      </c>
      <c r="K210" s="24">
        <v>32</v>
      </c>
      <c r="L210" s="24">
        <v>5</v>
      </c>
      <c r="M210" s="24" t="str">
        <f t="shared" si="9"/>
        <v>95-70</v>
      </c>
      <c r="N210" s="24" t="s">
        <v>529</v>
      </c>
      <c r="O210" s="24" t="s">
        <v>529</v>
      </c>
      <c r="P210" s="24">
        <v>0</v>
      </c>
      <c r="Q210" s="102">
        <v>0</v>
      </c>
      <c r="R210" s="30" t="s">
        <v>1905</v>
      </c>
      <c r="S210" s="24">
        <v>0</v>
      </c>
      <c r="T210" s="24"/>
      <c r="U210" s="94">
        <f>205.46*0.43</f>
        <v>88.347800000000007</v>
      </c>
      <c r="V210" s="94">
        <f>219.17*0.43</f>
        <v>94.243099999999998</v>
      </c>
      <c r="W210" s="106">
        <f>30.12*0.43</f>
        <v>12.951600000000001</v>
      </c>
      <c r="X210" s="107" t="s">
        <v>1906</v>
      </c>
      <c r="Y210" s="106">
        <f>30.12*0.43</f>
        <v>12.951600000000001</v>
      </c>
      <c r="Z210" s="107" t="s">
        <v>1906</v>
      </c>
      <c r="AA210" s="106">
        <f>30.12*0.43</f>
        <v>12.951600000000001</v>
      </c>
      <c r="AB210" s="107" t="s">
        <v>1906</v>
      </c>
      <c r="AC210" s="106">
        <f>29.94*0.43</f>
        <v>12.8742</v>
      </c>
      <c r="AD210" s="107" t="s">
        <v>1906</v>
      </c>
      <c r="AE210" s="106">
        <f>8.51*0.43</f>
        <v>3.6593</v>
      </c>
      <c r="AF210" s="107" t="s">
        <v>1906</v>
      </c>
      <c r="AG210" s="106">
        <v>0</v>
      </c>
      <c r="AH210" s="107" t="s">
        <v>1906</v>
      </c>
      <c r="AI210" s="106">
        <v>0</v>
      </c>
      <c r="AJ210" s="107" t="s">
        <v>1906</v>
      </c>
      <c r="AK210" s="106">
        <v>0</v>
      </c>
      <c r="AL210" s="107" t="s">
        <v>1906</v>
      </c>
      <c r="AM210" s="106">
        <f>6.66*0.43</f>
        <v>2.8637999999999999</v>
      </c>
      <c r="AN210" s="107" t="s">
        <v>1906</v>
      </c>
      <c r="AO210" s="106">
        <f>28.56*0.43</f>
        <v>12.280799999999999</v>
      </c>
      <c r="AP210" s="107" t="s">
        <v>1906</v>
      </c>
      <c r="AQ210" s="106">
        <f>28.56*0.43</f>
        <v>12.280799999999999</v>
      </c>
      <c r="AR210" s="106" t="s">
        <v>1906</v>
      </c>
      <c r="AS210" s="106">
        <f>28.56*0.43</f>
        <v>12.280799999999999</v>
      </c>
      <c r="AT210" s="107" t="s">
        <v>1906</v>
      </c>
      <c r="AU210" s="106">
        <f t="shared" si="10"/>
        <v>95.094500000000011</v>
      </c>
      <c r="AV210" s="25">
        <v>8.3299999999999999E-2</v>
      </c>
      <c r="AW210" s="30" t="str">
        <f t="shared" si="11"/>
        <v>95-70</v>
      </c>
      <c r="AX210" s="30" t="s">
        <v>1907</v>
      </c>
      <c r="AY210" s="30">
        <v>0</v>
      </c>
      <c r="AZ210" s="30">
        <v>0</v>
      </c>
    </row>
    <row r="211" spans="1:52" ht="31.2" x14ac:dyDescent="0.3">
      <c r="A211" s="103">
        <v>201</v>
      </c>
      <c r="B211" s="30" t="s">
        <v>808</v>
      </c>
      <c r="C211" s="30" t="s">
        <v>1899</v>
      </c>
      <c r="D211" s="105" t="s">
        <v>1900</v>
      </c>
      <c r="E211" s="108" t="s">
        <v>1901</v>
      </c>
      <c r="F211" s="30" t="s">
        <v>1902</v>
      </c>
      <c r="G211" s="26" t="s">
        <v>145</v>
      </c>
      <c r="H211" s="24" t="s">
        <v>146</v>
      </c>
      <c r="I211" s="25">
        <v>0</v>
      </c>
      <c r="J211" s="24" t="s">
        <v>1903</v>
      </c>
      <c r="K211" s="24">
        <v>32</v>
      </c>
      <c r="L211" s="24">
        <v>5</v>
      </c>
      <c r="M211" s="24" t="str">
        <f t="shared" si="9"/>
        <v>95-70</v>
      </c>
      <c r="N211" s="24" t="s">
        <v>529</v>
      </c>
      <c r="O211" s="24" t="s">
        <v>529</v>
      </c>
      <c r="P211" s="24">
        <v>0</v>
      </c>
      <c r="Q211" s="102">
        <v>0</v>
      </c>
      <c r="R211" s="30" t="s">
        <v>1905</v>
      </c>
      <c r="S211" s="24">
        <v>0</v>
      </c>
      <c r="T211" s="24"/>
      <c r="U211" s="94">
        <f>205.46*0.57</f>
        <v>117.1122</v>
      </c>
      <c r="V211" s="94">
        <f>219.17*0.57</f>
        <v>124.92689999999999</v>
      </c>
      <c r="W211" s="106">
        <f>30.12*0.57</f>
        <v>17.168399999999998</v>
      </c>
      <c r="X211" s="107" t="s">
        <v>1906</v>
      </c>
      <c r="Y211" s="106">
        <f>30.12*0.57</f>
        <v>17.168399999999998</v>
      </c>
      <c r="Z211" s="107" t="s">
        <v>1906</v>
      </c>
      <c r="AA211" s="106">
        <f>30.12*0.57</f>
        <v>17.168399999999998</v>
      </c>
      <c r="AB211" s="107" t="s">
        <v>1906</v>
      </c>
      <c r="AC211" s="106">
        <f>29.94*0.57</f>
        <v>17.065799999999999</v>
      </c>
      <c r="AD211" s="107" t="s">
        <v>1906</v>
      </c>
      <c r="AE211" s="106">
        <f>8.51*0.57</f>
        <v>4.8506999999999998</v>
      </c>
      <c r="AF211" s="107" t="s">
        <v>1906</v>
      </c>
      <c r="AG211" s="106">
        <v>0</v>
      </c>
      <c r="AH211" s="107" t="s">
        <v>1906</v>
      </c>
      <c r="AI211" s="106">
        <v>0</v>
      </c>
      <c r="AJ211" s="107" t="s">
        <v>1906</v>
      </c>
      <c r="AK211" s="106">
        <v>0</v>
      </c>
      <c r="AL211" s="107" t="s">
        <v>1906</v>
      </c>
      <c r="AM211" s="106">
        <f>6.66*0.57</f>
        <v>3.7961999999999998</v>
      </c>
      <c r="AN211" s="107" t="s">
        <v>1906</v>
      </c>
      <c r="AO211" s="106">
        <f>28.56*0.57</f>
        <v>16.279199999999999</v>
      </c>
      <c r="AP211" s="107" t="s">
        <v>1906</v>
      </c>
      <c r="AQ211" s="106">
        <f>28.56*0.57</f>
        <v>16.279199999999999</v>
      </c>
      <c r="AR211" s="106" t="s">
        <v>1906</v>
      </c>
      <c r="AS211" s="106">
        <f>28.56*0.57</f>
        <v>16.279199999999999</v>
      </c>
      <c r="AT211" s="107" t="s">
        <v>1906</v>
      </c>
      <c r="AU211" s="106">
        <f t="shared" si="10"/>
        <v>126.05550000000001</v>
      </c>
      <c r="AV211" s="25">
        <v>1E-3</v>
      </c>
      <c r="AW211" s="30" t="str">
        <f t="shared" si="11"/>
        <v>95-70</v>
      </c>
      <c r="AX211" s="30" t="s">
        <v>1907</v>
      </c>
      <c r="AY211" s="30">
        <v>0</v>
      </c>
      <c r="AZ211" s="30">
        <v>0</v>
      </c>
    </row>
    <row r="212" spans="1:52" ht="31.2" x14ac:dyDescent="0.3">
      <c r="A212" s="103">
        <v>202</v>
      </c>
      <c r="B212" s="30" t="s">
        <v>810</v>
      </c>
      <c r="C212" s="30" t="s">
        <v>1899</v>
      </c>
      <c r="D212" s="105" t="s">
        <v>1900</v>
      </c>
      <c r="E212" s="108" t="s">
        <v>1901</v>
      </c>
      <c r="F212" s="30" t="s">
        <v>1902</v>
      </c>
      <c r="G212" s="26" t="s">
        <v>145</v>
      </c>
      <c r="H212" s="24" t="s">
        <v>146</v>
      </c>
      <c r="I212" s="25">
        <v>1</v>
      </c>
      <c r="J212" s="24" t="s">
        <v>1903</v>
      </c>
      <c r="K212" s="24">
        <v>32</v>
      </c>
      <c r="L212" s="24">
        <v>5</v>
      </c>
      <c r="M212" s="24" t="str">
        <f t="shared" si="9"/>
        <v>95-70</v>
      </c>
      <c r="N212" s="24" t="s">
        <v>529</v>
      </c>
      <c r="O212" s="24" t="s">
        <v>529</v>
      </c>
      <c r="P212" s="24">
        <v>1</v>
      </c>
      <c r="Q212" s="102">
        <v>0</v>
      </c>
      <c r="R212" s="30" t="s">
        <v>1905</v>
      </c>
      <c r="S212" s="24">
        <v>0</v>
      </c>
      <c r="T212" s="24"/>
      <c r="U212" s="94">
        <v>234.46</v>
      </c>
      <c r="V212" s="94">
        <v>168.04</v>
      </c>
      <c r="W212" s="106">
        <v>23.409999999999997</v>
      </c>
      <c r="X212" s="107" t="s">
        <v>1906</v>
      </c>
      <c r="Y212" s="106">
        <v>23.409999999999997</v>
      </c>
      <c r="Z212" s="107" t="s">
        <v>1906</v>
      </c>
      <c r="AA212" s="106">
        <v>23.409999999999997</v>
      </c>
      <c r="AB212" s="107" t="s">
        <v>1906</v>
      </c>
      <c r="AC212" s="106">
        <v>22.04</v>
      </c>
      <c r="AD212" s="107" t="s">
        <v>1906</v>
      </c>
      <c r="AE212" s="106">
        <v>5.03</v>
      </c>
      <c r="AF212" s="107" t="s">
        <v>1906</v>
      </c>
      <c r="AG212" s="106">
        <v>0</v>
      </c>
      <c r="AH212" s="107" t="s">
        <v>1906</v>
      </c>
      <c r="AI212" s="106">
        <v>0</v>
      </c>
      <c r="AJ212" s="107" t="s">
        <v>1906</v>
      </c>
      <c r="AK212" s="106">
        <v>0</v>
      </c>
      <c r="AL212" s="107" t="s">
        <v>1906</v>
      </c>
      <c r="AM212" s="106">
        <v>0</v>
      </c>
      <c r="AN212" s="107" t="s">
        <v>1906</v>
      </c>
      <c r="AO212" s="106">
        <v>19.03</v>
      </c>
      <c r="AP212" s="107" t="s">
        <v>1906</v>
      </c>
      <c r="AQ212" s="106">
        <v>19.03</v>
      </c>
      <c r="AR212" s="106" t="s">
        <v>1906</v>
      </c>
      <c r="AS212" s="106">
        <v>19.03</v>
      </c>
      <c r="AT212" s="107" t="s">
        <v>1906</v>
      </c>
      <c r="AU212" s="106">
        <f t="shared" si="10"/>
        <v>154.38999999999999</v>
      </c>
      <c r="AV212" s="25">
        <v>9.9900000000000003E-2</v>
      </c>
      <c r="AW212" s="30" t="str">
        <f t="shared" si="11"/>
        <v>95-70</v>
      </c>
      <c r="AX212" s="30" t="s">
        <v>1907</v>
      </c>
      <c r="AY212" s="30">
        <v>0</v>
      </c>
      <c r="AZ212" s="30">
        <v>0</v>
      </c>
    </row>
    <row r="213" spans="1:52" ht="31.2" x14ac:dyDescent="0.3">
      <c r="A213" s="103">
        <v>203</v>
      </c>
      <c r="B213" s="30" t="s">
        <v>812</v>
      </c>
      <c r="C213" s="30" t="s">
        <v>1899</v>
      </c>
      <c r="D213" s="105" t="s">
        <v>1900</v>
      </c>
      <c r="E213" s="108" t="s">
        <v>1901</v>
      </c>
      <c r="F213" s="30" t="s">
        <v>1902</v>
      </c>
      <c r="G213" s="26" t="s">
        <v>145</v>
      </c>
      <c r="H213" s="24" t="s">
        <v>146</v>
      </c>
      <c r="I213" s="25">
        <v>1</v>
      </c>
      <c r="J213" s="24" t="s">
        <v>1903</v>
      </c>
      <c r="K213" s="24">
        <v>32</v>
      </c>
      <c r="L213" s="24">
        <v>5</v>
      </c>
      <c r="M213" s="24" t="str">
        <f t="shared" si="9"/>
        <v>95-70</v>
      </c>
      <c r="N213" s="24" t="s">
        <v>529</v>
      </c>
      <c r="O213" s="24" t="s">
        <v>529</v>
      </c>
      <c r="P213" s="24">
        <v>1</v>
      </c>
      <c r="Q213" s="102">
        <v>0</v>
      </c>
      <c r="R213" s="30" t="s">
        <v>1905</v>
      </c>
      <c r="S213" s="24">
        <v>0</v>
      </c>
      <c r="T213" s="24"/>
      <c r="U213" s="94">
        <v>287.30000000000007</v>
      </c>
      <c r="V213" s="94">
        <v>250.73999999999998</v>
      </c>
      <c r="W213" s="106">
        <v>35.39</v>
      </c>
      <c r="X213" s="107" t="s">
        <v>1906</v>
      </c>
      <c r="Y213" s="106">
        <v>35.39</v>
      </c>
      <c r="Z213" s="107" t="s">
        <v>1906</v>
      </c>
      <c r="AA213" s="106">
        <v>35.39</v>
      </c>
      <c r="AB213" s="107" t="s">
        <v>1906</v>
      </c>
      <c r="AC213" s="106">
        <v>32.22</v>
      </c>
      <c r="AD213" s="107" t="s">
        <v>1906</v>
      </c>
      <c r="AE213" s="106">
        <v>6.18</v>
      </c>
      <c r="AF213" s="107" t="s">
        <v>1906</v>
      </c>
      <c r="AG213" s="106">
        <v>0</v>
      </c>
      <c r="AH213" s="107" t="s">
        <v>1906</v>
      </c>
      <c r="AI213" s="106">
        <v>0</v>
      </c>
      <c r="AJ213" s="107" t="s">
        <v>1906</v>
      </c>
      <c r="AK213" s="106">
        <v>0</v>
      </c>
      <c r="AL213" s="107" t="s">
        <v>1906</v>
      </c>
      <c r="AM213" s="106">
        <v>0</v>
      </c>
      <c r="AN213" s="107" t="s">
        <v>1906</v>
      </c>
      <c r="AO213" s="106">
        <v>29.5</v>
      </c>
      <c r="AP213" s="107" t="s">
        <v>1906</v>
      </c>
      <c r="AQ213" s="106">
        <v>29.5</v>
      </c>
      <c r="AR213" s="106" t="s">
        <v>1906</v>
      </c>
      <c r="AS213" s="106">
        <v>29.5</v>
      </c>
      <c r="AT213" s="107" t="s">
        <v>1906</v>
      </c>
      <c r="AU213" s="106">
        <f t="shared" si="10"/>
        <v>233.07</v>
      </c>
      <c r="AV213" s="25">
        <v>0.1225</v>
      </c>
      <c r="AW213" s="30" t="str">
        <f t="shared" si="11"/>
        <v>95-70</v>
      </c>
      <c r="AX213" s="30" t="s">
        <v>1907</v>
      </c>
      <c r="AY213" s="30">
        <v>0</v>
      </c>
      <c r="AZ213" s="30">
        <v>0</v>
      </c>
    </row>
    <row r="214" spans="1:52" ht="31.2" x14ac:dyDescent="0.3">
      <c r="A214" s="103">
        <v>204</v>
      </c>
      <c r="B214" s="30" t="s">
        <v>814</v>
      </c>
      <c r="C214" s="30" t="s">
        <v>1911</v>
      </c>
      <c r="D214" s="105" t="s">
        <v>1900</v>
      </c>
      <c r="E214" s="108" t="s">
        <v>1901</v>
      </c>
      <c r="F214" s="30" t="s">
        <v>1902</v>
      </c>
      <c r="G214" s="26" t="s">
        <v>145</v>
      </c>
      <c r="H214" s="24" t="s">
        <v>146</v>
      </c>
      <c r="I214" s="25">
        <v>0</v>
      </c>
      <c r="J214" s="24" t="s">
        <v>1903</v>
      </c>
      <c r="K214" s="24">
        <v>32</v>
      </c>
      <c r="L214" s="24">
        <v>5</v>
      </c>
      <c r="M214" s="24" t="str">
        <f t="shared" si="9"/>
        <v>95-70</v>
      </c>
      <c r="N214" s="24" t="s">
        <v>529</v>
      </c>
      <c r="O214" s="24" t="s">
        <v>529</v>
      </c>
      <c r="P214" s="24">
        <v>0</v>
      </c>
      <c r="Q214" s="102">
        <v>0</v>
      </c>
      <c r="R214" s="30" t="s">
        <v>1905</v>
      </c>
      <c r="S214" s="24">
        <v>0</v>
      </c>
      <c r="T214" s="24"/>
      <c r="U214" s="94">
        <v>0</v>
      </c>
      <c r="V214" s="94">
        <v>0</v>
      </c>
      <c r="W214" s="106">
        <v>0</v>
      </c>
      <c r="X214" s="107" t="s">
        <v>1906</v>
      </c>
      <c r="Y214" s="106">
        <v>0</v>
      </c>
      <c r="Z214" s="107" t="s">
        <v>1906</v>
      </c>
      <c r="AA214" s="106">
        <v>0</v>
      </c>
      <c r="AB214" s="107" t="s">
        <v>1906</v>
      </c>
      <c r="AC214" s="106">
        <v>0</v>
      </c>
      <c r="AD214" s="107" t="s">
        <v>1906</v>
      </c>
      <c r="AE214" s="106">
        <v>0</v>
      </c>
      <c r="AF214" s="107" t="s">
        <v>1906</v>
      </c>
      <c r="AG214" s="106">
        <v>0</v>
      </c>
      <c r="AH214" s="107" t="s">
        <v>1906</v>
      </c>
      <c r="AI214" s="106">
        <v>0</v>
      </c>
      <c r="AJ214" s="107" t="s">
        <v>1906</v>
      </c>
      <c r="AK214" s="106">
        <v>0</v>
      </c>
      <c r="AL214" s="107" t="s">
        <v>1906</v>
      </c>
      <c r="AM214" s="106">
        <v>0</v>
      </c>
      <c r="AN214" s="107" t="s">
        <v>1906</v>
      </c>
      <c r="AO214" s="106">
        <v>0</v>
      </c>
      <c r="AP214" s="107" t="s">
        <v>1906</v>
      </c>
      <c r="AQ214" s="106">
        <v>0</v>
      </c>
      <c r="AR214" s="106" t="s">
        <v>1906</v>
      </c>
      <c r="AS214" s="106">
        <v>0</v>
      </c>
      <c r="AT214" s="107" t="s">
        <v>1906</v>
      </c>
      <c r="AU214" s="106">
        <f t="shared" si="10"/>
        <v>0</v>
      </c>
      <c r="AV214" s="25">
        <v>0.17369999999999999</v>
      </c>
      <c r="AW214" s="30" t="str">
        <f t="shared" si="11"/>
        <v>95-70</v>
      </c>
      <c r="AX214" s="30" t="s">
        <v>1907</v>
      </c>
      <c r="AY214" s="30">
        <v>0</v>
      </c>
      <c r="AZ214" s="30">
        <v>0</v>
      </c>
    </row>
    <row r="215" spans="1:52" ht="31.2" x14ac:dyDescent="0.3">
      <c r="A215" s="103">
        <v>205</v>
      </c>
      <c r="B215" s="30" t="s">
        <v>815</v>
      </c>
      <c r="C215" s="30" t="s">
        <v>1911</v>
      </c>
      <c r="D215" s="105" t="s">
        <v>1900</v>
      </c>
      <c r="E215" s="108" t="s">
        <v>1901</v>
      </c>
      <c r="F215" s="30" t="s">
        <v>1902</v>
      </c>
      <c r="G215" s="26" t="s">
        <v>145</v>
      </c>
      <c r="H215" s="24" t="s">
        <v>146</v>
      </c>
      <c r="I215" s="25">
        <v>0</v>
      </c>
      <c r="J215" s="24" t="s">
        <v>1903</v>
      </c>
      <c r="K215" s="24">
        <v>32</v>
      </c>
      <c r="L215" s="24">
        <v>5</v>
      </c>
      <c r="M215" s="24" t="str">
        <f t="shared" si="9"/>
        <v>95-70</v>
      </c>
      <c r="N215" s="24" t="s">
        <v>529</v>
      </c>
      <c r="O215" s="24" t="s">
        <v>529</v>
      </c>
      <c r="P215" s="24">
        <v>0</v>
      </c>
      <c r="Q215" s="102">
        <v>0</v>
      </c>
      <c r="R215" s="30" t="s">
        <v>1905</v>
      </c>
      <c r="S215" s="24">
        <v>0</v>
      </c>
      <c r="T215" s="24"/>
      <c r="U215" s="94">
        <v>0</v>
      </c>
      <c r="V215" s="94">
        <v>0</v>
      </c>
      <c r="W215" s="106">
        <v>0</v>
      </c>
      <c r="X215" s="107" t="s">
        <v>1906</v>
      </c>
      <c r="Y215" s="106">
        <v>0</v>
      </c>
      <c r="Z215" s="107" t="s">
        <v>1906</v>
      </c>
      <c r="AA215" s="106">
        <v>0</v>
      </c>
      <c r="AB215" s="107" t="s">
        <v>1906</v>
      </c>
      <c r="AC215" s="106">
        <v>0</v>
      </c>
      <c r="AD215" s="107" t="s">
        <v>1906</v>
      </c>
      <c r="AE215" s="106">
        <v>0</v>
      </c>
      <c r="AF215" s="107" t="s">
        <v>1906</v>
      </c>
      <c r="AG215" s="106">
        <v>0</v>
      </c>
      <c r="AH215" s="107" t="s">
        <v>1906</v>
      </c>
      <c r="AI215" s="106">
        <v>0</v>
      </c>
      <c r="AJ215" s="107" t="s">
        <v>1906</v>
      </c>
      <c r="AK215" s="106">
        <v>0</v>
      </c>
      <c r="AL215" s="107" t="s">
        <v>1906</v>
      </c>
      <c r="AM215" s="106">
        <v>0</v>
      </c>
      <c r="AN215" s="107" t="s">
        <v>1906</v>
      </c>
      <c r="AO215" s="106">
        <v>0</v>
      </c>
      <c r="AP215" s="107" t="s">
        <v>1906</v>
      </c>
      <c r="AQ215" s="106">
        <v>0</v>
      </c>
      <c r="AR215" s="106" t="s">
        <v>1906</v>
      </c>
      <c r="AS215" s="106">
        <v>0</v>
      </c>
      <c r="AT215" s="107" t="s">
        <v>1906</v>
      </c>
      <c r="AU215" s="106">
        <f t="shared" si="10"/>
        <v>0</v>
      </c>
      <c r="AV215" s="25">
        <v>0.1575</v>
      </c>
      <c r="AW215" s="30" t="str">
        <f t="shared" si="11"/>
        <v>95-70</v>
      </c>
      <c r="AX215" s="30" t="s">
        <v>1907</v>
      </c>
      <c r="AY215" s="30">
        <v>0</v>
      </c>
      <c r="AZ215" s="30">
        <v>0</v>
      </c>
    </row>
    <row r="216" spans="1:52" ht="31.2" x14ac:dyDescent="0.3">
      <c r="A216" s="103">
        <v>206</v>
      </c>
      <c r="B216" s="30" t="s">
        <v>816</v>
      </c>
      <c r="C216" s="30" t="s">
        <v>1899</v>
      </c>
      <c r="D216" s="105" t="s">
        <v>1900</v>
      </c>
      <c r="E216" s="108" t="s">
        <v>1901</v>
      </c>
      <c r="F216" s="30" t="s">
        <v>1902</v>
      </c>
      <c r="G216" s="26" t="s">
        <v>145</v>
      </c>
      <c r="H216" s="24" t="s">
        <v>146</v>
      </c>
      <c r="I216" s="25">
        <v>1</v>
      </c>
      <c r="J216" s="24" t="s">
        <v>1903</v>
      </c>
      <c r="K216" s="24">
        <v>50</v>
      </c>
      <c r="L216" s="24">
        <v>5</v>
      </c>
      <c r="M216" s="24" t="str">
        <f t="shared" si="9"/>
        <v>95-70</v>
      </c>
      <c r="N216" s="24" t="s">
        <v>529</v>
      </c>
      <c r="O216" s="24" t="s">
        <v>529</v>
      </c>
      <c r="P216" s="24">
        <v>1</v>
      </c>
      <c r="Q216" s="102">
        <v>0</v>
      </c>
      <c r="R216" s="30" t="s">
        <v>1905</v>
      </c>
      <c r="S216" s="24">
        <v>0</v>
      </c>
      <c r="T216" s="24"/>
      <c r="U216" s="94">
        <v>868.9899999999999</v>
      </c>
      <c r="V216" s="94">
        <v>922.61000000000013</v>
      </c>
      <c r="W216" s="106">
        <v>171.22</v>
      </c>
      <c r="X216" s="107" t="s">
        <v>208</v>
      </c>
      <c r="Y216" s="106">
        <v>102.68</v>
      </c>
      <c r="Z216" s="107" t="s">
        <v>208</v>
      </c>
      <c r="AA216" s="106">
        <v>147.47999999999999</v>
      </c>
      <c r="AB216" s="107" t="s">
        <v>208</v>
      </c>
      <c r="AC216" s="106">
        <v>112.7</v>
      </c>
      <c r="AD216" s="107" t="s">
        <v>208</v>
      </c>
      <c r="AE216" s="106">
        <v>36.479999999999997</v>
      </c>
      <c r="AF216" s="107" t="s">
        <v>208</v>
      </c>
      <c r="AG216" s="106">
        <v>0</v>
      </c>
      <c r="AH216" s="107" t="s">
        <v>208</v>
      </c>
      <c r="AI216" s="106">
        <v>0</v>
      </c>
      <c r="AJ216" s="107" t="s">
        <v>208</v>
      </c>
      <c r="AK216" s="106">
        <v>0</v>
      </c>
      <c r="AL216" s="107" t="s">
        <v>208</v>
      </c>
      <c r="AM216" s="106">
        <v>0</v>
      </c>
      <c r="AN216" s="107" t="s">
        <v>208</v>
      </c>
      <c r="AO216" s="106">
        <v>60.62</v>
      </c>
      <c r="AP216" s="107" t="s">
        <v>208</v>
      </c>
      <c r="AQ216" s="106">
        <v>77.42</v>
      </c>
      <c r="AR216" s="106" t="s">
        <v>208</v>
      </c>
      <c r="AS216" s="106">
        <v>109.07</v>
      </c>
      <c r="AT216" s="107" t="s">
        <v>208</v>
      </c>
      <c r="AU216" s="106">
        <f t="shared" si="10"/>
        <v>817.67000000000007</v>
      </c>
      <c r="AV216" s="25">
        <v>0.40150000000000002</v>
      </c>
      <c r="AW216" s="30" t="str">
        <f t="shared" si="11"/>
        <v>95-70</v>
      </c>
      <c r="AX216" s="30" t="s">
        <v>1907</v>
      </c>
      <c r="AY216" s="30">
        <v>0</v>
      </c>
      <c r="AZ216" s="30">
        <v>0</v>
      </c>
    </row>
    <row r="217" spans="1:52" ht="31.2" x14ac:dyDescent="0.3">
      <c r="A217" s="103">
        <v>207</v>
      </c>
      <c r="B217" s="30" t="s">
        <v>817</v>
      </c>
      <c r="C217" s="30" t="s">
        <v>1899</v>
      </c>
      <c r="D217" s="105" t="s">
        <v>1900</v>
      </c>
      <c r="E217" s="108" t="s">
        <v>1901</v>
      </c>
      <c r="F217" s="30" t="s">
        <v>1902</v>
      </c>
      <c r="G217" s="26" t="s">
        <v>145</v>
      </c>
      <c r="H217" s="24" t="s">
        <v>146</v>
      </c>
      <c r="I217" s="25">
        <v>1</v>
      </c>
      <c r="J217" s="24" t="s">
        <v>1903</v>
      </c>
      <c r="K217" s="24">
        <v>32</v>
      </c>
      <c r="L217" s="24">
        <v>5</v>
      </c>
      <c r="M217" s="24" t="str">
        <f t="shared" si="9"/>
        <v>95-70</v>
      </c>
      <c r="N217" s="24" t="s">
        <v>529</v>
      </c>
      <c r="O217" s="24" t="s">
        <v>529</v>
      </c>
      <c r="P217" s="24">
        <v>1</v>
      </c>
      <c r="Q217" s="102">
        <v>0</v>
      </c>
      <c r="R217" s="30" t="s">
        <v>1905</v>
      </c>
      <c r="S217" s="24">
        <v>0</v>
      </c>
      <c r="T217" s="24"/>
      <c r="U217" s="94">
        <v>600.43000000000006</v>
      </c>
      <c r="V217" s="94">
        <v>660.92000000000007</v>
      </c>
      <c r="W217" s="106">
        <v>90.910000000000011</v>
      </c>
      <c r="X217" s="107" t="s">
        <v>1906</v>
      </c>
      <c r="Y217" s="106">
        <v>90.350000000000009</v>
      </c>
      <c r="Z217" s="107" t="s">
        <v>1906</v>
      </c>
      <c r="AA217" s="106">
        <v>90.350000000000009</v>
      </c>
      <c r="AB217" s="107" t="s">
        <v>1906</v>
      </c>
      <c r="AC217" s="106">
        <v>90.350000000000009</v>
      </c>
      <c r="AD217" s="107" t="s">
        <v>1906</v>
      </c>
      <c r="AE217" s="106">
        <v>26.23</v>
      </c>
      <c r="AF217" s="107" t="s">
        <v>1906</v>
      </c>
      <c r="AG217" s="106">
        <v>0</v>
      </c>
      <c r="AH217" s="107" t="s">
        <v>1906</v>
      </c>
      <c r="AI217" s="106">
        <v>0</v>
      </c>
      <c r="AJ217" s="107" t="s">
        <v>1906</v>
      </c>
      <c r="AK217" s="106">
        <v>0</v>
      </c>
      <c r="AL217" s="107" t="s">
        <v>1906</v>
      </c>
      <c r="AM217" s="106">
        <v>19.440000000000001</v>
      </c>
      <c r="AN217" s="107" t="s">
        <v>1906</v>
      </c>
      <c r="AO217" s="106">
        <v>83.32</v>
      </c>
      <c r="AP217" s="107" t="s">
        <v>1906</v>
      </c>
      <c r="AQ217" s="106">
        <v>83.32</v>
      </c>
      <c r="AR217" s="106" t="s">
        <v>1906</v>
      </c>
      <c r="AS217" s="106">
        <v>83.32</v>
      </c>
      <c r="AT217" s="107" t="s">
        <v>1906</v>
      </c>
      <c r="AU217" s="106">
        <f t="shared" si="10"/>
        <v>657.58999999999992</v>
      </c>
      <c r="AV217" s="25">
        <v>0.27100000000000002</v>
      </c>
      <c r="AW217" s="30" t="str">
        <f t="shared" si="11"/>
        <v>95-70</v>
      </c>
      <c r="AX217" s="30" t="s">
        <v>1907</v>
      </c>
      <c r="AY217" s="30">
        <v>0</v>
      </c>
      <c r="AZ217" s="30">
        <v>0</v>
      </c>
    </row>
    <row r="218" spans="1:52" ht="31.2" x14ac:dyDescent="0.3">
      <c r="A218" s="103">
        <v>208</v>
      </c>
      <c r="B218" s="30" t="s">
        <v>818</v>
      </c>
      <c r="C218" s="30" t="s">
        <v>1899</v>
      </c>
      <c r="D218" s="105" t="s">
        <v>1900</v>
      </c>
      <c r="E218" s="108" t="s">
        <v>1901</v>
      </c>
      <c r="F218" s="30" t="s">
        <v>1902</v>
      </c>
      <c r="G218" s="26" t="s">
        <v>145</v>
      </c>
      <c r="H218" s="24" t="s">
        <v>146</v>
      </c>
      <c r="I218" s="25">
        <v>0</v>
      </c>
      <c r="J218" s="24" t="s">
        <v>1903</v>
      </c>
      <c r="K218" s="24">
        <v>32</v>
      </c>
      <c r="L218" s="24">
        <v>5</v>
      </c>
      <c r="M218" s="24" t="str">
        <f t="shared" si="9"/>
        <v>95-70</v>
      </c>
      <c r="N218" s="24" t="s">
        <v>529</v>
      </c>
      <c r="O218" s="24" t="s">
        <v>529</v>
      </c>
      <c r="P218" s="24">
        <v>0</v>
      </c>
      <c r="Q218" s="102">
        <v>0</v>
      </c>
      <c r="R218" s="30" t="s">
        <v>1905</v>
      </c>
      <c r="S218" s="24">
        <v>0</v>
      </c>
      <c r="T218" s="24"/>
      <c r="U218" s="94">
        <v>380.27</v>
      </c>
      <c r="V218" s="94">
        <v>457.68999999999994</v>
      </c>
      <c r="W218" s="106">
        <v>62.78</v>
      </c>
      <c r="X218" s="107" t="s">
        <v>1906</v>
      </c>
      <c r="Y218" s="106">
        <v>62.78</v>
      </c>
      <c r="Z218" s="107" t="s">
        <v>1906</v>
      </c>
      <c r="AA218" s="106">
        <v>62.78</v>
      </c>
      <c r="AB218" s="107" t="s">
        <v>1906</v>
      </c>
      <c r="AC218" s="106">
        <v>62.78</v>
      </c>
      <c r="AD218" s="107" t="s">
        <v>1906</v>
      </c>
      <c r="AE218" s="106">
        <v>18.23</v>
      </c>
      <c r="AF218" s="107" t="s">
        <v>1906</v>
      </c>
      <c r="AG218" s="106">
        <v>0</v>
      </c>
      <c r="AH218" s="107" t="s">
        <v>1906</v>
      </c>
      <c r="AI218" s="106">
        <v>0</v>
      </c>
      <c r="AJ218" s="107" t="s">
        <v>1906</v>
      </c>
      <c r="AK218" s="106">
        <v>0</v>
      </c>
      <c r="AL218" s="107" t="s">
        <v>1906</v>
      </c>
      <c r="AM218" s="106">
        <v>14.23</v>
      </c>
      <c r="AN218" s="107" t="s">
        <v>1906</v>
      </c>
      <c r="AO218" s="106">
        <v>60.97</v>
      </c>
      <c r="AP218" s="107" t="s">
        <v>1906</v>
      </c>
      <c r="AQ218" s="106">
        <v>60.97</v>
      </c>
      <c r="AR218" s="106" t="s">
        <v>1906</v>
      </c>
      <c r="AS218" s="106">
        <v>60.97</v>
      </c>
      <c r="AT218" s="107" t="s">
        <v>1906</v>
      </c>
      <c r="AU218" s="106">
        <f t="shared" si="10"/>
        <v>466.49000000000012</v>
      </c>
      <c r="AV218" s="25">
        <v>0.1716</v>
      </c>
      <c r="AW218" s="30" t="str">
        <f t="shared" si="11"/>
        <v>95-70</v>
      </c>
      <c r="AX218" s="30" t="s">
        <v>1907</v>
      </c>
      <c r="AY218" s="30">
        <v>0</v>
      </c>
      <c r="AZ218" s="30">
        <v>0</v>
      </c>
    </row>
    <row r="219" spans="1:52" ht="31.2" x14ac:dyDescent="0.3">
      <c r="A219" s="103">
        <v>209</v>
      </c>
      <c r="B219" s="30" t="s">
        <v>820</v>
      </c>
      <c r="C219" s="30" t="s">
        <v>1899</v>
      </c>
      <c r="D219" s="105" t="s">
        <v>1900</v>
      </c>
      <c r="E219" s="108" t="s">
        <v>1901</v>
      </c>
      <c r="F219" s="30" t="s">
        <v>1902</v>
      </c>
      <c r="G219" s="26" t="s">
        <v>145</v>
      </c>
      <c r="H219" s="24" t="s">
        <v>146</v>
      </c>
      <c r="I219" s="25">
        <v>0</v>
      </c>
      <c r="J219" s="24" t="s">
        <v>1903</v>
      </c>
      <c r="K219" s="24">
        <v>32</v>
      </c>
      <c r="L219" s="24">
        <v>5</v>
      </c>
      <c r="M219" s="24" t="str">
        <f t="shared" si="9"/>
        <v>95-70</v>
      </c>
      <c r="N219" s="24" t="s">
        <v>529</v>
      </c>
      <c r="O219" s="24" t="s">
        <v>529</v>
      </c>
      <c r="P219" s="24">
        <v>0</v>
      </c>
      <c r="Q219" s="102">
        <v>0</v>
      </c>
      <c r="R219" s="30" t="s">
        <v>1905</v>
      </c>
      <c r="S219" s="24">
        <v>0</v>
      </c>
      <c r="T219" s="24"/>
      <c r="U219" s="94">
        <v>90.550000000000011</v>
      </c>
      <c r="V219" s="94">
        <v>70.789999999999992</v>
      </c>
      <c r="W219" s="106">
        <v>9.7100000000000009</v>
      </c>
      <c r="X219" s="107" t="s">
        <v>1906</v>
      </c>
      <c r="Y219" s="106">
        <v>9.7100000000000009</v>
      </c>
      <c r="Z219" s="107" t="s">
        <v>1906</v>
      </c>
      <c r="AA219" s="106">
        <v>9.7100000000000009</v>
      </c>
      <c r="AB219" s="107" t="s">
        <v>1906</v>
      </c>
      <c r="AC219" s="106">
        <v>9.7100000000000009</v>
      </c>
      <c r="AD219" s="107" t="s">
        <v>1906</v>
      </c>
      <c r="AE219" s="106">
        <v>2.8200000000000003</v>
      </c>
      <c r="AF219" s="107" t="s">
        <v>1906</v>
      </c>
      <c r="AG219" s="106">
        <v>0</v>
      </c>
      <c r="AH219" s="107" t="s">
        <v>1906</v>
      </c>
      <c r="AI219" s="106">
        <v>0</v>
      </c>
      <c r="AJ219" s="107" t="s">
        <v>1906</v>
      </c>
      <c r="AK219" s="106">
        <v>0</v>
      </c>
      <c r="AL219" s="107" t="s">
        <v>1906</v>
      </c>
      <c r="AM219" s="106">
        <v>1.97</v>
      </c>
      <c r="AN219" s="107" t="s">
        <v>1906</v>
      </c>
      <c r="AO219" s="106">
        <v>8.43</v>
      </c>
      <c r="AP219" s="107" t="s">
        <v>1906</v>
      </c>
      <c r="AQ219" s="106">
        <v>8.43</v>
      </c>
      <c r="AR219" s="106" t="s">
        <v>1906</v>
      </c>
      <c r="AS219" s="106">
        <v>8.43</v>
      </c>
      <c r="AT219" s="107" t="s">
        <v>1906</v>
      </c>
      <c r="AU219" s="106">
        <f t="shared" si="10"/>
        <v>68.92</v>
      </c>
      <c r="AV219" s="25">
        <v>3.3099999999999997E-2</v>
      </c>
      <c r="AW219" s="30" t="str">
        <f t="shared" si="11"/>
        <v>95-70</v>
      </c>
      <c r="AX219" s="30" t="s">
        <v>1907</v>
      </c>
      <c r="AY219" s="30">
        <v>0</v>
      </c>
      <c r="AZ219" s="30">
        <v>0</v>
      </c>
    </row>
    <row r="220" spans="1:52" ht="31.2" x14ac:dyDescent="0.3">
      <c r="A220" s="103">
        <v>210</v>
      </c>
      <c r="B220" s="30" t="s">
        <v>822</v>
      </c>
      <c r="C220" s="30" t="s">
        <v>1899</v>
      </c>
      <c r="D220" s="105" t="s">
        <v>1900</v>
      </c>
      <c r="E220" s="108" t="s">
        <v>1901</v>
      </c>
      <c r="F220" s="30" t="s">
        <v>1902</v>
      </c>
      <c r="G220" s="26" t="s">
        <v>145</v>
      </c>
      <c r="H220" s="24" t="s">
        <v>146</v>
      </c>
      <c r="I220" s="25">
        <v>1</v>
      </c>
      <c r="J220" s="24" t="s">
        <v>1903</v>
      </c>
      <c r="K220" s="24">
        <v>32</v>
      </c>
      <c r="L220" s="24">
        <v>5</v>
      </c>
      <c r="M220" s="24" t="str">
        <f t="shared" si="9"/>
        <v>95-70</v>
      </c>
      <c r="N220" s="24" t="s">
        <v>529</v>
      </c>
      <c r="O220" s="24" t="s">
        <v>529</v>
      </c>
      <c r="P220" s="24">
        <v>1</v>
      </c>
      <c r="Q220" s="102">
        <v>0</v>
      </c>
      <c r="R220" s="30" t="s">
        <v>1905</v>
      </c>
      <c r="S220" s="24">
        <v>0</v>
      </c>
      <c r="T220" s="24"/>
      <c r="U220" s="94">
        <v>354.03999999999996</v>
      </c>
      <c r="V220" s="94">
        <v>402.86000000000007</v>
      </c>
      <c r="W220" s="106">
        <v>75.63</v>
      </c>
      <c r="X220" s="107" t="s">
        <v>208</v>
      </c>
      <c r="Y220" s="106">
        <v>46.1</v>
      </c>
      <c r="Z220" s="107" t="s">
        <v>208</v>
      </c>
      <c r="AA220" s="106">
        <v>66.819999999999993</v>
      </c>
      <c r="AB220" s="107" t="s">
        <v>208</v>
      </c>
      <c r="AC220" s="106">
        <v>48.76</v>
      </c>
      <c r="AD220" s="107" t="s">
        <v>208</v>
      </c>
      <c r="AE220" s="106">
        <v>16.53</v>
      </c>
      <c r="AF220" s="107" t="s">
        <v>208</v>
      </c>
      <c r="AG220" s="106">
        <v>0</v>
      </c>
      <c r="AH220" s="107" t="s">
        <v>208</v>
      </c>
      <c r="AI220" s="106">
        <v>0</v>
      </c>
      <c r="AJ220" s="107" t="s">
        <v>208</v>
      </c>
      <c r="AK220" s="106">
        <v>0</v>
      </c>
      <c r="AL220" s="107" t="s">
        <v>208</v>
      </c>
      <c r="AM220" s="106">
        <v>0</v>
      </c>
      <c r="AN220" s="107" t="s">
        <v>208</v>
      </c>
      <c r="AO220" s="106">
        <v>25.58</v>
      </c>
      <c r="AP220" s="107" t="s">
        <v>208</v>
      </c>
      <c r="AQ220" s="106">
        <v>31.78</v>
      </c>
      <c r="AR220" s="106" t="s">
        <v>208</v>
      </c>
      <c r="AS220" s="106">
        <v>50.58</v>
      </c>
      <c r="AT220" s="107" t="s">
        <v>208</v>
      </c>
      <c r="AU220" s="106">
        <f t="shared" si="10"/>
        <v>361.77999999999992</v>
      </c>
      <c r="AV220" s="25">
        <v>0.15820000000000001</v>
      </c>
      <c r="AW220" s="30" t="str">
        <f t="shared" si="11"/>
        <v>95-70</v>
      </c>
      <c r="AX220" s="30" t="s">
        <v>1907</v>
      </c>
      <c r="AY220" s="30">
        <v>0</v>
      </c>
      <c r="AZ220" s="30">
        <v>0</v>
      </c>
    </row>
    <row r="221" spans="1:52" ht="31.2" x14ac:dyDescent="0.3">
      <c r="A221" s="103">
        <v>211</v>
      </c>
      <c r="B221" s="30" t="s">
        <v>823</v>
      </c>
      <c r="C221" s="30" t="s">
        <v>1899</v>
      </c>
      <c r="D221" s="105" t="s">
        <v>1900</v>
      </c>
      <c r="E221" s="108" t="s">
        <v>1901</v>
      </c>
      <c r="F221" s="30" t="s">
        <v>1902</v>
      </c>
      <c r="G221" s="26" t="s">
        <v>145</v>
      </c>
      <c r="H221" s="24" t="s">
        <v>146</v>
      </c>
      <c r="I221" s="25">
        <v>1</v>
      </c>
      <c r="J221" s="24" t="s">
        <v>1903</v>
      </c>
      <c r="K221" s="24">
        <v>40</v>
      </c>
      <c r="L221" s="24">
        <v>5</v>
      </c>
      <c r="M221" s="24" t="str">
        <f t="shared" si="9"/>
        <v>95-70</v>
      </c>
      <c r="N221" s="24" t="s">
        <v>529</v>
      </c>
      <c r="O221" s="24" t="s">
        <v>529</v>
      </c>
      <c r="P221" s="24">
        <v>1</v>
      </c>
      <c r="Q221" s="102">
        <v>0</v>
      </c>
      <c r="R221" s="30" t="s">
        <v>1905</v>
      </c>
      <c r="S221" s="24">
        <v>0</v>
      </c>
      <c r="T221" s="24"/>
      <c r="U221" s="94">
        <v>460.64</v>
      </c>
      <c r="V221" s="94">
        <v>358.89</v>
      </c>
      <c r="W221" s="106">
        <v>48.48</v>
      </c>
      <c r="X221" s="107" t="s">
        <v>208</v>
      </c>
      <c r="Y221" s="106">
        <v>48.48</v>
      </c>
      <c r="Z221" s="107" t="s">
        <v>208</v>
      </c>
      <c r="AA221" s="106">
        <v>48.48</v>
      </c>
      <c r="AB221" s="107" t="s">
        <v>208</v>
      </c>
      <c r="AC221" s="106">
        <v>48.48</v>
      </c>
      <c r="AD221" s="107" t="s">
        <v>208</v>
      </c>
      <c r="AE221" s="106">
        <v>14.08</v>
      </c>
      <c r="AF221" s="107" t="s">
        <v>208</v>
      </c>
      <c r="AG221" s="106">
        <v>0</v>
      </c>
      <c r="AH221" s="107" t="s">
        <v>208</v>
      </c>
      <c r="AI221" s="106">
        <v>0</v>
      </c>
      <c r="AJ221" s="107" t="s">
        <v>208</v>
      </c>
      <c r="AK221" s="106">
        <v>0</v>
      </c>
      <c r="AL221" s="107" t="s">
        <v>208</v>
      </c>
      <c r="AM221" s="106">
        <v>0</v>
      </c>
      <c r="AN221" s="107" t="s">
        <v>208</v>
      </c>
      <c r="AO221" s="106">
        <v>46.34</v>
      </c>
      <c r="AP221" s="107" t="s">
        <v>208</v>
      </c>
      <c r="AQ221" s="106">
        <v>46.34</v>
      </c>
      <c r="AR221" s="106" t="s">
        <v>208</v>
      </c>
      <c r="AS221" s="106">
        <v>46.34</v>
      </c>
      <c r="AT221" s="107" t="s">
        <v>208</v>
      </c>
      <c r="AU221" s="106">
        <f t="shared" si="10"/>
        <v>347.02</v>
      </c>
      <c r="AV221" s="25">
        <v>0.19470000000000001</v>
      </c>
      <c r="AW221" s="30" t="str">
        <f t="shared" si="11"/>
        <v>95-70</v>
      </c>
      <c r="AX221" s="30" t="s">
        <v>1907</v>
      </c>
      <c r="AY221" s="30">
        <v>0</v>
      </c>
      <c r="AZ221" s="30">
        <v>0</v>
      </c>
    </row>
    <row r="222" spans="1:52" ht="31.2" x14ac:dyDescent="0.3">
      <c r="A222" s="103">
        <v>212</v>
      </c>
      <c r="B222" s="30" t="s">
        <v>824</v>
      </c>
      <c r="C222" s="30" t="s">
        <v>1899</v>
      </c>
      <c r="D222" s="105" t="s">
        <v>1900</v>
      </c>
      <c r="E222" s="108" t="s">
        <v>1901</v>
      </c>
      <c r="F222" s="30" t="s">
        <v>1902</v>
      </c>
      <c r="G222" s="26" t="s">
        <v>145</v>
      </c>
      <c r="H222" s="24" t="s">
        <v>146</v>
      </c>
      <c r="I222" s="25">
        <v>2</v>
      </c>
      <c r="J222" s="24" t="s">
        <v>1903</v>
      </c>
      <c r="K222" s="24">
        <v>50</v>
      </c>
      <c r="L222" s="24">
        <v>5</v>
      </c>
      <c r="M222" s="24" t="str">
        <f t="shared" si="9"/>
        <v>95-70</v>
      </c>
      <c r="N222" s="24" t="s">
        <v>529</v>
      </c>
      <c r="O222" s="24" t="s">
        <v>529</v>
      </c>
      <c r="P222" s="24">
        <v>1</v>
      </c>
      <c r="Q222" s="102">
        <v>0</v>
      </c>
      <c r="R222" s="30" t="s">
        <v>1905</v>
      </c>
      <c r="S222" s="24">
        <v>0</v>
      </c>
      <c r="T222" s="24"/>
      <c r="U222" s="94">
        <v>975.23000000000013</v>
      </c>
      <c r="V222" s="94">
        <v>710.71999999999991</v>
      </c>
      <c r="W222" s="106">
        <v>76.08</v>
      </c>
      <c r="X222" s="107" t="s">
        <v>1906</v>
      </c>
      <c r="Y222" s="106">
        <v>76.08</v>
      </c>
      <c r="Z222" s="107" t="s">
        <v>1906</v>
      </c>
      <c r="AA222" s="106">
        <v>76.08</v>
      </c>
      <c r="AB222" s="107" t="s">
        <v>1906</v>
      </c>
      <c r="AC222" s="106">
        <v>76.08</v>
      </c>
      <c r="AD222" s="107" t="s">
        <v>1906</v>
      </c>
      <c r="AE222" s="106">
        <v>22.090000000000003</v>
      </c>
      <c r="AF222" s="107" t="s">
        <v>1906</v>
      </c>
      <c r="AG222" s="106">
        <v>0</v>
      </c>
      <c r="AH222" s="107" t="s">
        <v>1906</v>
      </c>
      <c r="AI222" s="106">
        <v>0</v>
      </c>
      <c r="AJ222" s="107" t="s">
        <v>1906</v>
      </c>
      <c r="AK222" s="106">
        <v>0</v>
      </c>
      <c r="AL222" s="107" t="s">
        <v>1906</v>
      </c>
      <c r="AM222" s="106">
        <v>0</v>
      </c>
      <c r="AN222" s="107" t="s">
        <v>1906</v>
      </c>
      <c r="AO222" s="106">
        <v>72.319999999999993</v>
      </c>
      <c r="AP222" s="107" t="s">
        <v>1906</v>
      </c>
      <c r="AQ222" s="106">
        <v>72.319999999999993</v>
      </c>
      <c r="AR222" s="106" t="s">
        <v>1906</v>
      </c>
      <c r="AS222" s="106">
        <v>72.319999999999993</v>
      </c>
      <c r="AT222" s="107" t="s">
        <v>1906</v>
      </c>
      <c r="AU222" s="106">
        <f t="shared" si="10"/>
        <v>543.36999999999989</v>
      </c>
      <c r="AV222" s="25">
        <v>0.2001</v>
      </c>
      <c r="AW222" s="30" t="str">
        <f t="shared" si="11"/>
        <v>95-70</v>
      </c>
      <c r="AX222" s="30" t="s">
        <v>1907</v>
      </c>
      <c r="AY222" s="30">
        <v>0</v>
      </c>
      <c r="AZ222" s="30">
        <v>0</v>
      </c>
    </row>
    <row r="223" spans="1:52" ht="31.2" x14ac:dyDescent="0.3">
      <c r="A223" s="103">
        <v>213</v>
      </c>
      <c r="B223" s="30" t="s">
        <v>826</v>
      </c>
      <c r="C223" s="30" t="s">
        <v>1899</v>
      </c>
      <c r="D223" s="105" t="s">
        <v>1900</v>
      </c>
      <c r="E223" s="108" t="s">
        <v>1901</v>
      </c>
      <c r="F223" s="30" t="s">
        <v>1902</v>
      </c>
      <c r="G223" s="26" t="s">
        <v>145</v>
      </c>
      <c r="H223" s="24" t="s">
        <v>146</v>
      </c>
      <c r="I223" s="25">
        <v>1</v>
      </c>
      <c r="J223" s="24" t="s">
        <v>1903</v>
      </c>
      <c r="K223" s="24">
        <v>50</v>
      </c>
      <c r="L223" s="24">
        <v>5</v>
      </c>
      <c r="M223" s="24" t="str">
        <f t="shared" si="9"/>
        <v>95-70</v>
      </c>
      <c r="N223" s="24" t="s">
        <v>529</v>
      </c>
      <c r="O223" s="24" t="s">
        <v>529</v>
      </c>
      <c r="P223" s="24">
        <v>1</v>
      </c>
      <c r="Q223" s="102">
        <v>0</v>
      </c>
      <c r="R223" s="30" t="s">
        <v>1905</v>
      </c>
      <c r="S223" s="24">
        <v>0</v>
      </c>
      <c r="T223" s="24"/>
      <c r="U223" s="94">
        <v>1046.92</v>
      </c>
      <c r="V223" s="94">
        <v>1179.6899999999998</v>
      </c>
      <c r="W223" s="106">
        <v>163.53</v>
      </c>
      <c r="X223" s="107" t="s">
        <v>1906</v>
      </c>
      <c r="Y223" s="106">
        <v>163.53</v>
      </c>
      <c r="Z223" s="107" t="s">
        <v>1906</v>
      </c>
      <c r="AA223" s="106">
        <v>163.53</v>
      </c>
      <c r="AB223" s="107" t="s">
        <v>1906</v>
      </c>
      <c r="AC223" s="106">
        <v>158.22</v>
      </c>
      <c r="AD223" s="107" t="s">
        <v>1906</v>
      </c>
      <c r="AE223" s="106">
        <v>45.719999999999992</v>
      </c>
      <c r="AF223" s="107" t="s">
        <v>1906</v>
      </c>
      <c r="AG223" s="106">
        <v>0</v>
      </c>
      <c r="AH223" s="107" t="s">
        <v>1906</v>
      </c>
      <c r="AI223" s="106">
        <v>0</v>
      </c>
      <c r="AJ223" s="107" t="s">
        <v>1906</v>
      </c>
      <c r="AK223" s="106">
        <v>0</v>
      </c>
      <c r="AL223" s="107" t="s">
        <v>1906</v>
      </c>
      <c r="AM223" s="106">
        <v>0</v>
      </c>
      <c r="AN223" s="107" t="s">
        <v>1906</v>
      </c>
      <c r="AO223" s="106">
        <v>155.34</v>
      </c>
      <c r="AP223" s="107" t="s">
        <v>1906</v>
      </c>
      <c r="AQ223" s="106">
        <v>155.34</v>
      </c>
      <c r="AR223" s="106" t="s">
        <v>1906</v>
      </c>
      <c r="AS223" s="106">
        <v>155.34</v>
      </c>
      <c r="AT223" s="107" t="s">
        <v>1906</v>
      </c>
      <c r="AU223" s="106">
        <f t="shared" si="10"/>
        <v>1160.5500000000002</v>
      </c>
      <c r="AV223" s="25">
        <v>0.4763</v>
      </c>
      <c r="AW223" s="30" t="str">
        <f t="shared" si="11"/>
        <v>95-70</v>
      </c>
      <c r="AX223" s="30" t="s">
        <v>1907</v>
      </c>
      <c r="AY223" s="30">
        <v>0</v>
      </c>
      <c r="AZ223" s="30">
        <v>0</v>
      </c>
    </row>
    <row r="224" spans="1:52" ht="31.2" x14ac:dyDescent="0.3">
      <c r="A224" s="103">
        <v>214</v>
      </c>
      <c r="B224" s="30" t="s">
        <v>827</v>
      </c>
      <c r="C224" s="30" t="s">
        <v>1899</v>
      </c>
      <c r="D224" s="105" t="s">
        <v>1900</v>
      </c>
      <c r="E224" s="108" t="s">
        <v>1901</v>
      </c>
      <c r="F224" s="30" t="s">
        <v>1902</v>
      </c>
      <c r="G224" s="26" t="s">
        <v>145</v>
      </c>
      <c r="H224" s="24" t="s">
        <v>146</v>
      </c>
      <c r="I224" s="25">
        <v>1</v>
      </c>
      <c r="J224" s="24" t="s">
        <v>1903</v>
      </c>
      <c r="K224" s="24">
        <v>50</v>
      </c>
      <c r="L224" s="24">
        <v>5</v>
      </c>
      <c r="M224" s="24" t="str">
        <f t="shared" si="9"/>
        <v>95-70</v>
      </c>
      <c r="N224" s="24" t="s">
        <v>529</v>
      </c>
      <c r="O224" s="24" t="s">
        <v>529</v>
      </c>
      <c r="P224" s="24">
        <v>1</v>
      </c>
      <c r="Q224" s="102">
        <v>0</v>
      </c>
      <c r="R224" s="30" t="s">
        <v>1905</v>
      </c>
      <c r="S224" s="24">
        <v>0</v>
      </c>
      <c r="T224" s="24"/>
      <c r="U224" s="94">
        <f>975.23*0.28</f>
        <v>273.06440000000003</v>
      </c>
      <c r="V224" s="94">
        <f>1081.11*0.28</f>
        <v>302.71080000000001</v>
      </c>
      <c r="W224" s="106">
        <f>147.64*0.28</f>
        <v>41.339199999999998</v>
      </c>
      <c r="X224" s="107" t="s">
        <v>208</v>
      </c>
      <c r="Y224" s="106">
        <f>147.64*0.28</f>
        <v>41.339199999999998</v>
      </c>
      <c r="Z224" s="107" t="s">
        <v>208</v>
      </c>
      <c r="AA224" s="106">
        <f>147.64*0.28</f>
        <v>41.339199999999998</v>
      </c>
      <c r="AB224" s="107" t="s">
        <v>208</v>
      </c>
      <c r="AC224" s="106">
        <f>147.64*0.28</f>
        <v>41.339199999999998</v>
      </c>
      <c r="AD224" s="107" t="s">
        <v>208</v>
      </c>
      <c r="AE224" s="106">
        <f>47.63*0.28</f>
        <v>13.336400000000001</v>
      </c>
      <c r="AF224" s="107" t="s">
        <v>208</v>
      </c>
      <c r="AG224" s="106">
        <v>0</v>
      </c>
      <c r="AH224" s="107" t="s">
        <v>208</v>
      </c>
      <c r="AI224" s="106">
        <v>0</v>
      </c>
      <c r="AJ224" s="107" t="s">
        <v>208</v>
      </c>
      <c r="AK224" s="106">
        <v>0</v>
      </c>
      <c r="AL224" s="107" t="s">
        <v>208</v>
      </c>
      <c r="AM224" s="106">
        <v>0</v>
      </c>
      <c r="AN224" s="107" t="s">
        <v>208</v>
      </c>
      <c r="AO224" s="106">
        <f>144.04*0.28</f>
        <v>40.331200000000003</v>
      </c>
      <c r="AP224" s="107" t="s">
        <v>208</v>
      </c>
      <c r="AQ224" s="106">
        <f>129.51*0.28</f>
        <v>36.262799999999999</v>
      </c>
      <c r="AR224" s="106" t="s">
        <v>208</v>
      </c>
      <c r="AS224" s="106">
        <f>102.26*0.28</f>
        <v>28.632800000000003</v>
      </c>
      <c r="AT224" s="107" t="s">
        <v>208</v>
      </c>
      <c r="AU224" s="106">
        <f t="shared" si="10"/>
        <v>283.91999999999996</v>
      </c>
      <c r="AV224" s="25">
        <v>0.31009999999999999</v>
      </c>
      <c r="AW224" s="30" t="str">
        <f t="shared" si="11"/>
        <v>95-70</v>
      </c>
      <c r="AX224" s="30" t="s">
        <v>1907</v>
      </c>
      <c r="AY224" s="30">
        <v>0</v>
      </c>
      <c r="AZ224" s="30">
        <v>0</v>
      </c>
    </row>
    <row r="225" spans="1:52" ht="31.2" x14ac:dyDescent="0.3">
      <c r="A225" s="103">
        <v>215</v>
      </c>
      <c r="B225" s="30" t="s">
        <v>828</v>
      </c>
      <c r="C225" s="30" t="s">
        <v>1899</v>
      </c>
      <c r="D225" s="105" t="s">
        <v>1900</v>
      </c>
      <c r="E225" s="108" t="s">
        <v>1901</v>
      </c>
      <c r="F225" s="30" t="s">
        <v>1902</v>
      </c>
      <c r="G225" s="26" t="s">
        <v>145</v>
      </c>
      <c r="H225" s="24" t="s">
        <v>146</v>
      </c>
      <c r="I225" s="25">
        <v>1</v>
      </c>
      <c r="J225" s="24" t="s">
        <v>1903</v>
      </c>
      <c r="K225" s="24">
        <v>50</v>
      </c>
      <c r="L225" s="24">
        <v>5</v>
      </c>
      <c r="M225" s="24" t="str">
        <f t="shared" si="9"/>
        <v>95-70</v>
      </c>
      <c r="N225" s="24" t="s">
        <v>529</v>
      </c>
      <c r="O225" s="24" t="s">
        <v>529</v>
      </c>
      <c r="P225" s="24">
        <v>1</v>
      </c>
      <c r="Q225" s="102">
        <v>0</v>
      </c>
      <c r="R225" s="30" t="s">
        <v>1905</v>
      </c>
      <c r="S225" s="24">
        <v>0</v>
      </c>
      <c r="T225" s="24"/>
      <c r="U225" s="94">
        <f>975.23*0.72</f>
        <v>702.16560000000004</v>
      </c>
      <c r="V225" s="94">
        <f>1081.11*0.72</f>
        <v>778.39919999999995</v>
      </c>
      <c r="W225" s="106">
        <f>147.64*0.72</f>
        <v>106.30079999999998</v>
      </c>
      <c r="X225" s="107" t="s">
        <v>208</v>
      </c>
      <c r="Y225" s="106">
        <f>147.64*0.72</f>
        <v>106.30079999999998</v>
      </c>
      <c r="Z225" s="107" t="s">
        <v>208</v>
      </c>
      <c r="AA225" s="106">
        <f>147.64*0.72</f>
        <v>106.30079999999998</v>
      </c>
      <c r="AB225" s="107" t="s">
        <v>208</v>
      </c>
      <c r="AC225" s="106">
        <f>147.64*0.72</f>
        <v>106.30079999999998</v>
      </c>
      <c r="AD225" s="107" t="s">
        <v>208</v>
      </c>
      <c r="AE225" s="106">
        <f>47.63*0.72</f>
        <v>34.293599999999998</v>
      </c>
      <c r="AF225" s="107" t="s">
        <v>208</v>
      </c>
      <c r="AG225" s="106">
        <v>0</v>
      </c>
      <c r="AH225" s="107" t="s">
        <v>208</v>
      </c>
      <c r="AI225" s="106">
        <v>0</v>
      </c>
      <c r="AJ225" s="107" t="s">
        <v>208</v>
      </c>
      <c r="AK225" s="106">
        <v>0</v>
      </c>
      <c r="AL225" s="107" t="s">
        <v>208</v>
      </c>
      <c r="AM225" s="106">
        <v>0</v>
      </c>
      <c r="AN225" s="107" t="s">
        <v>208</v>
      </c>
      <c r="AO225" s="106">
        <f>144.04*0.72</f>
        <v>103.7088</v>
      </c>
      <c r="AP225" s="107" t="s">
        <v>208</v>
      </c>
      <c r="AQ225" s="106">
        <f>129.51*0.72</f>
        <v>93.247199999999992</v>
      </c>
      <c r="AR225" s="106" t="s">
        <v>208</v>
      </c>
      <c r="AS225" s="106">
        <f>102.26*0.72</f>
        <v>73.627200000000002</v>
      </c>
      <c r="AT225" s="107" t="s">
        <v>208</v>
      </c>
      <c r="AU225" s="106">
        <f t="shared" si="10"/>
        <v>730.07999999999993</v>
      </c>
      <c r="AV225" s="25">
        <v>0.29609999999999997</v>
      </c>
      <c r="AW225" s="30" t="str">
        <f t="shared" si="11"/>
        <v>95-70</v>
      </c>
      <c r="AX225" s="30" t="s">
        <v>1907</v>
      </c>
      <c r="AY225" s="30">
        <v>0</v>
      </c>
      <c r="AZ225" s="30">
        <v>0</v>
      </c>
    </row>
    <row r="226" spans="1:52" ht="31.2" x14ac:dyDescent="0.3">
      <c r="A226" s="103">
        <v>216</v>
      </c>
      <c r="B226" s="30" t="s">
        <v>829</v>
      </c>
      <c r="C226" s="30" t="s">
        <v>1899</v>
      </c>
      <c r="D226" s="105" t="s">
        <v>1900</v>
      </c>
      <c r="E226" s="108" t="s">
        <v>1901</v>
      </c>
      <c r="F226" s="30" t="s">
        <v>1902</v>
      </c>
      <c r="G226" s="26" t="s">
        <v>145</v>
      </c>
      <c r="H226" s="24" t="s">
        <v>146</v>
      </c>
      <c r="I226" s="25">
        <v>1</v>
      </c>
      <c r="J226" s="24" t="s">
        <v>1903</v>
      </c>
      <c r="K226" s="24">
        <v>32</v>
      </c>
      <c r="L226" s="24">
        <v>5</v>
      </c>
      <c r="M226" s="24" t="str">
        <f t="shared" si="9"/>
        <v>95-70</v>
      </c>
      <c r="N226" s="24" t="s">
        <v>529</v>
      </c>
      <c r="O226" s="24" t="s">
        <v>529</v>
      </c>
      <c r="P226" s="24">
        <v>1</v>
      </c>
      <c r="Q226" s="102">
        <v>0</v>
      </c>
      <c r="R226" s="30" t="s">
        <v>1905</v>
      </c>
      <c r="S226" s="24">
        <v>0</v>
      </c>
      <c r="T226" s="24"/>
      <c r="U226" s="94">
        <v>327.66000000000003</v>
      </c>
      <c r="V226" s="94">
        <v>316.18</v>
      </c>
      <c r="W226" s="106">
        <v>43.18</v>
      </c>
      <c r="X226" s="107" t="s">
        <v>1906</v>
      </c>
      <c r="Y226" s="106">
        <v>43.18</v>
      </c>
      <c r="Z226" s="107" t="s">
        <v>1906</v>
      </c>
      <c r="AA226" s="106">
        <v>43.18</v>
      </c>
      <c r="AB226" s="107" t="s">
        <v>1906</v>
      </c>
      <c r="AC226" s="106">
        <v>43.18</v>
      </c>
      <c r="AD226" s="107" t="s">
        <v>1906</v>
      </c>
      <c r="AE226" s="106">
        <v>13.92</v>
      </c>
      <c r="AF226" s="107" t="s">
        <v>1906</v>
      </c>
      <c r="AG226" s="106">
        <v>0</v>
      </c>
      <c r="AH226" s="107" t="s">
        <v>1906</v>
      </c>
      <c r="AI226" s="106">
        <v>0</v>
      </c>
      <c r="AJ226" s="107" t="s">
        <v>1906</v>
      </c>
      <c r="AK226" s="106">
        <v>0</v>
      </c>
      <c r="AL226" s="107" t="s">
        <v>1906</v>
      </c>
      <c r="AM226" s="106">
        <v>8.5500000000000007</v>
      </c>
      <c r="AN226" s="107" t="s">
        <v>1906</v>
      </c>
      <c r="AO226" s="106">
        <v>42.73</v>
      </c>
      <c r="AP226" s="107" t="s">
        <v>1906</v>
      </c>
      <c r="AQ226" s="106">
        <v>42.73</v>
      </c>
      <c r="AR226" s="106" t="s">
        <v>1906</v>
      </c>
      <c r="AS226" s="106">
        <v>42.73</v>
      </c>
      <c r="AT226" s="107" t="s">
        <v>1906</v>
      </c>
      <c r="AU226" s="106">
        <f t="shared" si="10"/>
        <v>323.38</v>
      </c>
      <c r="AV226" s="25">
        <v>0.14449999999999999</v>
      </c>
      <c r="AW226" s="30" t="str">
        <f t="shared" si="11"/>
        <v>95-70</v>
      </c>
      <c r="AX226" s="30" t="s">
        <v>1907</v>
      </c>
      <c r="AY226" s="30">
        <v>0</v>
      </c>
      <c r="AZ226" s="30">
        <v>0</v>
      </c>
    </row>
    <row r="227" spans="1:52" ht="31.2" x14ac:dyDescent="0.3">
      <c r="A227" s="103">
        <v>217</v>
      </c>
      <c r="B227" s="30" t="s">
        <v>830</v>
      </c>
      <c r="C227" s="30" t="s">
        <v>1899</v>
      </c>
      <c r="D227" s="105" t="s">
        <v>1900</v>
      </c>
      <c r="E227" s="108" t="s">
        <v>1901</v>
      </c>
      <c r="F227" s="30" t="s">
        <v>1902</v>
      </c>
      <c r="G227" s="26" t="s">
        <v>145</v>
      </c>
      <c r="H227" s="24" t="s">
        <v>146</v>
      </c>
      <c r="I227" s="25">
        <v>1</v>
      </c>
      <c r="J227" s="24" t="s">
        <v>1903</v>
      </c>
      <c r="K227" s="24">
        <v>32</v>
      </c>
      <c r="L227" s="24">
        <v>5</v>
      </c>
      <c r="M227" s="24" t="str">
        <f t="shared" si="9"/>
        <v>95-70</v>
      </c>
      <c r="N227" s="24" t="s">
        <v>529</v>
      </c>
      <c r="O227" s="24" t="s">
        <v>529</v>
      </c>
      <c r="P227" s="24">
        <v>1</v>
      </c>
      <c r="Q227" s="102">
        <v>0</v>
      </c>
      <c r="R227" s="30" t="s">
        <v>1905</v>
      </c>
      <c r="S227" s="24">
        <v>0</v>
      </c>
      <c r="T227" s="24"/>
      <c r="U227" s="94">
        <v>444.62</v>
      </c>
      <c r="V227" s="94">
        <v>281.10999999999996</v>
      </c>
      <c r="W227" s="106">
        <v>38.39</v>
      </c>
      <c r="X227" s="107" t="s">
        <v>1906</v>
      </c>
      <c r="Y227" s="106">
        <v>38.39</v>
      </c>
      <c r="Z227" s="107" t="s">
        <v>1906</v>
      </c>
      <c r="AA227" s="106">
        <v>38.39</v>
      </c>
      <c r="AB227" s="107" t="s">
        <v>1906</v>
      </c>
      <c r="AC227" s="106">
        <v>38.39</v>
      </c>
      <c r="AD227" s="107" t="s">
        <v>1906</v>
      </c>
      <c r="AE227" s="106">
        <v>12.38</v>
      </c>
      <c r="AF227" s="107" t="s">
        <v>1906</v>
      </c>
      <c r="AG227" s="106">
        <v>0</v>
      </c>
      <c r="AH227" s="107" t="s">
        <v>1906</v>
      </c>
      <c r="AI227" s="106">
        <v>0</v>
      </c>
      <c r="AJ227" s="107" t="s">
        <v>1906</v>
      </c>
      <c r="AK227" s="106">
        <v>0</v>
      </c>
      <c r="AL227" s="107" t="s">
        <v>1906</v>
      </c>
      <c r="AM227" s="106">
        <v>7.33</v>
      </c>
      <c r="AN227" s="107" t="s">
        <v>1906</v>
      </c>
      <c r="AO227" s="106">
        <v>36.659999999999997</v>
      </c>
      <c r="AP227" s="107" t="s">
        <v>1906</v>
      </c>
      <c r="AQ227" s="106">
        <v>36.659999999999997</v>
      </c>
      <c r="AR227" s="106" t="s">
        <v>1906</v>
      </c>
      <c r="AS227" s="106">
        <v>36.659999999999997</v>
      </c>
      <c r="AT227" s="107" t="s">
        <v>1906</v>
      </c>
      <c r="AU227" s="106">
        <f t="shared" si="10"/>
        <v>283.25</v>
      </c>
      <c r="AV227" s="25">
        <v>0.14749999999999999</v>
      </c>
      <c r="AW227" s="30" t="str">
        <f t="shared" si="11"/>
        <v>95-70</v>
      </c>
      <c r="AX227" s="30" t="s">
        <v>1907</v>
      </c>
      <c r="AY227" s="30">
        <v>0</v>
      </c>
      <c r="AZ227" s="30">
        <v>0</v>
      </c>
    </row>
    <row r="228" spans="1:52" ht="31.2" x14ac:dyDescent="0.3">
      <c r="A228" s="103">
        <v>218</v>
      </c>
      <c r="B228" s="30" t="s">
        <v>831</v>
      </c>
      <c r="C228" s="30" t="s">
        <v>1911</v>
      </c>
      <c r="D228" s="105" t="s">
        <v>1900</v>
      </c>
      <c r="E228" s="108" t="s">
        <v>1901</v>
      </c>
      <c r="F228" s="30" t="s">
        <v>1902</v>
      </c>
      <c r="G228" s="26" t="s">
        <v>145</v>
      </c>
      <c r="H228" s="24" t="s">
        <v>146</v>
      </c>
      <c r="I228" s="25">
        <v>1</v>
      </c>
      <c r="J228" s="24" t="s">
        <v>1903</v>
      </c>
      <c r="K228" s="24">
        <v>32</v>
      </c>
      <c r="L228" s="24">
        <v>5</v>
      </c>
      <c r="M228" s="24" t="str">
        <f t="shared" si="9"/>
        <v>95-70</v>
      </c>
      <c r="N228" s="24" t="s">
        <v>529</v>
      </c>
      <c r="O228" s="24" t="s">
        <v>529</v>
      </c>
      <c r="P228" s="24">
        <v>1</v>
      </c>
      <c r="Q228" s="102">
        <v>0</v>
      </c>
      <c r="R228" s="30" t="s">
        <v>1905</v>
      </c>
      <c r="S228" s="24">
        <v>0</v>
      </c>
      <c r="T228" s="24"/>
      <c r="U228" s="94">
        <v>0</v>
      </c>
      <c r="V228" s="94">
        <v>0</v>
      </c>
      <c r="W228" s="106">
        <v>0</v>
      </c>
      <c r="X228" s="107" t="s">
        <v>1906</v>
      </c>
      <c r="Y228" s="106">
        <v>0</v>
      </c>
      <c r="Z228" s="107" t="s">
        <v>1906</v>
      </c>
      <c r="AA228" s="106">
        <v>0</v>
      </c>
      <c r="AB228" s="107" t="s">
        <v>1906</v>
      </c>
      <c r="AC228" s="106">
        <v>0</v>
      </c>
      <c r="AD228" s="107" t="s">
        <v>1906</v>
      </c>
      <c r="AE228" s="106">
        <v>0</v>
      </c>
      <c r="AF228" s="107" t="s">
        <v>1906</v>
      </c>
      <c r="AG228" s="106">
        <v>0</v>
      </c>
      <c r="AH228" s="107" t="s">
        <v>1906</v>
      </c>
      <c r="AI228" s="106">
        <v>0</v>
      </c>
      <c r="AJ228" s="107" t="s">
        <v>1906</v>
      </c>
      <c r="AK228" s="106">
        <v>0</v>
      </c>
      <c r="AL228" s="107" t="s">
        <v>1906</v>
      </c>
      <c r="AM228" s="106">
        <v>0</v>
      </c>
      <c r="AN228" s="107" t="s">
        <v>1906</v>
      </c>
      <c r="AO228" s="106">
        <v>0</v>
      </c>
      <c r="AP228" s="107" t="s">
        <v>1906</v>
      </c>
      <c r="AQ228" s="106">
        <v>0</v>
      </c>
      <c r="AR228" s="106" t="s">
        <v>1906</v>
      </c>
      <c r="AS228" s="106">
        <v>0</v>
      </c>
      <c r="AT228" s="107" t="s">
        <v>1906</v>
      </c>
      <c r="AU228" s="106">
        <f t="shared" si="10"/>
        <v>0</v>
      </c>
      <c r="AV228" s="25">
        <v>0.1787</v>
      </c>
      <c r="AW228" s="30" t="str">
        <f t="shared" si="11"/>
        <v>95-70</v>
      </c>
      <c r="AX228" s="30" t="s">
        <v>1907</v>
      </c>
      <c r="AY228" s="30">
        <v>0</v>
      </c>
      <c r="AZ228" s="30">
        <v>0</v>
      </c>
    </row>
    <row r="229" spans="1:52" ht="31.2" x14ac:dyDescent="0.3">
      <c r="A229" s="103">
        <v>219</v>
      </c>
      <c r="B229" s="30" t="s">
        <v>832</v>
      </c>
      <c r="C229" s="30" t="s">
        <v>1899</v>
      </c>
      <c r="D229" s="105" t="s">
        <v>1900</v>
      </c>
      <c r="E229" s="108" t="s">
        <v>1901</v>
      </c>
      <c r="F229" s="30" t="s">
        <v>1902</v>
      </c>
      <c r="G229" s="26" t="s">
        <v>145</v>
      </c>
      <c r="H229" s="24" t="s">
        <v>146</v>
      </c>
      <c r="I229" s="25">
        <v>1</v>
      </c>
      <c r="J229" s="24" t="s">
        <v>1903</v>
      </c>
      <c r="K229" s="24">
        <v>50</v>
      </c>
      <c r="L229" s="24">
        <v>5</v>
      </c>
      <c r="M229" s="24" t="str">
        <f t="shared" si="9"/>
        <v>95-70</v>
      </c>
      <c r="N229" s="24" t="s">
        <v>529</v>
      </c>
      <c r="O229" s="24" t="s">
        <v>529</v>
      </c>
      <c r="P229" s="24">
        <v>1</v>
      </c>
      <c r="Q229" s="102">
        <v>0</v>
      </c>
      <c r="R229" s="30" t="s">
        <v>1905</v>
      </c>
      <c r="S229" s="24">
        <v>0</v>
      </c>
      <c r="T229" s="24"/>
      <c r="U229" s="94">
        <v>989.24</v>
      </c>
      <c r="V229" s="94">
        <v>1162.17</v>
      </c>
      <c r="W229" s="106">
        <v>158.71</v>
      </c>
      <c r="X229" s="107" t="s">
        <v>1906</v>
      </c>
      <c r="Y229" s="106">
        <v>158.71</v>
      </c>
      <c r="Z229" s="107" t="s">
        <v>1906</v>
      </c>
      <c r="AA229" s="106">
        <v>158.71</v>
      </c>
      <c r="AB229" s="107" t="s">
        <v>1906</v>
      </c>
      <c r="AC229" s="106">
        <v>158.71</v>
      </c>
      <c r="AD229" s="107" t="s">
        <v>1906</v>
      </c>
      <c r="AE229" s="106">
        <v>51.2</v>
      </c>
      <c r="AF229" s="107" t="s">
        <v>1906</v>
      </c>
      <c r="AG229" s="106">
        <v>0</v>
      </c>
      <c r="AH229" s="107" t="s">
        <v>1906</v>
      </c>
      <c r="AI229" s="106">
        <v>0</v>
      </c>
      <c r="AJ229" s="107" t="s">
        <v>1906</v>
      </c>
      <c r="AK229" s="106">
        <v>0</v>
      </c>
      <c r="AL229" s="107" t="s">
        <v>1906</v>
      </c>
      <c r="AM229" s="106">
        <v>25.91</v>
      </c>
      <c r="AN229" s="107" t="s">
        <v>1906</v>
      </c>
      <c r="AO229" s="106">
        <v>155.44999999999999</v>
      </c>
      <c r="AP229" s="107" t="s">
        <v>1906</v>
      </c>
      <c r="AQ229" s="106">
        <v>155.44999999999999</v>
      </c>
      <c r="AR229" s="106" t="s">
        <v>1906</v>
      </c>
      <c r="AS229" s="106">
        <v>155.44999999999999</v>
      </c>
      <c r="AT229" s="107" t="s">
        <v>1906</v>
      </c>
      <c r="AU229" s="106">
        <f t="shared" si="10"/>
        <v>1178.3000000000002</v>
      </c>
      <c r="AV229" s="25">
        <v>0.43759999999999999</v>
      </c>
      <c r="AW229" s="30" t="str">
        <f t="shared" si="11"/>
        <v>95-70</v>
      </c>
      <c r="AX229" s="30" t="s">
        <v>1907</v>
      </c>
      <c r="AY229" s="30">
        <v>0</v>
      </c>
      <c r="AZ229" s="30">
        <v>0</v>
      </c>
    </row>
    <row r="230" spans="1:52" ht="31.2" x14ac:dyDescent="0.3">
      <c r="A230" s="103">
        <v>220</v>
      </c>
      <c r="B230" s="30" t="s">
        <v>833</v>
      </c>
      <c r="C230" s="30" t="s">
        <v>1899</v>
      </c>
      <c r="D230" s="105" t="s">
        <v>1900</v>
      </c>
      <c r="E230" s="108" t="s">
        <v>1901</v>
      </c>
      <c r="F230" s="30" t="s">
        <v>1902</v>
      </c>
      <c r="G230" s="26" t="s">
        <v>145</v>
      </c>
      <c r="H230" s="24" t="s">
        <v>146</v>
      </c>
      <c r="I230" s="25">
        <v>1</v>
      </c>
      <c r="J230" s="24" t="s">
        <v>1903</v>
      </c>
      <c r="K230" s="24">
        <v>50</v>
      </c>
      <c r="L230" s="24">
        <v>5</v>
      </c>
      <c r="M230" s="24" t="str">
        <f t="shared" si="9"/>
        <v>95-70</v>
      </c>
      <c r="N230" s="24" t="s">
        <v>529</v>
      </c>
      <c r="O230" s="24" t="s">
        <v>529</v>
      </c>
      <c r="P230" s="24">
        <v>1</v>
      </c>
      <c r="Q230" s="102">
        <v>0</v>
      </c>
      <c r="R230" s="30" t="s">
        <v>1905</v>
      </c>
      <c r="S230" s="24">
        <v>0</v>
      </c>
      <c r="T230" s="24"/>
      <c r="U230" s="94">
        <v>891.19999999999993</v>
      </c>
      <c r="V230" s="94">
        <v>949.81000000000017</v>
      </c>
      <c r="W230" s="106">
        <v>129.71</v>
      </c>
      <c r="X230" s="107" t="s">
        <v>1906</v>
      </c>
      <c r="Y230" s="106">
        <v>129.71</v>
      </c>
      <c r="Z230" s="107" t="s">
        <v>1906</v>
      </c>
      <c r="AA230" s="106">
        <v>129.71</v>
      </c>
      <c r="AB230" s="107" t="s">
        <v>1906</v>
      </c>
      <c r="AC230" s="106">
        <v>129.71</v>
      </c>
      <c r="AD230" s="107" t="s">
        <v>1906</v>
      </c>
      <c r="AE230" s="106">
        <v>41.84</v>
      </c>
      <c r="AF230" s="107" t="s">
        <v>1906</v>
      </c>
      <c r="AG230" s="106">
        <v>0</v>
      </c>
      <c r="AH230" s="107" t="s">
        <v>1906</v>
      </c>
      <c r="AI230" s="106">
        <v>0</v>
      </c>
      <c r="AJ230" s="107" t="s">
        <v>1906</v>
      </c>
      <c r="AK230" s="106">
        <v>0</v>
      </c>
      <c r="AL230" s="107" t="s">
        <v>1906</v>
      </c>
      <c r="AM230" s="106">
        <v>28.41</v>
      </c>
      <c r="AN230" s="107" t="s">
        <v>1906</v>
      </c>
      <c r="AO230" s="106">
        <v>121.78</v>
      </c>
      <c r="AP230" s="107" t="s">
        <v>1906</v>
      </c>
      <c r="AQ230" s="106">
        <v>121.78</v>
      </c>
      <c r="AR230" s="106" t="s">
        <v>1906</v>
      </c>
      <c r="AS230" s="106">
        <v>121.78</v>
      </c>
      <c r="AT230" s="107" t="s">
        <v>1906</v>
      </c>
      <c r="AU230" s="106">
        <f t="shared" si="10"/>
        <v>954.43</v>
      </c>
      <c r="AV230" s="25">
        <v>0.39219999999999999</v>
      </c>
      <c r="AW230" s="30" t="str">
        <f t="shared" si="11"/>
        <v>95-70</v>
      </c>
      <c r="AX230" s="30" t="s">
        <v>1907</v>
      </c>
      <c r="AY230" s="30">
        <v>0</v>
      </c>
      <c r="AZ230" s="30">
        <v>0</v>
      </c>
    </row>
    <row r="231" spans="1:52" ht="31.2" x14ac:dyDescent="0.3">
      <c r="A231" s="103">
        <v>221</v>
      </c>
      <c r="B231" s="30" t="s">
        <v>834</v>
      </c>
      <c r="C231" s="30" t="s">
        <v>1899</v>
      </c>
      <c r="D231" s="105" t="s">
        <v>1900</v>
      </c>
      <c r="E231" s="108" t="s">
        <v>1901</v>
      </c>
      <c r="F231" s="30" t="s">
        <v>1902</v>
      </c>
      <c r="G231" s="26" t="s">
        <v>145</v>
      </c>
      <c r="H231" s="24" t="s">
        <v>146</v>
      </c>
      <c r="I231" s="25">
        <v>1</v>
      </c>
      <c r="J231" s="24" t="s">
        <v>1903</v>
      </c>
      <c r="K231" s="24">
        <v>50</v>
      </c>
      <c r="L231" s="24">
        <v>5</v>
      </c>
      <c r="M231" s="24" t="str">
        <f t="shared" si="9"/>
        <v>95-70</v>
      </c>
      <c r="N231" s="24" t="s">
        <v>529</v>
      </c>
      <c r="O231" s="24" t="s">
        <v>529</v>
      </c>
      <c r="P231" s="24">
        <v>1</v>
      </c>
      <c r="Q231" s="102">
        <v>0</v>
      </c>
      <c r="R231" s="30" t="s">
        <v>1905</v>
      </c>
      <c r="S231" s="24">
        <v>0</v>
      </c>
      <c r="T231" s="24"/>
      <c r="U231" s="94">
        <f>738.21*0.37</f>
        <v>273.1377</v>
      </c>
      <c r="V231" s="94">
        <f>882.08*0.37</f>
        <v>326.36959999999999</v>
      </c>
      <c r="W231" s="106">
        <f>150.52*0.37</f>
        <v>55.692400000000006</v>
      </c>
      <c r="X231" s="107" t="s">
        <v>208</v>
      </c>
      <c r="Y231" s="106">
        <f>128.93*0.37</f>
        <v>47.704100000000004</v>
      </c>
      <c r="Z231" s="107" t="s">
        <v>208</v>
      </c>
      <c r="AA231" s="106">
        <f>141.6*0.37</f>
        <v>52.391999999999996</v>
      </c>
      <c r="AB231" s="107" t="s">
        <v>208</v>
      </c>
      <c r="AC231" s="106">
        <f>121.06*0.37</f>
        <v>44.792200000000001</v>
      </c>
      <c r="AD231" s="107" t="s">
        <v>208</v>
      </c>
      <c r="AE231" s="106">
        <f>37.26*0.37</f>
        <v>13.786199999999999</v>
      </c>
      <c r="AF231" s="107" t="s">
        <v>208</v>
      </c>
      <c r="AG231" s="106">
        <v>0</v>
      </c>
      <c r="AH231" s="107" t="s">
        <v>208</v>
      </c>
      <c r="AI231" s="106">
        <v>0</v>
      </c>
      <c r="AJ231" s="107" t="s">
        <v>208</v>
      </c>
      <c r="AK231" s="106">
        <v>0</v>
      </c>
      <c r="AL231" s="107" t="s">
        <v>208</v>
      </c>
      <c r="AM231" s="106">
        <f>12.95*0.37</f>
        <v>4.7915000000000001</v>
      </c>
      <c r="AN231" s="107" t="s">
        <v>208</v>
      </c>
      <c r="AO231" s="106">
        <f>84.32*0.37</f>
        <v>31.198399999999996</v>
      </c>
      <c r="AP231" s="107" t="s">
        <v>208</v>
      </c>
      <c r="AQ231" s="106">
        <f>99.21*0.37</f>
        <v>36.707699999999996</v>
      </c>
      <c r="AR231" s="106" t="s">
        <v>208</v>
      </c>
      <c r="AS231" s="106">
        <f>117.34*0.37</f>
        <v>43.415799999999997</v>
      </c>
      <c r="AT231" s="107" t="s">
        <v>208</v>
      </c>
      <c r="AU231" s="106">
        <f t="shared" si="10"/>
        <v>330.4803</v>
      </c>
      <c r="AV231" s="25">
        <v>0.1118</v>
      </c>
      <c r="AW231" s="30" t="str">
        <f t="shared" si="11"/>
        <v>95-70</v>
      </c>
      <c r="AX231" s="30" t="s">
        <v>1907</v>
      </c>
      <c r="AY231" s="30">
        <v>0</v>
      </c>
      <c r="AZ231" s="30">
        <v>0</v>
      </c>
    </row>
    <row r="232" spans="1:52" ht="31.2" x14ac:dyDescent="0.3">
      <c r="A232" s="103">
        <v>222</v>
      </c>
      <c r="B232" s="30" t="s">
        <v>835</v>
      </c>
      <c r="C232" s="30" t="s">
        <v>1899</v>
      </c>
      <c r="D232" s="105" t="s">
        <v>1900</v>
      </c>
      <c r="E232" s="108" t="s">
        <v>1901</v>
      </c>
      <c r="F232" s="30" t="s">
        <v>1902</v>
      </c>
      <c r="G232" s="26" t="s">
        <v>145</v>
      </c>
      <c r="H232" s="24" t="s">
        <v>146</v>
      </c>
      <c r="I232" s="25">
        <v>1</v>
      </c>
      <c r="J232" s="24" t="s">
        <v>1903</v>
      </c>
      <c r="K232" s="24">
        <v>50</v>
      </c>
      <c r="L232" s="24">
        <v>5</v>
      </c>
      <c r="M232" s="24" t="str">
        <f t="shared" si="9"/>
        <v>95-70</v>
      </c>
      <c r="N232" s="24" t="s">
        <v>529</v>
      </c>
      <c r="O232" s="24" t="s">
        <v>529</v>
      </c>
      <c r="P232" s="24">
        <v>1</v>
      </c>
      <c r="Q232" s="102">
        <v>0</v>
      </c>
      <c r="R232" s="30" t="s">
        <v>1905</v>
      </c>
      <c r="S232" s="24">
        <v>0</v>
      </c>
      <c r="T232" s="24"/>
      <c r="U232" s="94">
        <f>738.21*0.63</f>
        <v>465.07230000000004</v>
      </c>
      <c r="V232" s="94">
        <f>882.08*0.63</f>
        <v>555.71040000000005</v>
      </c>
      <c r="W232" s="106">
        <f>150.52*0.63</f>
        <v>94.827600000000004</v>
      </c>
      <c r="X232" s="107" t="s">
        <v>1906</v>
      </c>
      <c r="Y232" s="106">
        <f>128.93*0.63</f>
        <v>81.22590000000001</v>
      </c>
      <c r="Z232" s="107" t="s">
        <v>1906</v>
      </c>
      <c r="AA232" s="106">
        <f>141.6*0.63</f>
        <v>89.207999999999998</v>
      </c>
      <c r="AB232" s="107" t="s">
        <v>1906</v>
      </c>
      <c r="AC232" s="106">
        <f>121.06*0.63</f>
        <v>76.267800000000008</v>
      </c>
      <c r="AD232" s="107" t="s">
        <v>1906</v>
      </c>
      <c r="AE232" s="106">
        <f>37.26*0.63</f>
        <v>23.473800000000001</v>
      </c>
      <c r="AF232" s="107" t="s">
        <v>1906</v>
      </c>
      <c r="AG232" s="106">
        <v>0</v>
      </c>
      <c r="AH232" s="107" t="s">
        <v>1906</v>
      </c>
      <c r="AI232" s="106">
        <v>0</v>
      </c>
      <c r="AJ232" s="107" t="s">
        <v>1906</v>
      </c>
      <c r="AK232" s="106">
        <v>0</v>
      </c>
      <c r="AL232" s="107" t="s">
        <v>1906</v>
      </c>
      <c r="AM232" s="106">
        <f>12.95*0.63</f>
        <v>8.1585000000000001</v>
      </c>
      <c r="AN232" s="107" t="s">
        <v>1906</v>
      </c>
      <c r="AO232" s="106">
        <f>84.32*0.63</f>
        <v>53.121599999999994</v>
      </c>
      <c r="AP232" s="107" t="s">
        <v>1906</v>
      </c>
      <c r="AQ232" s="106">
        <f>99.21*0.63</f>
        <v>62.502299999999998</v>
      </c>
      <c r="AR232" s="106" t="s">
        <v>1906</v>
      </c>
      <c r="AS232" s="106">
        <f>117.34*0.63</f>
        <v>73.924199999999999</v>
      </c>
      <c r="AT232" s="107" t="s">
        <v>1906</v>
      </c>
      <c r="AU232" s="106">
        <f t="shared" si="10"/>
        <v>562.7097</v>
      </c>
      <c r="AV232" s="25">
        <v>0.2127</v>
      </c>
      <c r="AW232" s="30" t="str">
        <f t="shared" si="11"/>
        <v>95-70</v>
      </c>
      <c r="AX232" s="30" t="s">
        <v>1907</v>
      </c>
      <c r="AY232" s="30">
        <v>0</v>
      </c>
      <c r="AZ232" s="30">
        <v>0</v>
      </c>
    </row>
    <row r="233" spans="1:52" ht="31.2" x14ac:dyDescent="0.3">
      <c r="A233" s="103">
        <v>223</v>
      </c>
      <c r="B233" s="30" t="s">
        <v>837</v>
      </c>
      <c r="C233" s="30" t="s">
        <v>1899</v>
      </c>
      <c r="D233" s="105" t="s">
        <v>1900</v>
      </c>
      <c r="E233" s="108" t="s">
        <v>1901</v>
      </c>
      <c r="F233" s="30" t="s">
        <v>1902</v>
      </c>
      <c r="G233" s="26" t="s">
        <v>145</v>
      </c>
      <c r="H233" s="24" t="s">
        <v>146</v>
      </c>
      <c r="I233" s="25">
        <v>1</v>
      </c>
      <c r="J233" s="24" t="s">
        <v>1903</v>
      </c>
      <c r="K233" s="24">
        <v>50</v>
      </c>
      <c r="L233" s="24">
        <v>5</v>
      </c>
      <c r="M233" s="24" t="str">
        <f t="shared" si="9"/>
        <v>95-70</v>
      </c>
      <c r="N233" s="24" t="s">
        <v>529</v>
      </c>
      <c r="O233" s="24" t="s">
        <v>529</v>
      </c>
      <c r="P233" s="24">
        <v>1</v>
      </c>
      <c r="Q233" s="102">
        <v>0</v>
      </c>
      <c r="R233" s="30" t="s">
        <v>1905</v>
      </c>
      <c r="S233" s="24">
        <v>0</v>
      </c>
      <c r="T233" s="24"/>
      <c r="U233" s="94">
        <v>446.98000000000008</v>
      </c>
      <c r="V233" s="94">
        <v>413.69</v>
      </c>
      <c r="W233" s="106">
        <v>56.800000000000004</v>
      </c>
      <c r="X233" s="107" t="s">
        <v>208</v>
      </c>
      <c r="Y233" s="106">
        <v>56.680000000000007</v>
      </c>
      <c r="Z233" s="107" t="s">
        <v>208</v>
      </c>
      <c r="AA233" s="106">
        <v>56.680000000000007</v>
      </c>
      <c r="AB233" s="107" t="s">
        <v>208</v>
      </c>
      <c r="AC233" s="106">
        <v>56.680000000000007</v>
      </c>
      <c r="AD233" s="107" t="s">
        <v>208</v>
      </c>
      <c r="AE233" s="106">
        <v>16.45</v>
      </c>
      <c r="AF233" s="107" t="s">
        <v>208</v>
      </c>
      <c r="AG233" s="106">
        <v>0</v>
      </c>
      <c r="AH233" s="107" t="s">
        <v>208</v>
      </c>
      <c r="AI233" s="106">
        <v>0</v>
      </c>
      <c r="AJ233" s="107" t="s">
        <v>208</v>
      </c>
      <c r="AK233" s="106">
        <v>0</v>
      </c>
      <c r="AL233" s="107" t="s">
        <v>208</v>
      </c>
      <c r="AM233" s="106">
        <v>0</v>
      </c>
      <c r="AN233" s="107" t="s">
        <v>208</v>
      </c>
      <c r="AO233" s="106">
        <v>51.62</v>
      </c>
      <c r="AP233" s="107" t="s">
        <v>208</v>
      </c>
      <c r="AQ233" s="106">
        <v>36.6</v>
      </c>
      <c r="AR233" s="106" t="s">
        <v>208</v>
      </c>
      <c r="AS233" s="106">
        <v>51.62</v>
      </c>
      <c r="AT233" s="107" t="s">
        <v>208</v>
      </c>
      <c r="AU233" s="106">
        <f t="shared" si="10"/>
        <v>383.13000000000005</v>
      </c>
      <c r="AV233" s="25">
        <v>0.435</v>
      </c>
      <c r="AW233" s="30" t="str">
        <f t="shared" si="11"/>
        <v>95-70</v>
      </c>
      <c r="AX233" s="30" t="s">
        <v>1907</v>
      </c>
      <c r="AY233" s="30">
        <v>0</v>
      </c>
      <c r="AZ233" s="30">
        <v>0</v>
      </c>
    </row>
    <row r="234" spans="1:52" ht="31.2" x14ac:dyDescent="0.3">
      <c r="A234" s="103">
        <v>224</v>
      </c>
      <c r="B234" s="30" t="s">
        <v>838</v>
      </c>
      <c r="C234" s="30" t="s">
        <v>1899</v>
      </c>
      <c r="D234" s="105" t="s">
        <v>1900</v>
      </c>
      <c r="E234" s="108" t="s">
        <v>1901</v>
      </c>
      <c r="F234" s="30" t="s">
        <v>1902</v>
      </c>
      <c r="G234" s="26" t="s">
        <v>145</v>
      </c>
      <c r="H234" s="24" t="s">
        <v>146</v>
      </c>
      <c r="I234" s="25">
        <v>1</v>
      </c>
      <c r="J234" s="24" t="s">
        <v>1903</v>
      </c>
      <c r="K234" s="24">
        <v>50</v>
      </c>
      <c r="L234" s="24">
        <v>5</v>
      </c>
      <c r="M234" s="24" t="str">
        <f t="shared" si="9"/>
        <v>95-70</v>
      </c>
      <c r="N234" s="24" t="s">
        <v>529</v>
      </c>
      <c r="O234" s="24" t="s">
        <v>529</v>
      </c>
      <c r="P234" s="24">
        <v>1</v>
      </c>
      <c r="Q234" s="102">
        <v>0</v>
      </c>
      <c r="R234" s="30" t="s">
        <v>1905</v>
      </c>
      <c r="S234" s="24">
        <v>0</v>
      </c>
      <c r="T234" s="24"/>
      <c r="U234" s="94">
        <v>406.87</v>
      </c>
      <c r="V234" s="94">
        <v>267.10999999999996</v>
      </c>
      <c r="W234" s="106">
        <v>36.64</v>
      </c>
      <c r="X234" s="107" t="s">
        <v>1906</v>
      </c>
      <c r="Y234" s="106">
        <v>36.64</v>
      </c>
      <c r="Z234" s="107" t="s">
        <v>1906</v>
      </c>
      <c r="AA234" s="106">
        <v>36.64</v>
      </c>
      <c r="AB234" s="107" t="s">
        <v>1906</v>
      </c>
      <c r="AC234" s="106">
        <v>36.64</v>
      </c>
      <c r="AD234" s="107" t="s">
        <v>1906</v>
      </c>
      <c r="AE234" s="106">
        <v>10.629999999999999</v>
      </c>
      <c r="AF234" s="107" t="s">
        <v>1906</v>
      </c>
      <c r="AG234" s="106">
        <v>0</v>
      </c>
      <c r="AH234" s="107" t="s">
        <v>1906</v>
      </c>
      <c r="AI234" s="106">
        <v>0</v>
      </c>
      <c r="AJ234" s="107" t="s">
        <v>1906</v>
      </c>
      <c r="AK234" s="106">
        <v>0</v>
      </c>
      <c r="AL234" s="107" t="s">
        <v>1906</v>
      </c>
      <c r="AM234" s="106">
        <v>8.24</v>
      </c>
      <c r="AN234" s="107" t="s">
        <v>1906</v>
      </c>
      <c r="AO234" s="106">
        <v>35.31</v>
      </c>
      <c r="AP234" s="107" t="s">
        <v>1906</v>
      </c>
      <c r="AQ234" s="106">
        <v>35.31</v>
      </c>
      <c r="AR234" s="106" t="s">
        <v>1906</v>
      </c>
      <c r="AS234" s="106">
        <v>35.31</v>
      </c>
      <c r="AT234" s="107" t="s">
        <v>1906</v>
      </c>
      <c r="AU234" s="106">
        <f t="shared" si="10"/>
        <v>271.36</v>
      </c>
      <c r="AV234" s="25">
        <v>0.20480000000000001</v>
      </c>
      <c r="AW234" s="30" t="str">
        <f t="shared" si="11"/>
        <v>95-70</v>
      </c>
      <c r="AX234" s="30" t="s">
        <v>1907</v>
      </c>
      <c r="AY234" s="30">
        <v>0</v>
      </c>
      <c r="AZ234" s="30">
        <v>0</v>
      </c>
    </row>
    <row r="235" spans="1:52" ht="31.2" x14ac:dyDescent="0.3">
      <c r="A235" s="103">
        <v>225</v>
      </c>
      <c r="B235" s="30" t="s">
        <v>839</v>
      </c>
      <c r="C235" s="30" t="s">
        <v>1899</v>
      </c>
      <c r="D235" s="105" t="s">
        <v>1900</v>
      </c>
      <c r="E235" s="108" t="s">
        <v>1901</v>
      </c>
      <c r="F235" s="30" t="s">
        <v>1902</v>
      </c>
      <c r="G235" s="26" t="s">
        <v>145</v>
      </c>
      <c r="H235" s="24" t="s">
        <v>146</v>
      </c>
      <c r="I235" s="25">
        <v>1</v>
      </c>
      <c r="J235" s="24" t="s">
        <v>1903</v>
      </c>
      <c r="K235" s="24">
        <v>50</v>
      </c>
      <c r="L235" s="24">
        <v>5</v>
      </c>
      <c r="M235" s="24" t="str">
        <f t="shared" si="9"/>
        <v>95-70</v>
      </c>
      <c r="N235" s="24" t="s">
        <v>529</v>
      </c>
      <c r="O235" s="24" t="s">
        <v>529</v>
      </c>
      <c r="P235" s="24">
        <v>1</v>
      </c>
      <c r="Q235" s="102">
        <v>0</v>
      </c>
      <c r="R235" s="30" t="s">
        <v>1905</v>
      </c>
      <c r="S235" s="24">
        <v>0</v>
      </c>
      <c r="T235" s="24"/>
      <c r="U235" s="94">
        <v>915.85</v>
      </c>
      <c r="V235" s="94">
        <v>1378.3799999999999</v>
      </c>
      <c r="W235" s="106">
        <v>189.07</v>
      </c>
      <c r="X235" s="107" t="s">
        <v>208</v>
      </c>
      <c r="Y235" s="106">
        <v>189.07</v>
      </c>
      <c r="Z235" s="107" t="s">
        <v>208</v>
      </c>
      <c r="AA235" s="106">
        <v>189.07</v>
      </c>
      <c r="AB235" s="107" t="s">
        <v>208</v>
      </c>
      <c r="AC235" s="106">
        <v>189.07</v>
      </c>
      <c r="AD235" s="107" t="s">
        <v>208</v>
      </c>
      <c r="AE235" s="106">
        <v>54.89</v>
      </c>
      <c r="AF235" s="107" t="s">
        <v>208</v>
      </c>
      <c r="AG235" s="106">
        <v>0</v>
      </c>
      <c r="AH235" s="107" t="s">
        <v>208</v>
      </c>
      <c r="AI235" s="106">
        <v>0</v>
      </c>
      <c r="AJ235" s="107" t="s">
        <v>208</v>
      </c>
      <c r="AK235" s="106">
        <v>0</v>
      </c>
      <c r="AL235" s="107" t="s">
        <v>208</v>
      </c>
      <c r="AM235" s="106">
        <v>43.33</v>
      </c>
      <c r="AN235" s="107" t="s">
        <v>208</v>
      </c>
      <c r="AO235" s="106">
        <v>185.72</v>
      </c>
      <c r="AP235" s="107" t="s">
        <v>208</v>
      </c>
      <c r="AQ235" s="106">
        <v>146.9</v>
      </c>
      <c r="AR235" s="106" t="s">
        <v>208</v>
      </c>
      <c r="AS235" s="106">
        <v>185.72</v>
      </c>
      <c r="AT235" s="107" t="s">
        <v>208</v>
      </c>
      <c r="AU235" s="106">
        <f t="shared" si="10"/>
        <v>1372.8400000000001</v>
      </c>
      <c r="AV235" s="25">
        <v>0.20300000000000001</v>
      </c>
      <c r="AW235" s="30" t="str">
        <f t="shared" si="11"/>
        <v>95-70</v>
      </c>
      <c r="AX235" s="30" t="s">
        <v>1907</v>
      </c>
      <c r="AY235" s="30">
        <v>0</v>
      </c>
      <c r="AZ235" s="30">
        <v>0</v>
      </c>
    </row>
    <row r="236" spans="1:52" ht="31.2" x14ac:dyDescent="0.3">
      <c r="A236" s="103">
        <v>226</v>
      </c>
      <c r="B236" s="30" t="s">
        <v>840</v>
      </c>
      <c r="C236" s="30" t="s">
        <v>1899</v>
      </c>
      <c r="D236" s="105" t="s">
        <v>1900</v>
      </c>
      <c r="E236" s="108" t="s">
        <v>1901</v>
      </c>
      <c r="F236" s="30" t="s">
        <v>1902</v>
      </c>
      <c r="G236" s="26" t="s">
        <v>145</v>
      </c>
      <c r="H236" s="24" t="s">
        <v>146</v>
      </c>
      <c r="I236" s="25">
        <v>1</v>
      </c>
      <c r="J236" s="24" t="s">
        <v>1903</v>
      </c>
      <c r="K236" s="24">
        <v>32</v>
      </c>
      <c r="L236" s="24">
        <v>5</v>
      </c>
      <c r="M236" s="24" t="str">
        <f t="shared" si="9"/>
        <v>95-70</v>
      </c>
      <c r="N236" s="24" t="s">
        <v>529</v>
      </c>
      <c r="O236" s="24" t="s">
        <v>529</v>
      </c>
      <c r="P236" s="24">
        <v>1</v>
      </c>
      <c r="Q236" s="102">
        <v>0</v>
      </c>
      <c r="R236" s="30" t="s">
        <v>1905</v>
      </c>
      <c r="S236" s="24">
        <v>0</v>
      </c>
      <c r="T236" s="24"/>
      <c r="U236" s="94">
        <f>684.57*0.3</f>
        <v>205.37100000000001</v>
      </c>
      <c r="V236" s="94">
        <f>737.57*0.3</f>
        <v>221.27100000000002</v>
      </c>
      <c r="W236" s="106">
        <f>101.17*0.3</f>
        <v>30.350999999999999</v>
      </c>
      <c r="X236" s="107" t="s">
        <v>1906</v>
      </c>
      <c r="Y236" s="106">
        <f>101.17*0.3</f>
        <v>30.350999999999999</v>
      </c>
      <c r="Z236" s="107" t="s">
        <v>1906</v>
      </c>
      <c r="AA236" s="106">
        <f>101.17*0.3</f>
        <v>30.350999999999999</v>
      </c>
      <c r="AB236" s="107" t="s">
        <v>1906</v>
      </c>
      <c r="AC236" s="106">
        <f>101.17*0.3</f>
        <v>30.350999999999999</v>
      </c>
      <c r="AD236" s="107" t="s">
        <v>1906</v>
      </c>
      <c r="AE236" s="106">
        <f>29.38*0.3</f>
        <v>8.8140000000000001</v>
      </c>
      <c r="AF236" s="107" t="s">
        <v>1906</v>
      </c>
      <c r="AG236" s="106">
        <v>0</v>
      </c>
      <c r="AH236" s="107" t="s">
        <v>1906</v>
      </c>
      <c r="AI236" s="106">
        <v>0</v>
      </c>
      <c r="AJ236" s="107" t="s">
        <v>1906</v>
      </c>
      <c r="AK236" s="106">
        <v>0</v>
      </c>
      <c r="AL236" s="107" t="s">
        <v>1906</v>
      </c>
      <c r="AM236" s="106">
        <v>0</v>
      </c>
      <c r="AN236" s="107" t="s">
        <v>1906</v>
      </c>
      <c r="AO236" s="106">
        <f>100.48*0.3</f>
        <v>30.143999999999998</v>
      </c>
      <c r="AP236" s="107" t="s">
        <v>1906</v>
      </c>
      <c r="AQ236" s="106">
        <f>100.48*0.3</f>
        <v>30.143999999999998</v>
      </c>
      <c r="AR236" s="106" t="s">
        <v>1906</v>
      </c>
      <c r="AS236" s="106">
        <f>100.48*0.3</f>
        <v>30.143999999999998</v>
      </c>
      <c r="AT236" s="107" t="s">
        <v>1906</v>
      </c>
      <c r="AU236" s="106">
        <f t="shared" si="10"/>
        <v>220.65</v>
      </c>
      <c r="AV236" s="25">
        <v>0.1024</v>
      </c>
      <c r="AW236" s="30" t="str">
        <f t="shared" si="11"/>
        <v>95-70</v>
      </c>
      <c r="AX236" s="30" t="s">
        <v>1907</v>
      </c>
      <c r="AY236" s="30">
        <v>0</v>
      </c>
      <c r="AZ236" s="30">
        <v>0</v>
      </c>
    </row>
    <row r="237" spans="1:52" ht="31.2" x14ac:dyDescent="0.3">
      <c r="A237" s="103">
        <v>227</v>
      </c>
      <c r="B237" s="30" t="s">
        <v>841</v>
      </c>
      <c r="C237" s="30" t="s">
        <v>1899</v>
      </c>
      <c r="D237" s="105" t="s">
        <v>1900</v>
      </c>
      <c r="E237" s="108" t="s">
        <v>1901</v>
      </c>
      <c r="F237" s="30" t="s">
        <v>1902</v>
      </c>
      <c r="G237" s="26" t="s">
        <v>145</v>
      </c>
      <c r="H237" s="24" t="s">
        <v>146</v>
      </c>
      <c r="I237" s="25">
        <v>1</v>
      </c>
      <c r="J237" s="24" t="s">
        <v>1903</v>
      </c>
      <c r="K237" s="24">
        <v>32</v>
      </c>
      <c r="L237" s="24">
        <v>5</v>
      </c>
      <c r="M237" s="24" t="str">
        <f t="shared" si="9"/>
        <v>95-70</v>
      </c>
      <c r="N237" s="24" t="s">
        <v>529</v>
      </c>
      <c r="O237" s="24" t="s">
        <v>529</v>
      </c>
      <c r="P237" s="24">
        <v>1</v>
      </c>
      <c r="Q237" s="102">
        <v>0</v>
      </c>
      <c r="R237" s="30" t="s">
        <v>1905</v>
      </c>
      <c r="S237" s="24">
        <v>0</v>
      </c>
      <c r="T237" s="24"/>
      <c r="U237" s="94">
        <f>684.57*0.29</f>
        <v>198.52529999999999</v>
      </c>
      <c r="V237" s="94">
        <f>737.57*0.29</f>
        <v>213.89529999999999</v>
      </c>
      <c r="W237" s="106">
        <f>101.17*0.29</f>
        <v>29.339299999999998</v>
      </c>
      <c r="X237" s="107" t="s">
        <v>1906</v>
      </c>
      <c r="Y237" s="106">
        <f>101.17*0.29</f>
        <v>29.339299999999998</v>
      </c>
      <c r="Z237" s="107" t="s">
        <v>1906</v>
      </c>
      <c r="AA237" s="106">
        <f>101.17*0.29</f>
        <v>29.339299999999998</v>
      </c>
      <c r="AB237" s="107" t="s">
        <v>1906</v>
      </c>
      <c r="AC237" s="106">
        <f>101.17*0.29</f>
        <v>29.339299999999998</v>
      </c>
      <c r="AD237" s="107" t="s">
        <v>1906</v>
      </c>
      <c r="AE237" s="106">
        <f>29.38*0.29</f>
        <v>8.5201999999999991</v>
      </c>
      <c r="AF237" s="107" t="s">
        <v>1906</v>
      </c>
      <c r="AG237" s="106">
        <v>0</v>
      </c>
      <c r="AH237" s="107" t="s">
        <v>1906</v>
      </c>
      <c r="AI237" s="106">
        <v>0</v>
      </c>
      <c r="AJ237" s="107" t="s">
        <v>1906</v>
      </c>
      <c r="AK237" s="106">
        <v>0</v>
      </c>
      <c r="AL237" s="107" t="s">
        <v>1906</v>
      </c>
      <c r="AM237" s="106">
        <v>0</v>
      </c>
      <c r="AN237" s="107" t="s">
        <v>1906</v>
      </c>
      <c r="AO237" s="106">
        <f>100.48*0.29</f>
        <v>29.139199999999999</v>
      </c>
      <c r="AP237" s="107" t="s">
        <v>1906</v>
      </c>
      <c r="AQ237" s="106">
        <f>100.48*0.29</f>
        <v>29.139199999999999</v>
      </c>
      <c r="AR237" s="106" t="s">
        <v>1906</v>
      </c>
      <c r="AS237" s="106">
        <f>100.48*0.29</f>
        <v>29.139199999999999</v>
      </c>
      <c r="AT237" s="107" t="s">
        <v>1906</v>
      </c>
      <c r="AU237" s="106">
        <f t="shared" si="10"/>
        <v>213.29499999999996</v>
      </c>
      <c r="AV237" s="25">
        <v>0.1114</v>
      </c>
      <c r="AW237" s="30" t="str">
        <f t="shared" si="11"/>
        <v>95-70</v>
      </c>
      <c r="AX237" s="30" t="s">
        <v>1907</v>
      </c>
      <c r="AY237" s="30">
        <v>0</v>
      </c>
      <c r="AZ237" s="30">
        <v>0</v>
      </c>
    </row>
    <row r="238" spans="1:52" ht="31.2" x14ac:dyDescent="0.3">
      <c r="A238" s="103">
        <v>228</v>
      </c>
      <c r="B238" s="30" t="s">
        <v>842</v>
      </c>
      <c r="C238" s="30" t="s">
        <v>1899</v>
      </c>
      <c r="D238" s="105" t="s">
        <v>1900</v>
      </c>
      <c r="E238" s="108" t="s">
        <v>1901</v>
      </c>
      <c r="F238" s="30" t="s">
        <v>1902</v>
      </c>
      <c r="G238" s="26" t="s">
        <v>145</v>
      </c>
      <c r="H238" s="24" t="s">
        <v>146</v>
      </c>
      <c r="I238" s="25">
        <v>1</v>
      </c>
      <c r="J238" s="24" t="s">
        <v>1903</v>
      </c>
      <c r="K238" s="24">
        <v>32</v>
      </c>
      <c r="L238" s="24">
        <v>5</v>
      </c>
      <c r="M238" s="24" t="str">
        <f t="shared" si="9"/>
        <v>95-70</v>
      </c>
      <c r="N238" s="24" t="s">
        <v>529</v>
      </c>
      <c r="O238" s="24" t="s">
        <v>529</v>
      </c>
      <c r="P238" s="24">
        <v>1</v>
      </c>
      <c r="Q238" s="102">
        <v>0</v>
      </c>
      <c r="R238" s="30" t="s">
        <v>1905</v>
      </c>
      <c r="S238" s="24">
        <v>0</v>
      </c>
      <c r="T238" s="24"/>
      <c r="U238" s="94">
        <f>684.57*0.41</f>
        <v>280.6737</v>
      </c>
      <c r="V238" s="94">
        <f>737.57*0.41</f>
        <v>302.40370000000001</v>
      </c>
      <c r="W238" s="106">
        <f>101.17*0.41</f>
        <v>41.479700000000001</v>
      </c>
      <c r="X238" s="107" t="s">
        <v>1906</v>
      </c>
      <c r="Y238" s="106">
        <f>101.17*0.41</f>
        <v>41.479700000000001</v>
      </c>
      <c r="Z238" s="107" t="s">
        <v>1906</v>
      </c>
      <c r="AA238" s="106">
        <f>101.17*0.41</f>
        <v>41.479700000000001</v>
      </c>
      <c r="AB238" s="107" t="s">
        <v>1906</v>
      </c>
      <c r="AC238" s="106">
        <f>101.17*0.41</f>
        <v>41.479700000000001</v>
      </c>
      <c r="AD238" s="107" t="s">
        <v>1906</v>
      </c>
      <c r="AE238" s="106">
        <f>29.38*0.41</f>
        <v>12.045799999999998</v>
      </c>
      <c r="AF238" s="107" t="s">
        <v>1906</v>
      </c>
      <c r="AG238" s="106">
        <v>0</v>
      </c>
      <c r="AH238" s="107" t="s">
        <v>1906</v>
      </c>
      <c r="AI238" s="106">
        <v>0</v>
      </c>
      <c r="AJ238" s="107" t="s">
        <v>1906</v>
      </c>
      <c r="AK238" s="106">
        <v>0</v>
      </c>
      <c r="AL238" s="107" t="s">
        <v>1906</v>
      </c>
      <c r="AM238" s="106">
        <v>0</v>
      </c>
      <c r="AN238" s="107" t="s">
        <v>1906</v>
      </c>
      <c r="AO238" s="106">
        <f>100.48*0.41</f>
        <v>41.196799999999996</v>
      </c>
      <c r="AP238" s="107" t="s">
        <v>1906</v>
      </c>
      <c r="AQ238" s="106">
        <f>100.48*0.41</f>
        <v>41.196799999999996</v>
      </c>
      <c r="AR238" s="106" t="s">
        <v>1906</v>
      </c>
      <c r="AS238" s="106">
        <f>100.48*0.41</f>
        <v>41.196799999999996</v>
      </c>
      <c r="AT238" s="107" t="s">
        <v>1906</v>
      </c>
      <c r="AU238" s="106">
        <f t="shared" si="10"/>
        <v>301.55500000000001</v>
      </c>
      <c r="AV238" s="25">
        <v>0.14249999999999999</v>
      </c>
      <c r="AW238" s="30" t="str">
        <f t="shared" si="11"/>
        <v>95-70</v>
      </c>
      <c r="AX238" s="30" t="s">
        <v>1907</v>
      </c>
      <c r="AY238" s="30">
        <v>0</v>
      </c>
      <c r="AZ238" s="30">
        <v>0</v>
      </c>
    </row>
    <row r="239" spans="1:52" ht="31.2" x14ac:dyDescent="0.3">
      <c r="A239" s="103">
        <v>229</v>
      </c>
      <c r="B239" s="30" t="s">
        <v>843</v>
      </c>
      <c r="C239" s="30" t="s">
        <v>1899</v>
      </c>
      <c r="D239" s="105" t="s">
        <v>1900</v>
      </c>
      <c r="E239" s="108" t="s">
        <v>1901</v>
      </c>
      <c r="F239" s="30" t="s">
        <v>1902</v>
      </c>
      <c r="G239" s="26" t="s">
        <v>145</v>
      </c>
      <c r="H239" s="24" t="s">
        <v>146</v>
      </c>
      <c r="I239" s="25">
        <v>1</v>
      </c>
      <c r="J239" s="24" t="s">
        <v>1903</v>
      </c>
      <c r="K239" s="24">
        <v>50</v>
      </c>
      <c r="L239" s="24">
        <v>5</v>
      </c>
      <c r="M239" s="24" t="str">
        <f t="shared" si="9"/>
        <v>95-70</v>
      </c>
      <c r="N239" s="24" t="s">
        <v>529</v>
      </c>
      <c r="O239" s="24" t="s">
        <v>529</v>
      </c>
      <c r="P239" s="24">
        <v>1</v>
      </c>
      <c r="Q239" s="102">
        <v>0</v>
      </c>
      <c r="R239" s="30" t="s">
        <v>1905</v>
      </c>
      <c r="S239" s="24">
        <v>0</v>
      </c>
      <c r="T239" s="24"/>
      <c r="U239" s="94">
        <f>774.78*0.29</f>
        <v>224.68619999999999</v>
      </c>
      <c r="V239" s="94">
        <f>815.22*0.29</f>
        <v>236.41379999999998</v>
      </c>
      <c r="W239" s="106">
        <f>113.21*0.29</f>
        <v>32.830899999999993</v>
      </c>
      <c r="X239" s="107" t="s">
        <v>1906</v>
      </c>
      <c r="Y239" s="106">
        <f>110.81*0.29</f>
        <v>32.134900000000002</v>
      </c>
      <c r="Z239" s="107" t="s">
        <v>1906</v>
      </c>
      <c r="AA239" s="106">
        <f>123.25*0.29</f>
        <v>35.7425</v>
      </c>
      <c r="AB239" s="107" t="s">
        <v>1906</v>
      </c>
      <c r="AC239" s="106">
        <f>94.55*0.29</f>
        <v>27.419499999999996</v>
      </c>
      <c r="AD239" s="107" t="s">
        <v>1906</v>
      </c>
      <c r="AE239" s="106">
        <f>33.17*0.29</f>
        <v>9.6192999999999991</v>
      </c>
      <c r="AF239" s="107" t="s">
        <v>1906</v>
      </c>
      <c r="AG239" s="106">
        <v>0</v>
      </c>
      <c r="AH239" s="107" t="s">
        <v>1906</v>
      </c>
      <c r="AI239" s="106">
        <v>0</v>
      </c>
      <c r="AJ239" s="107" t="s">
        <v>1906</v>
      </c>
      <c r="AK239" s="106">
        <v>0</v>
      </c>
      <c r="AL239" s="107" t="s">
        <v>1906</v>
      </c>
      <c r="AM239" s="106">
        <f>10.39*0.29</f>
        <v>3.0131000000000001</v>
      </c>
      <c r="AN239" s="107" t="s">
        <v>1906</v>
      </c>
      <c r="AO239" s="106">
        <f>91.9*0.29</f>
        <v>26.651</v>
      </c>
      <c r="AP239" s="107" t="s">
        <v>1906</v>
      </c>
      <c r="AQ239" s="106">
        <f>93.18*0.29</f>
        <v>27.022200000000002</v>
      </c>
      <c r="AR239" s="106" t="s">
        <v>1906</v>
      </c>
      <c r="AS239" s="106">
        <f>103.7*0.29</f>
        <v>30.073</v>
      </c>
      <c r="AT239" s="107" t="s">
        <v>1906</v>
      </c>
      <c r="AU239" s="106">
        <f t="shared" si="10"/>
        <v>224.50640000000004</v>
      </c>
      <c r="AV239" s="25">
        <v>0.1008</v>
      </c>
      <c r="AW239" s="30" t="str">
        <f t="shared" si="11"/>
        <v>95-70</v>
      </c>
      <c r="AX239" s="30" t="s">
        <v>1907</v>
      </c>
      <c r="AY239" s="30">
        <v>0</v>
      </c>
      <c r="AZ239" s="30">
        <v>0</v>
      </c>
    </row>
    <row r="240" spans="1:52" ht="31.2" x14ac:dyDescent="0.3">
      <c r="A240" s="103">
        <v>230</v>
      </c>
      <c r="B240" s="30" t="s">
        <v>844</v>
      </c>
      <c r="C240" s="30" t="s">
        <v>1899</v>
      </c>
      <c r="D240" s="105" t="s">
        <v>1900</v>
      </c>
      <c r="E240" s="108" t="s">
        <v>1901</v>
      </c>
      <c r="F240" s="30" t="s">
        <v>1902</v>
      </c>
      <c r="G240" s="26" t="s">
        <v>145</v>
      </c>
      <c r="H240" s="24" t="s">
        <v>146</v>
      </c>
      <c r="I240" s="25">
        <v>1</v>
      </c>
      <c r="J240" s="24" t="s">
        <v>1903</v>
      </c>
      <c r="K240" s="24">
        <v>32</v>
      </c>
      <c r="L240" s="24">
        <v>5</v>
      </c>
      <c r="M240" s="24" t="str">
        <f t="shared" si="9"/>
        <v>95-70</v>
      </c>
      <c r="N240" s="24" t="s">
        <v>529</v>
      </c>
      <c r="O240" s="24" t="s">
        <v>529</v>
      </c>
      <c r="P240" s="24">
        <v>1</v>
      </c>
      <c r="Q240" s="102">
        <v>0</v>
      </c>
      <c r="R240" s="30" t="s">
        <v>1905</v>
      </c>
      <c r="S240" s="24">
        <v>0</v>
      </c>
      <c r="T240" s="24"/>
      <c r="U240" s="94">
        <f>774.78*0.33</f>
        <v>255.67740000000001</v>
      </c>
      <c r="V240" s="94">
        <f>815.22*0.33</f>
        <v>269.02260000000001</v>
      </c>
      <c r="W240" s="106">
        <f>113.21*0.33</f>
        <v>37.359299999999998</v>
      </c>
      <c r="X240" s="107" t="s">
        <v>208</v>
      </c>
      <c r="Y240" s="106">
        <f>110.81*0.33</f>
        <v>36.567300000000003</v>
      </c>
      <c r="Z240" s="107" t="s">
        <v>208</v>
      </c>
      <c r="AA240" s="106">
        <f>123.25*0.33</f>
        <v>40.672499999999999</v>
      </c>
      <c r="AB240" s="107" t="s">
        <v>208</v>
      </c>
      <c r="AC240" s="106">
        <f>94.55*0.33</f>
        <v>31.201499999999999</v>
      </c>
      <c r="AD240" s="107" t="s">
        <v>208</v>
      </c>
      <c r="AE240" s="106">
        <f>33.17*0.33</f>
        <v>10.946100000000001</v>
      </c>
      <c r="AF240" s="107" t="s">
        <v>208</v>
      </c>
      <c r="AG240" s="106">
        <v>0</v>
      </c>
      <c r="AH240" s="107" t="s">
        <v>208</v>
      </c>
      <c r="AI240" s="106">
        <v>0</v>
      </c>
      <c r="AJ240" s="107" t="s">
        <v>208</v>
      </c>
      <c r="AK240" s="106">
        <v>0</v>
      </c>
      <c r="AL240" s="107" t="s">
        <v>208</v>
      </c>
      <c r="AM240" s="106">
        <f>10.39*0.33</f>
        <v>3.4287000000000005</v>
      </c>
      <c r="AN240" s="107" t="s">
        <v>208</v>
      </c>
      <c r="AO240" s="106">
        <f>91.9*0.33</f>
        <v>30.327000000000002</v>
      </c>
      <c r="AP240" s="107" t="s">
        <v>208</v>
      </c>
      <c r="AQ240" s="106">
        <f>93.18*0.33</f>
        <v>30.749400000000005</v>
      </c>
      <c r="AR240" s="106" t="s">
        <v>208</v>
      </c>
      <c r="AS240" s="106">
        <f>103.7*0.33</f>
        <v>34.221000000000004</v>
      </c>
      <c r="AT240" s="107" t="s">
        <v>208</v>
      </c>
      <c r="AU240" s="106">
        <f t="shared" si="10"/>
        <v>255.47280000000001</v>
      </c>
      <c r="AV240" s="25">
        <v>0.11459999999999999</v>
      </c>
      <c r="AW240" s="30" t="str">
        <f t="shared" si="11"/>
        <v>95-70</v>
      </c>
      <c r="AX240" s="30" t="s">
        <v>1907</v>
      </c>
      <c r="AY240" s="30">
        <v>0</v>
      </c>
      <c r="AZ240" s="30">
        <v>0</v>
      </c>
    </row>
    <row r="241" spans="1:52" ht="31.2" x14ac:dyDescent="0.3">
      <c r="A241" s="103">
        <v>231</v>
      </c>
      <c r="B241" s="30" t="s">
        <v>845</v>
      </c>
      <c r="C241" s="30" t="s">
        <v>1899</v>
      </c>
      <c r="D241" s="105" t="s">
        <v>1900</v>
      </c>
      <c r="E241" s="108" t="s">
        <v>1901</v>
      </c>
      <c r="F241" s="30" t="s">
        <v>1902</v>
      </c>
      <c r="G241" s="26" t="s">
        <v>145</v>
      </c>
      <c r="H241" s="24" t="s">
        <v>146</v>
      </c>
      <c r="I241" s="25">
        <v>1</v>
      </c>
      <c r="J241" s="24" t="s">
        <v>1903</v>
      </c>
      <c r="K241" s="24">
        <v>32</v>
      </c>
      <c r="L241" s="24">
        <v>5</v>
      </c>
      <c r="M241" s="24" t="str">
        <f t="shared" si="9"/>
        <v>95-70</v>
      </c>
      <c r="N241" s="24" t="s">
        <v>529</v>
      </c>
      <c r="O241" s="24" t="s">
        <v>529</v>
      </c>
      <c r="P241" s="24">
        <v>1</v>
      </c>
      <c r="Q241" s="102">
        <v>0</v>
      </c>
      <c r="R241" s="30" t="s">
        <v>1905</v>
      </c>
      <c r="S241" s="24">
        <v>0</v>
      </c>
      <c r="T241" s="24"/>
      <c r="U241" s="94">
        <f>774.78*0.38</f>
        <v>294.41640000000001</v>
      </c>
      <c r="V241" s="94">
        <f>815.22*0.38</f>
        <v>309.78360000000004</v>
      </c>
      <c r="W241" s="106">
        <f>113.21*0.38</f>
        <v>43.019799999999996</v>
      </c>
      <c r="X241" s="107" t="s">
        <v>1906</v>
      </c>
      <c r="Y241" s="106">
        <f>110.81*0.38</f>
        <v>42.107800000000005</v>
      </c>
      <c r="Z241" s="107" t="s">
        <v>1906</v>
      </c>
      <c r="AA241" s="106">
        <f>123.25*0.38</f>
        <v>46.835000000000001</v>
      </c>
      <c r="AB241" s="107" t="s">
        <v>1906</v>
      </c>
      <c r="AC241" s="106">
        <f>94.55*0.38</f>
        <v>35.929000000000002</v>
      </c>
      <c r="AD241" s="107" t="s">
        <v>1906</v>
      </c>
      <c r="AE241" s="106">
        <f>33.17*0.38</f>
        <v>12.604600000000001</v>
      </c>
      <c r="AF241" s="107" t="s">
        <v>1906</v>
      </c>
      <c r="AG241" s="106">
        <v>0</v>
      </c>
      <c r="AH241" s="107" t="s">
        <v>1906</v>
      </c>
      <c r="AI241" s="106">
        <v>0</v>
      </c>
      <c r="AJ241" s="107" t="s">
        <v>1906</v>
      </c>
      <c r="AK241" s="106">
        <v>0</v>
      </c>
      <c r="AL241" s="107" t="s">
        <v>1906</v>
      </c>
      <c r="AM241" s="106">
        <f>10.39*0.38</f>
        <v>3.9482000000000004</v>
      </c>
      <c r="AN241" s="107" t="s">
        <v>1906</v>
      </c>
      <c r="AO241" s="106">
        <f>91.9*0.38</f>
        <v>34.922000000000004</v>
      </c>
      <c r="AP241" s="107" t="s">
        <v>1906</v>
      </c>
      <c r="AQ241" s="106">
        <f>93.18*0.38</f>
        <v>35.4084</v>
      </c>
      <c r="AR241" s="106" t="s">
        <v>1906</v>
      </c>
      <c r="AS241" s="106">
        <f>103.7*0.38</f>
        <v>39.405999999999999</v>
      </c>
      <c r="AT241" s="107" t="s">
        <v>1906</v>
      </c>
      <c r="AU241" s="106">
        <f t="shared" si="10"/>
        <v>294.18080000000003</v>
      </c>
      <c r="AV241" s="25">
        <v>0.17449999999999999</v>
      </c>
      <c r="AW241" s="30" t="str">
        <f t="shared" si="11"/>
        <v>95-70</v>
      </c>
      <c r="AX241" s="30" t="s">
        <v>1907</v>
      </c>
      <c r="AY241" s="30">
        <v>0</v>
      </c>
      <c r="AZ241" s="30">
        <v>0</v>
      </c>
    </row>
    <row r="242" spans="1:52" ht="31.2" x14ac:dyDescent="0.3">
      <c r="A242" s="103">
        <v>232</v>
      </c>
      <c r="B242" s="30" t="s">
        <v>847</v>
      </c>
      <c r="C242" s="30" t="s">
        <v>1899</v>
      </c>
      <c r="D242" s="105" t="s">
        <v>1900</v>
      </c>
      <c r="E242" s="108" t="s">
        <v>1901</v>
      </c>
      <c r="F242" s="30" t="s">
        <v>1902</v>
      </c>
      <c r="G242" s="26" t="s">
        <v>145</v>
      </c>
      <c r="H242" s="24" t="s">
        <v>146</v>
      </c>
      <c r="I242" s="25">
        <v>1</v>
      </c>
      <c r="J242" s="24" t="s">
        <v>1903</v>
      </c>
      <c r="K242" s="24">
        <v>50</v>
      </c>
      <c r="L242" s="24">
        <v>5</v>
      </c>
      <c r="M242" s="24" t="str">
        <f t="shared" si="9"/>
        <v>95-70</v>
      </c>
      <c r="N242" s="24" t="s">
        <v>529</v>
      </c>
      <c r="O242" s="24" t="s">
        <v>529</v>
      </c>
      <c r="P242" s="24">
        <v>1</v>
      </c>
      <c r="Q242" s="102">
        <v>0</v>
      </c>
      <c r="R242" s="30" t="s">
        <v>1905</v>
      </c>
      <c r="S242" s="24">
        <v>0</v>
      </c>
      <c r="T242" s="24"/>
      <c r="U242" s="94">
        <v>447.31000000000006</v>
      </c>
      <c r="V242" s="94">
        <v>446.34000000000003</v>
      </c>
      <c r="W242" s="106">
        <v>91.410000000000011</v>
      </c>
      <c r="X242" s="107" t="s">
        <v>208</v>
      </c>
      <c r="Y242" s="106">
        <v>58.9</v>
      </c>
      <c r="Z242" s="107" t="s">
        <v>208</v>
      </c>
      <c r="AA242" s="106">
        <v>84.49</v>
      </c>
      <c r="AB242" s="107" t="s">
        <v>208</v>
      </c>
      <c r="AC242" s="106">
        <v>60.040000000000006</v>
      </c>
      <c r="AD242" s="107" t="s">
        <v>208</v>
      </c>
      <c r="AE242" s="106">
        <v>18.459999999999997</v>
      </c>
      <c r="AF242" s="107" t="s">
        <v>208</v>
      </c>
      <c r="AG242" s="106">
        <v>0</v>
      </c>
      <c r="AH242" s="107" t="s">
        <v>208</v>
      </c>
      <c r="AI242" s="106">
        <v>0</v>
      </c>
      <c r="AJ242" s="107" t="s">
        <v>208</v>
      </c>
      <c r="AK242" s="106">
        <v>0</v>
      </c>
      <c r="AL242" s="107" t="s">
        <v>208</v>
      </c>
      <c r="AM242" s="106">
        <v>0</v>
      </c>
      <c r="AN242" s="107" t="s">
        <v>208</v>
      </c>
      <c r="AO242" s="106">
        <v>30.130000000000003</v>
      </c>
      <c r="AP242" s="107" t="s">
        <v>208</v>
      </c>
      <c r="AQ242" s="106">
        <v>34.380000000000003</v>
      </c>
      <c r="AR242" s="106" t="s">
        <v>208</v>
      </c>
      <c r="AS242" s="106">
        <v>51.779999999999994</v>
      </c>
      <c r="AT242" s="107" t="s">
        <v>208</v>
      </c>
      <c r="AU242" s="106">
        <f t="shared" si="10"/>
        <v>429.59</v>
      </c>
      <c r="AV242" s="25">
        <v>0.22509999999999999</v>
      </c>
      <c r="AW242" s="30" t="str">
        <f t="shared" si="11"/>
        <v>95-70</v>
      </c>
      <c r="AX242" s="30" t="s">
        <v>1907</v>
      </c>
      <c r="AY242" s="30">
        <v>0</v>
      </c>
      <c r="AZ242" s="30">
        <v>0</v>
      </c>
    </row>
    <row r="243" spans="1:52" ht="31.2" x14ac:dyDescent="0.3">
      <c r="A243" s="103">
        <v>233</v>
      </c>
      <c r="B243" s="30" t="s">
        <v>851</v>
      </c>
      <c r="C243" s="30" t="s">
        <v>1899</v>
      </c>
      <c r="D243" s="105" t="s">
        <v>1900</v>
      </c>
      <c r="E243" s="108" t="s">
        <v>1901</v>
      </c>
      <c r="F243" s="30" t="s">
        <v>1902</v>
      </c>
      <c r="G243" s="26" t="s">
        <v>145</v>
      </c>
      <c r="H243" s="24" t="s">
        <v>146</v>
      </c>
      <c r="I243" s="25">
        <v>1</v>
      </c>
      <c r="J243" s="24" t="s">
        <v>1903</v>
      </c>
      <c r="K243" s="24">
        <v>50</v>
      </c>
      <c r="L243" s="24">
        <v>5</v>
      </c>
      <c r="M243" s="24" t="str">
        <f t="shared" si="9"/>
        <v>95-70</v>
      </c>
      <c r="N243" s="24" t="s">
        <v>529</v>
      </c>
      <c r="O243" s="24" t="s">
        <v>529</v>
      </c>
      <c r="P243" s="24">
        <v>1</v>
      </c>
      <c r="Q243" s="102">
        <v>0</v>
      </c>
      <c r="R243" s="30" t="s">
        <v>1905</v>
      </c>
      <c r="S243" s="24">
        <v>0</v>
      </c>
      <c r="T243" s="24"/>
      <c r="U243" s="94">
        <v>1636.57</v>
      </c>
      <c r="V243" s="94">
        <v>1370.56</v>
      </c>
      <c r="W243" s="106">
        <v>187.85000000000002</v>
      </c>
      <c r="X243" s="107" t="s">
        <v>208</v>
      </c>
      <c r="Y243" s="106">
        <v>187.74</v>
      </c>
      <c r="Z243" s="107" t="s">
        <v>208</v>
      </c>
      <c r="AA243" s="106">
        <v>187.89000000000001</v>
      </c>
      <c r="AB243" s="107" t="s">
        <v>208</v>
      </c>
      <c r="AC243" s="106">
        <v>188.49</v>
      </c>
      <c r="AD243" s="107" t="s">
        <v>208</v>
      </c>
      <c r="AE243" s="106">
        <v>55.33</v>
      </c>
      <c r="AF243" s="107" t="s">
        <v>208</v>
      </c>
      <c r="AG243" s="106">
        <v>0</v>
      </c>
      <c r="AH243" s="107" t="s">
        <v>208</v>
      </c>
      <c r="AI243" s="106">
        <v>0</v>
      </c>
      <c r="AJ243" s="107" t="s">
        <v>208</v>
      </c>
      <c r="AK243" s="106">
        <v>0</v>
      </c>
      <c r="AL243" s="107" t="s">
        <v>208</v>
      </c>
      <c r="AM243" s="106">
        <v>0</v>
      </c>
      <c r="AN243" s="107" t="s">
        <v>208</v>
      </c>
      <c r="AO243" s="106">
        <v>181.85999999999999</v>
      </c>
      <c r="AP243" s="107" t="s">
        <v>208</v>
      </c>
      <c r="AQ243" s="106">
        <v>181.85999999999999</v>
      </c>
      <c r="AR243" s="106" t="s">
        <v>208</v>
      </c>
      <c r="AS243" s="106">
        <v>181.85999999999999</v>
      </c>
      <c r="AT243" s="107" t="s">
        <v>208</v>
      </c>
      <c r="AU243" s="106">
        <f t="shared" si="10"/>
        <v>1352.8799999999999</v>
      </c>
      <c r="AV243" s="25">
        <v>0.63549999999999995</v>
      </c>
      <c r="AW243" s="30" t="str">
        <f t="shared" si="11"/>
        <v>95-70</v>
      </c>
      <c r="AX243" s="30" t="s">
        <v>1907</v>
      </c>
      <c r="AY243" s="30">
        <v>0</v>
      </c>
      <c r="AZ243" s="30">
        <v>0</v>
      </c>
    </row>
    <row r="244" spans="1:52" ht="31.2" x14ac:dyDescent="0.3">
      <c r="A244" s="103">
        <v>234</v>
      </c>
      <c r="B244" s="30" t="s">
        <v>852</v>
      </c>
      <c r="C244" s="30" t="s">
        <v>1899</v>
      </c>
      <c r="D244" s="105" t="s">
        <v>1900</v>
      </c>
      <c r="E244" s="108" t="s">
        <v>1901</v>
      </c>
      <c r="F244" s="30" t="s">
        <v>1902</v>
      </c>
      <c r="G244" s="26" t="s">
        <v>145</v>
      </c>
      <c r="H244" s="24" t="s">
        <v>146</v>
      </c>
      <c r="I244" s="25">
        <v>1</v>
      </c>
      <c r="J244" s="24" t="s">
        <v>1903</v>
      </c>
      <c r="K244" s="24">
        <v>50</v>
      </c>
      <c r="L244" s="24">
        <v>5</v>
      </c>
      <c r="M244" s="24" t="str">
        <f t="shared" si="9"/>
        <v>95-70</v>
      </c>
      <c r="N244" s="24" t="s">
        <v>529</v>
      </c>
      <c r="O244" s="24" t="s">
        <v>529</v>
      </c>
      <c r="P244" s="24">
        <v>1</v>
      </c>
      <c r="Q244" s="102">
        <v>0</v>
      </c>
      <c r="R244" s="30" t="s">
        <v>1905</v>
      </c>
      <c r="S244" s="24">
        <v>0</v>
      </c>
      <c r="T244" s="24"/>
      <c r="U244" s="94">
        <v>858.20999999999992</v>
      </c>
      <c r="V244" s="94">
        <v>733.63</v>
      </c>
      <c r="W244" s="106">
        <v>100.63</v>
      </c>
      <c r="X244" s="107" t="s">
        <v>1906</v>
      </c>
      <c r="Y244" s="106">
        <v>100.63</v>
      </c>
      <c r="Z244" s="107" t="s">
        <v>1906</v>
      </c>
      <c r="AA244" s="106">
        <v>100.63</v>
      </c>
      <c r="AB244" s="107" t="s">
        <v>1906</v>
      </c>
      <c r="AC244" s="106">
        <v>100.63</v>
      </c>
      <c r="AD244" s="107" t="s">
        <v>1906</v>
      </c>
      <c r="AE244" s="106">
        <v>29.22</v>
      </c>
      <c r="AF244" s="107" t="s">
        <v>1906</v>
      </c>
      <c r="AG244" s="106">
        <v>0</v>
      </c>
      <c r="AH244" s="107" t="s">
        <v>1906</v>
      </c>
      <c r="AI244" s="106">
        <v>0</v>
      </c>
      <c r="AJ244" s="107" t="s">
        <v>1906</v>
      </c>
      <c r="AK244" s="106">
        <v>0</v>
      </c>
      <c r="AL244" s="107" t="s">
        <v>1906</v>
      </c>
      <c r="AM244" s="106">
        <v>0</v>
      </c>
      <c r="AN244" s="107" t="s">
        <v>1906</v>
      </c>
      <c r="AO244" s="106">
        <v>99.38</v>
      </c>
      <c r="AP244" s="107" t="s">
        <v>1906</v>
      </c>
      <c r="AQ244" s="106">
        <v>99.38</v>
      </c>
      <c r="AR244" s="106" t="s">
        <v>1906</v>
      </c>
      <c r="AS244" s="106">
        <v>99.38</v>
      </c>
      <c r="AT244" s="107" t="s">
        <v>1906</v>
      </c>
      <c r="AU244" s="106">
        <f t="shared" si="10"/>
        <v>729.88</v>
      </c>
      <c r="AV244" s="25">
        <v>0.3221</v>
      </c>
      <c r="AW244" s="30" t="str">
        <f t="shared" si="11"/>
        <v>95-70</v>
      </c>
      <c r="AX244" s="30" t="s">
        <v>1907</v>
      </c>
      <c r="AY244" s="30">
        <v>0</v>
      </c>
      <c r="AZ244" s="30">
        <v>0</v>
      </c>
    </row>
    <row r="245" spans="1:52" ht="31.2" x14ac:dyDescent="0.3">
      <c r="A245" s="103">
        <v>235</v>
      </c>
      <c r="B245" s="30" t="s">
        <v>853</v>
      </c>
      <c r="C245" s="30" t="s">
        <v>1899</v>
      </c>
      <c r="D245" s="105" t="s">
        <v>1900</v>
      </c>
      <c r="E245" s="108" t="s">
        <v>1901</v>
      </c>
      <c r="F245" s="30" t="s">
        <v>1902</v>
      </c>
      <c r="G245" s="26" t="s">
        <v>145</v>
      </c>
      <c r="H245" s="24" t="s">
        <v>146</v>
      </c>
      <c r="I245" s="25">
        <v>1</v>
      </c>
      <c r="J245" s="24" t="s">
        <v>1903</v>
      </c>
      <c r="K245" s="24">
        <v>40</v>
      </c>
      <c r="L245" s="24">
        <v>5</v>
      </c>
      <c r="M245" s="24" t="str">
        <f t="shared" si="9"/>
        <v>95-70</v>
      </c>
      <c r="N245" s="24" t="s">
        <v>529</v>
      </c>
      <c r="O245" s="24" t="s">
        <v>529</v>
      </c>
      <c r="P245" s="24">
        <v>1</v>
      </c>
      <c r="Q245" s="102">
        <v>0</v>
      </c>
      <c r="R245" s="30" t="s">
        <v>1905</v>
      </c>
      <c r="S245" s="24">
        <v>0</v>
      </c>
      <c r="T245" s="24"/>
      <c r="U245" s="94">
        <v>503.49999999999994</v>
      </c>
      <c r="V245" s="94">
        <v>634.75</v>
      </c>
      <c r="W245" s="106">
        <v>85.93</v>
      </c>
      <c r="X245" s="107" t="s">
        <v>1906</v>
      </c>
      <c r="Y245" s="106">
        <v>88.45</v>
      </c>
      <c r="Z245" s="107" t="s">
        <v>1906</v>
      </c>
      <c r="AA245" s="106">
        <v>88.45</v>
      </c>
      <c r="AB245" s="107" t="s">
        <v>1906</v>
      </c>
      <c r="AC245" s="106">
        <v>88.45</v>
      </c>
      <c r="AD245" s="107" t="s">
        <v>1906</v>
      </c>
      <c r="AE245" s="106">
        <v>25.68</v>
      </c>
      <c r="AF245" s="107" t="s">
        <v>1906</v>
      </c>
      <c r="AG245" s="106">
        <v>0</v>
      </c>
      <c r="AH245" s="107" t="s">
        <v>1906</v>
      </c>
      <c r="AI245" s="106">
        <v>0</v>
      </c>
      <c r="AJ245" s="107" t="s">
        <v>1906</v>
      </c>
      <c r="AK245" s="106">
        <v>0</v>
      </c>
      <c r="AL245" s="107" t="s">
        <v>1906</v>
      </c>
      <c r="AM245" s="106">
        <v>0</v>
      </c>
      <c r="AN245" s="107" t="s">
        <v>1906</v>
      </c>
      <c r="AO245" s="106">
        <v>86.23</v>
      </c>
      <c r="AP245" s="107" t="s">
        <v>1906</v>
      </c>
      <c r="AQ245" s="106">
        <v>86.23</v>
      </c>
      <c r="AR245" s="106" t="s">
        <v>1906</v>
      </c>
      <c r="AS245" s="106">
        <v>86.23</v>
      </c>
      <c r="AT245" s="107" t="s">
        <v>1906</v>
      </c>
      <c r="AU245" s="106">
        <f t="shared" si="10"/>
        <v>635.65</v>
      </c>
      <c r="AV245" s="25">
        <v>0.29139999999999999</v>
      </c>
      <c r="AW245" s="30" t="str">
        <f t="shared" si="11"/>
        <v>95-70</v>
      </c>
      <c r="AX245" s="30" t="s">
        <v>1907</v>
      </c>
      <c r="AY245" s="30">
        <v>0</v>
      </c>
      <c r="AZ245" s="30">
        <v>0</v>
      </c>
    </row>
    <row r="246" spans="1:52" ht="31.2" x14ac:dyDescent="0.3">
      <c r="A246" s="103">
        <v>236</v>
      </c>
      <c r="B246" s="30" t="s">
        <v>854</v>
      </c>
      <c r="C246" s="30" t="s">
        <v>1899</v>
      </c>
      <c r="D246" s="105" t="s">
        <v>1900</v>
      </c>
      <c r="E246" s="108" t="s">
        <v>1901</v>
      </c>
      <c r="F246" s="30" t="s">
        <v>1902</v>
      </c>
      <c r="G246" s="26" t="s">
        <v>145</v>
      </c>
      <c r="H246" s="24" t="s">
        <v>146</v>
      </c>
      <c r="I246" s="25">
        <v>0</v>
      </c>
      <c r="J246" s="24" t="s">
        <v>1903</v>
      </c>
      <c r="K246" s="24">
        <v>40</v>
      </c>
      <c r="L246" s="24">
        <v>5</v>
      </c>
      <c r="M246" s="24" t="str">
        <f t="shared" si="9"/>
        <v>95-70</v>
      </c>
      <c r="N246" s="24" t="s">
        <v>529</v>
      </c>
      <c r="O246" s="24" t="s">
        <v>529</v>
      </c>
      <c r="P246" s="24">
        <v>0</v>
      </c>
      <c r="Q246" s="102">
        <v>0</v>
      </c>
      <c r="R246" s="30" t="s">
        <v>1905</v>
      </c>
      <c r="S246" s="24">
        <v>0</v>
      </c>
      <c r="T246" s="24"/>
      <c r="U246" s="94">
        <f>346.14*0.8</f>
        <v>276.91199999999998</v>
      </c>
      <c r="V246" s="94">
        <f>170.62*0.8</f>
        <v>136.49600000000001</v>
      </c>
      <c r="W246" s="106">
        <f>23.3*0.8</f>
        <v>18.64</v>
      </c>
      <c r="X246" s="107" t="s">
        <v>1906</v>
      </c>
      <c r="Y246" s="106">
        <f>23.3*0.8</f>
        <v>18.64</v>
      </c>
      <c r="Z246" s="107" t="s">
        <v>1906</v>
      </c>
      <c r="AA246" s="106">
        <f>23.3*0.8</f>
        <v>18.64</v>
      </c>
      <c r="AB246" s="107" t="s">
        <v>1906</v>
      </c>
      <c r="AC246" s="106">
        <f>23.3*0.8</f>
        <v>18.64</v>
      </c>
      <c r="AD246" s="107" t="s">
        <v>1906</v>
      </c>
      <c r="AE246" s="106">
        <f>7.52*0.8</f>
        <v>6.016</v>
      </c>
      <c r="AF246" s="107" t="s">
        <v>1906</v>
      </c>
      <c r="AG246" s="106">
        <v>0</v>
      </c>
      <c r="AH246" s="107" t="s">
        <v>1906</v>
      </c>
      <c r="AI246" s="106">
        <v>0</v>
      </c>
      <c r="AJ246" s="107" t="s">
        <v>1906</v>
      </c>
      <c r="AK246" s="106">
        <v>0</v>
      </c>
      <c r="AL246" s="107" t="s">
        <v>1906</v>
      </c>
      <c r="AM246" s="106">
        <f>4.74*0.8</f>
        <v>3.7920000000000003</v>
      </c>
      <c r="AN246" s="107" t="s">
        <v>1906</v>
      </c>
      <c r="AO246" s="106">
        <f>20.29*0.8</f>
        <v>16.231999999999999</v>
      </c>
      <c r="AP246" s="107" t="s">
        <v>1906</v>
      </c>
      <c r="AQ246" s="106">
        <f>20.29*0.8</f>
        <v>16.231999999999999</v>
      </c>
      <c r="AR246" s="106" t="s">
        <v>1906</v>
      </c>
      <c r="AS246" s="106">
        <f>20.29*0.8</f>
        <v>16.231999999999999</v>
      </c>
      <c r="AT246" s="107" t="s">
        <v>1906</v>
      </c>
      <c r="AU246" s="106">
        <f t="shared" si="10"/>
        <v>133.06400000000002</v>
      </c>
      <c r="AV246" s="25">
        <v>0.14940000000000001</v>
      </c>
      <c r="AW246" s="30" t="str">
        <f t="shared" si="11"/>
        <v>95-70</v>
      </c>
      <c r="AX246" s="30" t="s">
        <v>1907</v>
      </c>
      <c r="AY246" s="30">
        <v>0</v>
      </c>
      <c r="AZ246" s="30">
        <v>0</v>
      </c>
    </row>
    <row r="247" spans="1:52" ht="31.2" x14ac:dyDescent="0.3">
      <c r="A247" s="103">
        <v>237</v>
      </c>
      <c r="B247" s="30" t="s">
        <v>855</v>
      </c>
      <c r="C247" s="30" t="s">
        <v>1899</v>
      </c>
      <c r="D247" s="105" t="s">
        <v>1900</v>
      </c>
      <c r="E247" s="108" t="s">
        <v>1901</v>
      </c>
      <c r="F247" s="30" t="s">
        <v>1902</v>
      </c>
      <c r="G247" s="26" t="s">
        <v>145</v>
      </c>
      <c r="H247" s="24" t="s">
        <v>146</v>
      </c>
      <c r="I247" s="25">
        <v>1</v>
      </c>
      <c r="J247" s="24" t="s">
        <v>1903</v>
      </c>
      <c r="K247" s="24">
        <v>40</v>
      </c>
      <c r="L247" s="24">
        <v>5</v>
      </c>
      <c r="M247" s="24" t="str">
        <f t="shared" si="9"/>
        <v>95-70</v>
      </c>
      <c r="N247" s="24" t="s">
        <v>529</v>
      </c>
      <c r="O247" s="24" t="s">
        <v>529</v>
      </c>
      <c r="P247" s="24">
        <v>1</v>
      </c>
      <c r="Q247" s="102">
        <v>0</v>
      </c>
      <c r="R247" s="30" t="s">
        <v>1905</v>
      </c>
      <c r="S247" s="24">
        <v>0</v>
      </c>
      <c r="T247" s="24"/>
      <c r="U247" s="94">
        <f>346.14*0.2</f>
        <v>69.227999999999994</v>
      </c>
      <c r="V247" s="94">
        <f>170.62*0.2</f>
        <v>34.124000000000002</v>
      </c>
      <c r="W247" s="106">
        <f>23.3*0.2</f>
        <v>4.66</v>
      </c>
      <c r="X247" s="107" t="s">
        <v>1906</v>
      </c>
      <c r="Y247" s="106">
        <f>23.3*0.2</f>
        <v>4.66</v>
      </c>
      <c r="Z247" s="107" t="s">
        <v>1906</v>
      </c>
      <c r="AA247" s="106">
        <f>23.3*0.2</f>
        <v>4.66</v>
      </c>
      <c r="AB247" s="107" t="s">
        <v>1906</v>
      </c>
      <c r="AC247" s="106">
        <f>23.3*0.2</f>
        <v>4.66</v>
      </c>
      <c r="AD247" s="107" t="s">
        <v>1906</v>
      </c>
      <c r="AE247" s="106">
        <f>7.52*0.2</f>
        <v>1.504</v>
      </c>
      <c r="AF247" s="107" t="s">
        <v>1906</v>
      </c>
      <c r="AG247" s="106">
        <v>0</v>
      </c>
      <c r="AH247" s="107" t="s">
        <v>1906</v>
      </c>
      <c r="AI247" s="106">
        <v>0</v>
      </c>
      <c r="AJ247" s="107" t="s">
        <v>1906</v>
      </c>
      <c r="AK247" s="106">
        <v>0</v>
      </c>
      <c r="AL247" s="107" t="s">
        <v>1906</v>
      </c>
      <c r="AM247" s="106">
        <f>4.74*0.2</f>
        <v>0.94800000000000006</v>
      </c>
      <c r="AN247" s="107" t="s">
        <v>1906</v>
      </c>
      <c r="AO247" s="106">
        <f>20.29*0.2</f>
        <v>4.0579999999999998</v>
      </c>
      <c r="AP247" s="107" t="s">
        <v>1906</v>
      </c>
      <c r="AQ247" s="106">
        <f>20.29*0.2</f>
        <v>4.0579999999999998</v>
      </c>
      <c r="AR247" s="106" t="s">
        <v>1906</v>
      </c>
      <c r="AS247" s="106">
        <f>20.29*0.2</f>
        <v>4.0579999999999998</v>
      </c>
      <c r="AT247" s="107" t="s">
        <v>1906</v>
      </c>
      <c r="AU247" s="106">
        <f t="shared" si="10"/>
        <v>33.266000000000005</v>
      </c>
      <c r="AV247" s="25">
        <v>0.14879999999999999</v>
      </c>
      <c r="AW247" s="30" t="str">
        <f t="shared" si="11"/>
        <v>95-70</v>
      </c>
      <c r="AX247" s="30" t="s">
        <v>1907</v>
      </c>
      <c r="AY247" s="30">
        <v>0</v>
      </c>
      <c r="AZ247" s="30">
        <v>0</v>
      </c>
    </row>
    <row r="248" spans="1:52" ht="31.2" x14ac:dyDescent="0.3">
      <c r="A248" s="103">
        <v>238</v>
      </c>
      <c r="B248" s="30" t="s">
        <v>856</v>
      </c>
      <c r="C248" s="30" t="s">
        <v>1899</v>
      </c>
      <c r="D248" s="105" t="s">
        <v>1900</v>
      </c>
      <c r="E248" s="108" t="s">
        <v>1910</v>
      </c>
      <c r="F248" s="30" t="s">
        <v>1902</v>
      </c>
      <c r="G248" s="26" t="s">
        <v>145</v>
      </c>
      <c r="H248" s="24" t="s">
        <v>146</v>
      </c>
      <c r="I248" s="25">
        <v>1</v>
      </c>
      <c r="J248" s="24" t="s">
        <v>1903</v>
      </c>
      <c r="K248" s="24">
        <v>32.299999999999997</v>
      </c>
      <c r="L248" s="24">
        <v>5</v>
      </c>
      <c r="M248" s="24" t="str">
        <f t="shared" si="9"/>
        <v>95-70</v>
      </c>
      <c r="N248" s="24" t="s">
        <v>528</v>
      </c>
      <c r="O248" s="24" t="s">
        <v>529</v>
      </c>
      <c r="P248" s="24">
        <v>1</v>
      </c>
      <c r="Q248" s="102">
        <v>0</v>
      </c>
      <c r="R248" s="30" t="s">
        <v>1905</v>
      </c>
      <c r="S248" s="24">
        <v>0</v>
      </c>
      <c r="T248" s="24"/>
      <c r="U248" s="94">
        <v>493.97000000000008</v>
      </c>
      <c r="V248" s="94">
        <v>498.70999999999992</v>
      </c>
      <c r="W248" s="106">
        <v>45.62</v>
      </c>
      <c r="X248" s="107" t="s">
        <v>1906</v>
      </c>
      <c r="Y248" s="106">
        <v>45.62</v>
      </c>
      <c r="Z248" s="107" t="s">
        <v>1906</v>
      </c>
      <c r="AA248" s="106">
        <v>45.62</v>
      </c>
      <c r="AB248" s="107" t="s">
        <v>1906</v>
      </c>
      <c r="AC248" s="106">
        <v>45.62</v>
      </c>
      <c r="AD248" s="107" t="s">
        <v>1906</v>
      </c>
      <c r="AE248" s="106">
        <v>13.24</v>
      </c>
      <c r="AF248" s="107" t="s">
        <v>1906</v>
      </c>
      <c r="AG248" s="106">
        <v>0</v>
      </c>
      <c r="AH248" s="107" t="s">
        <v>1906</v>
      </c>
      <c r="AI248" s="106">
        <v>0</v>
      </c>
      <c r="AJ248" s="107" t="s">
        <v>1906</v>
      </c>
      <c r="AK248" s="106">
        <v>0</v>
      </c>
      <c r="AL248" s="107" t="s">
        <v>1906</v>
      </c>
      <c r="AM248" s="106">
        <v>0</v>
      </c>
      <c r="AN248" s="107" t="s">
        <v>1906</v>
      </c>
      <c r="AO248" s="106">
        <v>43.39</v>
      </c>
      <c r="AP248" s="107" t="s">
        <v>1906</v>
      </c>
      <c r="AQ248" s="106">
        <v>43.39</v>
      </c>
      <c r="AR248" s="106" t="s">
        <v>1906</v>
      </c>
      <c r="AS248" s="106">
        <v>43.39</v>
      </c>
      <c r="AT248" s="107" t="s">
        <v>1906</v>
      </c>
      <c r="AU248" s="106">
        <f t="shared" si="10"/>
        <v>325.89</v>
      </c>
      <c r="AV248" s="25">
        <v>0.15260000000000001</v>
      </c>
      <c r="AW248" s="30" t="str">
        <f t="shared" si="11"/>
        <v>95-70</v>
      </c>
      <c r="AX248" s="30" t="s">
        <v>1907</v>
      </c>
      <c r="AY248" s="30">
        <v>0</v>
      </c>
      <c r="AZ248" s="30">
        <v>0</v>
      </c>
    </row>
    <row r="249" spans="1:52" ht="31.2" x14ac:dyDescent="0.3">
      <c r="A249" s="103">
        <v>239</v>
      </c>
      <c r="B249" s="30" t="s">
        <v>857</v>
      </c>
      <c r="C249" s="30" t="s">
        <v>1899</v>
      </c>
      <c r="D249" s="105" t="s">
        <v>1900</v>
      </c>
      <c r="E249" s="108" t="s">
        <v>1901</v>
      </c>
      <c r="F249" s="30" t="s">
        <v>1902</v>
      </c>
      <c r="G249" s="26" t="s">
        <v>145</v>
      </c>
      <c r="H249" s="24" t="s">
        <v>146</v>
      </c>
      <c r="I249" s="25">
        <v>1</v>
      </c>
      <c r="J249" s="24" t="s">
        <v>1903</v>
      </c>
      <c r="K249" s="24">
        <v>40</v>
      </c>
      <c r="L249" s="24">
        <v>5</v>
      </c>
      <c r="M249" s="24" t="str">
        <f t="shared" si="9"/>
        <v>95-70</v>
      </c>
      <c r="N249" s="24" t="s">
        <v>529</v>
      </c>
      <c r="O249" s="24" t="s">
        <v>529</v>
      </c>
      <c r="P249" s="24">
        <v>1</v>
      </c>
      <c r="Q249" s="102">
        <v>0</v>
      </c>
      <c r="R249" s="30" t="s">
        <v>1905</v>
      </c>
      <c r="S249" s="24">
        <v>0</v>
      </c>
      <c r="T249" s="24"/>
      <c r="U249" s="94">
        <v>501.52999999999992</v>
      </c>
      <c r="V249" s="94">
        <v>431.5</v>
      </c>
      <c r="W249" s="106">
        <v>59.72</v>
      </c>
      <c r="X249" s="107" t="s">
        <v>1906</v>
      </c>
      <c r="Y249" s="106">
        <v>59.72</v>
      </c>
      <c r="Z249" s="107" t="s">
        <v>1906</v>
      </c>
      <c r="AA249" s="106">
        <v>59.72</v>
      </c>
      <c r="AB249" s="107" t="s">
        <v>1906</v>
      </c>
      <c r="AC249" s="106">
        <v>59.72</v>
      </c>
      <c r="AD249" s="107" t="s">
        <v>1906</v>
      </c>
      <c r="AE249" s="106">
        <v>19.27</v>
      </c>
      <c r="AF249" s="107" t="s">
        <v>1906</v>
      </c>
      <c r="AG249" s="106">
        <v>0</v>
      </c>
      <c r="AH249" s="107" t="s">
        <v>1906</v>
      </c>
      <c r="AI249" s="106">
        <v>0</v>
      </c>
      <c r="AJ249" s="107" t="s">
        <v>1906</v>
      </c>
      <c r="AK249" s="106">
        <v>0</v>
      </c>
      <c r="AL249" s="107" t="s">
        <v>1906</v>
      </c>
      <c r="AM249" s="106">
        <v>0</v>
      </c>
      <c r="AN249" s="107" t="s">
        <v>1906</v>
      </c>
      <c r="AO249" s="106">
        <v>56.68</v>
      </c>
      <c r="AP249" s="107" t="s">
        <v>1906</v>
      </c>
      <c r="AQ249" s="106">
        <v>56.68</v>
      </c>
      <c r="AR249" s="106" t="s">
        <v>1906</v>
      </c>
      <c r="AS249" s="106">
        <v>56.68</v>
      </c>
      <c r="AT249" s="107" t="s">
        <v>1906</v>
      </c>
      <c r="AU249" s="106">
        <f t="shared" si="10"/>
        <v>428.19</v>
      </c>
      <c r="AV249" s="25">
        <v>0.21779999999999999</v>
      </c>
      <c r="AW249" s="30" t="str">
        <f t="shared" si="11"/>
        <v>95-70</v>
      </c>
      <c r="AX249" s="30" t="s">
        <v>1907</v>
      </c>
      <c r="AY249" s="30">
        <v>0</v>
      </c>
      <c r="AZ249" s="30">
        <v>0</v>
      </c>
    </row>
    <row r="250" spans="1:52" ht="31.2" x14ac:dyDescent="0.3">
      <c r="A250" s="103">
        <v>240</v>
      </c>
      <c r="B250" s="30" t="s">
        <v>859</v>
      </c>
      <c r="C250" s="30" t="s">
        <v>1899</v>
      </c>
      <c r="D250" s="105" t="s">
        <v>1900</v>
      </c>
      <c r="E250" s="108" t="s">
        <v>1901</v>
      </c>
      <c r="F250" s="30" t="s">
        <v>1902</v>
      </c>
      <c r="G250" s="26" t="s">
        <v>145</v>
      </c>
      <c r="H250" s="24" t="s">
        <v>146</v>
      </c>
      <c r="I250" s="25">
        <v>1</v>
      </c>
      <c r="J250" s="24" t="s">
        <v>1903</v>
      </c>
      <c r="K250" s="24">
        <v>32</v>
      </c>
      <c r="L250" s="24">
        <v>5</v>
      </c>
      <c r="M250" s="24" t="str">
        <f t="shared" si="9"/>
        <v>95-70</v>
      </c>
      <c r="N250" s="24" t="s">
        <v>529</v>
      </c>
      <c r="O250" s="24" t="s">
        <v>529</v>
      </c>
      <c r="P250" s="24">
        <v>1</v>
      </c>
      <c r="Q250" s="102">
        <v>0</v>
      </c>
      <c r="R250" s="30" t="s">
        <v>1905</v>
      </c>
      <c r="S250" s="24">
        <v>0</v>
      </c>
      <c r="T250" s="24"/>
      <c r="U250" s="94">
        <v>251.16</v>
      </c>
      <c r="V250" s="94">
        <v>281.92000000000007</v>
      </c>
      <c r="W250" s="106">
        <v>38.67</v>
      </c>
      <c r="X250" s="107" t="s">
        <v>1906</v>
      </c>
      <c r="Y250" s="106">
        <v>38.67</v>
      </c>
      <c r="Z250" s="107" t="s">
        <v>1906</v>
      </c>
      <c r="AA250" s="106">
        <v>38.67</v>
      </c>
      <c r="AB250" s="107" t="s">
        <v>1906</v>
      </c>
      <c r="AC250" s="106">
        <v>38.67</v>
      </c>
      <c r="AD250" s="107" t="s">
        <v>1906</v>
      </c>
      <c r="AE250" s="106">
        <v>11.23</v>
      </c>
      <c r="AF250" s="107" t="s">
        <v>1906</v>
      </c>
      <c r="AG250" s="106">
        <v>0</v>
      </c>
      <c r="AH250" s="107" t="s">
        <v>1906</v>
      </c>
      <c r="AI250" s="106">
        <v>0</v>
      </c>
      <c r="AJ250" s="107" t="s">
        <v>1906</v>
      </c>
      <c r="AK250" s="106">
        <v>0</v>
      </c>
      <c r="AL250" s="107" t="s">
        <v>1906</v>
      </c>
      <c r="AM250" s="106">
        <v>8.89</v>
      </c>
      <c r="AN250" s="107" t="s">
        <v>1906</v>
      </c>
      <c r="AO250" s="106">
        <v>38.090000000000003</v>
      </c>
      <c r="AP250" s="107" t="s">
        <v>1906</v>
      </c>
      <c r="AQ250" s="106">
        <v>38.090000000000003</v>
      </c>
      <c r="AR250" s="106" t="s">
        <v>1906</v>
      </c>
      <c r="AS250" s="106">
        <v>38.090000000000003</v>
      </c>
      <c r="AT250" s="107" t="s">
        <v>1906</v>
      </c>
      <c r="AU250" s="106">
        <f t="shared" si="10"/>
        <v>289.07000000000005</v>
      </c>
      <c r="AV250" s="25">
        <v>0.13850000000000001</v>
      </c>
      <c r="AW250" s="30" t="str">
        <f t="shared" si="11"/>
        <v>95-70</v>
      </c>
      <c r="AX250" s="30" t="s">
        <v>1907</v>
      </c>
      <c r="AY250" s="30">
        <v>0</v>
      </c>
      <c r="AZ250" s="30">
        <v>0</v>
      </c>
    </row>
    <row r="251" spans="1:52" ht="31.2" x14ac:dyDescent="0.3">
      <c r="A251" s="103">
        <v>241</v>
      </c>
      <c r="B251" s="30" t="s">
        <v>860</v>
      </c>
      <c r="C251" s="30" t="s">
        <v>1899</v>
      </c>
      <c r="D251" s="105" t="s">
        <v>1900</v>
      </c>
      <c r="E251" s="108" t="s">
        <v>1901</v>
      </c>
      <c r="F251" s="30" t="s">
        <v>1902</v>
      </c>
      <c r="G251" s="26" t="s">
        <v>145</v>
      </c>
      <c r="H251" s="24" t="s">
        <v>146</v>
      </c>
      <c r="I251" s="25">
        <v>1</v>
      </c>
      <c r="J251" s="24" t="s">
        <v>1903</v>
      </c>
      <c r="K251" s="24">
        <v>50</v>
      </c>
      <c r="L251" s="24">
        <v>5</v>
      </c>
      <c r="M251" s="24" t="str">
        <f t="shared" si="9"/>
        <v>95-70</v>
      </c>
      <c r="N251" s="24" t="s">
        <v>529</v>
      </c>
      <c r="O251" s="24" t="s">
        <v>529</v>
      </c>
      <c r="P251" s="24">
        <v>1</v>
      </c>
      <c r="Q251" s="102">
        <v>0</v>
      </c>
      <c r="R251" s="30" t="s">
        <v>1905</v>
      </c>
      <c r="S251" s="24">
        <v>0</v>
      </c>
      <c r="T251" s="24"/>
      <c r="U251" s="94">
        <v>1076.6500000000001</v>
      </c>
      <c r="V251" s="94">
        <v>1146.6400000000001</v>
      </c>
      <c r="W251" s="106">
        <v>156.58999999999997</v>
      </c>
      <c r="X251" s="107" t="s">
        <v>1906</v>
      </c>
      <c r="Y251" s="106">
        <v>156.58999999999997</v>
      </c>
      <c r="Z251" s="107" t="s">
        <v>1906</v>
      </c>
      <c r="AA251" s="106">
        <v>156.58999999999997</v>
      </c>
      <c r="AB251" s="107" t="s">
        <v>1906</v>
      </c>
      <c r="AC251" s="106">
        <v>156.58999999999997</v>
      </c>
      <c r="AD251" s="107" t="s">
        <v>1906</v>
      </c>
      <c r="AE251" s="106">
        <v>50.510000000000005</v>
      </c>
      <c r="AF251" s="107" t="s">
        <v>1906</v>
      </c>
      <c r="AG251" s="106">
        <v>0</v>
      </c>
      <c r="AH251" s="107" t="s">
        <v>1906</v>
      </c>
      <c r="AI251" s="106">
        <v>0</v>
      </c>
      <c r="AJ251" s="107" t="s">
        <v>1906</v>
      </c>
      <c r="AK251" s="106">
        <v>0</v>
      </c>
      <c r="AL251" s="107" t="s">
        <v>1906</v>
      </c>
      <c r="AM251" s="106">
        <v>35.22</v>
      </c>
      <c r="AN251" s="107" t="s">
        <v>1906</v>
      </c>
      <c r="AO251" s="106">
        <v>150.93</v>
      </c>
      <c r="AP251" s="107" t="s">
        <v>1906</v>
      </c>
      <c r="AQ251" s="106">
        <v>150.93</v>
      </c>
      <c r="AR251" s="106" t="s">
        <v>1906</v>
      </c>
      <c r="AS251" s="106">
        <v>150.93</v>
      </c>
      <c r="AT251" s="107" t="s">
        <v>1906</v>
      </c>
      <c r="AU251" s="106">
        <f t="shared" si="10"/>
        <v>1164.8800000000001</v>
      </c>
      <c r="AV251" s="25">
        <v>0.47570000000000001</v>
      </c>
      <c r="AW251" s="30" t="str">
        <f t="shared" si="11"/>
        <v>95-70</v>
      </c>
      <c r="AX251" s="30" t="s">
        <v>1907</v>
      </c>
      <c r="AY251" s="30">
        <v>0</v>
      </c>
      <c r="AZ251" s="30">
        <v>0</v>
      </c>
    </row>
    <row r="252" spans="1:52" ht="31.2" x14ac:dyDescent="0.3">
      <c r="A252" s="103">
        <v>242</v>
      </c>
      <c r="B252" s="30" t="s">
        <v>861</v>
      </c>
      <c r="C252" s="30" t="s">
        <v>1899</v>
      </c>
      <c r="D252" s="105" t="s">
        <v>1900</v>
      </c>
      <c r="E252" s="108" t="s">
        <v>1901</v>
      </c>
      <c r="F252" s="30" t="s">
        <v>1902</v>
      </c>
      <c r="G252" s="26" t="s">
        <v>145</v>
      </c>
      <c r="H252" s="24" t="s">
        <v>146</v>
      </c>
      <c r="I252" s="25">
        <v>0</v>
      </c>
      <c r="J252" s="24" t="s">
        <v>1903</v>
      </c>
      <c r="K252" s="24">
        <v>32</v>
      </c>
      <c r="L252" s="24">
        <v>5</v>
      </c>
      <c r="M252" s="24" t="str">
        <f t="shared" si="9"/>
        <v>95-70</v>
      </c>
      <c r="N252" s="24" t="s">
        <v>529</v>
      </c>
      <c r="O252" s="24" t="s">
        <v>529</v>
      </c>
      <c r="P252" s="24">
        <v>0</v>
      </c>
      <c r="Q252" s="102">
        <v>0</v>
      </c>
      <c r="R252" s="30" t="s">
        <v>1905</v>
      </c>
      <c r="S252" s="24">
        <v>0</v>
      </c>
      <c r="T252" s="24"/>
      <c r="U252" s="94">
        <f>374.79*0.76</f>
        <v>284.84040000000005</v>
      </c>
      <c r="V252" s="94">
        <f>331.89*0.76</f>
        <v>252.2364</v>
      </c>
      <c r="W252" s="106">
        <f>49.33*0.76</f>
        <v>37.4908</v>
      </c>
      <c r="X252" s="107" t="s">
        <v>1906</v>
      </c>
      <c r="Y252" s="106">
        <f>49.33*0.76</f>
        <v>37.4908</v>
      </c>
      <c r="Z252" s="107" t="s">
        <v>1906</v>
      </c>
      <c r="AA252" s="106">
        <f>49.33*0.76</f>
        <v>37.4908</v>
      </c>
      <c r="AB252" s="107" t="s">
        <v>1906</v>
      </c>
      <c r="AC252" s="106">
        <f>36.7*0.76</f>
        <v>27.892000000000003</v>
      </c>
      <c r="AD252" s="107" t="s">
        <v>1906</v>
      </c>
      <c r="AE252" s="106">
        <f>-0.79*0.76</f>
        <v>-0.60040000000000004</v>
      </c>
      <c r="AF252" s="107" t="s">
        <v>1906</v>
      </c>
      <c r="AG252" s="106">
        <v>0</v>
      </c>
      <c r="AH252" s="107" t="s">
        <v>1906</v>
      </c>
      <c r="AI252" s="106">
        <v>0</v>
      </c>
      <c r="AJ252" s="107" t="s">
        <v>1906</v>
      </c>
      <c r="AK252" s="106">
        <v>0</v>
      </c>
      <c r="AL252" s="107" t="s">
        <v>1906</v>
      </c>
      <c r="AM252" s="106">
        <f>8.33*0.76</f>
        <v>6.3308</v>
      </c>
      <c r="AN252" s="107" t="s">
        <v>1906</v>
      </c>
      <c r="AO252" s="106">
        <f>35.72*0.76</f>
        <v>27.147199999999998</v>
      </c>
      <c r="AP252" s="107" t="s">
        <v>1906</v>
      </c>
      <c r="AQ252" s="106">
        <f>35.72*0.76</f>
        <v>27.147199999999998</v>
      </c>
      <c r="AR252" s="106" t="s">
        <v>1906</v>
      </c>
      <c r="AS252" s="106">
        <f>35.72*0.76</f>
        <v>27.147199999999998</v>
      </c>
      <c r="AT252" s="107" t="s">
        <v>1906</v>
      </c>
      <c r="AU252" s="106">
        <f t="shared" si="10"/>
        <v>227.53639999999999</v>
      </c>
      <c r="AV252" s="25">
        <v>0.1656</v>
      </c>
      <c r="AW252" s="30" t="str">
        <f t="shared" si="11"/>
        <v>95-70</v>
      </c>
      <c r="AX252" s="30" t="s">
        <v>1907</v>
      </c>
      <c r="AY252" s="30">
        <v>0</v>
      </c>
      <c r="AZ252" s="30">
        <v>0</v>
      </c>
    </row>
    <row r="253" spans="1:52" ht="31.2" x14ac:dyDescent="0.3">
      <c r="A253" s="103">
        <v>243</v>
      </c>
      <c r="B253" s="30" t="s">
        <v>862</v>
      </c>
      <c r="C253" s="30" t="s">
        <v>1899</v>
      </c>
      <c r="D253" s="105" t="s">
        <v>1900</v>
      </c>
      <c r="E253" s="108" t="s">
        <v>1901</v>
      </c>
      <c r="F253" s="30" t="s">
        <v>1902</v>
      </c>
      <c r="G253" s="26" t="s">
        <v>145</v>
      </c>
      <c r="H253" s="24" t="s">
        <v>146</v>
      </c>
      <c r="I253" s="25">
        <v>0</v>
      </c>
      <c r="J253" s="24" t="s">
        <v>1903</v>
      </c>
      <c r="K253" s="24">
        <v>32</v>
      </c>
      <c r="L253" s="24">
        <v>5</v>
      </c>
      <c r="M253" s="24" t="str">
        <f t="shared" si="9"/>
        <v>95-70</v>
      </c>
      <c r="N253" s="24" t="s">
        <v>529</v>
      </c>
      <c r="O253" s="24" t="s">
        <v>529</v>
      </c>
      <c r="P253" s="24">
        <v>0</v>
      </c>
      <c r="Q253" s="102">
        <v>0</v>
      </c>
      <c r="R253" s="30" t="s">
        <v>1905</v>
      </c>
      <c r="S253" s="24">
        <v>0</v>
      </c>
      <c r="T253" s="24"/>
      <c r="U253" s="94">
        <f>374.79*0.24</f>
        <v>89.949600000000004</v>
      </c>
      <c r="V253" s="94">
        <f>331.89*0.24</f>
        <v>79.653599999999997</v>
      </c>
      <c r="W253" s="106">
        <f>49.33*0.24</f>
        <v>11.8392</v>
      </c>
      <c r="X253" s="107" t="s">
        <v>1906</v>
      </c>
      <c r="Y253" s="106">
        <f>49.33*0.24</f>
        <v>11.8392</v>
      </c>
      <c r="Z253" s="107" t="s">
        <v>1906</v>
      </c>
      <c r="AA253" s="106">
        <f>49.33*0.24</f>
        <v>11.8392</v>
      </c>
      <c r="AB253" s="107" t="s">
        <v>1906</v>
      </c>
      <c r="AC253" s="106">
        <f>36.7*0.24</f>
        <v>8.8079999999999998</v>
      </c>
      <c r="AD253" s="107" t="s">
        <v>1906</v>
      </c>
      <c r="AE253" s="106">
        <f>-0.79*0.24</f>
        <v>-0.18959999999999999</v>
      </c>
      <c r="AF253" s="107" t="s">
        <v>1906</v>
      </c>
      <c r="AG253" s="106">
        <v>0</v>
      </c>
      <c r="AH253" s="107" t="s">
        <v>1906</v>
      </c>
      <c r="AI253" s="106">
        <v>0</v>
      </c>
      <c r="AJ253" s="107" t="s">
        <v>1906</v>
      </c>
      <c r="AK253" s="106">
        <v>0</v>
      </c>
      <c r="AL253" s="107" t="s">
        <v>1906</v>
      </c>
      <c r="AM253" s="106">
        <f>8.33*0.24</f>
        <v>1.9991999999999999</v>
      </c>
      <c r="AN253" s="107" t="s">
        <v>1906</v>
      </c>
      <c r="AO253" s="106">
        <f>35.72*0.24</f>
        <v>8.5727999999999991</v>
      </c>
      <c r="AP253" s="107" t="s">
        <v>1906</v>
      </c>
      <c r="AQ253" s="106">
        <f>35.72*0.24</f>
        <v>8.5727999999999991</v>
      </c>
      <c r="AR253" s="106" t="s">
        <v>1906</v>
      </c>
      <c r="AS253" s="106">
        <f>35.72*0.24</f>
        <v>8.5727999999999991</v>
      </c>
      <c r="AT253" s="107" t="s">
        <v>1906</v>
      </c>
      <c r="AU253" s="106">
        <f t="shared" si="10"/>
        <v>71.8536</v>
      </c>
      <c r="AV253" s="25">
        <v>1E-3</v>
      </c>
      <c r="AW253" s="30" t="str">
        <f t="shared" si="11"/>
        <v>95-70</v>
      </c>
      <c r="AX253" s="30" t="s">
        <v>1907</v>
      </c>
      <c r="AY253" s="30">
        <v>0</v>
      </c>
      <c r="AZ253" s="30">
        <v>0</v>
      </c>
    </row>
    <row r="254" spans="1:52" ht="31.2" x14ac:dyDescent="0.3">
      <c r="A254" s="103">
        <v>244</v>
      </c>
      <c r="B254" s="30" t="s">
        <v>863</v>
      </c>
      <c r="C254" s="30" t="s">
        <v>1899</v>
      </c>
      <c r="D254" s="105" t="s">
        <v>1900</v>
      </c>
      <c r="E254" s="108" t="s">
        <v>1901</v>
      </c>
      <c r="F254" s="30" t="s">
        <v>1902</v>
      </c>
      <c r="G254" s="26" t="s">
        <v>145</v>
      </c>
      <c r="H254" s="24" t="s">
        <v>146</v>
      </c>
      <c r="I254" s="25">
        <v>1</v>
      </c>
      <c r="J254" s="24" t="s">
        <v>1903</v>
      </c>
      <c r="K254" s="24">
        <v>40</v>
      </c>
      <c r="L254" s="24">
        <v>5</v>
      </c>
      <c r="M254" s="24" t="str">
        <f t="shared" si="9"/>
        <v>95-70</v>
      </c>
      <c r="N254" s="24" t="s">
        <v>529</v>
      </c>
      <c r="O254" s="24" t="s">
        <v>529</v>
      </c>
      <c r="P254" s="24">
        <v>1</v>
      </c>
      <c r="Q254" s="102">
        <v>0</v>
      </c>
      <c r="R254" s="30" t="s">
        <v>1905</v>
      </c>
      <c r="S254" s="24">
        <v>0</v>
      </c>
      <c r="T254" s="24"/>
      <c r="U254" s="94">
        <v>774.43999999999994</v>
      </c>
      <c r="V254" s="94">
        <v>757.63</v>
      </c>
      <c r="W254" s="106">
        <v>97.11</v>
      </c>
      <c r="X254" s="107" t="s">
        <v>1906</v>
      </c>
      <c r="Y254" s="106">
        <v>96.51</v>
      </c>
      <c r="Z254" s="107" t="s">
        <v>1906</v>
      </c>
      <c r="AA254" s="106">
        <v>96.51</v>
      </c>
      <c r="AB254" s="107" t="s">
        <v>1906</v>
      </c>
      <c r="AC254" s="106">
        <v>96.51</v>
      </c>
      <c r="AD254" s="107" t="s">
        <v>1906</v>
      </c>
      <c r="AE254" s="106">
        <v>31.14</v>
      </c>
      <c r="AF254" s="107" t="s">
        <v>1906</v>
      </c>
      <c r="AG254" s="106">
        <v>0</v>
      </c>
      <c r="AH254" s="107" t="s">
        <v>1906</v>
      </c>
      <c r="AI254" s="106">
        <v>0</v>
      </c>
      <c r="AJ254" s="107" t="s">
        <v>1906</v>
      </c>
      <c r="AK254" s="106">
        <v>0</v>
      </c>
      <c r="AL254" s="107" t="s">
        <v>1906</v>
      </c>
      <c r="AM254" s="106">
        <v>0</v>
      </c>
      <c r="AN254" s="107" t="s">
        <v>1906</v>
      </c>
      <c r="AO254" s="106">
        <v>91.89</v>
      </c>
      <c r="AP254" s="107" t="s">
        <v>1906</v>
      </c>
      <c r="AQ254" s="106">
        <v>91.89</v>
      </c>
      <c r="AR254" s="106" t="s">
        <v>1906</v>
      </c>
      <c r="AS254" s="106">
        <v>91.89</v>
      </c>
      <c r="AT254" s="107" t="s">
        <v>1906</v>
      </c>
      <c r="AU254" s="106">
        <f t="shared" si="10"/>
        <v>693.44999999999993</v>
      </c>
      <c r="AV254" s="25">
        <v>0.33389999999999997</v>
      </c>
      <c r="AW254" s="30" t="str">
        <f t="shared" si="11"/>
        <v>95-70</v>
      </c>
      <c r="AX254" s="30" t="s">
        <v>1907</v>
      </c>
      <c r="AY254" s="30">
        <v>0</v>
      </c>
      <c r="AZ254" s="30">
        <v>0</v>
      </c>
    </row>
    <row r="255" spans="1:52" ht="31.2" x14ac:dyDescent="0.3">
      <c r="A255" s="103">
        <v>245</v>
      </c>
      <c r="B255" s="30" t="s">
        <v>864</v>
      </c>
      <c r="C255" s="30" t="s">
        <v>1899</v>
      </c>
      <c r="D255" s="105" t="s">
        <v>1900</v>
      </c>
      <c r="E255" s="108" t="s">
        <v>1901</v>
      </c>
      <c r="F255" s="30" t="s">
        <v>1902</v>
      </c>
      <c r="G255" s="26" t="s">
        <v>145</v>
      </c>
      <c r="H255" s="24" t="s">
        <v>146</v>
      </c>
      <c r="I255" s="25">
        <v>1</v>
      </c>
      <c r="J255" s="24" t="s">
        <v>1903</v>
      </c>
      <c r="K255" s="24">
        <v>32</v>
      </c>
      <c r="L255" s="24">
        <v>5</v>
      </c>
      <c r="M255" s="24" t="str">
        <f t="shared" si="9"/>
        <v>95-70</v>
      </c>
      <c r="N255" s="24" t="s">
        <v>529</v>
      </c>
      <c r="O255" s="24" t="s">
        <v>529</v>
      </c>
      <c r="P255" s="24">
        <v>1</v>
      </c>
      <c r="Q255" s="102">
        <v>0</v>
      </c>
      <c r="R255" s="30" t="s">
        <v>1905</v>
      </c>
      <c r="S255" s="24">
        <v>0</v>
      </c>
      <c r="T255" s="24"/>
      <c r="U255" s="94">
        <v>79.669999999999987</v>
      </c>
      <c r="V255" s="94">
        <v>70.83</v>
      </c>
      <c r="W255" s="106">
        <v>9.39</v>
      </c>
      <c r="X255" s="107" t="s">
        <v>1906</v>
      </c>
      <c r="Y255" s="106">
        <v>9.39</v>
      </c>
      <c r="Z255" s="107" t="s">
        <v>1906</v>
      </c>
      <c r="AA255" s="106">
        <v>9.39</v>
      </c>
      <c r="AB255" s="107" t="s">
        <v>1906</v>
      </c>
      <c r="AC255" s="106">
        <v>10.280000000000001</v>
      </c>
      <c r="AD255" s="107" t="s">
        <v>1906</v>
      </c>
      <c r="AE255" s="106">
        <v>4.21</v>
      </c>
      <c r="AF255" s="107" t="s">
        <v>1906</v>
      </c>
      <c r="AG255" s="106">
        <v>0</v>
      </c>
      <c r="AH255" s="107" t="s">
        <v>1906</v>
      </c>
      <c r="AI255" s="106">
        <v>0</v>
      </c>
      <c r="AJ255" s="107" t="s">
        <v>1906</v>
      </c>
      <c r="AK255" s="106">
        <v>0</v>
      </c>
      <c r="AL255" s="107" t="s">
        <v>1906</v>
      </c>
      <c r="AM255" s="106">
        <v>2.4</v>
      </c>
      <c r="AN255" s="107" t="s">
        <v>1906</v>
      </c>
      <c r="AO255" s="106">
        <v>10.27</v>
      </c>
      <c r="AP255" s="107" t="s">
        <v>1906</v>
      </c>
      <c r="AQ255" s="106">
        <v>10.27</v>
      </c>
      <c r="AR255" s="106" t="s">
        <v>1906</v>
      </c>
      <c r="AS255" s="106">
        <v>10.27</v>
      </c>
      <c r="AT255" s="107" t="s">
        <v>1906</v>
      </c>
      <c r="AU255" s="106">
        <f t="shared" si="10"/>
        <v>75.86999999999999</v>
      </c>
      <c r="AV255" s="25">
        <v>3.9300000000000002E-2</v>
      </c>
      <c r="AW255" s="30" t="str">
        <f t="shared" si="11"/>
        <v>95-70</v>
      </c>
      <c r="AX255" s="30" t="s">
        <v>1907</v>
      </c>
      <c r="AY255" s="30">
        <v>0</v>
      </c>
      <c r="AZ255" s="30">
        <v>0</v>
      </c>
    </row>
    <row r="256" spans="1:52" ht="31.2" x14ac:dyDescent="0.3">
      <c r="A256" s="103">
        <v>246</v>
      </c>
      <c r="B256" s="30" t="s">
        <v>865</v>
      </c>
      <c r="C256" s="30" t="s">
        <v>1899</v>
      </c>
      <c r="D256" s="105" t="s">
        <v>1900</v>
      </c>
      <c r="E256" s="108" t="s">
        <v>1901</v>
      </c>
      <c r="F256" s="30" t="s">
        <v>1902</v>
      </c>
      <c r="G256" s="26" t="s">
        <v>145</v>
      </c>
      <c r="H256" s="24" t="s">
        <v>146</v>
      </c>
      <c r="I256" s="25">
        <v>1</v>
      </c>
      <c r="J256" s="24" t="s">
        <v>1903</v>
      </c>
      <c r="K256" s="24">
        <v>40</v>
      </c>
      <c r="L256" s="24">
        <v>5</v>
      </c>
      <c r="M256" s="24" t="str">
        <f t="shared" si="9"/>
        <v>95-70</v>
      </c>
      <c r="N256" s="24" t="s">
        <v>529</v>
      </c>
      <c r="O256" s="24" t="s">
        <v>529</v>
      </c>
      <c r="P256" s="24">
        <v>1</v>
      </c>
      <c r="Q256" s="102">
        <v>0</v>
      </c>
      <c r="R256" s="30" t="s">
        <v>1905</v>
      </c>
      <c r="S256" s="24">
        <v>0</v>
      </c>
      <c r="T256" s="24"/>
      <c r="U256" s="94">
        <v>481.43</v>
      </c>
      <c r="V256" s="94">
        <v>471.72</v>
      </c>
      <c r="W256" s="106">
        <v>64.42</v>
      </c>
      <c r="X256" s="107" t="s">
        <v>1906</v>
      </c>
      <c r="Y256" s="106">
        <v>64.42</v>
      </c>
      <c r="Z256" s="107" t="s">
        <v>1906</v>
      </c>
      <c r="AA256" s="106">
        <v>64.42</v>
      </c>
      <c r="AB256" s="107" t="s">
        <v>1906</v>
      </c>
      <c r="AC256" s="106">
        <v>64.42</v>
      </c>
      <c r="AD256" s="107" t="s">
        <v>1906</v>
      </c>
      <c r="AE256" s="106">
        <v>20.779999999999998</v>
      </c>
      <c r="AF256" s="107" t="s">
        <v>1906</v>
      </c>
      <c r="AG256" s="106">
        <v>0</v>
      </c>
      <c r="AH256" s="107" t="s">
        <v>1906</v>
      </c>
      <c r="AI256" s="106">
        <v>0</v>
      </c>
      <c r="AJ256" s="107" t="s">
        <v>1906</v>
      </c>
      <c r="AK256" s="106">
        <v>0</v>
      </c>
      <c r="AL256" s="107" t="s">
        <v>1906</v>
      </c>
      <c r="AM256" s="106">
        <v>14.89</v>
      </c>
      <c r="AN256" s="107" t="s">
        <v>1906</v>
      </c>
      <c r="AO256" s="106">
        <v>63.83</v>
      </c>
      <c r="AP256" s="107" t="s">
        <v>1906</v>
      </c>
      <c r="AQ256" s="106">
        <v>63.83</v>
      </c>
      <c r="AR256" s="106" t="s">
        <v>1906</v>
      </c>
      <c r="AS256" s="106">
        <v>63.83</v>
      </c>
      <c r="AT256" s="107" t="s">
        <v>1906</v>
      </c>
      <c r="AU256" s="106">
        <f t="shared" si="10"/>
        <v>484.83999999999992</v>
      </c>
      <c r="AV256" s="25">
        <v>0.25190000000000001</v>
      </c>
      <c r="AW256" s="30" t="str">
        <f t="shared" si="11"/>
        <v>95-70</v>
      </c>
      <c r="AX256" s="30" t="s">
        <v>1907</v>
      </c>
      <c r="AY256" s="30">
        <v>0</v>
      </c>
      <c r="AZ256" s="30">
        <v>0</v>
      </c>
    </row>
    <row r="257" spans="1:52" ht="31.2" x14ac:dyDescent="0.3">
      <c r="A257" s="103">
        <v>247</v>
      </c>
      <c r="B257" s="30" t="s">
        <v>866</v>
      </c>
      <c r="C257" s="30" t="s">
        <v>1899</v>
      </c>
      <c r="D257" s="105" t="s">
        <v>1900</v>
      </c>
      <c r="E257" s="108" t="s">
        <v>1901</v>
      </c>
      <c r="F257" s="30" t="s">
        <v>1902</v>
      </c>
      <c r="G257" s="26" t="s">
        <v>145</v>
      </c>
      <c r="H257" s="24" t="s">
        <v>146</v>
      </c>
      <c r="I257" s="25">
        <v>1</v>
      </c>
      <c r="J257" s="24" t="s">
        <v>1903</v>
      </c>
      <c r="K257" s="24">
        <v>40</v>
      </c>
      <c r="L257" s="24">
        <v>5</v>
      </c>
      <c r="M257" s="24" t="str">
        <f t="shared" si="9"/>
        <v>95-70</v>
      </c>
      <c r="N257" s="24" t="s">
        <v>529</v>
      </c>
      <c r="O257" s="24" t="s">
        <v>529</v>
      </c>
      <c r="P257" s="24">
        <v>1</v>
      </c>
      <c r="Q257" s="102">
        <v>0</v>
      </c>
      <c r="R257" s="30" t="s">
        <v>1905</v>
      </c>
      <c r="S257" s="24">
        <v>0</v>
      </c>
      <c r="T257" s="24"/>
      <c r="U257" s="94">
        <v>547.66999999999996</v>
      </c>
      <c r="V257" s="94">
        <v>597.7399999999999</v>
      </c>
      <c r="W257" s="106">
        <v>89.53</v>
      </c>
      <c r="X257" s="107" t="s">
        <v>1906</v>
      </c>
      <c r="Y257" s="106">
        <v>89.53</v>
      </c>
      <c r="Z257" s="107" t="s">
        <v>1906</v>
      </c>
      <c r="AA257" s="106">
        <v>89.53</v>
      </c>
      <c r="AB257" s="107" t="s">
        <v>1906</v>
      </c>
      <c r="AC257" s="106">
        <v>89.53</v>
      </c>
      <c r="AD257" s="107" t="s">
        <v>1906</v>
      </c>
      <c r="AE257" s="106">
        <v>28.88</v>
      </c>
      <c r="AF257" s="107" t="s">
        <v>1906</v>
      </c>
      <c r="AG257" s="106">
        <v>0</v>
      </c>
      <c r="AH257" s="107" t="s">
        <v>1906</v>
      </c>
      <c r="AI257" s="106">
        <v>0</v>
      </c>
      <c r="AJ257" s="107" t="s">
        <v>1906</v>
      </c>
      <c r="AK257" s="106">
        <v>0</v>
      </c>
      <c r="AL257" s="107" t="s">
        <v>1906</v>
      </c>
      <c r="AM257" s="106">
        <v>0</v>
      </c>
      <c r="AN257" s="107" t="s">
        <v>1906</v>
      </c>
      <c r="AO257" s="106">
        <v>83.54</v>
      </c>
      <c r="AP257" s="107" t="s">
        <v>1906</v>
      </c>
      <c r="AQ257" s="106">
        <v>83.54</v>
      </c>
      <c r="AR257" s="106" t="s">
        <v>1906</v>
      </c>
      <c r="AS257" s="106">
        <v>83.54</v>
      </c>
      <c r="AT257" s="107" t="s">
        <v>1906</v>
      </c>
      <c r="AU257" s="106">
        <f t="shared" si="10"/>
        <v>637.62</v>
      </c>
      <c r="AV257" s="25">
        <v>0.27800000000000002</v>
      </c>
      <c r="AW257" s="30" t="str">
        <f t="shared" si="11"/>
        <v>95-70</v>
      </c>
      <c r="AX257" s="30" t="s">
        <v>1907</v>
      </c>
      <c r="AY257" s="30">
        <v>0</v>
      </c>
      <c r="AZ257" s="30">
        <v>0</v>
      </c>
    </row>
    <row r="258" spans="1:52" ht="31.2" x14ac:dyDescent="0.3">
      <c r="A258" s="103">
        <v>248</v>
      </c>
      <c r="B258" s="30" t="s">
        <v>867</v>
      </c>
      <c r="C258" s="30" t="s">
        <v>1899</v>
      </c>
      <c r="D258" s="105" t="s">
        <v>1900</v>
      </c>
      <c r="E258" s="108" t="s">
        <v>1901</v>
      </c>
      <c r="F258" s="30" t="s">
        <v>1902</v>
      </c>
      <c r="G258" s="26" t="s">
        <v>145</v>
      </c>
      <c r="H258" s="24" t="s">
        <v>146</v>
      </c>
      <c r="I258" s="25">
        <v>1</v>
      </c>
      <c r="J258" s="24" t="s">
        <v>1903</v>
      </c>
      <c r="K258" s="24">
        <v>40</v>
      </c>
      <c r="L258" s="24">
        <v>5</v>
      </c>
      <c r="M258" s="24" t="str">
        <f t="shared" si="9"/>
        <v>95-70</v>
      </c>
      <c r="N258" s="24" t="s">
        <v>529</v>
      </c>
      <c r="O258" s="24" t="s">
        <v>529</v>
      </c>
      <c r="P258" s="24">
        <v>1</v>
      </c>
      <c r="Q258" s="102">
        <v>0</v>
      </c>
      <c r="R258" s="30" t="s">
        <v>1905</v>
      </c>
      <c r="S258" s="24">
        <v>0</v>
      </c>
      <c r="T258" s="24"/>
      <c r="U258" s="94">
        <v>2016.65</v>
      </c>
      <c r="V258" s="94">
        <v>1520.1099999999997</v>
      </c>
      <c r="W258" s="106">
        <v>207.74</v>
      </c>
      <c r="X258" s="107" t="s">
        <v>1906</v>
      </c>
      <c r="Y258" s="106">
        <v>207.51</v>
      </c>
      <c r="Z258" s="107" t="s">
        <v>1906</v>
      </c>
      <c r="AA258" s="106">
        <v>207.83</v>
      </c>
      <c r="AB258" s="107" t="s">
        <v>1906</v>
      </c>
      <c r="AC258" s="106">
        <v>207.62</v>
      </c>
      <c r="AD258" s="107" t="s">
        <v>1906</v>
      </c>
      <c r="AE258" s="106">
        <v>66.87</v>
      </c>
      <c r="AF258" s="107" t="s">
        <v>1906</v>
      </c>
      <c r="AG258" s="106">
        <v>0</v>
      </c>
      <c r="AH258" s="107" t="s">
        <v>1906</v>
      </c>
      <c r="AI258" s="106">
        <v>0</v>
      </c>
      <c r="AJ258" s="107" t="s">
        <v>1906</v>
      </c>
      <c r="AK258" s="106">
        <v>0</v>
      </c>
      <c r="AL258" s="107" t="s">
        <v>1906</v>
      </c>
      <c r="AM258" s="106">
        <v>47.85</v>
      </c>
      <c r="AN258" s="107" t="s">
        <v>1906</v>
      </c>
      <c r="AO258" s="106">
        <v>205.01999999999998</v>
      </c>
      <c r="AP258" s="107" t="s">
        <v>1906</v>
      </c>
      <c r="AQ258" s="106">
        <v>205.14999999999998</v>
      </c>
      <c r="AR258" s="106" t="s">
        <v>1906</v>
      </c>
      <c r="AS258" s="106">
        <v>205.07999999999998</v>
      </c>
      <c r="AT258" s="107" t="s">
        <v>1906</v>
      </c>
      <c r="AU258" s="106">
        <f t="shared" si="10"/>
        <v>1560.67</v>
      </c>
      <c r="AV258" s="25">
        <v>0.2001</v>
      </c>
      <c r="AW258" s="30" t="str">
        <f t="shared" si="11"/>
        <v>95-70</v>
      </c>
      <c r="AX258" s="30" t="s">
        <v>1907</v>
      </c>
      <c r="AY258" s="30">
        <v>0</v>
      </c>
      <c r="AZ258" s="30">
        <v>0</v>
      </c>
    </row>
    <row r="259" spans="1:52" ht="31.2" x14ac:dyDescent="0.3">
      <c r="A259" s="103">
        <v>249</v>
      </c>
      <c r="B259" s="30" t="s">
        <v>868</v>
      </c>
      <c r="C259" s="30" t="s">
        <v>1899</v>
      </c>
      <c r="D259" s="105" t="s">
        <v>1900</v>
      </c>
      <c r="E259" s="108" t="s">
        <v>1901</v>
      </c>
      <c r="F259" s="30" t="s">
        <v>1902</v>
      </c>
      <c r="G259" s="26" t="s">
        <v>145</v>
      </c>
      <c r="H259" s="24" t="s">
        <v>146</v>
      </c>
      <c r="I259" s="25">
        <v>1</v>
      </c>
      <c r="J259" s="24" t="s">
        <v>1903</v>
      </c>
      <c r="K259" s="24">
        <v>65</v>
      </c>
      <c r="L259" s="24">
        <v>5</v>
      </c>
      <c r="M259" s="24" t="str">
        <f t="shared" si="9"/>
        <v>95-70</v>
      </c>
      <c r="N259" s="24" t="s">
        <v>529</v>
      </c>
      <c r="O259" s="24" t="s">
        <v>529</v>
      </c>
      <c r="P259" s="24">
        <v>1</v>
      </c>
      <c r="Q259" s="102">
        <v>0</v>
      </c>
      <c r="R259" s="30" t="s">
        <v>1905</v>
      </c>
      <c r="S259" s="24">
        <v>0</v>
      </c>
      <c r="T259" s="24"/>
      <c r="U259" s="94">
        <v>1197.3699999999999</v>
      </c>
      <c r="V259" s="94">
        <v>1198.05</v>
      </c>
      <c r="W259" s="106">
        <v>163.61000000000001</v>
      </c>
      <c r="X259" s="107" t="s">
        <v>1906</v>
      </c>
      <c r="Y259" s="106">
        <v>163.61000000000001</v>
      </c>
      <c r="Z259" s="107" t="s">
        <v>1906</v>
      </c>
      <c r="AA259" s="106">
        <v>163.61000000000001</v>
      </c>
      <c r="AB259" s="107" t="s">
        <v>1906</v>
      </c>
      <c r="AC259" s="106">
        <v>163.61000000000001</v>
      </c>
      <c r="AD259" s="107" t="s">
        <v>1906</v>
      </c>
      <c r="AE259" s="106">
        <v>52.78</v>
      </c>
      <c r="AF259" s="107" t="s">
        <v>1906</v>
      </c>
      <c r="AG259" s="106">
        <v>0</v>
      </c>
      <c r="AH259" s="107" t="s">
        <v>1906</v>
      </c>
      <c r="AI259" s="106">
        <v>0</v>
      </c>
      <c r="AJ259" s="107" t="s">
        <v>1906</v>
      </c>
      <c r="AK259" s="106">
        <v>0</v>
      </c>
      <c r="AL259" s="107" t="s">
        <v>1906</v>
      </c>
      <c r="AM259" s="106">
        <v>32.4</v>
      </c>
      <c r="AN259" s="107" t="s">
        <v>1906</v>
      </c>
      <c r="AO259" s="106">
        <v>162.02000000000001</v>
      </c>
      <c r="AP259" s="107" t="s">
        <v>1906</v>
      </c>
      <c r="AQ259" s="106">
        <v>162.02000000000001</v>
      </c>
      <c r="AR259" s="106" t="s">
        <v>1906</v>
      </c>
      <c r="AS259" s="106">
        <v>162.02000000000001</v>
      </c>
      <c r="AT259" s="107" t="s">
        <v>1906</v>
      </c>
      <c r="AU259" s="106">
        <f t="shared" si="10"/>
        <v>1225.68</v>
      </c>
      <c r="AV259" s="25">
        <v>0.62150000000000005</v>
      </c>
      <c r="AW259" s="30" t="str">
        <f t="shared" si="11"/>
        <v>95-70</v>
      </c>
      <c r="AX259" s="30" t="s">
        <v>1907</v>
      </c>
      <c r="AY259" s="30">
        <v>0</v>
      </c>
      <c r="AZ259" s="30">
        <v>0</v>
      </c>
    </row>
    <row r="260" spans="1:52" ht="31.2" x14ac:dyDescent="0.3">
      <c r="A260" s="103">
        <v>250</v>
      </c>
      <c r="B260" s="30" t="s">
        <v>869</v>
      </c>
      <c r="C260" s="30" t="s">
        <v>1899</v>
      </c>
      <c r="D260" s="105" t="s">
        <v>1900</v>
      </c>
      <c r="E260" s="108" t="s">
        <v>1901</v>
      </c>
      <c r="F260" s="30" t="s">
        <v>1902</v>
      </c>
      <c r="G260" s="26" t="s">
        <v>145</v>
      </c>
      <c r="H260" s="24" t="s">
        <v>146</v>
      </c>
      <c r="I260" s="25">
        <v>1</v>
      </c>
      <c r="J260" s="24" t="s">
        <v>1903</v>
      </c>
      <c r="K260" s="24">
        <v>50</v>
      </c>
      <c r="L260" s="24">
        <v>5</v>
      </c>
      <c r="M260" s="24" t="str">
        <f t="shared" si="9"/>
        <v>95-70</v>
      </c>
      <c r="N260" s="24" t="s">
        <v>529</v>
      </c>
      <c r="O260" s="24" t="s">
        <v>529</v>
      </c>
      <c r="P260" s="24">
        <v>1</v>
      </c>
      <c r="Q260" s="102">
        <v>0</v>
      </c>
      <c r="R260" s="30" t="s">
        <v>1905</v>
      </c>
      <c r="S260" s="24">
        <v>0</v>
      </c>
      <c r="T260" s="24"/>
      <c r="U260" s="94">
        <v>976.81</v>
      </c>
      <c r="V260" s="94">
        <v>1054.5999999999999</v>
      </c>
      <c r="W260" s="106">
        <v>144.01999999999998</v>
      </c>
      <c r="X260" s="107" t="s">
        <v>208</v>
      </c>
      <c r="Y260" s="106">
        <v>144.01999999999998</v>
      </c>
      <c r="Z260" s="107" t="s">
        <v>208</v>
      </c>
      <c r="AA260" s="106">
        <v>144.01999999999998</v>
      </c>
      <c r="AB260" s="107" t="s">
        <v>208</v>
      </c>
      <c r="AC260" s="106">
        <v>144.01999999999998</v>
      </c>
      <c r="AD260" s="107" t="s">
        <v>208</v>
      </c>
      <c r="AE260" s="106">
        <v>46.46</v>
      </c>
      <c r="AF260" s="107" t="s">
        <v>208</v>
      </c>
      <c r="AG260" s="106">
        <v>0</v>
      </c>
      <c r="AH260" s="107" t="s">
        <v>208</v>
      </c>
      <c r="AI260" s="106">
        <v>0</v>
      </c>
      <c r="AJ260" s="107" t="s">
        <v>208</v>
      </c>
      <c r="AK260" s="106">
        <v>0</v>
      </c>
      <c r="AL260" s="107" t="s">
        <v>208</v>
      </c>
      <c r="AM260" s="106">
        <v>0</v>
      </c>
      <c r="AN260" s="107" t="s">
        <v>208</v>
      </c>
      <c r="AO260" s="106">
        <v>139.78</v>
      </c>
      <c r="AP260" s="107" t="s">
        <v>208</v>
      </c>
      <c r="AQ260" s="106">
        <v>139.78</v>
      </c>
      <c r="AR260" s="106" t="s">
        <v>208</v>
      </c>
      <c r="AS260" s="106">
        <v>139.78</v>
      </c>
      <c r="AT260" s="107" t="s">
        <v>208</v>
      </c>
      <c r="AU260" s="106">
        <f t="shared" si="10"/>
        <v>1041.8799999999999</v>
      </c>
      <c r="AV260" s="25">
        <v>0.47270000000000001</v>
      </c>
      <c r="AW260" s="30" t="str">
        <f t="shared" si="11"/>
        <v>95-70</v>
      </c>
      <c r="AX260" s="30" t="s">
        <v>1907</v>
      </c>
      <c r="AY260" s="30">
        <v>0</v>
      </c>
      <c r="AZ260" s="30">
        <v>0</v>
      </c>
    </row>
    <row r="261" spans="1:52" ht="31.2" x14ac:dyDescent="0.3">
      <c r="A261" s="103">
        <v>251</v>
      </c>
      <c r="B261" s="30" t="s">
        <v>870</v>
      </c>
      <c r="C261" s="30" t="s">
        <v>1899</v>
      </c>
      <c r="D261" s="105" t="s">
        <v>1900</v>
      </c>
      <c r="E261" s="108" t="s">
        <v>1901</v>
      </c>
      <c r="F261" s="30" t="s">
        <v>1902</v>
      </c>
      <c r="G261" s="26" t="s">
        <v>145</v>
      </c>
      <c r="H261" s="24" t="s">
        <v>146</v>
      </c>
      <c r="I261" s="25">
        <v>1</v>
      </c>
      <c r="J261" s="24" t="s">
        <v>1903</v>
      </c>
      <c r="K261" s="24">
        <v>32</v>
      </c>
      <c r="L261" s="24">
        <v>5</v>
      </c>
      <c r="M261" s="24" t="str">
        <f t="shared" si="9"/>
        <v>95-70</v>
      </c>
      <c r="N261" s="24" t="s">
        <v>529</v>
      </c>
      <c r="O261" s="24" t="s">
        <v>529</v>
      </c>
      <c r="P261" s="24">
        <v>1</v>
      </c>
      <c r="Q261" s="102">
        <v>0</v>
      </c>
      <c r="R261" s="30" t="s">
        <v>1905</v>
      </c>
      <c r="S261" s="24">
        <v>0</v>
      </c>
      <c r="T261" s="24"/>
      <c r="U261" s="94">
        <v>267.99</v>
      </c>
      <c r="V261" s="94">
        <v>238.10999999999996</v>
      </c>
      <c r="W261" s="106">
        <v>32.660000000000004</v>
      </c>
      <c r="X261" s="107" t="s">
        <v>1906</v>
      </c>
      <c r="Y261" s="106">
        <v>32.660000000000004</v>
      </c>
      <c r="Z261" s="107" t="s">
        <v>1906</v>
      </c>
      <c r="AA261" s="106">
        <v>32.660000000000004</v>
      </c>
      <c r="AB261" s="107" t="s">
        <v>1906</v>
      </c>
      <c r="AC261" s="106">
        <v>32.660000000000004</v>
      </c>
      <c r="AD261" s="107" t="s">
        <v>1906</v>
      </c>
      <c r="AE261" s="106">
        <v>10.54</v>
      </c>
      <c r="AF261" s="107" t="s">
        <v>1906</v>
      </c>
      <c r="AG261" s="106">
        <v>0</v>
      </c>
      <c r="AH261" s="107" t="s">
        <v>1906</v>
      </c>
      <c r="AI261" s="106">
        <v>0</v>
      </c>
      <c r="AJ261" s="107" t="s">
        <v>1906</v>
      </c>
      <c r="AK261" s="106">
        <v>0</v>
      </c>
      <c r="AL261" s="107" t="s">
        <v>1906</v>
      </c>
      <c r="AM261" s="106">
        <v>6.27</v>
      </c>
      <c r="AN261" s="107" t="s">
        <v>1906</v>
      </c>
      <c r="AO261" s="106">
        <v>31.35</v>
      </c>
      <c r="AP261" s="107" t="s">
        <v>1906</v>
      </c>
      <c r="AQ261" s="106">
        <v>31.35</v>
      </c>
      <c r="AR261" s="106" t="s">
        <v>1906</v>
      </c>
      <c r="AS261" s="106">
        <v>31.35</v>
      </c>
      <c r="AT261" s="107" t="s">
        <v>1906</v>
      </c>
      <c r="AU261" s="106">
        <f t="shared" si="10"/>
        <v>241.5</v>
      </c>
      <c r="AV261" s="25">
        <v>0.13950000000000001</v>
      </c>
      <c r="AW261" s="30" t="str">
        <f t="shared" si="11"/>
        <v>95-70</v>
      </c>
      <c r="AX261" s="30" t="s">
        <v>1907</v>
      </c>
      <c r="AY261" s="30">
        <v>0</v>
      </c>
      <c r="AZ261" s="30">
        <v>0</v>
      </c>
    </row>
    <row r="262" spans="1:52" ht="31.2" x14ac:dyDescent="0.3">
      <c r="A262" s="103">
        <v>252</v>
      </c>
      <c r="B262" s="30" t="s">
        <v>871</v>
      </c>
      <c r="C262" s="30" t="s">
        <v>1899</v>
      </c>
      <c r="D262" s="105" t="s">
        <v>1900</v>
      </c>
      <c r="E262" s="108" t="s">
        <v>1901</v>
      </c>
      <c r="F262" s="30" t="s">
        <v>1902</v>
      </c>
      <c r="G262" s="26" t="s">
        <v>145</v>
      </c>
      <c r="H262" s="24" t="s">
        <v>146</v>
      </c>
      <c r="I262" s="25">
        <v>1</v>
      </c>
      <c r="J262" s="24" t="s">
        <v>1903</v>
      </c>
      <c r="K262" s="24">
        <v>50</v>
      </c>
      <c r="L262" s="24">
        <v>5</v>
      </c>
      <c r="M262" s="24" t="str">
        <f t="shared" si="9"/>
        <v>95-70</v>
      </c>
      <c r="N262" s="24" t="s">
        <v>529</v>
      </c>
      <c r="O262" s="24" t="s">
        <v>529</v>
      </c>
      <c r="P262" s="24">
        <v>1</v>
      </c>
      <c r="Q262" s="102">
        <v>0</v>
      </c>
      <c r="R262" s="30" t="s">
        <v>1905</v>
      </c>
      <c r="S262" s="24">
        <v>0</v>
      </c>
      <c r="T262" s="24"/>
      <c r="U262" s="94">
        <v>433.58</v>
      </c>
      <c r="V262" s="94">
        <v>378.8</v>
      </c>
      <c r="W262" s="106">
        <v>51.730000000000004</v>
      </c>
      <c r="X262" s="107" t="s">
        <v>208</v>
      </c>
      <c r="Y262" s="106">
        <v>51.730000000000004</v>
      </c>
      <c r="Z262" s="107" t="s">
        <v>208</v>
      </c>
      <c r="AA262" s="106">
        <v>51.730000000000004</v>
      </c>
      <c r="AB262" s="107" t="s">
        <v>208</v>
      </c>
      <c r="AC262" s="106">
        <v>51.730000000000004</v>
      </c>
      <c r="AD262" s="107" t="s">
        <v>208</v>
      </c>
      <c r="AE262" s="106">
        <v>16.690000000000001</v>
      </c>
      <c r="AF262" s="107" t="s">
        <v>208</v>
      </c>
      <c r="AG262" s="106">
        <v>0</v>
      </c>
      <c r="AH262" s="107" t="s">
        <v>208</v>
      </c>
      <c r="AI262" s="106">
        <v>0</v>
      </c>
      <c r="AJ262" s="107" t="s">
        <v>208</v>
      </c>
      <c r="AK262" s="106">
        <v>0</v>
      </c>
      <c r="AL262" s="107" t="s">
        <v>208</v>
      </c>
      <c r="AM262" s="106">
        <v>0</v>
      </c>
      <c r="AN262" s="107" t="s">
        <v>208</v>
      </c>
      <c r="AO262" s="106">
        <v>51.77</v>
      </c>
      <c r="AP262" s="107" t="s">
        <v>208</v>
      </c>
      <c r="AQ262" s="106">
        <v>51.77</v>
      </c>
      <c r="AR262" s="106" t="s">
        <v>208</v>
      </c>
      <c r="AS262" s="106">
        <v>39.479999999999997</v>
      </c>
      <c r="AT262" s="107" t="s">
        <v>208</v>
      </c>
      <c r="AU262" s="106">
        <f t="shared" si="10"/>
        <v>366.63</v>
      </c>
      <c r="AV262" s="25">
        <v>0.22689999999999999</v>
      </c>
      <c r="AW262" s="30" t="str">
        <f t="shared" si="11"/>
        <v>95-70</v>
      </c>
      <c r="AX262" s="30" t="s">
        <v>1907</v>
      </c>
      <c r="AY262" s="30">
        <v>0</v>
      </c>
      <c r="AZ262" s="30">
        <v>0</v>
      </c>
    </row>
    <row r="263" spans="1:52" ht="31.2" x14ac:dyDescent="0.3">
      <c r="A263" s="103">
        <v>253</v>
      </c>
      <c r="B263" s="30" t="s">
        <v>872</v>
      </c>
      <c r="C263" s="30" t="s">
        <v>1899</v>
      </c>
      <c r="D263" s="105" t="s">
        <v>1900</v>
      </c>
      <c r="E263" s="108" t="s">
        <v>1901</v>
      </c>
      <c r="F263" s="30" t="s">
        <v>1902</v>
      </c>
      <c r="G263" s="26" t="s">
        <v>145</v>
      </c>
      <c r="H263" s="24" t="s">
        <v>146</v>
      </c>
      <c r="I263" s="25">
        <v>1</v>
      </c>
      <c r="J263" s="24" t="s">
        <v>1903</v>
      </c>
      <c r="K263" s="24">
        <v>32</v>
      </c>
      <c r="L263" s="24">
        <v>5</v>
      </c>
      <c r="M263" s="24" t="str">
        <f t="shared" si="9"/>
        <v>95-70</v>
      </c>
      <c r="N263" s="24" t="s">
        <v>529</v>
      </c>
      <c r="O263" s="24" t="s">
        <v>529</v>
      </c>
      <c r="P263" s="24">
        <v>1</v>
      </c>
      <c r="Q263" s="102">
        <v>0</v>
      </c>
      <c r="R263" s="30" t="s">
        <v>1905</v>
      </c>
      <c r="S263" s="24">
        <v>0</v>
      </c>
      <c r="T263" s="24"/>
      <c r="U263" s="94">
        <f>381.44*0.39</f>
        <v>148.76160000000002</v>
      </c>
      <c r="V263" s="94">
        <f>283.81*0.39</f>
        <v>110.6859</v>
      </c>
      <c r="W263" s="106">
        <f>38.84*0.39</f>
        <v>15.147600000000002</v>
      </c>
      <c r="X263" s="107" t="s">
        <v>1906</v>
      </c>
      <c r="Y263" s="106">
        <f>38.66*0.39</f>
        <v>15.077399999999999</v>
      </c>
      <c r="Z263" s="107" t="s">
        <v>1906</v>
      </c>
      <c r="AA263" s="106">
        <f>38.66*0.39</f>
        <v>15.077399999999999</v>
      </c>
      <c r="AB263" s="107" t="s">
        <v>1906</v>
      </c>
      <c r="AC263" s="106">
        <f>38.66*0.39</f>
        <v>15.077399999999999</v>
      </c>
      <c r="AD263" s="107" t="s">
        <v>1906</v>
      </c>
      <c r="AE263" s="106">
        <f>12.47*0.39</f>
        <v>4.8633000000000006</v>
      </c>
      <c r="AF263" s="107" t="s">
        <v>1906</v>
      </c>
      <c r="AG263" s="106">
        <v>0</v>
      </c>
      <c r="AH263" s="107" t="s">
        <v>1906</v>
      </c>
      <c r="AI263" s="106">
        <v>0</v>
      </c>
      <c r="AJ263" s="107" t="s">
        <v>1906</v>
      </c>
      <c r="AK263" s="106">
        <v>0</v>
      </c>
      <c r="AL263" s="107" t="s">
        <v>1906</v>
      </c>
      <c r="AM263" s="106">
        <f>4.49*0.39</f>
        <v>1.7511000000000001</v>
      </c>
      <c r="AN263" s="107" t="s">
        <v>1906</v>
      </c>
      <c r="AO263" s="106">
        <f>36.84*0.39</f>
        <v>14.367600000000001</v>
      </c>
      <c r="AP263" s="107" t="s">
        <v>1906</v>
      </c>
      <c r="AQ263" s="106">
        <f>36.84*0.39</f>
        <v>14.367600000000001</v>
      </c>
      <c r="AR263" s="106" t="s">
        <v>1906</v>
      </c>
      <c r="AS263" s="106">
        <f>36.84*0.39</f>
        <v>14.367600000000001</v>
      </c>
      <c r="AT263" s="107" t="s">
        <v>1906</v>
      </c>
      <c r="AU263" s="106">
        <f t="shared" si="10"/>
        <v>110.09699999999998</v>
      </c>
      <c r="AV263" s="25">
        <v>7.6600000000000001E-2</v>
      </c>
      <c r="AW263" s="30" t="str">
        <f t="shared" si="11"/>
        <v>95-70</v>
      </c>
      <c r="AX263" s="30" t="s">
        <v>1907</v>
      </c>
      <c r="AY263" s="30">
        <v>0</v>
      </c>
      <c r="AZ263" s="30">
        <v>0</v>
      </c>
    </row>
    <row r="264" spans="1:52" ht="31.2" x14ac:dyDescent="0.3">
      <c r="A264" s="103">
        <v>254</v>
      </c>
      <c r="B264" s="30" t="s">
        <v>873</v>
      </c>
      <c r="C264" s="30" t="s">
        <v>1899</v>
      </c>
      <c r="D264" s="105" t="s">
        <v>1900</v>
      </c>
      <c r="E264" s="108" t="s">
        <v>1901</v>
      </c>
      <c r="F264" s="30" t="s">
        <v>1902</v>
      </c>
      <c r="G264" s="26" t="s">
        <v>145</v>
      </c>
      <c r="H264" s="24" t="s">
        <v>146</v>
      </c>
      <c r="I264" s="25">
        <v>1</v>
      </c>
      <c r="J264" s="24" t="s">
        <v>1903</v>
      </c>
      <c r="K264" s="24">
        <v>32</v>
      </c>
      <c r="L264" s="24">
        <v>5</v>
      </c>
      <c r="M264" s="24" t="str">
        <f t="shared" si="9"/>
        <v>95-70</v>
      </c>
      <c r="N264" s="24" t="s">
        <v>529</v>
      </c>
      <c r="O264" s="24" t="s">
        <v>529</v>
      </c>
      <c r="P264" s="24">
        <v>1</v>
      </c>
      <c r="Q264" s="102">
        <v>0</v>
      </c>
      <c r="R264" s="30" t="s">
        <v>1905</v>
      </c>
      <c r="S264" s="24">
        <v>0</v>
      </c>
      <c r="T264" s="24"/>
      <c r="U264" s="94">
        <f>381.44*0.04</f>
        <v>15.2576</v>
      </c>
      <c r="V264" s="94">
        <f>283.81*0.04</f>
        <v>11.352400000000001</v>
      </c>
      <c r="W264" s="106">
        <f>38.84*0.04</f>
        <v>1.5536000000000001</v>
      </c>
      <c r="X264" s="107" t="s">
        <v>1906</v>
      </c>
      <c r="Y264" s="106">
        <f>38.66*0.04</f>
        <v>1.5464</v>
      </c>
      <c r="Z264" s="107" t="s">
        <v>1906</v>
      </c>
      <c r="AA264" s="106">
        <f>38.66*0.04</f>
        <v>1.5464</v>
      </c>
      <c r="AB264" s="107" t="s">
        <v>1906</v>
      </c>
      <c r="AC264" s="106">
        <f>38.66*0.04</f>
        <v>1.5464</v>
      </c>
      <c r="AD264" s="107" t="s">
        <v>1906</v>
      </c>
      <c r="AE264" s="106">
        <f>12.47*0.04</f>
        <v>0.49880000000000002</v>
      </c>
      <c r="AF264" s="107" t="s">
        <v>1906</v>
      </c>
      <c r="AG264" s="106">
        <v>0</v>
      </c>
      <c r="AH264" s="107" t="s">
        <v>1906</v>
      </c>
      <c r="AI264" s="106">
        <v>0</v>
      </c>
      <c r="AJ264" s="107" t="s">
        <v>1906</v>
      </c>
      <c r="AK264" s="106">
        <v>0</v>
      </c>
      <c r="AL264" s="107" t="s">
        <v>1906</v>
      </c>
      <c r="AM264" s="106">
        <f>4.49*0.04</f>
        <v>0.17960000000000001</v>
      </c>
      <c r="AN264" s="107" t="s">
        <v>1906</v>
      </c>
      <c r="AO264" s="106">
        <f>36.84*0.04</f>
        <v>1.4736000000000002</v>
      </c>
      <c r="AP264" s="107" t="s">
        <v>1906</v>
      </c>
      <c r="AQ264" s="106">
        <f>36.84*0.04</f>
        <v>1.4736000000000002</v>
      </c>
      <c r="AR264" s="106" t="s">
        <v>1906</v>
      </c>
      <c r="AS264" s="106">
        <f>36.84*0.04</f>
        <v>1.4736000000000002</v>
      </c>
      <c r="AT264" s="107" t="s">
        <v>1906</v>
      </c>
      <c r="AU264" s="106">
        <f t="shared" si="10"/>
        <v>11.292000000000002</v>
      </c>
      <c r="AV264" s="25">
        <v>1.1599999999999999E-2</v>
      </c>
      <c r="AW264" s="30" t="str">
        <f t="shared" si="11"/>
        <v>95-70</v>
      </c>
      <c r="AX264" s="30" t="s">
        <v>1907</v>
      </c>
      <c r="AY264" s="30">
        <v>0</v>
      </c>
      <c r="AZ264" s="30">
        <v>0</v>
      </c>
    </row>
    <row r="265" spans="1:52" ht="31.2" x14ac:dyDescent="0.3">
      <c r="A265" s="103">
        <v>255</v>
      </c>
      <c r="B265" s="30" t="s">
        <v>875</v>
      </c>
      <c r="C265" s="30" t="s">
        <v>1899</v>
      </c>
      <c r="D265" s="105" t="s">
        <v>1900</v>
      </c>
      <c r="E265" s="108" t="s">
        <v>1901</v>
      </c>
      <c r="F265" s="30" t="s">
        <v>1902</v>
      </c>
      <c r="G265" s="26" t="s">
        <v>145</v>
      </c>
      <c r="H265" s="24" t="s">
        <v>146</v>
      </c>
      <c r="I265" s="25">
        <v>1</v>
      </c>
      <c r="J265" s="24" t="s">
        <v>1903</v>
      </c>
      <c r="K265" s="24">
        <v>32</v>
      </c>
      <c r="L265" s="24">
        <v>5</v>
      </c>
      <c r="M265" s="24" t="str">
        <f t="shared" si="9"/>
        <v>95-70</v>
      </c>
      <c r="N265" s="24" t="s">
        <v>529</v>
      </c>
      <c r="O265" s="24" t="s">
        <v>529</v>
      </c>
      <c r="P265" s="24">
        <v>1</v>
      </c>
      <c r="Q265" s="102">
        <v>0</v>
      </c>
      <c r="R265" s="30" t="s">
        <v>1905</v>
      </c>
      <c r="S265" s="24">
        <v>0</v>
      </c>
      <c r="T265" s="24"/>
      <c r="U265" s="94">
        <f>381.44*0.57</f>
        <v>217.42079999999999</v>
      </c>
      <c r="V265" s="94">
        <f>283.81*0.57</f>
        <v>161.77169999999998</v>
      </c>
      <c r="W265" s="106">
        <f>38.84*0.57</f>
        <v>22.1388</v>
      </c>
      <c r="X265" s="107" t="s">
        <v>1906</v>
      </c>
      <c r="Y265" s="106">
        <f>38.66*0.57</f>
        <v>22.036199999999997</v>
      </c>
      <c r="Z265" s="107" t="s">
        <v>1906</v>
      </c>
      <c r="AA265" s="106">
        <f>38.66*0.57</f>
        <v>22.036199999999997</v>
      </c>
      <c r="AB265" s="107" t="s">
        <v>1906</v>
      </c>
      <c r="AC265" s="106">
        <f>38.66*0.57</f>
        <v>22.036199999999997</v>
      </c>
      <c r="AD265" s="107" t="s">
        <v>1906</v>
      </c>
      <c r="AE265" s="106">
        <f>12.47*0.57</f>
        <v>7.1078999999999999</v>
      </c>
      <c r="AF265" s="107" t="s">
        <v>1906</v>
      </c>
      <c r="AG265" s="106">
        <v>0</v>
      </c>
      <c r="AH265" s="107" t="s">
        <v>1906</v>
      </c>
      <c r="AI265" s="106">
        <v>0</v>
      </c>
      <c r="AJ265" s="107" t="s">
        <v>1906</v>
      </c>
      <c r="AK265" s="106">
        <v>0</v>
      </c>
      <c r="AL265" s="107" t="s">
        <v>1906</v>
      </c>
      <c r="AM265" s="106">
        <f>4.49*0.57</f>
        <v>2.5592999999999999</v>
      </c>
      <c r="AN265" s="107" t="s">
        <v>1906</v>
      </c>
      <c r="AO265" s="106">
        <f>36.84*0.57</f>
        <v>20.998799999999999</v>
      </c>
      <c r="AP265" s="107" t="s">
        <v>1906</v>
      </c>
      <c r="AQ265" s="106">
        <f>36.84*0.57</f>
        <v>20.998799999999999</v>
      </c>
      <c r="AR265" s="106" t="s">
        <v>1906</v>
      </c>
      <c r="AS265" s="106">
        <f>36.84*0.57</f>
        <v>20.998799999999999</v>
      </c>
      <c r="AT265" s="107" t="s">
        <v>1906</v>
      </c>
      <c r="AU265" s="106">
        <f t="shared" si="10"/>
        <v>160.91099999999997</v>
      </c>
      <c r="AV265" s="25">
        <v>8.8599999999999998E-2</v>
      </c>
      <c r="AW265" s="30" t="str">
        <f t="shared" si="11"/>
        <v>95-70</v>
      </c>
      <c r="AX265" s="30" t="s">
        <v>1907</v>
      </c>
      <c r="AY265" s="30">
        <v>0</v>
      </c>
      <c r="AZ265" s="30">
        <v>0</v>
      </c>
    </row>
    <row r="266" spans="1:52" ht="31.2" x14ac:dyDescent="0.3">
      <c r="A266" s="103">
        <v>256</v>
      </c>
      <c r="B266" s="30" t="s">
        <v>876</v>
      </c>
      <c r="C266" s="30" t="s">
        <v>1899</v>
      </c>
      <c r="D266" s="105" t="s">
        <v>1900</v>
      </c>
      <c r="E266" s="108" t="s">
        <v>1901</v>
      </c>
      <c r="F266" s="30" t="s">
        <v>1902</v>
      </c>
      <c r="G266" s="26" t="s">
        <v>145</v>
      </c>
      <c r="H266" s="24" t="s">
        <v>146</v>
      </c>
      <c r="I266" s="25">
        <v>1</v>
      </c>
      <c r="J266" s="24" t="s">
        <v>1903</v>
      </c>
      <c r="K266" s="24">
        <v>32</v>
      </c>
      <c r="L266" s="24">
        <v>5</v>
      </c>
      <c r="M266" s="24" t="str">
        <f t="shared" si="9"/>
        <v>95-70</v>
      </c>
      <c r="N266" s="24" t="s">
        <v>529</v>
      </c>
      <c r="O266" s="24" t="s">
        <v>529</v>
      </c>
      <c r="P266" s="24">
        <v>1</v>
      </c>
      <c r="Q266" s="102">
        <v>0</v>
      </c>
      <c r="R266" s="30" t="s">
        <v>1905</v>
      </c>
      <c r="S266" s="24">
        <v>0</v>
      </c>
      <c r="T266" s="24"/>
      <c r="U266" s="94">
        <f>335.15*0.4</f>
        <v>134.06</v>
      </c>
      <c r="V266" s="94">
        <f>251.59*0.4</f>
        <v>100.63600000000001</v>
      </c>
      <c r="W266" s="106">
        <f>33.32*0.4</f>
        <v>13.328000000000001</v>
      </c>
      <c r="X266" s="107" t="s">
        <v>1906</v>
      </c>
      <c r="Y266" s="106">
        <f>33.32*0.4</f>
        <v>13.328000000000001</v>
      </c>
      <c r="Z266" s="107" t="s">
        <v>1906</v>
      </c>
      <c r="AA266" s="106">
        <f>33.32*0.4</f>
        <v>13.328000000000001</v>
      </c>
      <c r="AB266" s="107" t="s">
        <v>1906</v>
      </c>
      <c r="AC266" s="106">
        <f>33.32*0.4</f>
        <v>13.328000000000001</v>
      </c>
      <c r="AD266" s="107" t="s">
        <v>1906</v>
      </c>
      <c r="AE266" s="106">
        <f>10.76*0.4</f>
        <v>4.3040000000000003</v>
      </c>
      <c r="AF266" s="107" t="s">
        <v>1906</v>
      </c>
      <c r="AG266" s="106">
        <v>0</v>
      </c>
      <c r="AH266" s="107" t="s">
        <v>1906</v>
      </c>
      <c r="AI266" s="106">
        <v>0</v>
      </c>
      <c r="AJ266" s="107" t="s">
        <v>1906</v>
      </c>
      <c r="AK266" s="106">
        <v>0</v>
      </c>
      <c r="AL266" s="107" t="s">
        <v>1906</v>
      </c>
      <c r="AM266" s="106">
        <v>0</v>
      </c>
      <c r="AN266" s="107" t="s">
        <v>1906</v>
      </c>
      <c r="AO266" s="106">
        <f>30.1*0.4</f>
        <v>12.040000000000001</v>
      </c>
      <c r="AP266" s="107" t="s">
        <v>1906</v>
      </c>
      <c r="AQ266" s="106">
        <f>30.1*0.4</f>
        <v>12.040000000000001</v>
      </c>
      <c r="AR266" s="106" t="s">
        <v>1906</v>
      </c>
      <c r="AS266" s="106">
        <f>30.1*0.4</f>
        <v>12.040000000000001</v>
      </c>
      <c r="AT266" s="107" t="s">
        <v>1906</v>
      </c>
      <c r="AU266" s="106">
        <f t="shared" si="10"/>
        <v>93.736000000000018</v>
      </c>
      <c r="AV266" s="25">
        <v>8.2400000000000001E-2</v>
      </c>
      <c r="AW266" s="30" t="str">
        <f t="shared" si="11"/>
        <v>95-70</v>
      </c>
      <c r="AX266" s="30" t="s">
        <v>1907</v>
      </c>
      <c r="AY266" s="30">
        <v>0</v>
      </c>
      <c r="AZ266" s="30">
        <v>0</v>
      </c>
    </row>
    <row r="267" spans="1:52" ht="31.2" x14ac:dyDescent="0.3">
      <c r="A267" s="103">
        <v>257</v>
      </c>
      <c r="B267" s="30" t="s">
        <v>877</v>
      </c>
      <c r="C267" s="30" t="s">
        <v>1899</v>
      </c>
      <c r="D267" s="105" t="s">
        <v>1900</v>
      </c>
      <c r="E267" s="108" t="s">
        <v>1901</v>
      </c>
      <c r="F267" s="30" t="s">
        <v>1902</v>
      </c>
      <c r="G267" s="26" t="s">
        <v>145</v>
      </c>
      <c r="H267" s="24" t="s">
        <v>146</v>
      </c>
      <c r="I267" s="25">
        <v>1</v>
      </c>
      <c r="J267" s="24" t="s">
        <v>1903</v>
      </c>
      <c r="K267" s="24">
        <v>32</v>
      </c>
      <c r="L267" s="24">
        <v>5</v>
      </c>
      <c r="M267" s="24" t="str">
        <f t="shared" si="9"/>
        <v>95-70</v>
      </c>
      <c r="N267" s="24" t="s">
        <v>529</v>
      </c>
      <c r="O267" s="24" t="s">
        <v>529</v>
      </c>
      <c r="P267" s="24">
        <v>1</v>
      </c>
      <c r="Q267" s="102">
        <v>0</v>
      </c>
      <c r="R267" s="30" t="s">
        <v>1905</v>
      </c>
      <c r="S267" s="24">
        <v>0</v>
      </c>
      <c r="T267" s="24"/>
      <c r="U267" s="94">
        <f>335.15*0.6</f>
        <v>201.08999999999997</v>
      </c>
      <c r="V267" s="94">
        <f>251.59*0.6</f>
        <v>150.95400000000001</v>
      </c>
      <c r="W267" s="106">
        <f>33.32*0.6</f>
        <v>19.992000000000001</v>
      </c>
      <c r="X267" s="107" t="s">
        <v>1906</v>
      </c>
      <c r="Y267" s="106">
        <f>33.32*0.6</f>
        <v>19.992000000000001</v>
      </c>
      <c r="Z267" s="107" t="s">
        <v>1906</v>
      </c>
      <c r="AA267" s="106">
        <f>33.32*0.6</f>
        <v>19.992000000000001</v>
      </c>
      <c r="AB267" s="107" t="s">
        <v>1906</v>
      </c>
      <c r="AC267" s="106">
        <f>33.32*0.6</f>
        <v>19.992000000000001</v>
      </c>
      <c r="AD267" s="107" t="s">
        <v>1906</v>
      </c>
      <c r="AE267" s="106">
        <f>10.76*0.6</f>
        <v>6.4559999999999995</v>
      </c>
      <c r="AF267" s="107" t="s">
        <v>1906</v>
      </c>
      <c r="AG267" s="106">
        <v>0</v>
      </c>
      <c r="AH267" s="107" t="s">
        <v>1906</v>
      </c>
      <c r="AI267" s="106">
        <v>0</v>
      </c>
      <c r="AJ267" s="107" t="s">
        <v>1906</v>
      </c>
      <c r="AK267" s="106">
        <v>0</v>
      </c>
      <c r="AL267" s="107" t="s">
        <v>1906</v>
      </c>
      <c r="AM267" s="106">
        <v>0</v>
      </c>
      <c r="AN267" s="107" t="s">
        <v>1906</v>
      </c>
      <c r="AO267" s="106">
        <f>30.1*0.6</f>
        <v>18.059999999999999</v>
      </c>
      <c r="AP267" s="107" t="s">
        <v>1906</v>
      </c>
      <c r="AQ267" s="106">
        <f>30.1*0.6</f>
        <v>18.059999999999999</v>
      </c>
      <c r="AR267" s="106" t="s">
        <v>1906</v>
      </c>
      <c r="AS267" s="106">
        <f>30.1*0.6</f>
        <v>18.059999999999999</v>
      </c>
      <c r="AT267" s="107" t="s">
        <v>1906</v>
      </c>
      <c r="AU267" s="106">
        <f t="shared" si="10"/>
        <v>140.60400000000001</v>
      </c>
      <c r="AV267" s="25">
        <v>9.3200000000000005E-2</v>
      </c>
      <c r="AW267" s="30" t="str">
        <f t="shared" si="11"/>
        <v>95-70</v>
      </c>
      <c r="AX267" s="30" t="s">
        <v>1907</v>
      </c>
      <c r="AY267" s="30">
        <v>0</v>
      </c>
      <c r="AZ267" s="30">
        <v>0</v>
      </c>
    </row>
    <row r="268" spans="1:52" ht="31.2" x14ac:dyDescent="0.3">
      <c r="A268" s="103">
        <v>258</v>
      </c>
      <c r="B268" s="30" t="s">
        <v>878</v>
      </c>
      <c r="C268" s="30" t="s">
        <v>1899</v>
      </c>
      <c r="D268" s="105" t="s">
        <v>1900</v>
      </c>
      <c r="E268" s="108" t="s">
        <v>1901</v>
      </c>
      <c r="F268" s="30" t="s">
        <v>1902</v>
      </c>
      <c r="G268" s="26" t="s">
        <v>145</v>
      </c>
      <c r="H268" s="24" t="s">
        <v>146</v>
      </c>
      <c r="I268" s="25">
        <v>0</v>
      </c>
      <c r="J268" s="24" t="s">
        <v>1903</v>
      </c>
      <c r="K268" s="24">
        <v>32</v>
      </c>
      <c r="L268" s="24">
        <v>5</v>
      </c>
      <c r="M268" s="24" t="str">
        <f t="shared" si="9"/>
        <v>95-70</v>
      </c>
      <c r="N268" s="24" t="s">
        <v>529</v>
      </c>
      <c r="O268" s="24" t="s">
        <v>529</v>
      </c>
      <c r="P268" s="24">
        <v>0</v>
      </c>
      <c r="Q268" s="102">
        <v>0</v>
      </c>
      <c r="R268" s="30" t="s">
        <v>1905</v>
      </c>
      <c r="S268" s="24">
        <v>0</v>
      </c>
      <c r="T268" s="24"/>
      <c r="U268" s="94">
        <v>364.38000000000005</v>
      </c>
      <c r="V268" s="94">
        <v>321.02</v>
      </c>
      <c r="W268" s="106">
        <v>43.84</v>
      </c>
      <c r="X268" s="107" t="s">
        <v>1906</v>
      </c>
      <c r="Y268" s="106">
        <v>43.84</v>
      </c>
      <c r="Z268" s="107" t="s">
        <v>1906</v>
      </c>
      <c r="AA268" s="106">
        <v>43.84</v>
      </c>
      <c r="AB268" s="107" t="s">
        <v>1906</v>
      </c>
      <c r="AC268" s="106">
        <v>43.84</v>
      </c>
      <c r="AD268" s="107" t="s">
        <v>1906</v>
      </c>
      <c r="AE268" s="106">
        <v>14.139999999999999</v>
      </c>
      <c r="AF268" s="107" t="s">
        <v>1906</v>
      </c>
      <c r="AG268" s="106">
        <v>0</v>
      </c>
      <c r="AH268" s="107" t="s">
        <v>1906</v>
      </c>
      <c r="AI268" s="106">
        <v>0</v>
      </c>
      <c r="AJ268" s="107" t="s">
        <v>1906</v>
      </c>
      <c r="AK268" s="106">
        <v>0</v>
      </c>
      <c r="AL268" s="107" t="s">
        <v>1906</v>
      </c>
      <c r="AM268" s="106">
        <v>9.89</v>
      </c>
      <c r="AN268" s="107" t="s">
        <v>1906</v>
      </c>
      <c r="AO268" s="106">
        <v>42.410000000000004</v>
      </c>
      <c r="AP268" s="107" t="s">
        <v>1906</v>
      </c>
      <c r="AQ268" s="106">
        <v>42.410000000000004</v>
      </c>
      <c r="AR268" s="106" t="s">
        <v>1906</v>
      </c>
      <c r="AS268" s="106">
        <v>42.410000000000004</v>
      </c>
      <c r="AT268" s="107" t="s">
        <v>1906</v>
      </c>
      <c r="AU268" s="106">
        <f t="shared" si="10"/>
        <v>326.62</v>
      </c>
      <c r="AV268" s="25">
        <v>0.1696</v>
      </c>
      <c r="AW268" s="30" t="str">
        <f t="shared" si="11"/>
        <v>95-70</v>
      </c>
      <c r="AX268" s="30" t="s">
        <v>1907</v>
      </c>
      <c r="AY268" s="30">
        <v>0</v>
      </c>
      <c r="AZ268" s="30">
        <v>0</v>
      </c>
    </row>
    <row r="269" spans="1:52" ht="31.2" x14ac:dyDescent="0.3">
      <c r="A269" s="103">
        <v>259</v>
      </c>
      <c r="B269" s="30" t="s">
        <v>879</v>
      </c>
      <c r="C269" s="30" t="s">
        <v>1899</v>
      </c>
      <c r="D269" s="105" t="s">
        <v>1900</v>
      </c>
      <c r="E269" s="108" t="s">
        <v>1901</v>
      </c>
      <c r="F269" s="30" t="s">
        <v>1902</v>
      </c>
      <c r="G269" s="26" t="s">
        <v>145</v>
      </c>
      <c r="H269" s="24" t="s">
        <v>146</v>
      </c>
      <c r="I269" s="25">
        <v>0</v>
      </c>
      <c r="J269" s="24" t="s">
        <v>1903</v>
      </c>
      <c r="K269" s="24">
        <v>32</v>
      </c>
      <c r="L269" s="24">
        <v>5</v>
      </c>
      <c r="M269" s="24" t="str">
        <f t="shared" ref="M269:M332" si="12">M268</f>
        <v>95-70</v>
      </c>
      <c r="N269" s="24" t="s">
        <v>529</v>
      </c>
      <c r="O269" s="24" t="s">
        <v>529</v>
      </c>
      <c r="P269" s="24">
        <v>0</v>
      </c>
      <c r="Q269" s="102">
        <v>0</v>
      </c>
      <c r="R269" s="30" t="s">
        <v>1905</v>
      </c>
      <c r="S269" s="24">
        <v>0</v>
      </c>
      <c r="T269" s="24"/>
      <c r="U269" s="94">
        <v>155.35</v>
      </c>
      <c r="V269" s="94">
        <v>161.32000000000002</v>
      </c>
      <c r="W269" s="106">
        <v>22.029999999999998</v>
      </c>
      <c r="X269" s="107" t="s">
        <v>1906</v>
      </c>
      <c r="Y269" s="106">
        <v>22.029999999999998</v>
      </c>
      <c r="Z269" s="107" t="s">
        <v>1906</v>
      </c>
      <c r="AA269" s="106">
        <v>22.029999999999998</v>
      </c>
      <c r="AB269" s="107" t="s">
        <v>1906</v>
      </c>
      <c r="AC269" s="106">
        <v>22.029999999999998</v>
      </c>
      <c r="AD269" s="107" t="s">
        <v>1906</v>
      </c>
      <c r="AE269" s="106">
        <v>7.1099999999999994</v>
      </c>
      <c r="AF269" s="107" t="s">
        <v>1906</v>
      </c>
      <c r="AG269" s="106">
        <v>0</v>
      </c>
      <c r="AH269" s="107" t="s">
        <v>1906</v>
      </c>
      <c r="AI269" s="106">
        <v>0</v>
      </c>
      <c r="AJ269" s="107" t="s">
        <v>1906</v>
      </c>
      <c r="AK269" s="106">
        <v>0</v>
      </c>
      <c r="AL269" s="107" t="s">
        <v>1906</v>
      </c>
      <c r="AM269" s="106">
        <v>5.17</v>
      </c>
      <c r="AN269" s="107" t="s">
        <v>1906</v>
      </c>
      <c r="AO269" s="106">
        <v>22.15</v>
      </c>
      <c r="AP269" s="107" t="s">
        <v>1906</v>
      </c>
      <c r="AQ269" s="106">
        <v>22.15</v>
      </c>
      <c r="AR269" s="106" t="s">
        <v>1906</v>
      </c>
      <c r="AS269" s="106">
        <v>22.15</v>
      </c>
      <c r="AT269" s="107" t="s">
        <v>1906</v>
      </c>
      <c r="AU269" s="106">
        <f t="shared" ref="AU269:AU332" si="13">W269+Y269+AA269+AC269+AE269+AG269+AI269+AK269+AM269+AO269+AQ269+AS269</f>
        <v>166.85</v>
      </c>
      <c r="AV269" s="25">
        <v>8.1299999999999997E-2</v>
      </c>
      <c r="AW269" s="30" t="str">
        <f t="shared" ref="AW269:AW332" si="14">AW268</f>
        <v>95-70</v>
      </c>
      <c r="AX269" s="30" t="s">
        <v>1907</v>
      </c>
      <c r="AY269" s="30">
        <v>0</v>
      </c>
      <c r="AZ269" s="30">
        <v>0</v>
      </c>
    </row>
    <row r="270" spans="1:52" ht="31.2" x14ac:dyDescent="0.3">
      <c r="A270" s="103">
        <v>260</v>
      </c>
      <c r="B270" s="30" t="s">
        <v>880</v>
      </c>
      <c r="C270" s="30" t="s">
        <v>1899</v>
      </c>
      <c r="D270" s="105" t="s">
        <v>1900</v>
      </c>
      <c r="E270" s="108" t="s">
        <v>1901</v>
      </c>
      <c r="F270" s="30" t="s">
        <v>1902</v>
      </c>
      <c r="G270" s="26" t="s">
        <v>145</v>
      </c>
      <c r="H270" s="24" t="s">
        <v>146</v>
      </c>
      <c r="I270" s="25">
        <v>1</v>
      </c>
      <c r="J270" s="24" t="s">
        <v>1903</v>
      </c>
      <c r="K270" s="24">
        <v>50</v>
      </c>
      <c r="L270" s="24">
        <v>5</v>
      </c>
      <c r="M270" s="24" t="str">
        <f t="shared" si="12"/>
        <v>95-70</v>
      </c>
      <c r="N270" s="24" t="s">
        <v>529</v>
      </c>
      <c r="O270" s="24" t="s">
        <v>529</v>
      </c>
      <c r="P270" s="24">
        <v>1</v>
      </c>
      <c r="Q270" s="102">
        <v>0</v>
      </c>
      <c r="R270" s="30" t="s">
        <v>1905</v>
      </c>
      <c r="S270" s="24">
        <v>0</v>
      </c>
      <c r="T270" s="24"/>
      <c r="U270" s="94">
        <v>603.05000000000007</v>
      </c>
      <c r="V270" s="94">
        <v>744.78</v>
      </c>
      <c r="W270" s="106">
        <v>157.12</v>
      </c>
      <c r="X270" s="107" t="s">
        <v>208</v>
      </c>
      <c r="Y270" s="106">
        <v>89.35</v>
      </c>
      <c r="Z270" s="107" t="s">
        <v>208</v>
      </c>
      <c r="AA270" s="106">
        <v>135.14000000000001</v>
      </c>
      <c r="AB270" s="107" t="s">
        <v>208</v>
      </c>
      <c r="AC270" s="106">
        <v>111.9</v>
      </c>
      <c r="AD270" s="107" t="s">
        <v>208</v>
      </c>
      <c r="AE270" s="106">
        <v>28.31</v>
      </c>
      <c r="AF270" s="107" t="s">
        <v>208</v>
      </c>
      <c r="AG270" s="106">
        <v>0</v>
      </c>
      <c r="AH270" s="107" t="s">
        <v>208</v>
      </c>
      <c r="AI270" s="106">
        <v>0</v>
      </c>
      <c r="AJ270" s="107" t="s">
        <v>208</v>
      </c>
      <c r="AK270" s="106">
        <v>0</v>
      </c>
      <c r="AL270" s="107" t="s">
        <v>208</v>
      </c>
      <c r="AM270" s="106">
        <v>0</v>
      </c>
      <c r="AN270" s="107" t="s">
        <v>208</v>
      </c>
      <c r="AO270" s="106">
        <v>44.419999999999995</v>
      </c>
      <c r="AP270" s="107" t="s">
        <v>208</v>
      </c>
      <c r="AQ270" s="106">
        <v>66.67</v>
      </c>
      <c r="AR270" s="106" t="s">
        <v>208</v>
      </c>
      <c r="AS270" s="106">
        <v>96.410000000000011</v>
      </c>
      <c r="AT270" s="107" t="s">
        <v>208</v>
      </c>
      <c r="AU270" s="106">
        <f t="shared" si="13"/>
        <v>729.31999999999982</v>
      </c>
      <c r="AV270" s="25">
        <v>0.27479999999999999</v>
      </c>
      <c r="AW270" s="30" t="str">
        <f t="shared" si="14"/>
        <v>95-70</v>
      </c>
      <c r="AX270" s="30" t="s">
        <v>1907</v>
      </c>
      <c r="AY270" s="30">
        <v>0</v>
      </c>
      <c r="AZ270" s="30">
        <v>0</v>
      </c>
    </row>
    <row r="271" spans="1:52" ht="31.2" x14ac:dyDescent="0.3">
      <c r="A271" s="103">
        <v>261</v>
      </c>
      <c r="B271" s="30" t="s">
        <v>882</v>
      </c>
      <c r="C271" s="30" t="s">
        <v>1899</v>
      </c>
      <c r="D271" s="105" t="s">
        <v>1900</v>
      </c>
      <c r="E271" s="108" t="s">
        <v>1901</v>
      </c>
      <c r="F271" s="30" t="s">
        <v>1902</v>
      </c>
      <c r="G271" s="26" t="s">
        <v>145</v>
      </c>
      <c r="H271" s="24" t="s">
        <v>146</v>
      </c>
      <c r="I271" s="25">
        <v>1</v>
      </c>
      <c r="J271" s="24" t="s">
        <v>1903</v>
      </c>
      <c r="K271" s="24">
        <v>80</v>
      </c>
      <c r="L271" s="24">
        <v>5</v>
      </c>
      <c r="M271" s="24" t="str">
        <f t="shared" si="12"/>
        <v>95-70</v>
      </c>
      <c r="N271" s="24" t="s">
        <v>529</v>
      </c>
      <c r="O271" s="24" t="s">
        <v>529</v>
      </c>
      <c r="P271" s="24">
        <v>1</v>
      </c>
      <c r="Q271" s="102">
        <v>0</v>
      </c>
      <c r="R271" s="30" t="s">
        <v>1905</v>
      </c>
      <c r="S271" s="24">
        <v>0</v>
      </c>
      <c r="T271" s="24"/>
      <c r="U271" s="94">
        <v>932.15000000000009</v>
      </c>
      <c r="V271" s="94">
        <v>1029.4000000000001</v>
      </c>
      <c r="W271" s="106">
        <v>192.3</v>
      </c>
      <c r="X271" s="107" t="s">
        <v>208</v>
      </c>
      <c r="Y271" s="106">
        <v>126.47</v>
      </c>
      <c r="Z271" s="107" t="s">
        <v>208</v>
      </c>
      <c r="AA271" s="106">
        <v>187.78</v>
      </c>
      <c r="AB271" s="107" t="s">
        <v>208</v>
      </c>
      <c r="AC271" s="106">
        <v>147.94</v>
      </c>
      <c r="AD271" s="107" t="s">
        <v>208</v>
      </c>
      <c r="AE271" s="106">
        <v>44.61</v>
      </c>
      <c r="AF271" s="107" t="s">
        <v>208</v>
      </c>
      <c r="AG271" s="106">
        <v>0</v>
      </c>
      <c r="AH271" s="107" t="s">
        <v>208</v>
      </c>
      <c r="AI271" s="106">
        <v>0</v>
      </c>
      <c r="AJ271" s="107" t="s">
        <v>208</v>
      </c>
      <c r="AK271" s="106">
        <v>0</v>
      </c>
      <c r="AL271" s="107" t="s">
        <v>208</v>
      </c>
      <c r="AM271" s="106">
        <v>0</v>
      </c>
      <c r="AN271" s="107" t="s">
        <v>208</v>
      </c>
      <c r="AO271" s="106">
        <v>75.41</v>
      </c>
      <c r="AP271" s="107" t="s">
        <v>208</v>
      </c>
      <c r="AQ271" s="106">
        <v>87.21</v>
      </c>
      <c r="AR271" s="106" t="s">
        <v>208</v>
      </c>
      <c r="AS271" s="106">
        <v>122.09</v>
      </c>
      <c r="AT271" s="107" t="s">
        <v>208</v>
      </c>
      <c r="AU271" s="106">
        <f t="shared" si="13"/>
        <v>983.81000000000006</v>
      </c>
      <c r="AV271" s="25">
        <v>0.48780000000000001</v>
      </c>
      <c r="AW271" s="30" t="str">
        <f t="shared" si="14"/>
        <v>95-70</v>
      </c>
      <c r="AX271" s="30" t="s">
        <v>1907</v>
      </c>
      <c r="AY271" s="30">
        <v>0</v>
      </c>
      <c r="AZ271" s="30">
        <v>0</v>
      </c>
    </row>
    <row r="272" spans="1:52" ht="31.2" x14ac:dyDescent="0.3">
      <c r="A272" s="103">
        <v>262</v>
      </c>
      <c r="B272" s="30" t="s">
        <v>883</v>
      </c>
      <c r="C272" s="30" t="s">
        <v>1899</v>
      </c>
      <c r="D272" s="105" t="s">
        <v>1900</v>
      </c>
      <c r="E272" s="108" t="s">
        <v>1901</v>
      </c>
      <c r="F272" s="30" t="s">
        <v>1902</v>
      </c>
      <c r="G272" s="26" t="s">
        <v>145</v>
      </c>
      <c r="H272" s="24" t="s">
        <v>146</v>
      </c>
      <c r="I272" s="25">
        <v>1</v>
      </c>
      <c r="J272" s="24" t="s">
        <v>1903</v>
      </c>
      <c r="K272" s="24">
        <v>32</v>
      </c>
      <c r="L272" s="24">
        <v>5</v>
      </c>
      <c r="M272" s="24" t="str">
        <f t="shared" si="12"/>
        <v>95-70</v>
      </c>
      <c r="N272" s="24" t="s">
        <v>529</v>
      </c>
      <c r="O272" s="24" t="s">
        <v>529</v>
      </c>
      <c r="P272" s="24">
        <v>1</v>
      </c>
      <c r="Q272" s="102">
        <v>0</v>
      </c>
      <c r="R272" s="30" t="s">
        <v>1905</v>
      </c>
      <c r="S272" s="24">
        <v>0</v>
      </c>
      <c r="T272" s="24"/>
      <c r="U272" s="94">
        <v>490.82</v>
      </c>
      <c r="V272" s="94">
        <v>290.7</v>
      </c>
      <c r="W272" s="106">
        <v>39.700000000000003</v>
      </c>
      <c r="X272" s="107" t="s">
        <v>1906</v>
      </c>
      <c r="Y272" s="106">
        <v>39.700000000000003</v>
      </c>
      <c r="Z272" s="107" t="s">
        <v>1906</v>
      </c>
      <c r="AA272" s="106">
        <v>39.700000000000003</v>
      </c>
      <c r="AB272" s="107" t="s">
        <v>1906</v>
      </c>
      <c r="AC272" s="106">
        <v>39.700000000000003</v>
      </c>
      <c r="AD272" s="107" t="s">
        <v>1906</v>
      </c>
      <c r="AE272" s="106">
        <v>12.8</v>
      </c>
      <c r="AF272" s="107" t="s">
        <v>1906</v>
      </c>
      <c r="AG272" s="106">
        <v>0</v>
      </c>
      <c r="AH272" s="107" t="s">
        <v>1906</v>
      </c>
      <c r="AI272" s="106">
        <v>0</v>
      </c>
      <c r="AJ272" s="107" t="s">
        <v>1906</v>
      </c>
      <c r="AK272" s="106">
        <v>0</v>
      </c>
      <c r="AL272" s="107" t="s">
        <v>1906</v>
      </c>
      <c r="AM272" s="106">
        <v>9.4700000000000006</v>
      </c>
      <c r="AN272" s="107" t="s">
        <v>1906</v>
      </c>
      <c r="AO272" s="106">
        <v>40.590000000000003</v>
      </c>
      <c r="AP272" s="107" t="s">
        <v>1906</v>
      </c>
      <c r="AQ272" s="106">
        <v>40.590000000000003</v>
      </c>
      <c r="AR272" s="106" t="s">
        <v>1906</v>
      </c>
      <c r="AS272" s="106">
        <v>40.590000000000003</v>
      </c>
      <c r="AT272" s="107" t="s">
        <v>1906</v>
      </c>
      <c r="AU272" s="106">
        <f t="shared" si="13"/>
        <v>302.84000000000003</v>
      </c>
      <c r="AV272" s="25">
        <v>0.2351</v>
      </c>
      <c r="AW272" s="30" t="str">
        <f t="shared" si="14"/>
        <v>95-70</v>
      </c>
      <c r="AX272" s="30" t="s">
        <v>1907</v>
      </c>
      <c r="AY272" s="30">
        <v>0</v>
      </c>
      <c r="AZ272" s="30">
        <v>0</v>
      </c>
    </row>
    <row r="273" spans="1:52" ht="31.2" x14ac:dyDescent="0.3">
      <c r="A273" s="103">
        <v>263</v>
      </c>
      <c r="B273" s="30" t="s">
        <v>884</v>
      </c>
      <c r="C273" s="30" t="s">
        <v>1899</v>
      </c>
      <c r="D273" s="105" t="s">
        <v>1900</v>
      </c>
      <c r="E273" s="108" t="s">
        <v>1901</v>
      </c>
      <c r="F273" s="30" t="s">
        <v>1902</v>
      </c>
      <c r="G273" s="26" t="s">
        <v>145</v>
      </c>
      <c r="H273" s="24" t="s">
        <v>146</v>
      </c>
      <c r="I273" s="25">
        <v>1</v>
      </c>
      <c r="J273" s="24" t="s">
        <v>1903</v>
      </c>
      <c r="K273" s="24">
        <v>32</v>
      </c>
      <c r="L273" s="24">
        <v>5</v>
      </c>
      <c r="M273" s="24" t="str">
        <f t="shared" si="12"/>
        <v>95-70</v>
      </c>
      <c r="N273" s="24" t="s">
        <v>529</v>
      </c>
      <c r="O273" s="24" t="s">
        <v>529</v>
      </c>
      <c r="P273" s="24">
        <v>1</v>
      </c>
      <c r="Q273" s="102">
        <v>0</v>
      </c>
      <c r="R273" s="30" t="s">
        <v>1905</v>
      </c>
      <c r="S273" s="24">
        <v>0</v>
      </c>
      <c r="T273" s="24"/>
      <c r="U273" s="94">
        <v>799.34999999999991</v>
      </c>
      <c r="V273" s="94">
        <v>890.43000000000006</v>
      </c>
      <c r="W273" s="106">
        <v>121.6</v>
      </c>
      <c r="X273" s="107" t="s">
        <v>1906</v>
      </c>
      <c r="Y273" s="106">
        <v>121.6</v>
      </c>
      <c r="Z273" s="107" t="s">
        <v>1906</v>
      </c>
      <c r="AA273" s="106">
        <v>121.6</v>
      </c>
      <c r="AB273" s="107" t="s">
        <v>1906</v>
      </c>
      <c r="AC273" s="106">
        <v>121.6</v>
      </c>
      <c r="AD273" s="107" t="s">
        <v>1906</v>
      </c>
      <c r="AE273" s="106">
        <v>39.230000000000004</v>
      </c>
      <c r="AF273" s="107" t="s">
        <v>1906</v>
      </c>
      <c r="AG273" s="106">
        <v>0</v>
      </c>
      <c r="AH273" s="107" t="s">
        <v>1906</v>
      </c>
      <c r="AI273" s="106">
        <v>0</v>
      </c>
      <c r="AJ273" s="107" t="s">
        <v>1906</v>
      </c>
      <c r="AK273" s="106">
        <v>0</v>
      </c>
      <c r="AL273" s="107" t="s">
        <v>1906</v>
      </c>
      <c r="AM273" s="106">
        <v>27.57</v>
      </c>
      <c r="AN273" s="107" t="s">
        <v>1906</v>
      </c>
      <c r="AO273" s="106">
        <v>118.15</v>
      </c>
      <c r="AP273" s="107" t="s">
        <v>1906</v>
      </c>
      <c r="AQ273" s="106">
        <v>118.15</v>
      </c>
      <c r="AR273" s="106" t="s">
        <v>1906</v>
      </c>
      <c r="AS273" s="106">
        <v>118.15</v>
      </c>
      <c r="AT273" s="107" t="s">
        <v>1906</v>
      </c>
      <c r="AU273" s="106">
        <f t="shared" si="13"/>
        <v>907.65</v>
      </c>
      <c r="AV273" s="25">
        <v>0.38290000000000002</v>
      </c>
      <c r="AW273" s="30" t="str">
        <f t="shared" si="14"/>
        <v>95-70</v>
      </c>
      <c r="AX273" s="30" t="s">
        <v>1907</v>
      </c>
      <c r="AY273" s="30">
        <v>0</v>
      </c>
      <c r="AZ273" s="30">
        <v>0</v>
      </c>
    </row>
    <row r="274" spans="1:52" ht="31.2" x14ac:dyDescent="0.3">
      <c r="A274" s="103">
        <v>264</v>
      </c>
      <c r="B274" s="30" t="s">
        <v>886</v>
      </c>
      <c r="C274" s="30" t="s">
        <v>1899</v>
      </c>
      <c r="D274" s="105" t="s">
        <v>1900</v>
      </c>
      <c r="E274" s="108" t="s">
        <v>1901</v>
      </c>
      <c r="F274" s="30" t="s">
        <v>1902</v>
      </c>
      <c r="G274" s="26" t="s">
        <v>145</v>
      </c>
      <c r="H274" s="24" t="s">
        <v>146</v>
      </c>
      <c r="I274" s="25">
        <v>1</v>
      </c>
      <c r="J274" s="24" t="s">
        <v>1903</v>
      </c>
      <c r="K274" s="24">
        <v>32</v>
      </c>
      <c r="L274" s="24">
        <v>5</v>
      </c>
      <c r="M274" s="24" t="str">
        <f t="shared" si="12"/>
        <v>95-70</v>
      </c>
      <c r="N274" s="24" t="s">
        <v>529</v>
      </c>
      <c r="O274" s="24" t="s">
        <v>529</v>
      </c>
      <c r="P274" s="24">
        <v>1</v>
      </c>
      <c r="Q274" s="102">
        <v>0</v>
      </c>
      <c r="R274" s="30" t="s">
        <v>1905</v>
      </c>
      <c r="S274" s="24">
        <v>0</v>
      </c>
      <c r="T274" s="24"/>
      <c r="U274" s="94">
        <v>548.32000000000005</v>
      </c>
      <c r="V274" s="94">
        <v>327.98</v>
      </c>
      <c r="W274" s="106">
        <v>44.79</v>
      </c>
      <c r="X274" s="107" t="s">
        <v>208</v>
      </c>
      <c r="Y274" s="106">
        <v>44.79</v>
      </c>
      <c r="Z274" s="107" t="s">
        <v>208</v>
      </c>
      <c r="AA274" s="106">
        <v>44.79</v>
      </c>
      <c r="AB274" s="107" t="s">
        <v>208</v>
      </c>
      <c r="AC274" s="106">
        <v>44.79</v>
      </c>
      <c r="AD274" s="107" t="s">
        <v>208</v>
      </c>
      <c r="AE274" s="106">
        <v>14.45</v>
      </c>
      <c r="AF274" s="107" t="s">
        <v>208</v>
      </c>
      <c r="AG274" s="106">
        <v>0</v>
      </c>
      <c r="AH274" s="107" t="s">
        <v>208</v>
      </c>
      <c r="AI274" s="106">
        <v>0</v>
      </c>
      <c r="AJ274" s="107" t="s">
        <v>208</v>
      </c>
      <c r="AK274" s="106">
        <v>0</v>
      </c>
      <c r="AL274" s="107" t="s">
        <v>208</v>
      </c>
      <c r="AM274" s="106">
        <v>0</v>
      </c>
      <c r="AN274" s="107" t="s">
        <v>208</v>
      </c>
      <c r="AO274" s="106">
        <v>39.36</v>
      </c>
      <c r="AP274" s="107" t="s">
        <v>208</v>
      </c>
      <c r="AQ274" s="106">
        <v>21.15</v>
      </c>
      <c r="AR274" s="106" t="s">
        <v>208</v>
      </c>
      <c r="AS274" s="106">
        <v>39.36</v>
      </c>
      <c r="AT274" s="107" t="s">
        <v>208</v>
      </c>
      <c r="AU274" s="106">
        <f t="shared" si="13"/>
        <v>293.47999999999996</v>
      </c>
      <c r="AV274" s="25">
        <v>0.29699999999999999</v>
      </c>
      <c r="AW274" s="30" t="str">
        <f t="shared" si="14"/>
        <v>95-70</v>
      </c>
      <c r="AX274" s="30" t="s">
        <v>1907</v>
      </c>
      <c r="AY274" s="30">
        <v>0</v>
      </c>
      <c r="AZ274" s="30">
        <v>0</v>
      </c>
    </row>
    <row r="275" spans="1:52" ht="31.2" x14ac:dyDescent="0.3">
      <c r="A275" s="103">
        <v>265</v>
      </c>
      <c r="B275" s="30" t="s">
        <v>888</v>
      </c>
      <c r="C275" s="30" t="s">
        <v>1899</v>
      </c>
      <c r="D275" s="105" t="s">
        <v>1900</v>
      </c>
      <c r="E275" s="108" t="s">
        <v>1910</v>
      </c>
      <c r="F275" s="30" t="s">
        <v>1902</v>
      </c>
      <c r="G275" s="26" t="s">
        <v>145</v>
      </c>
      <c r="H275" s="24" t="s">
        <v>146</v>
      </c>
      <c r="I275" s="25">
        <v>2</v>
      </c>
      <c r="J275" s="24" t="s">
        <v>1903</v>
      </c>
      <c r="K275" s="24" t="s">
        <v>1912</v>
      </c>
      <c r="L275" s="24">
        <v>5</v>
      </c>
      <c r="M275" s="24" t="str">
        <f t="shared" si="12"/>
        <v>95-70</v>
      </c>
      <c r="N275" s="24" t="s">
        <v>528</v>
      </c>
      <c r="O275" s="24" t="s">
        <v>529</v>
      </c>
      <c r="P275" s="24">
        <v>1</v>
      </c>
      <c r="Q275" s="102">
        <v>0</v>
      </c>
      <c r="R275" s="30" t="s">
        <v>1905</v>
      </c>
      <c r="S275" s="24">
        <v>0</v>
      </c>
      <c r="T275" s="24"/>
      <c r="U275" s="94">
        <f>3480.1*0.78</f>
        <v>2714.4780000000001</v>
      </c>
      <c r="V275" s="94">
        <f>1979.63*0.78</f>
        <v>1544.1114000000002</v>
      </c>
      <c r="W275" s="106">
        <f>246.78*0.78</f>
        <v>192.48840000000001</v>
      </c>
      <c r="X275" s="107" t="s">
        <v>208</v>
      </c>
      <c r="Y275" s="106">
        <f>175.79*0.78</f>
        <v>137.11619999999999</v>
      </c>
      <c r="Z275" s="107" t="s">
        <v>208</v>
      </c>
      <c r="AA275" s="106">
        <f>221.63*0.78</f>
        <v>172.87139999999999</v>
      </c>
      <c r="AB275" s="107" t="s">
        <v>208</v>
      </c>
      <c r="AC275" s="106">
        <f>180.76*0.78</f>
        <v>140.99279999999999</v>
      </c>
      <c r="AD275" s="107" t="s">
        <v>208</v>
      </c>
      <c r="AE275" s="106">
        <f>47.47*0.78</f>
        <v>37.026600000000002</v>
      </c>
      <c r="AF275" s="107" t="s">
        <v>208</v>
      </c>
      <c r="AG275" s="106">
        <v>0</v>
      </c>
      <c r="AH275" s="107" t="s">
        <v>208</v>
      </c>
      <c r="AI275" s="106">
        <v>0</v>
      </c>
      <c r="AJ275" s="107" t="s">
        <v>208</v>
      </c>
      <c r="AK275" s="106">
        <v>0</v>
      </c>
      <c r="AL275" s="107" t="s">
        <v>208</v>
      </c>
      <c r="AM275" s="106">
        <v>0</v>
      </c>
      <c r="AN275" s="107" t="s">
        <v>208</v>
      </c>
      <c r="AO275" s="106">
        <f>167.31*0.78</f>
        <v>130.5018</v>
      </c>
      <c r="AP275" s="107" t="s">
        <v>208</v>
      </c>
      <c r="AQ275" s="106">
        <f>68.92*0.78</f>
        <v>53.757600000000004</v>
      </c>
      <c r="AR275" s="106" t="s">
        <v>208</v>
      </c>
      <c r="AS275" s="106">
        <f>168.96*0.78</f>
        <v>131.78880000000001</v>
      </c>
      <c r="AT275" s="107" t="s">
        <v>208</v>
      </c>
      <c r="AU275" s="106">
        <f t="shared" si="13"/>
        <v>996.54360000000008</v>
      </c>
      <c r="AV275" s="25">
        <v>0.57689999999999997</v>
      </c>
      <c r="AW275" s="30" t="str">
        <f t="shared" si="14"/>
        <v>95-70</v>
      </c>
      <c r="AX275" s="30" t="s">
        <v>1907</v>
      </c>
      <c r="AY275" s="30">
        <v>0</v>
      </c>
      <c r="AZ275" s="30">
        <v>0</v>
      </c>
    </row>
    <row r="276" spans="1:52" ht="31.2" x14ac:dyDescent="0.3">
      <c r="A276" s="103">
        <v>266</v>
      </c>
      <c r="B276" s="30" t="s">
        <v>889</v>
      </c>
      <c r="C276" s="30" t="s">
        <v>1899</v>
      </c>
      <c r="D276" s="105" t="s">
        <v>1900</v>
      </c>
      <c r="E276" s="108" t="s">
        <v>1910</v>
      </c>
      <c r="F276" s="30" t="s">
        <v>1902</v>
      </c>
      <c r="G276" s="26" t="s">
        <v>145</v>
      </c>
      <c r="H276" s="24" t="s">
        <v>146</v>
      </c>
      <c r="I276" s="25">
        <v>1</v>
      </c>
      <c r="J276" s="24" t="s">
        <v>1903</v>
      </c>
      <c r="K276" s="24">
        <v>32.32</v>
      </c>
      <c r="L276" s="24">
        <v>5</v>
      </c>
      <c r="M276" s="24" t="str">
        <f t="shared" si="12"/>
        <v>95-70</v>
      </c>
      <c r="N276" s="24" t="s">
        <v>528</v>
      </c>
      <c r="O276" s="24" t="s">
        <v>529</v>
      </c>
      <c r="P276" s="24">
        <v>1</v>
      </c>
      <c r="Q276" s="102">
        <v>0</v>
      </c>
      <c r="R276" s="30" t="s">
        <v>1905</v>
      </c>
      <c r="S276" s="24">
        <v>0</v>
      </c>
      <c r="T276" s="24"/>
      <c r="U276" s="94">
        <f>3480.1*0.22</f>
        <v>765.62199999999996</v>
      </c>
      <c r="V276" s="94">
        <f>1979.63*0.22</f>
        <v>435.51860000000005</v>
      </c>
      <c r="W276" s="106">
        <f>246.78*0.22</f>
        <v>54.291600000000003</v>
      </c>
      <c r="X276" s="107" t="s">
        <v>208</v>
      </c>
      <c r="Y276" s="106">
        <f>175.79*0.22</f>
        <v>38.6738</v>
      </c>
      <c r="Z276" s="107" t="s">
        <v>208</v>
      </c>
      <c r="AA276" s="106">
        <f>221.63*0.22</f>
        <v>48.758600000000001</v>
      </c>
      <c r="AB276" s="107" t="s">
        <v>208</v>
      </c>
      <c r="AC276" s="106">
        <f>180.76*0.22</f>
        <v>39.767199999999995</v>
      </c>
      <c r="AD276" s="107" t="s">
        <v>208</v>
      </c>
      <c r="AE276" s="106">
        <f>47.47*0.22</f>
        <v>10.4434</v>
      </c>
      <c r="AF276" s="107" t="s">
        <v>208</v>
      </c>
      <c r="AG276" s="106">
        <v>0</v>
      </c>
      <c r="AH276" s="107" t="s">
        <v>208</v>
      </c>
      <c r="AI276" s="106">
        <v>0</v>
      </c>
      <c r="AJ276" s="107" t="s">
        <v>208</v>
      </c>
      <c r="AK276" s="106">
        <v>0</v>
      </c>
      <c r="AL276" s="107" t="s">
        <v>208</v>
      </c>
      <c r="AM276" s="106">
        <v>0</v>
      </c>
      <c r="AN276" s="107" t="s">
        <v>208</v>
      </c>
      <c r="AO276" s="106">
        <f>167.31*0.22</f>
        <v>36.808199999999999</v>
      </c>
      <c r="AP276" s="107" t="s">
        <v>208</v>
      </c>
      <c r="AQ276" s="106">
        <f>68.92*0.22</f>
        <v>15.1624</v>
      </c>
      <c r="AR276" s="106" t="s">
        <v>208</v>
      </c>
      <c r="AS276" s="106">
        <f>168.96*0.22</f>
        <v>37.171199999999999</v>
      </c>
      <c r="AT276" s="107" t="s">
        <v>208</v>
      </c>
      <c r="AU276" s="106">
        <f t="shared" si="13"/>
        <v>281.07639999999998</v>
      </c>
      <c r="AV276" s="25">
        <v>0.2001</v>
      </c>
      <c r="AW276" s="30" t="str">
        <f t="shared" si="14"/>
        <v>95-70</v>
      </c>
      <c r="AX276" s="30" t="s">
        <v>1907</v>
      </c>
      <c r="AY276" s="30">
        <v>0</v>
      </c>
      <c r="AZ276" s="30">
        <v>0</v>
      </c>
    </row>
    <row r="277" spans="1:52" ht="31.2" x14ac:dyDescent="0.3">
      <c r="A277" s="103">
        <v>267</v>
      </c>
      <c r="B277" s="30" t="s">
        <v>890</v>
      </c>
      <c r="C277" s="30" t="s">
        <v>1899</v>
      </c>
      <c r="D277" s="105" t="s">
        <v>1900</v>
      </c>
      <c r="E277" s="108" t="s">
        <v>1910</v>
      </c>
      <c r="F277" s="30" t="s">
        <v>1902</v>
      </c>
      <c r="G277" s="26" t="s">
        <v>145</v>
      </c>
      <c r="H277" s="24" t="s">
        <v>146</v>
      </c>
      <c r="I277" s="25">
        <v>1</v>
      </c>
      <c r="J277" s="24" t="s">
        <v>1903</v>
      </c>
      <c r="K277" s="24">
        <v>32.200000000000003</v>
      </c>
      <c r="L277" s="24">
        <v>5</v>
      </c>
      <c r="M277" s="24" t="str">
        <f t="shared" si="12"/>
        <v>95-70</v>
      </c>
      <c r="N277" s="24" t="s">
        <v>528</v>
      </c>
      <c r="O277" s="24" t="s">
        <v>529</v>
      </c>
      <c r="P277" s="24">
        <v>1</v>
      </c>
      <c r="Q277" s="102">
        <v>0</v>
      </c>
      <c r="R277" s="30" t="s">
        <v>1905</v>
      </c>
      <c r="S277" s="24">
        <v>0</v>
      </c>
      <c r="T277" s="24"/>
      <c r="U277" s="94">
        <v>412.58</v>
      </c>
      <c r="V277" s="94">
        <v>405.19</v>
      </c>
      <c r="W277" s="106">
        <v>52.04</v>
      </c>
      <c r="X277" s="107" t="s">
        <v>208</v>
      </c>
      <c r="Y277" s="106">
        <v>32.46</v>
      </c>
      <c r="Z277" s="107" t="s">
        <v>208</v>
      </c>
      <c r="AA277" s="106">
        <v>46.75</v>
      </c>
      <c r="AB277" s="107" t="s">
        <v>208</v>
      </c>
      <c r="AC277" s="106">
        <v>34.26</v>
      </c>
      <c r="AD277" s="107" t="s">
        <v>208</v>
      </c>
      <c r="AE277" s="106">
        <v>11.16</v>
      </c>
      <c r="AF277" s="107" t="s">
        <v>208</v>
      </c>
      <c r="AG277" s="106">
        <v>0</v>
      </c>
      <c r="AH277" s="107" t="s">
        <v>208</v>
      </c>
      <c r="AI277" s="106">
        <v>0</v>
      </c>
      <c r="AJ277" s="107" t="s">
        <v>208</v>
      </c>
      <c r="AK277" s="106">
        <v>0</v>
      </c>
      <c r="AL277" s="107" t="s">
        <v>208</v>
      </c>
      <c r="AM277" s="106">
        <v>0</v>
      </c>
      <c r="AN277" s="107" t="s">
        <v>208</v>
      </c>
      <c r="AO277" s="106">
        <v>18.600000000000001</v>
      </c>
      <c r="AP277" s="107" t="s">
        <v>208</v>
      </c>
      <c r="AQ277" s="106">
        <v>20.54</v>
      </c>
      <c r="AR277" s="106" t="s">
        <v>208</v>
      </c>
      <c r="AS277" s="106">
        <v>35.97</v>
      </c>
      <c r="AT277" s="107" t="s">
        <v>208</v>
      </c>
      <c r="AU277" s="106">
        <f t="shared" si="13"/>
        <v>251.77999999999997</v>
      </c>
      <c r="AV277" s="25">
        <v>0.1343</v>
      </c>
      <c r="AW277" s="30" t="str">
        <f t="shared" si="14"/>
        <v>95-70</v>
      </c>
      <c r="AX277" s="30" t="s">
        <v>1907</v>
      </c>
      <c r="AY277" s="30">
        <v>0</v>
      </c>
      <c r="AZ277" s="30">
        <v>0</v>
      </c>
    </row>
    <row r="278" spans="1:52" ht="31.2" x14ac:dyDescent="0.3">
      <c r="A278" s="103">
        <v>268</v>
      </c>
      <c r="B278" s="30" t="s">
        <v>891</v>
      </c>
      <c r="C278" s="30" t="s">
        <v>1899</v>
      </c>
      <c r="D278" s="105" t="s">
        <v>1900</v>
      </c>
      <c r="E278" s="108" t="s">
        <v>1910</v>
      </c>
      <c r="F278" s="30" t="s">
        <v>1902</v>
      </c>
      <c r="G278" s="26" t="s">
        <v>145</v>
      </c>
      <c r="H278" s="24" t="s">
        <v>146</v>
      </c>
      <c r="I278" s="25">
        <v>1</v>
      </c>
      <c r="J278" s="24" t="s">
        <v>1903</v>
      </c>
      <c r="K278" s="24">
        <v>50.2</v>
      </c>
      <c r="L278" s="24">
        <v>5</v>
      </c>
      <c r="M278" s="24" t="str">
        <f t="shared" si="12"/>
        <v>95-70</v>
      </c>
      <c r="N278" s="24" t="s">
        <v>528</v>
      </c>
      <c r="O278" s="24" t="s">
        <v>529</v>
      </c>
      <c r="P278" s="24">
        <v>1</v>
      </c>
      <c r="Q278" s="102">
        <v>0</v>
      </c>
      <c r="R278" s="30" t="s">
        <v>1905</v>
      </c>
      <c r="S278" s="24">
        <v>0</v>
      </c>
      <c r="T278" s="24"/>
      <c r="U278" s="94">
        <f>779.42*0.92</f>
        <v>717.06640000000004</v>
      </c>
      <c r="V278" s="94">
        <f>1146.11*0.92</f>
        <v>1054.4212</v>
      </c>
      <c r="W278" s="106">
        <f>165.45*0.92</f>
        <v>152.214</v>
      </c>
      <c r="X278" s="107" t="s">
        <v>208</v>
      </c>
      <c r="Y278" s="106">
        <f>119.7*0.92</f>
        <v>110.12400000000001</v>
      </c>
      <c r="Z278" s="107" t="s">
        <v>208</v>
      </c>
      <c r="AA278" s="106">
        <f>153.26*0.92</f>
        <v>140.9992</v>
      </c>
      <c r="AB278" s="107" t="s">
        <v>208</v>
      </c>
      <c r="AC278" s="106">
        <f>120.26*0.92</f>
        <v>110.6392</v>
      </c>
      <c r="AD278" s="107" t="s">
        <v>208</v>
      </c>
      <c r="AE278" s="106">
        <f>30.35*0.92</f>
        <v>27.922000000000004</v>
      </c>
      <c r="AF278" s="107" t="s">
        <v>208</v>
      </c>
      <c r="AG278" s="106">
        <v>0</v>
      </c>
      <c r="AH278" s="107" t="s">
        <v>208</v>
      </c>
      <c r="AI278" s="106">
        <v>0</v>
      </c>
      <c r="AJ278" s="107" t="s">
        <v>208</v>
      </c>
      <c r="AK278" s="106">
        <v>0</v>
      </c>
      <c r="AL278" s="107" t="s">
        <v>208</v>
      </c>
      <c r="AM278" s="106">
        <v>0</v>
      </c>
      <c r="AN278" s="107" t="s">
        <v>208</v>
      </c>
      <c r="AO278" s="106">
        <f>61.22*0.92</f>
        <v>56.322400000000002</v>
      </c>
      <c r="AP278" s="107" t="s">
        <v>208</v>
      </c>
      <c r="AQ278" s="106">
        <f>66.17*0.92</f>
        <v>60.876400000000004</v>
      </c>
      <c r="AR278" s="106" t="s">
        <v>208</v>
      </c>
      <c r="AS278" s="106">
        <f>97.28*0.92</f>
        <v>89.497600000000006</v>
      </c>
      <c r="AT278" s="107" t="s">
        <v>208</v>
      </c>
      <c r="AU278" s="106">
        <f t="shared" si="13"/>
        <v>748.59480000000008</v>
      </c>
      <c r="AV278" s="25">
        <v>0.2928</v>
      </c>
      <c r="AW278" s="30" t="str">
        <f t="shared" si="14"/>
        <v>95-70</v>
      </c>
      <c r="AX278" s="30" t="s">
        <v>1907</v>
      </c>
      <c r="AY278" s="30">
        <v>0</v>
      </c>
      <c r="AZ278" s="30">
        <v>0</v>
      </c>
    </row>
    <row r="279" spans="1:52" ht="31.2" x14ac:dyDescent="0.3">
      <c r="A279" s="103">
        <v>269</v>
      </c>
      <c r="B279" s="30" t="s">
        <v>892</v>
      </c>
      <c r="C279" s="30" t="s">
        <v>1899</v>
      </c>
      <c r="D279" s="105" t="s">
        <v>1900</v>
      </c>
      <c r="E279" s="108" t="s">
        <v>1910</v>
      </c>
      <c r="F279" s="30" t="s">
        <v>1902</v>
      </c>
      <c r="G279" s="26" t="s">
        <v>145</v>
      </c>
      <c r="H279" s="24" t="s">
        <v>146</v>
      </c>
      <c r="I279" s="25">
        <v>1</v>
      </c>
      <c r="J279" s="24" t="s">
        <v>1903</v>
      </c>
      <c r="K279" s="24">
        <v>20.2</v>
      </c>
      <c r="L279" s="24">
        <v>5</v>
      </c>
      <c r="M279" s="24" t="str">
        <f t="shared" si="12"/>
        <v>95-70</v>
      </c>
      <c r="N279" s="24" t="s">
        <v>528</v>
      </c>
      <c r="O279" s="24" t="s">
        <v>529</v>
      </c>
      <c r="P279" s="24">
        <v>1</v>
      </c>
      <c r="Q279" s="102">
        <v>0</v>
      </c>
      <c r="R279" s="30" t="s">
        <v>1905</v>
      </c>
      <c r="S279" s="24">
        <v>0</v>
      </c>
      <c r="T279" s="24"/>
      <c r="U279" s="94">
        <f>779.42*0.08</f>
        <v>62.3536</v>
      </c>
      <c r="V279" s="94">
        <f>1146.11*0.08</f>
        <v>91.688800000000001</v>
      </c>
      <c r="W279" s="106">
        <f>165.45*0.08</f>
        <v>13.235999999999999</v>
      </c>
      <c r="X279" s="107" t="s">
        <v>1906</v>
      </c>
      <c r="Y279" s="106">
        <f>119.7*0.08</f>
        <v>9.5760000000000005</v>
      </c>
      <c r="Z279" s="107" t="s">
        <v>1906</v>
      </c>
      <c r="AA279" s="106">
        <f>153.26*0.08</f>
        <v>12.2608</v>
      </c>
      <c r="AB279" s="107" t="s">
        <v>1906</v>
      </c>
      <c r="AC279" s="106">
        <f>120.26*0.08</f>
        <v>9.6208000000000009</v>
      </c>
      <c r="AD279" s="107" t="s">
        <v>1906</v>
      </c>
      <c r="AE279" s="106">
        <f>30.35*0.08</f>
        <v>2.4280000000000004</v>
      </c>
      <c r="AF279" s="107" t="s">
        <v>1906</v>
      </c>
      <c r="AG279" s="106">
        <v>0</v>
      </c>
      <c r="AH279" s="107" t="s">
        <v>1906</v>
      </c>
      <c r="AI279" s="106">
        <v>0</v>
      </c>
      <c r="AJ279" s="107" t="s">
        <v>1906</v>
      </c>
      <c r="AK279" s="106">
        <v>0</v>
      </c>
      <c r="AL279" s="107" t="s">
        <v>1906</v>
      </c>
      <c r="AM279" s="106">
        <v>0</v>
      </c>
      <c r="AN279" s="107" t="s">
        <v>1906</v>
      </c>
      <c r="AO279" s="106">
        <f>61.22*0.08</f>
        <v>4.8975999999999997</v>
      </c>
      <c r="AP279" s="107" t="s">
        <v>1906</v>
      </c>
      <c r="AQ279" s="106">
        <f>66.17*0.08</f>
        <v>5.2936000000000005</v>
      </c>
      <c r="AR279" s="106" t="s">
        <v>1906</v>
      </c>
      <c r="AS279" s="106">
        <f>97.28*0.08</f>
        <v>7.7824</v>
      </c>
      <c r="AT279" s="107" t="s">
        <v>1906</v>
      </c>
      <c r="AU279" s="106">
        <f t="shared" si="13"/>
        <v>65.095199999999991</v>
      </c>
      <c r="AV279" s="25">
        <v>4.1000000000000002E-2</v>
      </c>
      <c r="AW279" s="30" t="str">
        <f t="shared" si="14"/>
        <v>95-70</v>
      </c>
      <c r="AX279" s="30" t="s">
        <v>1907</v>
      </c>
      <c r="AY279" s="30">
        <v>0</v>
      </c>
      <c r="AZ279" s="30">
        <v>0</v>
      </c>
    </row>
    <row r="280" spans="1:52" ht="31.2" x14ac:dyDescent="0.3">
      <c r="A280" s="103">
        <v>270</v>
      </c>
      <c r="B280" s="30" t="s">
        <v>895</v>
      </c>
      <c r="C280" s="30" t="s">
        <v>1899</v>
      </c>
      <c r="D280" s="105" t="s">
        <v>1900</v>
      </c>
      <c r="E280" s="108" t="s">
        <v>1901</v>
      </c>
      <c r="F280" s="30" t="s">
        <v>1902</v>
      </c>
      <c r="G280" s="26" t="s">
        <v>145</v>
      </c>
      <c r="H280" s="24" t="s">
        <v>146</v>
      </c>
      <c r="I280" s="25">
        <v>1</v>
      </c>
      <c r="J280" s="24" t="s">
        <v>1903</v>
      </c>
      <c r="K280" s="24">
        <v>80</v>
      </c>
      <c r="L280" s="24">
        <v>5</v>
      </c>
      <c r="M280" s="24" t="str">
        <f t="shared" si="12"/>
        <v>95-70</v>
      </c>
      <c r="N280" s="24" t="s">
        <v>529</v>
      </c>
      <c r="O280" s="24" t="s">
        <v>529</v>
      </c>
      <c r="P280" s="24">
        <v>1</v>
      </c>
      <c r="Q280" s="102">
        <v>0</v>
      </c>
      <c r="R280" s="30" t="s">
        <v>1905</v>
      </c>
      <c r="S280" s="24">
        <v>0</v>
      </c>
      <c r="T280" s="24"/>
      <c r="U280" s="94">
        <v>1970.87</v>
      </c>
      <c r="V280" s="94">
        <v>2091.7799999999997</v>
      </c>
      <c r="W280" s="106">
        <v>287.20999999999998</v>
      </c>
      <c r="X280" s="107" t="s">
        <v>1906</v>
      </c>
      <c r="Y280" s="106">
        <v>286.58</v>
      </c>
      <c r="Z280" s="107" t="s">
        <v>1906</v>
      </c>
      <c r="AA280" s="106">
        <v>286.58</v>
      </c>
      <c r="AB280" s="107" t="s">
        <v>1906</v>
      </c>
      <c r="AC280" s="106">
        <v>286.58</v>
      </c>
      <c r="AD280" s="107" t="s">
        <v>1906</v>
      </c>
      <c r="AE280" s="106">
        <v>83.199999999999989</v>
      </c>
      <c r="AF280" s="107" t="s">
        <v>1906</v>
      </c>
      <c r="AG280" s="106">
        <v>0</v>
      </c>
      <c r="AH280" s="107" t="s">
        <v>1906</v>
      </c>
      <c r="AI280" s="106">
        <v>0</v>
      </c>
      <c r="AJ280" s="107" t="s">
        <v>1906</v>
      </c>
      <c r="AK280" s="106">
        <v>0</v>
      </c>
      <c r="AL280" s="107" t="s">
        <v>1906</v>
      </c>
      <c r="AM280" s="106">
        <v>0</v>
      </c>
      <c r="AN280" s="107" t="s">
        <v>1906</v>
      </c>
      <c r="AO280" s="106">
        <v>275.05</v>
      </c>
      <c r="AP280" s="107" t="s">
        <v>1906</v>
      </c>
      <c r="AQ280" s="106">
        <v>275.05</v>
      </c>
      <c r="AR280" s="106" t="s">
        <v>1906</v>
      </c>
      <c r="AS280" s="106">
        <v>275.05</v>
      </c>
      <c r="AT280" s="107" t="s">
        <v>1906</v>
      </c>
      <c r="AU280" s="106">
        <f t="shared" si="13"/>
        <v>2055.2999999999997</v>
      </c>
      <c r="AV280" s="25">
        <v>0.99180000000000001</v>
      </c>
      <c r="AW280" s="30" t="str">
        <f t="shared" si="14"/>
        <v>95-70</v>
      </c>
      <c r="AX280" s="30" t="s">
        <v>1907</v>
      </c>
      <c r="AY280" s="30">
        <v>0</v>
      </c>
      <c r="AZ280" s="30">
        <v>0</v>
      </c>
    </row>
    <row r="281" spans="1:52" ht="31.2" x14ac:dyDescent="0.3">
      <c r="A281" s="103">
        <v>271</v>
      </c>
      <c r="B281" s="30" t="s">
        <v>896</v>
      </c>
      <c r="C281" s="30" t="s">
        <v>1899</v>
      </c>
      <c r="D281" s="105" t="s">
        <v>1900</v>
      </c>
      <c r="E281" s="108" t="s">
        <v>1901</v>
      </c>
      <c r="F281" s="30" t="s">
        <v>1902</v>
      </c>
      <c r="G281" s="26" t="s">
        <v>145</v>
      </c>
      <c r="H281" s="24" t="s">
        <v>146</v>
      </c>
      <c r="I281" s="25">
        <v>0</v>
      </c>
      <c r="J281" s="24" t="s">
        <v>1903</v>
      </c>
      <c r="K281" s="24">
        <v>32</v>
      </c>
      <c r="L281" s="24">
        <v>5</v>
      </c>
      <c r="M281" s="24" t="str">
        <f t="shared" si="12"/>
        <v>95-70</v>
      </c>
      <c r="N281" s="24" t="s">
        <v>529</v>
      </c>
      <c r="O281" s="24" t="s">
        <v>529</v>
      </c>
      <c r="P281" s="24">
        <v>0</v>
      </c>
      <c r="Q281" s="102">
        <v>0</v>
      </c>
      <c r="R281" s="30" t="s">
        <v>1905</v>
      </c>
      <c r="S281" s="24">
        <v>0</v>
      </c>
      <c r="T281" s="24"/>
      <c r="U281" s="94">
        <v>195.46</v>
      </c>
      <c r="V281" s="94">
        <v>87.92</v>
      </c>
      <c r="W281" s="106">
        <v>12.06</v>
      </c>
      <c r="X281" s="107" t="s">
        <v>1906</v>
      </c>
      <c r="Y281" s="106">
        <v>12.06</v>
      </c>
      <c r="Z281" s="107" t="s">
        <v>1906</v>
      </c>
      <c r="AA281" s="106">
        <v>12.06</v>
      </c>
      <c r="AB281" s="107" t="s">
        <v>1906</v>
      </c>
      <c r="AC281" s="106">
        <v>12.06</v>
      </c>
      <c r="AD281" s="107" t="s">
        <v>1906</v>
      </c>
      <c r="AE281" s="106">
        <v>3.5</v>
      </c>
      <c r="AF281" s="107" t="s">
        <v>1906</v>
      </c>
      <c r="AG281" s="106">
        <v>0</v>
      </c>
      <c r="AH281" s="107" t="s">
        <v>1906</v>
      </c>
      <c r="AI281" s="106">
        <v>0</v>
      </c>
      <c r="AJ281" s="107" t="s">
        <v>1906</v>
      </c>
      <c r="AK281" s="106">
        <v>0</v>
      </c>
      <c r="AL281" s="107" t="s">
        <v>1906</v>
      </c>
      <c r="AM281" s="106">
        <v>2.38</v>
      </c>
      <c r="AN281" s="107" t="s">
        <v>1906</v>
      </c>
      <c r="AO281" s="106">
        <v>11.88</v>
      </c>
      <c r="AP281" s="107" t="s">
        <v>1906</v>
      </c>
      <c r="AQ281" s="106">
        <v>11.88</v>
      </c>
      <c r="AR281" s="106" t="s">
        <v>1906</v>
      </c>
      <c r="AS281" s="106">
        <v>11.88</v>
      </c>
      <c r="AT281" s="107" t="s">
        <v>1906</v>
      </c>
      <c r="AU281" s="106">
        <f t="shared" si="13"/>
        <v>89.759999999999991</v>
      </c>
      <c r="AV281" s="25">
        <v>9.8400000000000001E-2</v>
      </c>
      <c r="AW281" s="30" t="str">
        <f t="shared" si="14"/>
        <v>95-70</v>
      </c>
      <c r="AX281" s="30" t="s">
        <v>1907</v>
      </c>
      <c r="AY281" s="30">
        <v>0</v>
      </c>
      <c r="AZ281" s="30">
        <v>0</v>
      </c>
    </row>
    <row r="282" spans="1:52" ht="31.2" x14ac:dyDescent="0.3">
      <c r="A282" s="103">
        <v>272</v>
      </c>
      <c r="B282" s="30" t="s">
        <v>898</v>
      </c>
      <c r="C282" s="30" t="s">
        <v>1899</v>
      </c>
      <c r="D282" s="105" t="s">
        <v>1900</v>
      </c>
      <c r="E282" s="108" t="s">
        <v>1901</v>
      </c>
      <c r="F282" s="30" t="s">
        <v>1902</v>
      </c>
      <c r="G282" s="26" t="s">
        <v>145</v>
      </c>
      <c r="H282" s="24" t="s">
        <v>146</v>
      </c>
      <c r="I282" s="25">
        <v>0</v>
      </c>
      <c r="J282" s="24" t="s">
        <v>1903</v>
      </c>
      <c r="K282" s="24">
        <v>50</v>
      </c>
      <c r="L282" s="24">
        <v>5</v>
      </c>
      <c r="M282" s="24" t="str">
        <f t="shared" si="12"/>
        <v>95-70</v>
      </c>
      <c r="N282" s="24" t="s">
        <v>529</v>
      </c>
      <c r="O282" s="24" t="s">
        <v>529</v>
      </c>
      <c r="P282" s="24">
        <v>0</v>
      </c>
      <c r="Q282" s="102">
        <v>0</v>
      </c>
      <c r="R282" s="30" t="s">
        <v>1905</v>
      </c>
      <c r="S282" s="24">
        <v>0</v>
      </c>
      <c r="T282" s="24"/>
      <c r="U282" s="94">
        <v>613.3900000000001</v>
      </c>
      <c r="V282" s="94">
        <v>307.85999999999996</v>
      </c>
      <c r="W282" s="106">
        <v>42.23</v>
      </c>
      <c r="X282" s="107" t="s">
        <v>1906</v>
      </c>
      <c r="Y282" s="106">
        <v>42.23</v>
      </c>
      <c r="Z282" s="107" t="s">
        <v>1906</v>
      </c>
      <c r="AA282" s="106">
        <v>42.23</v>
      </c>
      <c r="AB282" s="107" t="s">
        <v>1906</v>
      </c>
      <c r="AC282" s="106">
        <v>42.23</v>
      </c>
      <c r="AD282" s="107" t="s">
        <v>1906</v>
      </c>
      <c r="AE282" s="106">
        <v>12.250000000000002</v>
      </c>
      <c r="AF282" s="107" t="s">
        <v>1906</v>
      </c>
      <c r="AG282" s="106">
        <v>0</v>
      </c>
      <c r="AH282" s="107" t="s">
        <v>1906</v>
      </c>
      <c r="AI282" s="106">
        <v>0</v>
      </c>
      <c r="AJ282" s="107" t="s">
        <v>1906</v>
      </c>
      <c r="AK282" s="106">
        <v>0</v>
      </c>
      <c r="AL282" s="107" t="s">
        <v>1906</v>
      </c>
      <c r="AM282" s="106">
        <v>9.94</v>
      </c>
      <c r="AN282" s="107" t="s">
        <v>1906</v>
      </c>
      <c r="AO282" s="106">
        <v>42.56</v>
      </c>
      <c r="AP282" s="107" t="s">
        <v>1906</v>
      </c>
      <c r="AQ282" s="106">
        <v>42.56</v>
      </c>
      <c r="AR282" s="106" t="s">
        <v>1906</v>
      </c>
      <c r="AS282" s="106">
        <v>42.56</v>
      </c>
      <c r="AT282" s="107" t="s">
        <v>1906</v>
      </c>
      <c r="AU282" s="106">
        <f t="shared" si="13"/>
        <v>318.79000000000002</v>
      </c>
      <c r="AV282" s="25">
        <v>0.27039999999999997</v>
      </c>
      <c r="AW282" s="30" t="str">
        <f t="shared" si="14"/>
        <v>95-70</v>
      </c>
      <c r="AX282" s="30" t="s">
        <v>1907</v>
      </c>
      <c r="AY282" s="30">
        <v>0</v>
      </c>
      <c r="AZ282" s="30">
        <v>0</v>
      </c>
    </row>
    <row r="283" spans="1:52" ht="31.2" x14ac:dyDescent="0.3">
      <c r="A283" s="103">
        <v>273</v>
      </c>
      <c r="B283" s="30" t="s">
        <v>900</v>
      </c>
      <c r="C283" s="30" t="s">
        <v>1899</v>
      </c>
      <c r="D283" s="105" t="s">
        <v>1900</v>
      </c>
      <c r="E283" s="108" t="s">
        <v>1901</v>
      </c>
      <c r="F283" s="30" t="s">
        <v>1902</v>
      </c>
      <c r="G283" s="26" t="s">
        <v>145</v>
      </c>
      <c r="H283" s="24" t="s">
        <v>146</v>
      </c>
      <c r="I283" s="25">
        <v>1</v>
      </c>
      <c r="J283" s="24" t="s">
        <v>1903</v>
      </c>
      <c r="K283" s="24">
        <v>50</v>
      </c>
      <c r="L283" s="24">
        <v>5</v>
      </c>
      <c r="M283" s="24" t="str">
        <f t="shared" si="12"/>
        <v>95-70</v>
      </c>
      <c r="N283" s="24" t="s">
        <v>529</v>
      </c>
      <c r="O283" s="24" t="s">
        <v>529</v>
      </c>
      <c r="P283" s="24">
        <v>1</v>
      </c>
      <c r="Q283" s="102">
        <v>0</v>
      </c>
      <c r="R283" s="30" t="s">
        <v>1905</v>
      </c>
      <c r="S283" s="24">
        <v>0</v>
      </c>
      <c r="T283" s="24"/>
      <c r="U283" s="94">
        <v>685.18999999999994</v>
      </c>
      <c r="V283" s="94">
        <v>861.9899999999999</v>
      </c>
      <c r="W283" s="106">
        <v>157.66999999999999</v>
      </c>
      <c r="X283" s="107" t="s">
        <v>208</v>
      </c>
      <c r="Y283" s="106">
        <v>95.81</v>
      </c>
      <c r="Z283" s="107" t="s">
        <v>208</v>
      </c>
      <c r="AA283" s="106">
        <v>156.76</v>
      </c>
      <c r="AB283" s="107" t="s">
        <v>208</v>
      </c>
      <c r="AC283" s="106">
        <v>108.08</v>
      </c>
      <c r="AD283" s="107" t="s">
        <v>208</v>
      </c>
      <c r="AE283" s="106">
        <v>34.04</v>
      </c>
      <c r="AF283" s="107" t="s">
        <v>208</v>
      </c>
      <c r="AG283" s="106">
        <v>0</v>
      </c>
      <c r="AH283" s="107" t="s">
        <v>208</v>
      </c>
      <c r="AI283" s="106">
        <v>0</v>
      </c>
      <c r="AJ283" s="107" t="s">
        <v>208</v>
      </c>
      <c r="AK283" s="106">
        <v>0</v>
      </c>
      <c r="AL283" s="107" t="s">
        <v>208</v>
      </c>
      <c r="AM283" s="106">
        <v>0</v>
      </c>
      <c r="AN283" s="107" t="s">
        <v>208</v>
      </c>
      <c r="AO283" s="106">
        <v>53.1</v>
      </c>
      <c r="AP283" s="107" t="s">
        <v>208</v>
      </c>
      <c r="AQ283" s="106">
        <v>61.08</v>
      </c>
      <c r="AR283" s="106" t="s">
        <v>208</v>
      </c>
      <c r="AS283" s="106">
        <v>92.72</v>
      </c>
      <c r="AT283" s="107" t="s">
        <v>208</v>
      </c>
      <c r="AU283" s="106">
        <f t="shared" si="13"/>
        <v>759.2600000000001</v>
      </c>
      <c r="AV283" s="25">
        <v>0.2979</v>
      </c>
      <c r="AW283" s="30" t="str">
        <f t="shared" si="14"/>
        <v>95-70</v>
      </c>
      <c r="AX283" s="30" t="s">
        <v>1907</v>
      </c>
      <c r="AY283" s="30">
        <v>0</v>
      </c>
      <c r="AZ283" s="30">
        <v>0</v>
      </c>
    </row>
    <row r="284" spans="1:52" ht="31.2" x14ac:dyDescent="0.3">
      <c r="A284" s="103">
        <v>274</v>
      </c>
      <c r="B284" s="30" t="s">
        <v>901</v>
      </c>
      <c r="C284" s="30" t="s">
        <v>1899</v>
      </c>
      <c r="D284" s="105" t="s">
        <v>1900</v>
      </c>
      <c r="E284" s="108" t="s">
        <v>1901</v>
      </c>
      <c r="F284" s="30" t="s">
        <v>1902</v>
      </c>
      <c r="G284" s="26" t="s">
        <v>145</v>
      </c>
      <c r="H284" s="24" t="s">
        <v>146</v>
      </c>
      <c r="I284" s="25">
        <v>1</v>
      </c>
      <c r="J284" s="24" t="s">
        <v>1903</v>
      </c>
      <c r="K284" s="24">
        <v>32</v>
      </c>
      <c r="L284" s="24">
        <v>5</v>
      </c>
      <c r="M284" s="24" t="str">
        <f t="shared" si="12"/>
        <v>95-70</v>
      </c>
      <c r="N284" s="24" t="s">
        <v>529</v>
      </c>
      <c r="O284" s="24" t="s">
        <v>529</v>
      </c>
      <c r="P284" s="24">
        <v>1</v>
      </c>
      <c r="Q284" s="102">
        <v>0</v>
      </c>
      <c r="R284" s="30" t="s">
        <v>1905</v>
      </c>
      <c r="S284" s="24">
        <v>0</v>
      </c>
      <c r="T284" s="24"/>
      <c r="U284" s="94">
        <v>282.34000000000003</v>
      </c>
      <c r="V284" s="94">
        <v>242.11</v>
      </c>
      <c r="W284" s="106">
        <v>33.21</v>
      </c>
      <c r="X284" s="107" t="s">
        <v>1906</v>
      </c>
      <c r="Y284" s="106">
        <v>33.21</v>
      </c>
      <c r="Z284" s="107" t="s">
        <v>1906</v>
      </c>
      <c r="AA284" s="106">
        <v>33.21</v>
      </c>
      <c r="AB284" s="107" t="s">
        <v>1906</v>
      </c>
      <c r="AC284" s="106">
        <v>33.21</v>
      </c>
      <c r="AD284" s="107" t="s">
        <v>1906</v>
      </c>
      <c r="AE284" s="106">
        <v>9.64</v>
      </c>
      <c r="AF284" s="107" t="s">
        <v>1906</v>
      </c>
      <c r="AG284" s="106">
        <v>0</v>
      </c>
      <c r="AH284" s="107" t="s">
        <v>1906</v>
      </c>
      <c r="AI284" s="106">
        <v>0</v>
      </c>
      <c r="AJ284" s="107" t="s">
        <v>1906</v>
      </c>
      <c r="AK284" s="106">
        <v>0</v>
      </c>
      <c r="AL284" s="107" t="s">
        <v>1906</v>
      </c>
      <c r="AM284" s="106">
        <v>7.22</v>
      </c>
      <c r="AN284" s="107" t="s">
        <v>1906</v>
      </c>
      <c r="AO284" s="106">
        <v>30.93</v>
      </c>
      <c r="AP284" s="107" t="s">
        <v>1906</v>
      </c>
      <c r="AQ284" s="106">
        <v>30.93</v>
      </c>
      <c r="AR284" s="106" t="s">
        <v>1906</v>
      </c>
      <c r="AS284" s="106">
        <v>30.93</v>
      </c>
      <c r="AT284" s="107" t="s">
        <v>1906</v>
      </c>
      <c r="AU284" s="106">
        <f t="shared" si="13"/>
        <v>242.49000000000004</v>
      </c>
      <c r="AV284" s="25">
        <v>0.11840000000000001</v>
      </c>
      <c r="AW284" s="30" t="str">
        <f t="shared" si="14"/>
        <v>95-70</v>
      </c>
      <c r="AX284" s="30" t="s">
        <v>1907</v>
      </c>
      <c r="AY284" s="30">
        <v>0</v>
      </c>
      <c r="AZ284" s="30">
        <v>0</v>
      </c>
    </row>
    <row r="285" spans="1:52" ht="31.2" x14ac:dyDescent="0.3">
      <c r="A285" s="103">
        <v>275</v>
      </c>
      <c r="B285" s="30" t="s">
        <v>902</v>
      </c>
      <c r="C285" s="30" t="s">
        <v>1899</v>
      </c>
      <c r="D285" s="105" t="s">
        <v>1900</v>
      </c>
      <c r="E285" s="108" t="s">
        <v>1901</v>
      </c>
      <c r="F285" s="30" t="s">
        <v>1902</v>
      </c>
      <c r="G285" s="26" t="s">
        <v>145</v>
      </c>
      <c r="H285" s="24" t="s">
        <v>146</v>
      </c>
      <c r="I285" s="25">
        <v>0</v>
      </c>
      <c r="J285" s="24" t="s">
        <v>1903</v>
      </c>
      <c r="K285" s="24">
        <v>32</v>
      </c>
      <c r="L285" s="24">
        <v>5</v>
      </c>
      <c r="M285" s="24" t="str">
        <f t="shared" si="12"/>
        <v>95-70</v>
      </c>
      <c r="N285" s="24" t="s">
        <v>529</v>
      </c>
      <c r="O285" s="24" t="s">
        <v>529</v>
      </c>
      <c r="P285" s="24">
        <v>0</v>
      </c>
      <c r="Q285" s="102">
        <v>0</v>
      </c>
      <c r="R285" s="30" t="s">
        <v>1905</v>
      </c>
      <c r="S285" s="24">
        <v>0</v>
      </c>
      <c r="T285" s="24"/>
      <c r="U285" s="94">
        <v>448.14</v>
      </c>
      <c r="V285" s="94">
        <v>475.85999999999996</v>
      </c>
      <c r="W285" s="106">
        <v>65.28</v>
      </c>
      <c r="X285" s="107" t="s">
        <v>1906</v>
      </c>
      <c r="Y285" s="106">
        <v>65.28</v>
      </c>
      <c r="Z285" s="107" t="s">
        <v>1906</v>
      </c>
      <c r="AA285" s="106">
        <v>65.28</v>
      </c>
      <c r="AB285" s="107" t="s">
        <v>1906</v>
      </c>
      <c r="AC285" s="106">
        <v>65.259999999999991</v>
      </c>
      <c r="AD285" s="107" t="s">
        <v>1906</v>
      </c>
      <c r="AE285" s="106">
        <v>18.920000000000002</v>
      </c>
      <c r="AF285" s="107" t="s">
        <v>1906</v>
      </c>
      <c r="AG285" s="106">
        <v>0</v>
      </c>
      <c r="AH285" s="107" t="s">
        <v>1906</v>
      </c>
      <c r="AI285" s="106">
        <v>0</v>
      </c>
      <c r="AJ285" s="107" t="s">
        <v>1906</v>
      </c>
      <c r="AK285" s="106">
        <v>0</v>
      </c>
      <c r="AL285" s="107" t="s">
        <v>1906</v>
      </c>
      <c r="AM285" s="106">
        <v>12.91</v>
      </c>
      <c r="AN285" s="107" t="s">
        <v>1906</v>
      </c>
      <c r="AO285" s="106">
        <v>64.56</v>
      </c>
      <c r="AP285" s="107" t="s">
        <v>1906</v>
      </c>
      <c r="AQ285" s="106">
        <v>64.56</v>
      </c>
      <c r="AR285" s="106" t="s">
        <v>1906</v>
      </c>
      <c r="AS285" s="106">
        <v>64.56</v>
      </c>
      <c r="AT285" s="107" t="s">
        <v>1906</v>
      </c>
      <c r="AU285" s="106">
        <f t="shared" si="13"/>
        <v>486.61000000000007</v>
      </c>
      <c r="AV285" s="25">
        <v>0.19769999999999999</v>
      </c>
      <c r="AW285" s="30" t="str">
        <f t="shared" si="14"/>
        <v>95-70</v>
      </c>
      <c r="AX285" s="30" t="s">
        <v>1907</v>
      </c>
      <c r="AY285" s="30">
        <v>0</v>
      </c>
      <c r="AZ285" s="30">
        <v>0</v>
      </c>
    </row>
    <row r="286" spans="1:52" ht="31.2" x14ac:dyDescent="0.3">
      <c r="A286" s="103">
        <v>276</v>
      </c>
      <c r="B286" s="30" t="s">
        <v>903</v>
      </c>
      <c r="C286" s="30" t="s">
        <v>1899</v>
      </c>
      <c r="D286" s="105" t="s">
        <v>1900</v>
      </c>
      <c r="E286" s="108" t="s">
        <v>1901</v>
      </c>
      <c r="F286" s="30" t="s">
        <v>1902</v>
      </c>
      <c r="G286" s="26" t="s">
        <v>145</v>
      </c>
      <c r="H286" s="24" t="s">
        <v>146</v>
      </c>
      <c r="I286" s="25">
        <v>1</v>
      </c>
      <c r="J286" s="24" t="s">
        <v>1903</v>
      </c>
      <c r="K286" s="24">
        <v>80</v>
      </c>
      <c r="L286" s="24">
        <v>5</v>
      </c>
      <c r="M286" s="24" t="str">
        <f t="shared" si="12"/>
        <v>95-70</v>
      </c>
      <c r="N286" s="24" t="s">
        <v>529</v>
      </c>
      <c r="O286" s="24" t="s">
        <v>529</v>
      </c>
      <c r="P286" s="24">
        <v>1</v>
      </c>
      <c r="Q286" s="102">
        <v>0</v>
      </c>
      <c r="R286" s="30" t="s">
        <v>1905</v>
      </c>
      <c r="S286" s="24">
        <v>0</v>
      </c>
      <c r="T286" s="24"/>
      <c r="U286" s="94">
        <v>614.62</v>
      </c>
      <c r="V286" s="94">
        <v>500.40999999999997</v>
      </c>
      <c r="W286" s="106">
        <v>68.64</v>
      </c>
      <c r="X286" s="107" t="s">
        <v>1906</v>
      </c>
      <c r="Y286" s="106">
        <v>68.64</v>
      </c>
      <c r="Z286" s="107" t="s">
        <v>1906</v>
      </c>
      <c r="AA286" s="106">
        <v>68.64</v>
      </c>
      <c r="AB286" s="107" t="s">
        <v>1906</v>
      </c>
      <c r="AC286" s="106">
        <v>68.64</v>
      </c>
      <c r="AD286" s="107" t="s">
        <v>1906</v>
      </c>
      <c r="AE286" s="106">
        <v>19.930000000000003</v>
      </c>
      <c r="AF286" s="107" t="s">
        <v>1906</v>
      </c>
      <c r="AG286" s="106">
        <v>0</v>
      </c>
      <c r="AH286" s="107" t="s">
        <v>1906</v>
      </c>
      <c r="AI286" s="106">
        <v>0</v>
      </c>
      <c r="AJ286" s="107" t="s">
        <v>1906</v>
      </c>
      <c r="AK286" s="106">
        <v>0</v>
      </c>
      <c r="AL286" s="107" t="s">
        <v>1906</v>
      </c>
      <c r="AM286" s="106">
        <v>15.790000000000001</v>
      </c>
      <c r="AN286" s="107" t="s">
        <v>1906</v>
      </c>
      <c r="AO286" s="106">
        <v>67.63</v>
      </c>
      <c r="AP286" s="107" t="s">
        <v>1906</v>
      </c>
      <c r="AQ286" s="106">
        <v>67.63</v>
      </c>
      <c r="AR286" s="106" t="s">
        <v>1906</v>
      </c>
      <c r="AS286" s="106">
        <v>67.63</v>
      </c>
      <c r="AT286" s="107" t="s">
        <v>1906</v>
      </c>
      <c r="AU286" s="106">
        <f t="shared" si="13"/>
        <v>513.17000000000007</v>
      </c>
      <c r="AV286" s="25">
        <v>0.26440000000000002</v>
      </c>
      <c r="AW286" s="30" t="str">
        <f t="shared" si="14"/>
        <v>95-70</v>
      </c>
      <c r="AX286" s="30" t="s">
        <v>1907</v>
      </c>
      <c r="AY286" s="30">
        <v>0</v>
      </c>
      <c r="AZ286" s="30">
        <v>0</v>
      </c>
    </row>
    <row r="287" spans="1:52" ht="31.2" x14ac:dyDescent="0.3">
      <c r="A287" s="103">
        <v>277</v>
      </c>
      <c r="B287" s="30" t="s">
        <v>904</v>
      </c>
      <c r="C287" s="30" t="s">
        <v>1899</v>
      </c>
      <c r="D287" s="105" t="s">
        <v>1900</v>
      </c>
      <c r="E287" s="108" t="s">
        <v>1901</v>
      </c>
      <c r="F287" s="30" t="s">
        <v>1902</v>
      </c>
      <c r="G287" s="26" t="s">
        <v>145</v>
      </c>
      <c r="H287" s="24" t="s">
        <v>146</v>
      </c>
      <c r="I287" s="25">
        <v>1</v>
      </c>
      <c r="J287" s="24" t="s">
        <v>1903</v>
      </c>
      <c r="K287" s="24">
        <v>32</v>
      </c>
      <c r="L287" s="24">
        <v>5</v>
      </c>
      <c r="M287" s="24" t="str">
        <f t="shared" si="12"/>
        <v>95-70</v>
      </c>
      <c r="N287" s="24" t="s">
        <v>529</v>
      </c>
      <c r="O287" s="24" t="s">
        <v>529</v>
      </c>
      <c r="P287" s="24">
        <v>1</v>
      </c>
      <c r="Q287" s="102">
        <v>0</v>
      </c>
      <c r="R287" s="30" t="s">
        <v>1905</v>
      </c>
      <c r="S287" s="24">
        <v>0</v>
      </c>
      <c r="T287" s="24"/>
      <c r="U287" s="94">
        <v>442.4</v>
      </c>
      <c r="V287" s="94">
        <v>367.51</v>
      </c>
      <c r="W287" s="106">
        <v>50.41</v>
      </c>
      <c r="X287" s="107" t="s">
        <v>1906</v>
      </c>
      <c r="Y287" s="106">
        <v>50.41</v>
      </c>
      <c r="Z287" s="107" t="s">
        <v>1906</v>
      </c>
      <c r="AA287" s="106">
        <v>50.41</v>
      </c>
      <c r="AB287" s="107" t="s">
        <v>1906</v>
      </c>
      <c r="AC287" s="106">
        <v>50.41</v>
      </c>
      <c r="AD287" s="107" t="s">
        <v>1906</v>
      </c>
      <c r="AE287" s="106">
        <v>14.64</v>
      </c>
      <c r="AF287" s="107" t="s">
        <v>1906</v>
      </c>
      <c r="AG287" s="106">
        <v>0</v>
      </c>
      <c r="AH287" s="107" t="s">
        <v>1906</v>
      </c>
      <c r="AI287" s="106">
        <v>0</v>
      </c>
      <c r="AJ287" s="107" t="s">
        <v>1906</v>
      </c>
      <c r="AK287" s="106">
        <v>0</v>
      </c>
      <c r="AL287" s="107" t="s">
        <v>1906</v>
      </c>
      <c r="AM287" s="106">
        <v>11.59</v>
      </c>
      <c r="AN287" s="107" t="s">
        <v>1906</v>
      </c>
      <c r="AO287" s="106">
        <v>49.660000000000004</v>
      </c>
      <c r="AP287" s="107" t="s">
        <v>1906</v>
      </c>
      <c r="AQ287" s="106">
        <v>49.660000000000004</v>
      </c>
      <c r="AR287" s="106" t="s">
        <v>1906</v>
      </c>
      <c r="AS287" s="106">
        <v>49.660000000000004</v>
      </c>
      <c r="AT287" s="107" t="s">
        <v>1906</v>
      </c>
      <c r="AU287" s="106">
        <f t="shared" si="13"/>
        <v>376.85</v>
      </c>
      <c r="AV287" s="25">
        <v>0.2001</v>
      </c>
      <c r="AW287" s="30" t="str">
        <f t="shared" si="14"/>
        <v>95-70</v>
      </c>
      <c r="AX287" s="30" t="s">
        <v>1907</v>
      </c>
      <c r="AY287" s="30">
        <v>0</v>
      </c>
      <c r="AZ287" s="30">
        <v>0</v>
      </c>
    </row>
    <row r="288" spans="1:52" ht="31.2" x14ac:dyDescent="0.3">
      <c r="A288" s="103">
        <v>278</v>
      </c>
      <c r="B288" s="30" t="s">
        <v>905</v>
      </c>
      <c r="C288" s="30" t="s">
        <v>1899</v>
      </c>
      <c r="D288" s="105" t="s">
        <v>1900</v>
      </c>
      <c r="E288" s="108" t="s">
        <v>1901</v>
      </c>
      <c r="F288" s="30" t="s">
        <v>1902</v>
      </c>
      <c r="G288" s="26" t="s">
        <v>145</v>
      </c>
      <c r="H288" s="24" t="s">
        <v>146</v>
      </c>
      <c r="I288" s="25">
        <v>0</v>
      </c>
      <c r="J288" s="24" t="s">
        <v>1903</v>
      </c>
      <c r="K288" s="24">
        <v>32</v>
      </c>
      <c r="L288" s="24">
        <v>5</v>
      </c>
      <c r="M288" s="24" t="str">
        <f t="shared" si="12"/>
        <v>95-70</v>
      </c>
      <c r="N288" s="24" t="s">
        <v>529</v>
      </c>
      <c r="O288" s="24" t="s">
        <v>529</v>
      </c>
      <c r="P288" s="24">
        <v>0</v>
      </c>
      <c r="Q288" s="102">
        <v>0</v>
      </c>
      <c r="R288" s="30" t="s">
        <v>1905</v>
      </c>
      <c r="S288" s="24">
        <v>0</v>
      </c>
      <c r="T288" s="24"/>
      <c r="U288" s="94">
        <v>368.42</v>
      </c>
      <c r="V288" s="94">
        <v>280.74</v>
      </c>
      <c r="W288" s="106">
        <v>38.51</v>
      </c>
      <c r="X288" s="107" t="s">
        <v>1906</v>
      </c>
      <c r="Y288" s="106">
        <v>38.51</v>
      </c>
      <c r="Z288" s="107" t="s">
        <v>1906</v>
      </c>
      <c r="AA288" s="106">
        <v>38.51</v>
      </c>
      <c r="AB288" s="107" t="s">
        <v>1906</v>
      </c>
      <c r="AC288" s="106">
        <v>38.51</v>
      </c>
      <c r="AD288" s="107" t="s">
        <v>1906</v>
      </c>
      <c r="AE288" s="106">
        <v>11.17</v>
      </c>
      <c r="AF288" s="107" t="s">
        <v>1906</v>
      </c>
      <c r="AG288" s="106">
        <v>0</v>
      </c>
      <c r="AH288" s="107" t="s">
        <v>1906</v>
      </c>
      <c r="AI288" s="106">
        <v>0</v>
      </c>
      <c r="AJ288" s="107" t="s">
        <v>1906</v>
      </c>
      <c r="AK288" s="106">
        <v>0</v>
      </c>
      <c r="AL288" s="107" t="s">
        <v>1906</v>
      </c>
      <c r="AM288" s="106">
        <v>8.7200000000000006</v>
      </c>
      <c r="AN288" s="107" t="s">
        <v>1906</v>
      </c>
      <c r="AO288" s="106">
        <v>37.369999999999997</v>
      </c>
      <c r="AP288" s="107" t="s">
        <v>1906</v>
      </c>
      <c r="AQ288" s="106">
        <v>37.369999999999997</v>
      </c>
      <c r="AR288" s="106" t="s">
        <v>1906</v>
      </c>
      <c r="AS288" s="106">
        <v>37.369999999999997</v>
      </c>
      <c r="AT288" s="107" t="s">
        <v>1906</v>
      </c>
      <c r="AU288" s="106">
        <f t="shared" si="13"/>
        <v>286.03999999999996</v>
      </c>
      <c r="AV288" s="25">
        <v>0.16239999999999999</v>
      </c>
      <c r="AW288" s="30" t="str">
        <f t="shared" si="14"/>
        <v>95-70</v>
      </c>
      <c r="AX288" s="30" t="s">
        <v>1907</v>
      </c>
      <c r="AY288" s="30">
        <v>0</v>
      </c>
      <c r="AZ288" s="30">
        <v>0</v>
      </c>
    </row>
    <row r="289" spans="1:52" ht="31.2" x14ac:dyDescent="0.3">
      <c r="A289" s="103">
        <v>279</v>
      </c>
      <c r="B289" s="30" t="s">
        <v>906</v>
      </c>
      <c r="C289" s="30" t="s">
        <v>1899</v>
      </c>
      <c r="D289" s="105" t="s">
        <v>1900</v>
      </c>
      <c r="E289" s="108" t="s">
        <v>1901</v>
      </c>
      <c r="F289" s="30" t="s">
        <v>1902</v>
      </c>
      <c r="G289" s="26" t="s">
        <v>145</v>
      </c>
      <c r="H289" s="24" t="s">
        <v>146</v>
      </c>
      <c r="I289" s="25">
        <v>1</v>
      </c>
      <c r="J289" s="24" t="s">
        <v>1903</v>
      </c>
      <c r="K289" s="24">
        <v>50</v>
      </c>
      <c r="L289" s="24">
        <v>5</v>
      </c>
      <c r="M289" s="24" t="str">
        <f t="shared" si="12"/>
        <v>95-70</v>
      </c>
      <c r="N289" s="24" t="s">
        <v>529</v>
      </c>
      <c r="O289" s="24" t="s">
        <v>529</v>
      </c>
      <c r="P289" s="24">
        <v>1</v>
      </c>
      <c r="Q289" s="102">
        <v>0</v>
      </c>
      <c r="R289" s="30" t="s">
        <v>1905</v>
      </c>
      <c r="S289" s="24">
        <v>0</v>
      </c>
      <c r="T289" s="24"/>
      <c r="U289" s="94">
        <v>477.44</v>
      </c>
      <c r="V289" s="94">
        <v>527.25</v>
      </c>
      <c r="W289" s="106">
        <v>102.65</v>
      </c>
      <c r="X289" s="107" t="s">
        <v>208</v>
      </c>
      <c r="Y289" s="106">
        <v>54.09</v>
      </c>
      <c r="Z289" s="107" t="s">
        <v>208</v>
      </c>
      <c r="AA289" s="106">
        <v>87.71</v>
      </c>
      <c r="AB289" s="107" t="s">
        <v>208</v>
      </c>
      <c r="AC289" s="106">
        <v>60.48</v>
      </c>
      <c r="AD289" s="107" t="s">
        <v>208</v>
      </c>
      <c r="AE289" s="106">
        <v>16.48</v>
      </c>
      <c r="AF289" s="107" t="s">
        <v>208</v>
      </c>
      <c r="AG289" s="106">
        <v>0</v>
      </c>
      <c r="AH289" s="107" t="s">
        <v>208</v>
      </c>
      <c r="AI289" s="106">
        <v>0</v>
      </c>
      <c r="AJ289" s="107" t="s">
        <v>208</v>
      </c>
      <c r="AK289" s="106">
        <v>0</v>
      </c>
      <c r="AL289" s="107" t="s">
        <v>208</v>
      </c>
      <c r="AM289" s="106">
        <v>0</v>
      </c>
      <c r="AN289" s="107" t="s">
        <v>208</v>
      </c>
      <c r="AO289" s="106">
        <v>29.22</v>
      </c>
      <c r="AP289" s="107" t="s">
        <v>208</v>
      </c>
      <c r="AQ289" s="106">
        <v>35.409999999999997</v>
      </c>
      <c r="AR289" s="106" t="s">
        <v>208</v>
      </c>
      <c r="AS289" s="106">
        <v>53.63</v>
      </c>
      <c r="AT289" s="107" t="s">
        <v>208</v>
      </c>
      <c r="AU289" s="106">
        <f t="shared" si="13"/>
        <v>439.66999999999996</v>
      </c>
      <c r="AV289" s="25">
        <v>0.2198</v>
      </c>
      <c r="AW289" s="30" t="str">
        <f t="shared" si="14"/>
        <v>95-70</v>
      </c>
      <c r="AX289" s="30" t="s">
        <v>1907</v>
      </c>
      <c r="AY289" s="30">
        <v>0</v>
      </c>
      <c r="AZ289" s="30">
        <v>0</v>
      </c>
    </row>
    <row r="290" spans="1:52" ht="31.2" x14ac:dyDescent="0.3">
      <c r="A290" s="103">
        <v>280</v>
      </c>
      <c r="B290" s="30" t="s">
        <v>907</v>
      </c>
      <c r="C290" s="30" t="s">
        <v>1899</v>
      </c>
      <c r="D290" s="105" t="s">
        <v>1900</v>
      </c>
      <c r="E290" s="108" t="s">
        <v>1901</v>
      </c>
      <c r="F290" s="30" t="s">
        <v>1902</v>
      </c>
      <c r="G290" s="26" t="s">
        <v>145</v>
      </c>
      <c r="H290" s="24" t="s">
        <v>146</v>
      </c>
      <c r="I290" s="25">
        <v>1</v>
      </c>
      <c r="J290" s="24" t="s">
        <v>1903</v>
      </c>
      <c r="K290" s="24">
        <v>40</v>
      </c>
      <c r="L290" s="24">
        <v>5</v>
      </c>
      <c r="M290" s="24" t="str">
        <f t="shared" si="12"/>
        <v>95-70</v>
      </c>
      <c r="N290" s="24" t="s">
        <v>529</v>
      </c>
      <c r="O290" s="24" t="s">
        <v>529</v>
      </c>
      <c r="P290" s="24">
        <v>1</v>
      </c>
      <c r="Q290" s="102">
        <v>0</v>
      </c>
      <c r="R290" s="30" t="s">
        <v>1905</v>
      </c>
      <c r="S290" s="24">
        <v>0</v>
      </c>
      <c r="T290" s="24"/>
      <c r="U290" s="94">
        <f>538.82*0.71</f>
        <v>382.56220000000002</v>
      </c>
      <c r="V290" s="94">
        <f>557.08*0.71</f>
        <v>395.52680000000004</v>
      </c>
      <c r="W290" s="106">
        <f>107.36*0.71</f>
        <v>76.2256</v>
      </c>
      <c r="X290" s="107" t="s">
        <v>208</v>
      </c>
      <c r="Y290" s="106">
        <f>69.73*0.71</f>
        <v>49.508299999999998</v>
      </c>
      <c r="Z290" s="107" t="s">
        <v>208</v>
      </c>
      <c r="AA290" s="106">
        <f>98.71*0.71</f>
        <v>70.084099999999992</v>
      </c>
      <c r="AB290" s="107" t="s">
        <v>208</v>
      </c>
      <c r="AC290" s="106">
        <f>74.97*0.71</f>
        <v>53.228699999999996</v>
      </c>
      <c r="AD290" s="107" t="s">
        <v>208</v>
      </c>
      <c r="AE290" s="106">
        <f>21.96*0.71</f>
        <v>15.5916</v>
      </c>
      <c r="AF290" s="107" t="s">
        <v>208</v>
      </c>
      <c r="AG290" s="106">
        <v>0</v>
      </c>
      <c r="AH290" s="107" t="s">
        <v>208</v>
      </c>
      <c r="AI290" s="106">
        <v>0</v>
      </c>
      <c r="AJ290" s="107" t="s">
        <v>208</v>
      </c>
      <c r="AK290" s="106">
        <v>0</v>
      </c>
      <c r="AL290" s="107" t="s">
        <v>208</v>
      </c>
      <c r="AM290" s="106">
        <f>2.25*0.71</f>
        <v>1.5974999999999999</v>
      </c>
      <c r="AN290" s="107" t="s">
        <v>208</v>
      </c>
      <c r="AO290" s="106">
        <f>55.15*0.71</f>
        <v>39.156499999999994</v>
      </c>
      <c r="AP290" s="107" t="s">
        <v>208</v>
      </c>
      <c r="AQ290" s="106">
        <f>37.69*0.71</f>
        <v>26.759899999999998</v>
      </c>
      <c r="AR290" s="106" t="s">
        <v>208</v>
      </c>
      <c r="AS290" s="106">
        <f>60.72*0.71</f>
        <v>43.111199999999997</v>
      </c>
      <c r="AT290" s="107" t="s">
        <v>208</v>
      </c>
      <c r="AU290" s="106">
        <f t="shared" si="13"/>
        <v>375.26339999999999</v>
      </c>
      <c r="AV290" s="25">
        <v>0.15740000000000001</v>
      </c>
      <c r="AW290" s="30" t="str">
        <f t="shared" si="14"/>
        <v>95-70</v>
      </c>
      <c r="AX290" s="30" t="s">
        <v>1907</v>
      </c>
      <c r="AY290" s="30">
        <v>0</v>
      </c>
      <c r="AZ290" s="30">
        <v>0</v>
      </c>
    </row>
    <row r="291" spans="1:52" ht="31.2" x14ac:dyDescent="0.3">
      <c r="A291" s="103">
        <v>281</v>
      </c>
      <c r="B291" s="30" t="s">
        <v>908</v>
      </c>
      <c r="C291" s="30" t="s">
        <v>1899</v>
      </c>
      <c r="D291" s="105" t="s">
        <v>1900</v>
      </c>
      <c r="E291" s="108" t="s">
        <v>1901</v>
      </c>
      <c r="F291" s="30" t="s">
        <v>1902</v>
      </c>
      <c r="G291" s="26" t="s">
        <v>145</v>
      </c>
      <c r="H291" s="24" t="s">
        <v>146</v>
      </c>
      <c r="I291" s="25">
        <v>1</v>
      </c>
      <c r="J291" s="24" t="s">
        <v>1903</v>
      </c>
      <c r="K291" s="24">
        <v>32</v>
      </c>
      <c r="L291" s="24">
        <v>5</v>
      </c>
      <c r="M291" s="24" t="str">
        <f t="shared" si="12"/>
        <v>95-70</v>
      </c>
      <c r="N291" s="24" t="s">
        <v>529</v>
      </c>
      <c r="O291" s="24" t="s">
        <v>529</v>
      </c>
      <c r="P291" s="24">
        <v>1</v>
      </c>
      <c r="Q291" s="102">
        <v>0</v>
      </c>
      <c r="R291" s="30" t="s">
        <v>1905</v>
      </c>
      <c r="S291" s="24">
        <v>0</v>
      </c>
      <c r="T291" s="24"/>
      <c r="U291" s="94">
        <f>538.82*0.29</f>
        <v>156.2578</v>
      </c>
      <c r="V291" s="94">
        <f>557.08*0.29</f>
        <v>161.5532</v>
      </c>
      <c r="W291" s="106">
        <f>107.36*0.29</f>
        <v>31.134399999999999</v>
      </c>
      <c r="X291" s="107" t="s">
        <v>1906</v>
      </c>
      <c r="Y291" s="106">
        <f>69.73*0.29</f>
        <v>20.221699999999998</v>
      </c>
      <c r="Z291" s="107" t="s">
        <v>1906</v>
      </c>
      <c r="AA291" s="106">
        <f>98.71*0.29</f>
        <v>28.625899999999998</v>
      </c>
      <c r="AB291" s="107" t="s">
        <v>1906</v>
      </c>
      <c r="AC291" s="106">
        <f>74.97*0.29</f>
        <v>21.741299999999999</v>
      </c>
      <c r="AD291" s="107" t="s">
        <v>1906</v>
      </c>
      <c r="AE291" s="106">
        <f>21.96*0.29</f>
        <v>6.3683999999999994</v>
      </c>
      <c r="AF291" s="107" t="s">
        <v>1906</v>
      </c>
      <c r="AG291" s="106">
        <v>0</v>
      </c>
      <c r="AH291" s="107" t="s">
        <v>1906</v>
      </c>
      <c r="AI291" s="106">
        <v>0</v>
      </c>
      <c r="AJ291" s="107" t="s">
        <v>1906</v>
      </c>
      <c r="AK291" s="106">
        <v>0</v>
      </c>
      <c r="AL291" s="107" t="s">
        <v>1906</v>
      </c>
      <c r="AM291" s="106">
        <f>2.25*0.29</f>
        <v>0.65249999999999997</v>
      </c>
      <c r="AN291" s="107" t="s">
        <v>1906</v>
      </c>
      <c r="AO291" s="106">
        <f>55.15*0.29</f>
        <v>15.993499999999999</v>
      </c>
      <c r="AP291" s="107" t="s">
        <v>1906</v>
      </c>
      <c r="AQ291" s="106">
        <f>37.69*0.29</f>
        <v>10.930099999999998</v>
      </c>
      <c r="AR291" s="106" t="s">
        <v>1906</v>
      </c>
      <c r="AS291" s="106">
        <f>60.72*0.29</f>
        <v>17.608799999999999</v>
      </c>
      <c r="AT291" s="107" t="s">
        <v>1906</v>
      </c>
      <c r="AU291" s="106">
        <f t="shared" si="13"/>
        <v>153.2766</v>
      </c>
      <c r="AV291" s="25">
        <v>7.4399999999999994E-2</v>
      </c>
      <c r="AW291" s="30" t="str">
        <f t="shared" si="14"/>
        <v>95-70</v>
      </c>
      <c r="AX291" s="30" t="s">
        <v>1907</v>
      </c>
      <c r="AY291" s="30">
        <v>0</v>
      </c>
      <c r="AZ291" s="30">
        <v>0</v>
      </c>
    </row>
    <row r="292" spans="1:52" ht="31.2" x14ac:dyDescent="0.3">
      <c r="A292" s="103">
        <v>282</v>
      </c>
      <c r="B292" s="30" t="s">
        <v>909</v>
      </c>
      <c r="C292" s="30" t="s">
        <v>1899</v>
      </c>
      <c r="D292" s="105" t="s">
        <v>1900</v>
      </c>
      <c r="E292" s="108" t="s">
        <v>1901</v>
      </c>
      <c r="F292" s="30" t="s">
        <v>1902</v>
      </c>
      <c r="G292" s="26" t="s">
        <v>145</v>
      </c>
      <c r="H292" s="24" t="s">
        <v>146</v>
      </c>
      <c r="I292" s="25">
        <v>1</v>
      </c>
      <c r="J292" s="24" t="s">
        <v>1903</v>
      </c>
      <c r="K292" s="24">
        <v>50</v>
      </c>
      <c r="L292" s="24">
        <v>5</v>
      </c>
      <c r="M292" s="24" t="str">
        <f t="shared" si="12"/>
        <v>95-70</v>
      </c>
      <c r="N292" s="24" t="s">
        <v>529</v>
      </c>
      <c r="O292" s="24" t="s">
        <v>529</v>
      </c>
      <c r="P292" s="24">
        <v>1</v>
      </c>
      <c r="Q292" s="102">
        <v>0</v>
      </c>
      <c r="R292" s="30" t="s">
        <v>1905</v>
      </c>
      <c r="S292" s="24">
        <v>0</v>
      </c>
      <c r="T292" s="24"/>
      <c r="U292" s="94">
        <v>529.78000000000009</v>
      </c>
      <c r="V292" s="94">
        <v>702.86</v>
      </c>
      <c r="W292" s="106">
        <v>147.30000000000001</v>
      </c>
      <c r="X292" s="107" t="s">
        <v>208</v>
      </c>
      <c r="Y292" s="106">
        <v>85.11</v>
      </c>
      <c r="Z292" s="107" t="s">
        <v>208</v>
      </c>
      <c r="AA292" s="106">
        <v>131.13999999999999</v>
      </c>
      <c r="AB292" s="107" t="s">
        <v>208</v>
      </c>
      <c r="AC292" s="106">
        <v>92.66</v>
      </c>
      <c r="AD292" s="107" t="s">
        <v>208</v>
      </c>
      <c r="AE292" s="106">
        <v>28.42</v>
      </c>
      <c r="AF292" s="107" t="s">
        <v>208</v>
      </c>
      <c r="AG292" s="106">
        <v>0</v>
      </c>
      <c r="AH292" s="107" t="s">
        <v>208</v>
      </c>
      <c r="AI292" s="106">
        <v>0</v>
      </c>
      <c r="AJ292" s="107" t="s">
        <v>208</v>
      </c>
      <c r="AK292" s="106">
        <v>0</v>
      </c>
      <c r="AL292" s="107" t="s">
        <v>208</v>
      </c>
      <c r="AM292" s="106">
        <v>0</v>
      </c>
      <c r="AN292" s="107" t="s">
        <v>208</v>
      </c>
      <c r="AO292" s="106">
        <v>45.11</v>
      </c>
      <c r="AP292" s="107" t="s">
        <v>208</v>
      </c>
      <c r="AQ292" s="106">
        <v>46.79</v>
      </c>
      <c r="AR292" s="106" t="s">
        <v>208</v>
      </c>
      <c r="AS292" s="106">
        <v>69.37</v>
      </c>
      <c r="AT292" s="107" t="s">
        <v>208</v>
      </c>
      <c r="AU292" s="106">
        <f t="shared" si="13"/>
        <v>645.9</v>
      </c>
      <c r="AV292" s="25">
        <v>0.24390000000000001</v>
      </c>
      <c r="AW292" s="30" t="str">
        <f t="shared" si="14"/>
        <v>95-70</v>
      </c>
      <c r="AX292" s="30" t="s">
        <v>1907</v>
      </c>
      <c r="AY292" s="30">
        <v>0</v>
      </c>
      <c r="AZ292" s="30">
        <v>0</v>
      </c>
    </row>
    <row r="293" spans="1:52" ht="31.2" x14ac:dyDescent="0.3">
      <c r="A293" s="103">
        <v>283</v>
      </c>
      <c r="B293" s="30" t="s">
        <v>910</v>
      </c>
      <c r="C293" s="30" t="s">
        <v>1899</v>
      </c>
      <c r="D293" s="105" t="s">
        <v>1900</v>
      </c>
      <c r="E293" s="108" t="s">
        <v>1901</v>
      </c>
      <c r="F293" s="30" t="s">
        <v>1902</v>
      </c>
      <c r="G293" s="26" t="s">
        <v>145</v>
      </c>
      <c r="H293" s="24" t="s">
        <v>146</v>
      </c>
      <c r="I293" s="25">
        <v>1</v>
      </c>
      <c r="J293" s="24" t="s">
        <v>1903</v>
      </c>
      <c r="K293" s="24">
        <v>32</v>
      </c>
      <c r="L293" s="24">
        <v>5</v>
      </c>
      <c r="M293" s="24" t="str">
        <f t="shared" si="12"/>
        <v>95-70</v>
      </c>
      <c r="N293" s="24" t="s">
        <v>529</v>
      </c>
      <c r="O293" s="24" t="s">
        <v>529</v>
      </c>
      <c r="P293" s="24">
        <v>1</v>
      </c>
      <c r="Q293" s="102">
        <v>0</v>
      </c>
      <c r="R293" s="30" t="s">
        <v>1905</v>
      </c>
      <c r="S293" s="24">
        <v>0</v>
      </c>
      <c r="T293" s="24"/>
      <c r="U293" s="94">
        <v>196.9</v>
      </c>
      <c r="V293" s="94">
        <v>134.73000000000002</v>
      </c>
      <c r="W293" s="106">
        <v>18.399999999999999</v>
      </c>
      <c r="X293" s="107" t="s">
        <v>1906</v>
      </c>
      <c r="Y293" s="106">
        <v>18.399999999999999</v>
      </c>
      <c r="Z293" s="107" t="s">
        <v>1906</v>
      </c>
      <c r="AA293" s="106">
        <v>18.399999999999999</v>
      </c>
      <c r="AB293" s="107" t="s">
        <v>1906</v>
      </c>
      <c r="AC293" s="106">
        <v>18.399999999999999</v>
      </c>
      <c r="AD293" s="107" t="s">
        <v>1906</v>
      </c>
      <c r="AE293" s="106">
        <v>5.93</v>
      </c>
      <c r="AF293" s="107" t="s">
        <v>1906</v>
      </c>
      <c r="AG293" s="106">
        <v>0</v>
      </c>
      <c r="AH293" s="107" t="s">
        <v>1906</v>
      </c>
      <c r="AI293" s="106">
        <v>0</v>
      </c>
      <c r="AJ293" s="107" t="s">
        <v>1906</v>
      </c>
      <c r="AK293" s="106">
        <v>0</v>
      </c>
      <c r="AL293" s="107" t="s">
        <v>1906</v>
      </c>
      <c r="AM293" s="106">
        <v>0</v>
      </c>
      <c r="AN293" s="107" t="s">
        <v>1906</v>
      </c>
      <c r="AO293" s="106">
        <v>17.78</v>
      </c>
      <c r="AP293" s="107" t="s">
        <v>1906</v>
      </c>
      <c r="AQ293" s="106">
        <v>17.78</v>
      </c>
      <c r="AR293" s="106" t="s">
        <v>1906</v>
      </c>
      <c r="AS293" s="106">
        <v>17.78</v>
      </c>
      <c r="AT293" s="107" t="s">
        <v>1906</v>
      </c>
      <c r="AU293" s="106">
        <f t="shared" si="13"/>
        <v>132.87</v>
      </c>
      <c r="AV293" s="25">
        <v>8.7400000000000005E-2</v>
      </c>
      <c r="AW293" s="30" t="str">
        <f t="shared" si="14"/>
        <v>95-70</v>
      </c>
      <c r="AX293" s="30" t="s">
        <v>1907</v>
      </c>
      <c r="AY293" s="30">
        <v>0</v>
      </c>
      <c r="AZ293" s="30">
        <v>0</v>
      </c>
    </row>
    <row r="294" spans="1:52" ht="31.2" x14ac:dyDescent="0.3">
      <c r="A294" s="103">
        <v>284</v>
      </c>
      <c r="B294" s="30" t="s">
        <v>911</v>
      </c>
      <c r="C294" s="30" t="s">
        <v>1899</v>
      </c>
      <c r="D294" s="105" t="s">
        <v>1900</v>
      </c>
      <c r="E294" s="108" t="s">
        <v>1901</v>
      </c>
      <c r="F294" s="30" t="s">
        <v>1902</v>
      </c>
      <c r="G294" s="26" t="s">
        <v>145</v>
      </c>
      <c r="H294" s="24" t="s">
        <v>146</v>
      </c>
      <c r="I294" s="25">
        <v>1</v>
      </c>
      <c r="J294" s="24" t="s">
        <v>1903</v>
      </c>
      <c r="K294" s="24">
        <v>50</v>
      </c>
      <c r="L294" s="24">
        <v>5</v>
      </c>
      <c r="M294" s="24" t="str">
        <f t="shared" si="12"/>
        <v>95-70</v>
      </c>
      <c r="N294" s="24" t="s">
        <v>529</v>
      </c>
      <c r="O294" s="24" t="s">
        <v>529</v>
      </c>
      <c r="P294" s="24">
        <v>1</v>
      </c>
      <c r="Q294" s="102">
        <v>0</v>
      </c>
      <c r="R294" s="30" t="s">
        <v>1905</v>
      </c>
      <c r="S294" s="24">
        <v>0</v>
      </c>
      <c r="T294" s="24"/>
      <c r="U294" s="94">
        <v>766.1400000000001</v>
      </c>
      <c r="V294" s="94">
        <v>901.17000000000007</v>
      </c>
      <c r="W294" s="106">
        <v>181.31</v>
      </c>
      <c r="X294" s="107" t="s">
        <v>208</v>
      </c>
      <c r="Y294" s="106">
        <v>107.59</v>
      </c>
      <c r="Z294" s="107" t="s">
        <v>208</v>
      </c>
      <c r="AA294" s="106">
        <v>169.16</v>
      </c>
      <c r="AB294" s="107" t="s">
        <v>208</v>
      </c>
      <c r="AC294" s="106">
        <v>105.94</v>
      </c>
      <c r="AD294" s="107" t="s">
        <v>208</v>
      </c>
      <c r="AE294" s="106">
        <v>30.38</v>
      </c>
      <c r="AF294" s="107" t="s">
        <v>208</v>
      </c>
      <c r="AG294" s="106">
        <v>0</v>
      </c>
      <c r="AH294" s="107" t="s">
        <v>208</v>
      </c>
      <c r="AI294" s="106">
        <v>0</v>
      </c>
      <c r="AJ294" s="107" t="s">
        <v>208</v>
      </c>
      <c r="AK294" s="106">
        <v>0</v>
      </c>
      <c r="AL294" s="107" t="s">
        <v>208</v>
      </c>
      <c r="AM294" s="106">
        <v>0</v>
      </c>
      <c r="AN294" s="107" t="s">
        <v>208</v>
      </c>
      <c r="AO294" s="106">
        <v>115.07</v>
      </c>
      <c r="AP294" s="107" t="s">
        <v>208</v>
      </c>
      <c r="AQ294" s="106">
        <v>64.540000000000006</v>
      </c>
      <c r="AR294" s="106" t="s">
        <v>208</v>
      </c>
      <c r="AS294" s="106">
        <v>115.07</v>
      </c>
      <c r="AT294" s="107" t="s">
        <v>208</v>
      </c>
      <c r="AU294" s="106">
        <f t="shared" si="13"/>
        <v>889.06</v>
      </c>
      <c r="AV294" s="25">
        <v>0.35270000000000001</v>
      </c>
      <c r="AW294" s="30" t="str">
        <f t="shared" si="14"/>
        <v>95-70</v>
      </c>
      <c r="AX294" s="30" t="s">
        <v>1907</v>
      </c>
      <c r="AY294" s="30">
        <v>0</v>
      </c>
      <c r="AZ294" s="30">
        <v>0</v>
      </c>
    </row>
    <row r="295" spans="1:52" ht="31.2" x14ac:dyDescent="0.3">
      <c r="A295" s="103">
        <v>285</v>
      </c>
      <c r="B295" s="30" t="s">
        <v>912</v>
      </c>
      <c r="C295" s="30" t="s">
        <v>1899</v>
      </c>
      <c r="D295" s="105" t="s">
        <v>1900</v>
      </c>
      <c r="E295" s="108" t="s">
        <v>1901</v>
      </c>
      <c r="F295" s="30" t="s">
        <v>1902</v>
      </c>
      <c r="G295" s="26" t="s">
        <v>145</v>
      </c>
      <c r="H295" s="24" t="s">
        <v>146</v>
      </c>
      <c r="I295" s="25">
        <v>1</v>
      </c>
      <c r="J295" s="24" t="s">
        <v>1903</v>
      </c>
      <c r="K295" s="24">
        <v>32</v>
      </c>
      <c r="L295" s="24">
        <v>5</v>
      </c>
      <c r="M295" s="24" t="str">
        <f t="shared" si="12"/>
        <v>95-70</v>
      </c>
      <c r="N295" s="24" t="s">
        <v>529</v>
      </c>
      <c r="O295" s="24" t="s">
        <v>529</v>
      </c>
      <c r="P295" s="24">
        <v>1</v>
      </c>
      <c r="Q295" s="102">
        <v>0</v>
      </c>
      <c r="R295" s="30" t="s">
        <v>1905</v>
      </c>
      <c r="S295" s="24">
        <v>0</v>
      </c>
      <c r="T295" s="24"/>
      <c r="U295" s="94">
        <v>311.77999999999997</v>
      </c>
      <c r="V295" s="94">
        <v>315.11</v>
      </c>
      <c r="W295" s="106">
        <v>69.239999999999995</v>
      </c>
      <c r="X295" s="107" t="s">
        <v>208</v>
      </c>
      <c r="Y295" s="106">
        <v>38.25</v>
      </c>
      <c r="Z295" s="107" t="s">
        <v>208</v>
      </c>
      <c r="AA295" s="106">
        <v>58.94</v>
      </c>
      <c r="AB295" s="107" t="s">
        <v>208</v>
      </c>
      <c r="AC295" s="106">
        <v>36.96</v>
      </c>
      <c r="AD295" s="107" t="s">
        <v>208</v>
      </c>
      <c r="AE295" s="106">
        <v>10.08</v>
      </c>
      <c r="AF295" s="107" t="s">
        <v>208</v>
      </c>
      <c r="AG295" s="106">
        <v>0</v>
      </c>
      <c r="AH295" s="107" t="s">
        <v>208</v>
      </c>
      <c r="AI295" s="106">
        <v>0</v>
      </c>
      <c r="AJ295" s="107" t="s">
        <v>208</v>
      </c>
      <c r="AK295" s="106">
        <v>0</v>
      </c>
      <c r="AL295" s="107" t="s">
        <v>208</v>
      </c>
      <c r="AM295" s="106">
        <v>0</v>
      </c>
      <c r="AN295" s="107" t="s">
        <v>208</v>
      </c>
      <c r="AO295" s="106">
        <v>21.14</v>
      </c>
      <c r="AP295" s="107" t="s">
        <v>208</v>
      </c>
      <c r="AQ295" s="106">
        <v>23.83</v>
      </c>
      <c r="AR295" s="106" t="s">
        <v>208</v>
      </c>
      <c r="AS295" s="106">
        <v>35.5</v>
      </c>
      <c r="AT295" s="107" t="s">
        <v>208</v>
      </c>
      <c r="AU295" s="106">
        <f t="shared" si="13"/>
        <v>293.94</v>
      </c>
      <c r="AV295" s="25">
        <v>0.14299999999999999</v>
      </c>
      <c r="AW295" s="30" t="str">
        <f t="shared" si="14"/>
        <v>95-70</v>
      </c>
      <c r="AX295" s="30" t="s">
        <v>1907</v>
      </c>
      <c r="AY295" s="30">
        <v>0</v>
      </c>
      <c r="AZ295" s="30">
        <v>0</v>
      </c>
    </row>
    <row r="296" spans="1:52" ht="31.2" x14ac:dyDescent="0.3">
      <c r="A296" s="103">
        <v>286</v>
      </c>
      <c r="B296" s="30" t="s">
        <v>913</v>
      </c>
      <c r="C296" s="30" t="s">
        <v>1899</v>
      </c>
      <c r="D296" s="105" t="s">
        <v>1900</v>
      </c>
      <c r="E296" s="108" t="s">
        <v>1901</v>
      </c>
      <c r="F296" s="30" t="s">
        <v>1902</v>
      </c>
      <c r="G296" s="26" t="s">
        <v>145</v>
      </c>
      <c r="H296" s="24" t="s">
        <v>146</v>
      </c>
      <c r="I296" s="25">
        <v>1</v>
      </c>
      <c r="J296" s="24" t="s">
        <v>1903</v>
      </c>
      <c r="K296" s="24">
        <v>65</v>
      </c>
      <c r="L296" s="24">
        <v>5</v>
      </c>
      <c r="M296" s="24" t="str">
        <f t="shared" si="12"/>
        <v>95-70</v>
      </c>
      <c r="N296" s="24" t="s">
        <v>529</v>
      </c>
      <c r="O296" s="24" t="s">
        <v>529</v>
      </c>
      <c r="P296" s="24">
        <v>1</v>
      </c>
      <c r="Q296" s="102">
        <v>0</v>
      </c>
      <c r="R296" s="30" t="s">
        <v>1905</v>
      </c>
      <c r="S296" s="24">
        <v>0</v>
      </c>
      <c r="T296" s="24"/>
      <c r="U296" s="94">
        <v>1305.51</v>
      </c>
      <c r="V296" s="94">
        <v>1389.53</v>
      </c>
      <c r="W296" s="106">
        <v>189.76</v>
      </c>
      <c r="X296" s="107" t="s">
        <v>208</v>
      </c>
      <c r="Y296" s="106">
        <v>189.76</v>
      </c>
      <c r="Z296" s="107" t="s">
        <v>208</v>
      </c>
      <c r="AA296" s="106">
        <v>189.76</v>
      </c>
      <c r="AB296" s="107" t="s">
        <v>208</v>
      </c>
      <c r="AC296" s="106">
        <v>189.76</v>
      </c>
      <c r="AD296" s="107" t="s">
        <v>208</v>
      </c>
      <c r="AE296" s="106">
        <v>61.21</v>
      </c>
      <c r="AF296" s="107" t="s">
        <v>208</v>
      </c>
      <c r="AG296" s="106">
        <v>0</v>
      </c>
      <c r="AH296" s="107" t="s">
        <v>208</v>
      </c>
      <c r="AI296" s="106">
        <v>0</v>
      </c>
      <c r="AJ296" s="107" t="s">
        <v>208</v>
      </c>
      <c r="AK296" s="106">
        <v>0</v>
      </c>
      <c r="AL296" s="107" t="s">
        <v>208</v>
      </c>
      <c r="AM296" s="106">
        <v>0</v>
      </c>
      <c r="AN296" s="107" t="s">
        <v>208</v>
      </c>
      <c r="AO296" s="106">
        <v>183.59</v>
      </c>
      <c r="AP296" s="107" t="s">
        <v>208</v>
      </c>
      <c r="AQ296" s="106">
        <v>183.59</v>
      </c>
      <c r="AR296" s="106" t="s">
        <v>208</v>
      </c>
      <c r="AS296" s="106">
        <v>108.38</v>
      </c>
      <c r="AT296" s="107" t="s">
        <v>208</v>
      </c>
      <c r="AU296" s="106">
        <f t="shared" si="13"/>
        <v>1295.81</v>
      </c>
      <c r="AV296" s="25">
        <v>0.60099999999999998</v>
      </c>
      <c r="AW296" s="30" t="str">
        <f t="shared" si="14"/>
        <v>95-70</v>
      </c>
      <c r="AX296" s="30" t="s">
        <v>1907</v>
      </c>
      <c r="AY296" s="30">
        <v>0</v>
      </c>
      <c r="AZ296" s="30">
        <v>0</v>
      </c>
    </row>
    <row r="297" spans="1:52" ht="31.2" x14ac:dyDescent="0.3">
      <c r="A297" s="103">
        <v>287</v>
      </c>
      <c r="B297" s="30" t="s">
        <v>915</v>
      </c>
      <c r="C297" s="30" t="s">
        <v>1899</v>
      </c>
      <c r="D297" s="105" t="s">
        <v>1900</v>
      </c>
      <c r="E297" s="108" t="s">
        <v>1901</v>
      </c>
      <c r="F297" s="30" t="s">
        <v>1902</v>
      </c>
      <c r="G297" s="26" t="s">
        <v>145</v>
      </c>
      <c r="H297" s="24" t="s">
        <v>146</v>
      </c>
      <c r="I297" s="25">
        <v>1</v>
      </c>
      <c r="J297" s="24" t="s">
        <v>1903</v>
      </c>
      <c r="K297" s="24">
        <v>50</v>
      </c>
      <c r="L297" s="24">
        <v>5</v>
      </c>
      <c r="M297" s="24" t="str">
        <f t="shared" si="12"/>
        <v>95-70</v>
      </c>
      <c r="N297" s="24" t="s">
        <v>529</v>
      </c>
      <c r="O297" s="24" t="s">
        <v>529</v>
      </c>
      <c r="P297" s="24">
        <v>1</v>
      </c>
      <c r="Q297" s="102">
        <v>0</v>
      </c>
      <c r="R297" s="30" t="s">
        <v>1905</v>
      </c>
      <c r="S297" s="24">
        <v>0</v>
      </c>
      <c r="T297" s="24"/>
      <c r="U297" s="94">
        <v>654.44999999999993</v>
      </c>
      <c r="V297" s="94">
        <v>643.30999999999995</v>
      </c>
      <c r="W297" s="106">
        <v>87.68</v>
      </c>
      <c r="X297" s="107" t="s">
        <v>208</v>
      </c>
      <c r="Y297" s="106">
        <v>92.97</v>
      </c>
      <c r="Z297" s="107" t="s">
        <v>208</v>
      </c>
      <c r="AA297" s="106">
        <v>124.16000000000001</v>
      </c>
      <c r="AB297" s="107" t="s">
        <v>208</v>
      </c>
      <c r="AC297" s="106">
        <v>90.570000000000007</v>
      </c>
      <c r="AD297" s="107" t="s">
        <v>208</v>
      </c>
      <c r="AE297" s="106">
        <v>29.07</v>
      </c>
      <c r="AF297" s="107" t="s">
        <v>208</v>
      </c>
      <c r="AG297" s="106">
        <v>0</v>
      </c>
      <c r="AH297" s="107" t="s">
        <v>208</v>
      </c>
      <c r="AI297" s="106">
        <v>0</v>
      </c>
      <c r="AJ297" s="107" t="s">
        <v>208</v>
      </c>
      <c r="AK297" s="106">
        <v>0</v>
      </c>
      <c r="AL297" s="107" t="s">
        <v>208</v>
      </c>
      <c r="AM297" s="106">
        <v>0.5</v>
      </c>
      <c r="AN297" s="107" t="s">
        <v>208</v>
      </c>
      <c r="AO297" s="106">
        <v>53.56</v>
      </c>
      <c r="AP297" s="107" t="s">
        <v>208</v>
      </c>
      <c r="AQ297" s="106">
        <v>72.949999999999989</v>
      </c>
      <c r="AR297" s="106" t="s">
        <v>208</v>
      </c>
      <c r="AS297" s="106">
        <v>101.7</v>
      </c>
      <c r="AT297" s="107" t="s">
        <v>208</v>
      </c>
      <c r="AU297" s="106">
        <f t="shared" si="13"/>
        <v>653.16000000000008</v>
      </c>
      <c r="AV297" s="25">
        <v>0.27600000000000002</v>
      </c>
      <c r="AW297" s="30" t="str">
        <f t="shared" si="14"/>
        <v>95-70</v>
      </c>
      <c r="AX297" s="30" t="s">
        <v>1907</v>
      </c>
      <c r="AY297" s="30">
        <v>0</v>
      </c>
      <c r="AZ297" s="30">
        <v>0</v>
      </c>
    </row>
    <row r="298" spans="1:52" ht="31.2" x14ac:dyDescent="0.3">
      <c r="A298" s="103">
        <v>288</v>
      </c>
      <c r="B298" s="30" t="s">
        <v>916</v>
      </c>
      <c r="C298" s="30" t="s">
        <v>1899</v>
      </c>
      <c r="D298" s="105" t="s">
        <v>1900</v>
      </c>
      <c r="E298" s="108" t="s">
        <v>1901</v>
      </c>
      <c r="F298" s="30" t="s">
        <v>1902</v>
      </c>
      <c r="G298" s="26" t="s">
        <v>145</v>
      </c>
      <c r="H298" s="24" t="s">
        <v>146</v>
      </c>
      <c r="I298" s="25">
        <v>0</v>
      </c>
      <c r="J298" s="24" t="s">
        <v>1903</v>
      </c>
      <c r="K298" s="24">
        <v>32</v>
      </c>
      <c r="L298" s="24">
        <v>5</v>
      </c>
      <c r="M298" s="24" t="str">
        <f t="shared" si="12"/>
        <v>95-70</v>
      </c>
      <c r="N298" s="24" t="s">
        <v>529</v>
      </c>
      <c r="O298" s="24" t="s">
        <v>529</v>
      </c>
      <c r="P298" s="24">
        <v>0</v>
      </c>
      <c r="Q298" s="102">
        <v>0</v>
      </c>
      <c r="R298" s="30" t="s">
        <v>1905</v>
      </c>
      <c r="S298" s="24">
        <v>0</v>
      </c>
      <c r="T298" s="24"/>
      <c r="U298" s="94">
        <v>213.09</v>
      </c>
      <c r="V298" s="94">
        <v>44.97</v>
      </c>
      <c r="W298" s="106">
        <v>5.37</v>
      </c>
      <c r="X298" s="107" t="s">
        <v>1906</v>
      </c>
      <c r="Y298" s="106">
        <v>5.37</v>
      </c>
      <c r="Z298" s="107" t="s">
        <v>1906</v>
      </c>
      <c r="AA298" s="106">
        <v>5.37</v>
      </c>
      <c r="AB298" s="107" t="s">
        <v>1906</v>
      </c>
      <c r="AC298" s="106">
        <v>5.37</v>
      </c>
      <c r="AD298" s="107" t="s">
        <v>1906</v>
      </c>
      <c r="AE298" s="106">
        <v>1.56</v>
      </c>
      <c r="AF298" s="107" t="s">
        <v>1906</v>
      </c>
      <c r="AG298" s="106">
        <v>0</v>
      </c>
      <c r="AH298" s="107" t="s">
        <v>1906</v>
      </c>
      <c r="AI298" s="106">
        <v>0</v>
      </c>
      <c r="AJ298" s="107" t="s">
        <v>1906</v>
      </c>
      <c r="AK298" s="106">
        <v>0</v>
      </c>
      <c r="AL298" s="107" t="s">
        <v>1906</v>
      </c>
      <c r="AM298" s="106">
        <v>1.1399999999999999</v>
      </c>
      <c r="AN298" s="107" t="s">
        <v>1906</v>
      </c>
      <c r="AO298" s="106">
        <v>4.9000000000000004</v>
      </c>
      <c r="AP298" s="107" t="s">
        <v>1906</v>
      </c>
      <c r="AQ298" s="106">
        <v>4.9000000000000004</v>
      </c>
      <c r="AR298" s="106" t="s">
        <v>1906</v>
      </c>
      <c r="AS298" s="106">
        <v>4.9000000000000004</v>
      </c>
      <c r="AT298" s="107" t="s">
        <v>1906</v>
      </c>
      <c r="AU298" s="106">
        <f t="shared" si="13"/>
        <v>38.879999999999995</v>
      </c>
      <c r="AV298" s="25">
        <v>9.9400000000000002E-2</v>
      </c>
      <c r="AW298" s="30" t="str">
        <f t="shared" si="14"/>
        <v>95-70</v>
      </c>
      <c r="AX298" s="30" t="s">
        <v>1907</v>
      </c>
      <c r="AY298" s="30">
        <v>0</v>
      </c>
      <c r="AZ298" s="30">
        <v>0</v>
      </c>
    </row>
    <row r="299" spans="1:52" ht="31.2" x14ac:dyDescent="0.3">
      <c r="A299" s="103">
        <v>289</v>
      </c>
      <c r="B299" s="30" t="s">
        <v>918</v>
      </c>
      <c r="C299" s="30" t="s">
        <v>1899</v>
      </c>
      <c r="D299" s="105" t="s">
        <v>1900</v>
      </c>
      <c r="E299" s="108" t="s">
        <v>1901</v>
      </c>
      <c r="F299" s="30" t="s">
        <v>1902</v>
      </c>
      <c r="G299" s="26" t="s">
        <v>145</v>
      </c>
      <c r="H299" s="24" t="s">
        <v>146</v>
      </c>
      <c r="I299" s="25">
        <v>1</v>
      </c>
      <c r="J299" s="24" t="s">
        <v>1903</v>
      </c>
      <c r="K299" s="24">
        <v>32</v>
      </c>
      <c r="L299" s="24">
        <v>5</v>
      </c>
      <c r="M299" s="24" t="str">
        <f t="shared" si="12"/>
        <v>95-70</v>
      </c>
      <c r="N299" s="24" t="s">
        <v>529</v>
      </c>
      <c r="O299" s="24" t="s">
        <v>529</v>
      </c>
      <c r="P299" s="24">
        <v>1</v>
      </c>
      <c r="Q299" s="102">
        <v>0</v>
      </c>
      <c r="R299" s="30" t="s">
        <v>1905</v>
      </c>
      <c r="S299" s="24">
        <v>0</v>
      </c>
      <c r="T299" s="24"/>
      <c r="U299" s="94">
        <v>593.44999999999993</v>
      </c>
      <c r="V299" s="94">
        <v>537.20999999999992</v>
      </c>
      <c r="W299" s="106">
        <v>108.14</v>
      </c>
      <c r="X299" s="107" t="s">
        <v>208</v>
      </c>
      <c r="Y299" s="106">
        <v>65.72</v>
      </c>
      <c r="Z299" s="107" t="s">
        <v>208</v>
      </c>
      <c r="AA299" s="106">
        <v>98.85</v>
      </c>
      <c r="AB299" s="107" t="s">
        <v>208</v>
      </c>
      <c r="AC299" s="106">
        <v>72.84</v>
      </c>
      <c r="AD299" s="107" t="s">
        <v>208</v>
      </c>
      <c r="AE299" s="106">
        <v>21.4</v>
      </c>
      <c r="AF299" s="107" t="s">
        <v>208</v>
      </c>
      <c r="AG299" s="106">
        <v>0</v>
      </c>
      <c r="AH299" s="107" t="s">
        <v>208</v>
      </c>
      <c r="AI299" s="106">
        <v>0</v>
      </c>
      <c r="AJ299" s="107" t="s">
        <v>208</v>
      </c>
      <c r="AK299" s="106">
        <v>0</v>
      </c>
      <c r="AL299" s="107" t="s">
        <v>208</v>
      </c>
      <c r="AM299" s="106">
        <v>0</v>
      </c>
      <c r="AN299" s="107" t="s">
        <v>208</v>
      </c>
      <c r="AO299" s="106">
        <v>56.63</v>
      </c>
      <c r="AP299" s="107" t="s">
        <v>208</v>
      </c>
      <c r="AQ299" s="106">
        <v>33.090000000000003</v>
      </c>
      <c r="AR299" s="106" t="s">
        <v>208</v>
      </c>
      <c r="AS299" s="106">
        <v>65.349999999999994</v>
      </c>
      <c r="AT299" s="107" t="s">
        <v>208</v>
      </c>
      <c r="AU299" s="106">
        <f t="shared" si="13"/>
        <v>522.0200000000001</v>
      </c>
      <c r="AV299" s="25">
        <v>0.25290000000000001</v>
      </c>
      <c r="AW299" s="30" t="str">
        <f t="shared" si="14"/>
        <v>95-70</v>
      </c>
      <c r="AX299" s="30" t="s">
        <v>1907</v>
      </c>
      <c r="AY299" s="30">
        <v>0</v>
      </c>
      <c r="AZ299" s="30">
        <v>0</v>
      </c>
    </row>
    <row r="300" spans="1:52" ht="31.2" x14ac:dyDescent="0.3">
      <c r="A300" s="103">
        <v>290</v>
      </c>
      <c r="B300" s="30" t="s">
        <v>920</v>
      </c>
      <c r="C300" s="30" t="s">
        <v>1899</v>
      </c>
      <c r="D300" s="105" t="s">
        <v>1900</v>
      </c>
      <c r="E300" s="108" t="s">
        <v>1901</v>
      </c>
      <c r="F300" s="30" t="s">
        <v>1902</v>
      </c>
      <c r="G300" s="26" t="s">
        <v>145</v>
      </c>
      <c r="H300" s="24" t="s">
        <v>146</v>
      </c>
      <c r="I300" s="25">
        <v>1</v>
      </c>
      <c r="J300" s="24" t="s">
        <v>1903</v>
      </c>
      <c r="K300" s="24">
        <v>32</v>
      </c>
      <c r="L300" s="24">
        <v>5</v>
      </c>
      <c r="M300" s="24" t="str">
        <f t="shared" si="12"/>
        <v>95-70</v>
      </c>
      <c r="N300" s="24" t="s">
        <v>529</v>
      </c>
      <c r="O300" s="24" t="s">
        <v>529</v>
      </c>
      <c r="P300" s="24">
        <v>1</v>
      </c>
      <c r="Q300" s="102">
        <v>0</v>
      </c>
      <c r="R300" s="30" t="s">
        <v>1905</v>
      </c>
      <c r="S300" s="24">
        <v>0</v>
      </c>
      <c r="T300" s="24"/>
      <c r="U300" s="94">
        <f>263.01*0.79</f>
        <v>207.77789999999999</v>
      </c>
      <c r="V300" s="94">
        <f>304.7*0.79</f>
        <v>240.71299999999999</v>
      </c>
      <c r="W300" s="106">
        <f>62.41*0.79</f>
        <v>49.303899999999999</v>
      </c>
      <c r="X300" s="107" t="s">
        <v>208</v>
      </c>
      <c r="Y300" s="106">
        <f>41.13*0.79</f>
        <v>32.492700000000006</v>
      </c>
      <c r="Z300" s="107" t="s">
        <v>208</v>
      </c>
      <c r="AA300" s="106">
        <f>54.75*0.79</f>
        <v>43.252500000000005</v>
      </c>
      <c r="AB300" s="107" t="s">
        <v>208</v>
      </c>
      <c r="AC300" s="106">
        <f>42.1*0.79</f>
        <v>33.259</v>
      </c>
      <c r="AD300" s="107" t="s">
        <v>208</v>
      </c>
      <c r="AE300" s="106">
        <f>12.25*0.79</f>
        <v>9.6775000000000002</v>
      </c>
      <c r="AF300" s="107" t="s">
        <v>208</v>
      </c>
      <c r="AG300" s="106">
        <v>0</v>
      </c>
      <c r="AH300" s="107" t="s">
        <v>208</v>
      </c>
      <c r="AI300" s="106">
        <v>0</v>
      </c>
      <c r="AJ300" s="107" t="s">
        <v>208</v>
      </c>
      <c r="AK300" s="106">
        <v>0</v>
      </c>
      <c r="AL300" s="107" t="s">
        <v>208</v>
      </c>
      <c r="AM300" s="106">
        <f>1.33*0.79</f>
        <v>1.0507000000000002</v>
      </c>
      <c r="AN300" s="107" t="s">
        <v>208</v>
      </c>
      <c r="AO300" s="106">
        <f>23.54*0.79</f>
        <v>18.596599999999999</v>
      </c>
      <c r="AP300" s="107" t="s">
        <v>208</v>
      </c>
      <c r="AQ300" s="106">
        <f>26.36*0.79</f>
        <v>20.824400000000001</v>
      </c>
      <c r="AR300" s="106" t="s">
        <v>208</v>
      </c>
      <c r="AS300" s="106">
        <f>37.02*0.79</f>
        <v>29.245800000000003</v>
      </c>
      <c r="AT300" s="107" t="s">
        <v>208</v>
      </c>
      <c r="AU300" s="106">
        <f t="shared" si="13"/>
        <v>237.70310000000003</v>
      </c>
      <c r="AV300" s="25">
        <v>0.12570000000000001</v>
      </c>
      <c r="AW300" s="30" t="str">
        <f t="shared" si="14"/>
        <v>95-70</v>
      </c>
      <c r="AX300" s="30" t="s">
        <v>1907</v>
      </c>
      <c r="AY300" s="30">
        <v>0</v>
      </c>
      <c r="AZ300" s="30">
        <v>0</v>
      </c>
    </row>
    <row r="301" spans="1:52" ht="31.2" x14ac:dyDescent="0.3">
      <c r="A301" s="103">
        <v>291</v>
      </c>
      <c r="B301" s="30" t="s">
        <v>921</v>
      </c>
      <c r="C301" s="30" t="s">
        <v>1899</v>
      </c>
      <c r="D301" s="105" t="s">
        <v>1900</v>
      </c>
      <c r="E301" s="108" t="s">
        <v>1901</v>
      </c>
      <c r="F301" s="30" t="s">
        <v>1902</v>
      </c>
      <c r="G301" s="26" t="s">
        <v>145</v>
      </c>
      <c r="H301" s="24" t="s">
        <v>146</v>
      </c>
      <c r="I301" s="25">
        <v>1</v>
      </c>
      <c r="J301" s="24" t="s">
        <v>1903</v>
      </c>
      <c r="K301" s="24">
        <v>32</v>
      </c>
      <c r="L301" s="24">
        <v>5</v>
      </c>
      <c r="M301" s="24" t="str">
        <f t="shared" si="12"/>
        <v>95-70</v>
      </c>
      <c r="N301" s="24" t="s">
        <v>529</v>
      </c>
      <c r="O301" s="24" t="s">
        <v>529</v>
      </c>
      <c r="P301" s="24">
        <v>1</v>
      </c>
      <c r="Q301" s="102">
        <v>0</v>
      </c>
      <c r="R301" s="30" t="s">
        <v>1905</v>
      </c>
      <c r="S301" s="24">
        <v>0</v>
      </c>
      <c r="T301" s="24"/>
      <c r="U301" s="94">
        <f>263.01*0.21</f>
        <v>55.232099999999996</v>
      </c>
      <c r="V301" s="94">
        <f>304.7*0.21</f>
        <v>63.986999999999995</v>
      </c>
      <c r="W301" s="106">
        <f>62.41*0.21</f>
        <v>13.1061</v>
      </c>
      <c r="X301" s="107" t="s">
        <v>1906</v>
      </c>
      <c r="Y301" s="106">
        <f>41.13*0.21</f>
        <v>8.6372999999999998</v>
      </c>
      <c r="Z301" s="107" t="s">
        <v>1906</v>
      </c>
      <c r="AA301" s="106">
        <f>54.75*0.21</f>
        <v>11.497499999999999</v>
      </c>
      <c r="AB301" s="107" t="s">
        <v>1906</v>
      </c>
      <c r="AC301" s="106">
        <f>42.1*0.21</f>
        <v>8.8409999999999993</v>
      </c>
      <c r="AD301" s="107" t="s">
        <v>1906</v>
      </c>
      <c r="AE301" s="106">
        <f>12.25*0.21</f>
        <v>2.5724999999999998</v>
      </c>
      <c r="AF301" s="107" t="s">
        <v>1906</v>
      </c>
      <c r="AG301" s="106">
        <v>0</v>
      </c>
      <c r="AH301" s="107" t="s">
        <v>1906</v>
      </c>
      <c r="AI301" s="106">
        <v>0</v>
      </c>
      <c r="AJ301" s="107" t="s">
        <v>1906</v>
      </c>
      <c r="AK301" s="106">
        <v>0</v>
      </c>
      <c r="AL301" s="107" t="s">
        <v>1906</v>
      </c>
      <c r="AM301" s="106">
        <f>1.33*0.21</f>
        <v>0.27929999999999999</v>
      </c>
      <c r="AN301" s="107" t="s">
        <v>1906</v>
      </c>
      <c r="AO301" s="106">
        <f>23.54*0.21</f>
        <v>4.9433999999999996</v>
      </c>
      <c r="AP301" s="107" t="s">
        <v>1906</v>
      </c>
      <c r="AQ301" s="106">
        <f>26.36*0.21</f>
        <v>5.5355999999999996</v>
      </c>
      <c r="AR301" s="106" t="s">
        <v>1906</v>
      </c>
      <c r="AS301" s="106">
        <f>37.02*0.21</f>
        <v>7.7742000000000004</v>
      </c>
      <c r="AT301" s="107" t="s">
        <v>1906</v>
      </c>
      <c r="AU301" s="106">
        <f t="shared" si="13"/>
        <v>63.186899999999994</v>
      </c>
      <c r="AV301" s="25">
        <v>3.4000000000000002E-2</v>
      </c>
      <c r="AW301" s="30" t="str">
        <f t="shared" si="14"/>
        <v>95-70</v>
      </c>
      <c r="AX301" s="30" t="s">
        <v>1907</v>
      </c>
      <c r="AY301" s="30">
        <v>0</v>
      </c>
      <c r="AZ301" s="30">
        <v>0</v>
      </c>
    </row>
    <row r="302" spans="1:52" ht="31.2" x14ac:dyDescent="0.3">
      <c r="A302" s="103">
        <v>292</v>
      </c>
      <c r="B302" s="30" t="s">
        <v>922</v>
      </c>
      <c r="C302" s="30" t="s">
        <v>1899</v>
      </c>
      <c r="D302" s="105" t="s">
        <v>1900</v>
      </c>
      <c r="E302" s="108" t="s">
        <v>1901</v>
      </c>
      <c r="F302" s="30" t="s">
        <v>1902</v>
      </c>
      <c r="G302" s="26" t="s">
        <v>145</v>
      </c>
      <c r="H302" s="24" t="s">
        <v>146</v>
      </c>
      <c r="I302" s="25">
        <v>1</v>
      </c>
      <c r="J302" s="24" t="s">
        <v>1903</v>
      </c>
      <c r="K302" s="24">
        <v>40</v>
      </c>
      <c r="L302" s="24">
        <v>5</v>
      </c>
      <c r="M302" s="24" t="str">
        <f t="shared" si="12"/>
        <v>95-70</v>
      </c>
      <c r="N302" s="24" t="s">
        <v>529</v>
      </c>
      <c r="O302" s="24" t="s">
        <v>529</v>
      </c>
      <c r="P302" s="24">
        <v>1</v>
      </c>
      <c r="Q302" s="102">
        <v>0</v>
      </c>
      <c r="R302" s="30" t="s">
        <v>1905</v>
      </c>
      <c r="S302" s="24">
        <v>0</v>
      </c>
      <c r="T302" s="24"/>
      <c r="U302" s="94">
        <f>343.8*0.7</f>
        <v>240.66</v>
      </c>
      <c r="V302" s="94">
        <f>439.69*0.7</f>
        <v>307.78299999999996</v>
      </c>
      <c r="W302" s="106">
        <f>60.31*0.7</f>
        <v>42.216999999999999</v>
      </c>
      <c r="X302" s="107" t="s">
        <v>1906</v>
      </c>
      <c r="Y302" s="106">
        <f>60.31*0.7</f>
        <v>42.216999999999999</v>
      </c>
      <c r="Z302" s="107" t="s">
        <v>1906</v>
      </c>
      <c r="AA302" s="106">
        <f>60.31*0.7</f>
        <v>42.216999999999999</v>
      </c>
      <c r="AB302" s="107" t="s">
        <v>1906</v>
      </c>
      <c r="AC302" s="106">
        <f>60.31*0.7</f>
        <v>42.216999999999999</v>
      </c>
      <c r="AD302" s="107" t="s">
        <v>1906</v>
      </c>
      <c r="AE302" s="106">
        <f>17.52*0.7</f>
        <v>12.263999999999999</v>
      </c>
      <c r="AF302" s="107" t="s">
        <v>1906</v>
      </c>
      <c r="AG302" s="106">
        <v>0</v>
      </c>
      <c r="AH302" s="107" t="s">
        <v>1906</v>
      </c>
      <c r="AI302" s="106">
        <v>0</v>
      </c>
      <c r="AJ302" s="107" t="s">
        <v>1906</v>
      </c>
      <c r="AK302" s="106">
        <v>0</v>
      </c>
      <c r="AL302" s="107" t="s">
        <v>1906</v>
      </c>
      <c r="AM302" s="106">
        <f>4.31*0.7</f>
        <v>3.0169999999999995</v>
      </c>
      <c r="AN302" s="107" t="s">
        <v>1906</v>
      </c>
      <c r="AO302" s="106">
        <f>52.06*0.7</f>
        <v>36.442</v>
      </c>
      <c r="AP302" s="107" t="s">
        <v>1906</v>
      </c>
      <c r="AQ302" s="106">
        <f>52.06*0.7</f>
        <v>36.442</v>
      </c>
      <c r="AR302" s="106" t="s">
        <v>1906</v>
      </c>
      <c r="AS302" s="106">
        <f>52.06*0.7</f>
        <v>36.442</v>
      </c>
      <c r="AT302" s="107" t="s">
        <v>1906</v>
      </c>
      <c r="AU302" s="106">
        <f t="shared" si="13"/>
        <v>293.47500000000002</v>
      </c>
      <c r="AV302" s="25">
        <v>0.12529999999999999</v>
      </c>
      <c r="AW302" s="30" t="str">
        <f t="shared" si="14"/>
        <v>95-70</v>
      </c>
      <c r="AX302" s="30" t="s">
        <v>1907</v>
      </c>
      <c r="AY302" s="30">
        <v>0</v>
      </c>
      <c r="AZ302" s="30">
        <v>0</v>
      </c>
    </row>
    <row r="303" spans="1:52" ht="31.2" x14ac:dyDescent="0.3">
      <c r="A303" s="103">
        <v>293</v>
      </c>
      <c r="B303" s="30" t="s">
        <v>923</v>
      </c>
      <c r="C303" s="30" t="s">
        <v>1899</v>
      </c>
      <c r="D303" s="105" t="s">
        <v>1900</v>
      </c>
      <c r="E303" s="108" t="s">
        <v>1901</v>
      </c>
      <c r="F303" s="30" t="s">
        <v>1902</v>
      </c>
      <c r="G303" s="26" t="s">
        <v>145</v>
      </c>
      <c r="H303" s="24" t="s">
        <v>146</v>
      </c>
      <c r="I303" s="25">
        <v>1</v>
      </c>
      <c r="J303" s="24" t="s">
        <v>1903</v>
      </c>
      <c r="K303" s="24">
        <v>32</v>
      </c>
      <c r="L303" s="24">
        <v>5</v>
      </c>
      <c r="M303" s="24" t="str">
        <f t="shared" si="12"/>
        <v>95-70</v>
      </c>
      <c r="N303" s="24" t="s">
        <v>529</v>
      </c>
      <c r="O303" s="24" t="s">
        <v>529</v>
      </c>
      <c r="P303" s="24">
        <v>1</v>
      </c>
      <c r="Q303" s="102">
        <v>0</v>
      </c>
      <c r="R303" s="30" t="s">
        <v>1905</v>
      </c>
      <c r="S303" s="24">
        <v>0</v>
      </c>
      <c r="T303" s="24"/>
      <c r="U303" s="94">
        <f>343.8*0.3</f>
        <v>103.14</v>
      </c>
      <c r="V303" s="94">
        <f>439.69*0.3</f>
        <v>131.90699999999998</v>
      </c>
      <c r="W303" s="106">
        <f>60.31*0.3</f>
        <v>18.093</v>
      </c>
      <c r="X303" s="107" t="s">
        <v>1906</v>
      </c>
      <c r="Y303" s="106">
        <f>60.31*0.3</f>
        <v>18.093</v>
      </c>
      <c r="Z303" s="107" t="s">
        <v>1906</v>
      </c>
      <c r="AA303" s="106">
        <f>60.31*0.3</f>
        <v>18.093</v>
      </c>
      <c r="AB303" s="107" t="s">
        <v>1906</v>
      </c>
      <c r="AC303" s="106">
        <f>60.31*0.3</f>
        <v>18.093</v>
      </c>
      <c r="AD303" s="107" t="s">
        <v>1906</v>
      </c>
      <c r="AE303" s="106">
        <f>17.52*0.3</f>
        <v>5.2559999999999993</v>
      </c>
      <c r="AF303" s="107" t="s">
        <v>1906</v>
      </c>
      <c r="AG303" s="106">
        <v>0</v>
      </c>
      <c r="AH303" s="107" t="s">
        <v>1906</v>
      </c>
      <c r="AI303" s="106">
        <v>0</v>
      </c>
      <c r="AJ303" s="107" t="s">
        <v>1906</v>
      </c>
      <c r="AK303" s="106">
        <v>0</v>
      </c>
      <c r="AL303" s="107" t="s">
        <v>1906</v>
      </c>
      <c r="AM303" s="106">
        <f>4.31*0.3</f>
        <v>1.2929999999999999</v>
      </c>
      <c r="AN303" s="107" t="s">
        <v>1906</v>
      </c>
      <c r="AO303" s="106">
        <f>52.06*0.3</f>
        <v>15.618</v>
      </c>
      <c r="AP303" s="107" t="s">
        <v>1906</v>
      </c>
      <c r="AQ303" s="106">
        <f>52.06*0.3</f>
        <v>15.618</v>
      </c>
      <c r="AR303" s="106" t="s">
        <v>1906</v>
      </c>
      <c r="AS303" s="106">
        <f>52.06*0.3</f>
        <v>15.618</v>
      </c>
      <c r="AT303" s="107" t="s">
        <v>1906</v>
      </c>
      <c r="AU303" s="106">
        <f t="shared" si="13"/>
        <v>125.77499999999999</v>
      </c>
      <c r="AV303" s="25">
        <v>8.3500000000000005E-2</v>
      </c>
      <c r="AW303" s="30" t="str">
        <f t="shared" si="14"/>
        <v>95-70</v>
      </c>
      <c r="AX303" s="30" t="s">
        <v>1907</v>
      </c>
      <c r="AY303" s="30">
        <v>0</v>
      </c>
      <c r="AZ303" s="30">
        <v>0</v>
      </c>
    </row>
    <row r="304" spans="1:52" ht="31.2" x14ac:dyDescent="0.3">
      <c r="A304" s="103">
        <v>294</v>
      </c>
      <c r="B304" s="30" t="s">
        <v>925</v>
      </c>
      <c r="C304" s="30" t="s">
        <v>1899</v>
      </c>
      <c r="D304" s="105" t="s">
        <v>1900</v>
      </c>
      <c r="E304" s="108" t="s">
        <v>1901</v>
      </c>
      <c r="F304" s="30" t="s">
        <v>1902</v>
      </c>
      <c r="G304" s="26" t="s">
        <v>145</v>
      </c>
      <c r="H304" s="24" t="s">
        <v>146</v>
      </c>
      <c r="I304" s="25">
        <v>1</v>
      </c>
      <c r="J304" s="24" t="s">
        <v>1903</v>
      </c>
      <c r="K304" s="24">
        <v>50</v>
      </c>
      <c r="L304" s="24">
        <v>5</v>
      </c>
      <c r="M304" s="24" t="str">
        <f t="shared" si="12"/>
        <v>95-70</v>
      </c>
      <c r="N304" s="24" t="s">
        <v>529</v>
      </c>
      <c r="O304" s="24" t="s">
        <v>529</v>
      </c>
      <c r="P304" s="24">
        <v>1</v>
      </c>
      <c r="Q304" s="102">
        <v>0</v>
      </c>
      <c r="R304" s="30" t="s">
        <v>1905</v>
      </c>
      <c r="S304" s="24">
        <v>0</v>
      </c>
      <c r="T304" s="24"/>
      <c r="U304" s="94">
        <v>847.01</v>
      </c>
      <c r="V304" s="94">
        <v>713.46</v>
      </c>
      <c r="W304" s="106">
        <v>100.09</v>
      </c>
      <c r="X304" s="107" t="s">
        <v>1906</v>
      </c>
      <c r="Y304" s="106">
        <v>100.09</v>
      </c>
      <c r="Z304" s="107" t="s">
        <v>1906</v>
      </c>
      <c r="AA304" s="106">
        <v>100.09</v>
      </c>
      <c r="AB304" s="107" t="s">
        <v>1906</v>
      </c>
      <c r="AC304" s="106">
        <v>100.09</v>
      </c>
      <c r="AD304" s="107" t="s">
        <v>1906</v>
      </c>
      <c r="AE304" s="106">
        <v>29.060000000000002</v>
      </c>
      <c r="AF304" s="107" t="s">
        <v>1906</v>
      </c>
      <c r="AG304" s="106">
        <v>0</v>
      </c>
      <c r="AH304" s="107" t="s">
        <v>1906</v>
      </c>
      <c r="AI304" s="106">
        <v>0</v>
      </c>
      <c r="AJ304" s="107" t="s">
        <v>1906</v>
      </c>
      <c r="AK304" s="106">
        <v>0</v>
      </c>
      <c r="AL304" s="107" t="s">
        <v>1906</v>
      </c>
      <c r="AM304" s="106">
        <v>0</v>
      </c>
      <c r="AN304" s="107" t="s">
        <v>1906</v>
      </c>
      <c r="AO304" s="106">
        <v>97.78</v>
      </c>
      <c r="AP304" s="107" t="s">
        <v>1906</v>
      </c>
      <c r="AQ304" s="106">
        <v>97.78</v>
      </c>
      <c r="AR304" s="106" t="s">
        <v>1906</v>
      </c>
      <c r="AS304" s="106">
        <v>97.78</v>
      </c>
      <c r="AT304" s="107" t="s">
        <v>1906</v>
      </c>
      <c r="AU304" s="106">
        <f t="shared" si="13"/>
        <v>722.76</v>
      </c>
      <c r="AV304" s="25">
        <v>3.7839999999999999E-2</v>
      </c>
      <c r="AW304" s="30" t="str">
        <f t="shared" si="14"/>
        <v>95-70</v>
      </c>
      <c r="AX304" s="30" t="s">
        <v>1907</v>
      </c>
      <c r="AY304" s="30">
        <v>0</v>
      </c>
      <c r="AZ304" s="30">
        <v>0</v>
      </c>
    </row>
    <row r="305" spans="1:52" ht="31.2" x14ac:dyDescent="0.3">
      <c r="A305" s="103">
        <v>295</v>
      </c>
      <c r="B305" s="30" t="s">
        <v>926</v>
      </c>
      <c r="C305" s="30" t="s">
        <v>1899</v>
      </c>
      <c r="D305" s="105" t="s">
        <v>1900</v>
      </c>
      <c r="E305" s="108" t="s">
        <v>1901</v>
      </c>
      <c r="F305" s="30" t="s">
        <v>1902</v>
      </c>
      <c r="G305" s="26" t="s">
        <v>145</v>
      </c>
      <c r="H305" s="24" t="s">
        <v>146</v>
      </c>
      <c r="I305" s="25">
        <v>1</v>
      </c>
      <c r="J305" s="24" t="s">
        <v>1903</v>
      </c>
      <c r="K305" s="24">
        <v>32</v>
      </c>
      <c r="L305" s="24">
        <v>5</v>
      </c>
      <c r="M305" s="24" t="str">
        <f t="shared" si="12"/>
        <v>95-70</v>
      </c>
      <c r="N305" s="24" t="s">
        <v>529</v>
      </c>
      <c r="O305" s="24" t="s">
        <v>529</v>
      </c>
      <c r="P305" s="24">
        <v>1</v>
      </c>
      <c r="Q305" s="102">
        <v>0</v>
      </c>
      <c r="R305" s="30" t="s">
        <v>1905</v>
      </c>
      <c r="S305" s="24">
        <v>0</v>
      </c>
      <c r="T305" s="24"/>
      <c r="U305" s="94">
        <v>292.56</v>
      </c>
      <c r="V305" s="94">
        <v>270.02999999999997</v>
      </c>
      <c r="W305" s="106">
        <v>37.040000000000006</v>
      </c>
      <c r="X305" s="107" t="s">
        <v>1906</v>
      </c>
      <c r="Y305" s="106">
        <v>37.040000000000006</v>
      </c>
      <c r="Z305" s="107" t="s">
        <v>1906</v>
      </c>
      <c r="AA305" s="106">
        <v>37.040000000000006</v>
      </c>
      <c r="AB305" s="107" t="s">
        <v>1906</v>
      </c>
      <c r="AC305" s="106">
        <v>37.040000000000006</v>
      </c>
      <c r="AD305" s="107" t="s">
        <v>1906</v>
      </c>
      <c r="AE305" s="106">
        <v>10.75</v>
      </c>
      <c r="AF305" s="107" t="s">
        <v>1906</v>
      </c>
      <c r="AG305" s="106">
        <v>0</v>
      </c>
      <c r="AH305" s="107" t="s">
        <v>1906</v>
      </c>
      <c r="AI305" s="106">
        <v>0</v>
      </c>
      <c r="AJ305" s="107" t="s">
        <v>1906</v>
      </c>
      <c r="AK305" s="106">
        <v>0</v>
      </c>
      <c r="AL305" s="107" t="s">
        <v>1906</v>
      </c>
      <c r="AM305" s="106">
        <v>8.19</v>
      </c>
      <c r="AN305" s="107" t="s">
        <v>1906</v>
      </c>
      <c r="AO305" s="106">
        <v>35.1</v>
      </c>
      <c r="AP305" s="107" t="s">
        <v>1906</v>
      </c>
      <c r="AQ305" s="106">
        <v>35.1</v>
      </c>
      <c r="AR305" s="106" t="s">
        <v>1906</v>
      </c>
      <c r="AS305" s="106">
        <v>35.1</v>
      </c>
      <c r="AT305" s="107" t="s">
        <v>1906</v>
      </c>
      <c r="AU305" s="106">
        <f t="shared" si="13"/>
        <v>272.40000000000003</v>
      </c>
      <c r="AV305" s="25">
        <v>0.2001</v>
      </c>
      <c r="AW305" s="30" t="str">
        <f t="shared" si="14"/>
        <v>95-70</v>
      </c>
      <c r="AX305" s="30" t="s">
        <v>1907</v>
      </c>
      <c r="AY305" s="30">
        <v>0</v>
      </c>
      <c r="AZ305" s="30">
        <v>0</v>
      </c>
    </row>
    <row r="306" spans="1:52" ht="31.2" x14ac:dyDescent="0.3">
      <c r="A306" s="103">
        <v>296</v>
      </c>
      <c r="B306" s="30" t="s">
        <v>927</v>
      </c>
      <c r="C306" s="30" t="s">
        <v>1899</v>
      </c>
      <c r="D306" s="105" t="s">
        <v>1900</v>
      </c>
      <c r="E306" s="108" t="s">
        <v>1901</v>
      </c>
      <c r="F306" s="30" t="s">
        <v>1902</v>
      </c>
      <c r="G306" s="26" t="s">
        <v>145</v>
      </c>
      <c r="H306" s="24" t="s">
        <v>146</v>
      </c>
      <c r="I306" s="25">
        <v>1</v>
      </c>
      <c r="J306" s="24" t="s">
        <v>1903</v>
      </c>
      <c r="K306" s="24">
        <v>32</v>
      </c>
      <c r="L306" s="24">
        <v>5</v>
      </c>
      <c r="M306" s="24" t="str">
        <f t="shared" si="12"/>
        <v>95-70</v>
      </c>
      <c r="N306" s="24" t="s">
        <v>529</v>
      </c>
      <c r="O306" s="24" t="s">
        <v>529</v>
      </c>
      <c r="P306" s="24">
        <v>1</v>
      </c>
      <c r="Q306" s="102">
        <v>0</v>
      </c>
      <c r="R306" s="30" t="s">
        <v>1905</v>
      </c>
      <c r="S306" s="24">
        <v>0</v>
      </c>
      <c r="T306" s="24"/>
      <c r="U306" s="94">
        <f>776.09*0.56</f>
        <v>434.61040000000008</v>
      </c>
      <c r="V306" s="94">
        <f>828.27*0.56</f>
        <v>463.83120000000002</v>
      </c>
      <c r="W306" s="106">
        <f>145.1*0.56</f>
        <v>81.256</v>
      </c>
      <c r="X306" s="107" t="s">
        <v>208</v>
      </c>
      <c r="Y306" s="106">
        <f>114.76*0.56</f>
        <v>64.265600000000006</v>
      </c>
      <c r="Z306" s="107" t="s">
        <v>208</v>
      </c>
      <c r="AA306" s="106">
        <f>138.99*0.56</f>
        <v>77.834400000000016</v>
      </c>
      <c r="AB306" s="107" t="s">
        <v>208</v>
      </c>
      <c r="AC306" s="106">
        <f>112.63*0.56</f>
        <v>63.072800000000001</v>
      </c>
      <c r="AD306" s="107" t="s">
        <v>208</v>
      </c>
      <c r="AE306" s="106">
        <f>33.72*0.56</f>
        <v>18.883200000000002</v>
      </c>
      <c r="AF306" s="107" t="s">
        <v>208</v>
      </c>
      <c r="AG306" s="106">
        <v>0</v>
      </c>
      <c r="AH306" s="107" t="s">
        <v>208</v>
      </c>
      <c r="AI306" s="106">
        <v>0</v>
      </c>
      <c r="AJ306" s="107" t="s">
        <v>208</v>
      </c>
      <c r="AK306" s="106">
        <v>0</v>
      </c>
      <c r="AL306" s="107" t="s">
        <v>208</v>
      </c>
      <c r="AM306" s="106">
        <f>11.68*0.56</f>
        <v>6.5408000000000008</v>
      </c>
      <c r="AN306" s="107" t="s">
        <v>208</v>
      </c>
      <c r="AO306" s="106">
        <f>83.48*0.56</f>
        <v>46.74880000000001</v>
      </c>
      <c r="AP306" s="107" t="s">
        <v>208</v>
      </c>
      <c r="AQ306" s="106">
        <f>90.38*0.56</f>
        <v>50.6128</v>
      </c>
      <c r="AR306" s="106" t="s">
        <v>208</v>
      </c>
      <c r="AS306" s="106">
        <f>102.84*0.56</f>
        <v>57.59040000000001</v>
      </c>
      <c r="AT306" s="107" t="s">
        <v>208</v>
      </c>
      <c r="AU306" s="106">
        <f t="shared" si="13"/>
        <v>466.8048</v>
      </c>
      <c r="AV306" s="25">
        <v>0.19389999999999999</v>
      </c>
      <c r="AW306" s="30" t="str">
        <f t="shared" si="14"/>
        <v>95-70</v>
      </c>
      <c r="AX306" s="30" t="s">
        <v>1907</v>
      </c>
      <c r="AY306" s="30">
        <v>0</v>
      </c>
      <c r="AZ306" s="30">
        <v>0</v>
      </c>
    </row>
    <row r="307" spans="1:52" ht="31.2" x14ac:dyDescent="0.3">
      <c r="A307" s="103">
        <v>297</v>
      </c>
      <c r="B307" s="30" t="s">
        <v>928</v>
      </c>
      <c r="C307" s="30" t="s">
        <v>1899</v>
      </c>
      <c r="D307" s="105" t="s">
        <v>1900</v>
      </c>
      <c r="E307" s="108" t="s">
        <v>1901</v>
      </c>
      <c r="F307" s="30" t="s">
        <v>1902</v>
      </c>
      <c r="G307" s="26" t="s">
        <v>145</v>
      </c>
      <c r="H307" s="24" t="s">
        <v>146</v>
      </c>
      <c r="I307" s="25">
        <v>1</v>
      </c>
      <c r="J307" s="24" t="s">
        <v>1903</v>
      </c>
      <c r="K307" s="24">
        <v>32</v>
      </c>
      <c r="L307" s="24">
        <v>5</v>
      </c>
      <c r="M307" s="24" t="str">
        <f t="shared" si="12"/>
        <v>95-70</v>
      </c>
      <c r="N307" s="24" t="s">
        <v>529</v>
      </c>
      <c r="O307" s="24" t="s">
        <v>529</v>
      </c>
      <c r="P307" s="24">
        <v>1</v>
      </c>
      <c r="Q307" s="102">
        <v>0</v>
      </c>
      <c r="R307" s="30" t="s">
        <v>1905</v>
      </c>
      <c r="S307" s="24">
        <v>0</v>
      </c>
      <c r="T307" s="24"/>
      <c r="U307" s="94">
        <f>776.09*0.05</f>
        <v>38.804500000000004</v>
      </c>
      <c r="V307" s="94">
        <f>828.27*0.05</f>
        <v>41.413499999999999</v>
      </c>
      <c r="W307" s="106">
        <f>145.1*0.05</f>
        <v>7.2549999999999999</v>
      </c>
      <c r="X307" s="107" t="s">
        <v>1906</v>
      </c>
      <c r="Y307" s="106">
        <f>114.76*0.05</f>
        <v>5.7380000000000004</v>
      </c>
      <c r="Z307" s="107" t="s">
        <v>1906</v>
      </c>
      <c r="AA307" s="106">
        <f>138.99*0.05</f>
        <v>6.9495000000000005</v>
      </c>
      <c r="AB307" s="107" t="s">
        <v>1906</v>
      </c>
      <c r="AC307" s="106">
        <f>112.63*0.05</f>
        <v>5.6315</v>
      </c>
      <c r="AD307" s="107" t="s">
        <v>1906</v>
      </c>
      <c r="AE307" s="106">
        <f>33.72*0.05</f>
        <v>1.6859999999999999</v>
      </c>
      <c r="AF307" s="107" t="s">
        <v>1906</v>
      </c>
      <c r="AG307" s="106">
        <v>0</v>
      </c>
      <c r="AH307" s="107" t="s">
        <v>1906</v>
      </c>
      <c r="AI307" s="106">
        <v>0</v>
      </c>
      <c r="AJ307" s="107" t="s">
        <v>1906</v>
      </c>
      <c r="AK307" s="106">
        <v>0</v>
      </c>
      <c r="AL307" s="107" t="s">
        <v>1906</v>
      </c>
      <c r="AM307" s="106">
        <f>11.68*0.05</f>
        <v>0.58399999999999996</v>
      </c>
      <c r="AN307" s="107" t="s">
        <v>1906</v>
      </c>
      <c r="AO307" s="106">
        <f>83.48*0.05</f>
        <v>4.1740000000000004</v>
      </c>
      <c r="AP307" s="107" t="s">
        <v>1906</v>
      </c>
      <c r="AQ307" s="106">
        <f>90.38*0.05</f>
        <v>4.5190000000000001</v>
      </c>
      <c r="AR307" s="106" t="s">
        <v>1906</v>
      </c>
      <c r="AS307" s="106">
        <f>102.84*0.05</f>
        <v>5.1420000000000003</v>
      </c>
      <c r="AT307" s="107" t="s">
        <v>1906</v>
      </c>
      <c r="AU307" s="106">
        <f t="shared" si="13"/>
        <v>41.679000000000002</v>
      </c>
      <c r="AV307" s="25">
        <v>0.15140000000000001</v>
      </c>
      <c r="AW307" s="30" t="str">
        <f t="shared" si="14"/>
        <v>95-70</v>
      </c>
      <c r="AX307" s="30" t="s">
        <v>1907</v>
      </c>
      <c r="AY307" s="30">
        <v>0</v>
      </c>
      <c r="AZ307" s="30">
        <v>0</v>
      </c>
    </row>
    <row r="308" spans="1:52" ht="31.2" x14ac:dyDescent="0.3">
      <c r="A308" s="103">
        <v>298</v>
      </c>
      <c r="B308" s="30" t="s">
        <v>929</v>
      </c>
      <c r="C308" s="30" t="s">
        <v>1899</v>
      </c>
      <c r="D308" s="105" t="s">
        <v>1900</v>
      </c>
      <c r="E308" s="108" t="s">
        <v>1901</v>
      </c>
      <c r="F308" s="30" t="s">
        <v>1902</v>
      </c>
      <c r="G308" s="26" t="s">
        <v>145</v>
      </c>
      <c r="H308" s="24" t="s">
        <v>146</v>
      </c>
      <c r="I308" s="25">
        <v>1</v>
      </c>
      <c r="J308" s="24" t="s">
        <v>1903</v>
      </c>
      <c r="K308" s="24">
        <v>32</v>
      </c>
      <c r="L308" s="24">
        <v>5</v>
      </c>
      <c r="M308" s="24" t="str">
        <f t="shared" si="12"/>
        <v>95-70</v>
      </c>
      <c r="N308" s="24" t="s">
        <v>529</v>
      </c>
      <c r="O308" s="24" t="s">
        <v>529</v>
      </c>
      <c r="P308" s="24">
        <v>1</v>
      </c>
      <c r="Q308" s="102">
        <v>0</v>
      </c>
      <c r="R308" s="30" t="s">
        <v>1905</v>
      </c>
      <c r="S308" s="24">
        <v>0</v>
      </c>
      <c r="T308" s="24"/>
      <c r="U308" s="94">
        <f>776.09*0.39</f>
        <v>302.67510000000004</v>
      </c>
      <c r="V308" s="94">
        <f>828.27*0.39</f>
        <v>323.02530000000002</v>
      </c>
      <c r="W308" s="106">
        <f>145.1*0.39</f>
        <v>56.588999999999999</v>
      </c>
      <c r="X308" s="107" t="s">
        <v>1906</v>
      </c>
      <c r="Y308" s="106">
        <f>114.76*0.39</f>
        <v>44.756400000000006</v>
      </c>
      <c r="Z308" s="107" t="s">
        <v>1906</v>
      </c>
      <c r="AA308" s="106">
        <f>138.99*0.39</f>
        <v>54.206100000000006</v>
      </c>
      <c r="AB308" s="107" t="s">
        <v>1906</v>
      </c>
      <c r="AC308" s="106">
        <f>112.63*0.39</f>
        <v>43.925699999999999</v>
      </c>
      <c r="AD308" s="107" t="s">
        <v>1906</v>
      </c>
      <c r="AE308" s="106">
        <f>33.72*0.39</f>
        <v>13.1508</v>
      </c>
      <c r="AF308" s="107" t="s">
        <v>1906</v>
      </c>
      <c r="AG308" s="106">
        <v>0</v>
      </c>
      <c r="AH308" s="107" t="s">
        <v>1906</v>
      </c>
      <c r="AI308" s="106">
        <v>0</v>
      </c>
      <c r="AJ308" s="107" t="s">
        <v>1906</v>
      </c>
      <c r="AK308" s="106">
        <v>0</v>
      </c>
      <c r="AL308" s="107" t="s">
        <v>1906</v>
      </c>
      <c r="AM308" s="106">
        <f>11.68*0.39</f>
        <v>4.5552000000000001</v>
      </c>
      <c r="AN308" s="107" t="s">
        <v>1906</v>
      </c>
      <c r="AO308" s="106">
        <f>83.48*0.39</f>
        <v>32.557200000000002</v>
      </c>
      <c r="AP308" s="107" t="s">
        <v>1906</v>
      </c>
      <c r="AQ308" s="106">
        <f>90.38*0.39</f>
        <v>35.248199999999997</v>
      </c>
      <c r="AR308" s="106" t="s">
        <v>1906</v>
      </c>
      <c r="AS308" s="106">
        <f>102.84*0.39</f>
        <v>40.107600000000005</v>
      </c>
      <c r="AT308" s="107" t="s">
        <v>1906</v>
      </c>
      <c r="AU308" s="106">
        <f t="shared" si="13"/>
        <v>325.09620000000001</v>
      </c>
      <c r="AV308" s="25">
        <v>0.15140000000000001</v>
      </c>
      <c r="AW308" s="30" t="str">
        <f t="shared" si="14"/>
        <v>95-70</v>
      </c>
      <c r="AX308" s="30" t="s">
        <v>1907</v>
      </c>
      <c r="AY308" s="30">
        <v>0</v>
      </c>
      <c r="AZ308" s="30">
        <v>0</v>
      </c>
    </row>
    <row r="309" spans="1:52" ht="31.2" x14ac:dyDescent="0.3">
      <c r="A309" s="103">
        <v>299</v>
      </c>
      <c r="B309" s="30" t="s">
        <v>930</v>
      </c>
      <c r="C309" s="30" t="s">
        <v>1899</v>
      </c>
      <c r="D309" s="105" t="s">
        <v>1900</v>
      </c>
      <c r="E309" s="108" t="s">
        <v>1901</v>
      </c>
      <c r="F309" s="30" t="s">
        <v>1902</v>
      </c>
      <c r="G309" s="26" t="s">
        <v>145</v>
      </c>
      <c r="H309" s="24" t="s">
        <v>146</v>
      </c>
      <c r="I309" s="25">
        <v>1</v>
      </c>
      <c r="J309" s="24" t="s">
        <v>1903</v>
      </c>
      <c r="K309" s="24">
        <v>32</v>
      </c>
      <c r="L309" s="24">
        <v>5</v>
      </c>
      <c r="M309" s="24" t="str">
        <f t="shared" si="12"/>
        <v>95-70</v>
      </c>
      <c r="N309" s="24" t="s">
        <v>529</v>
      </c>
      <c r="O309" s="24" t="s">
        <v>529</v>
      </c>
      <c r="P309" s="24">
        <v>1</v>
      </c>
      <c r="Q309" s="102">
        <v>0</v>
      </c>
      <c r="R309" s="30" t="s">
        <v>1905</v>
      </c>
      <c r="S309" s="24">
        <v>0</v>
      </c>
      <c r="T309" s="24"/>
      <c r="U309" s="94">
        <v>548.53</v>
      </c>
      <c r="V309" s="94">
        <v>461.31999999999994</v>
      </c>
      <c r="W309" s="106">
        <v>63.28</v>
      </c>
      <c r="X309" s="107" t="s">
        <v>208</v>
      </c>
      <c r="Y309" s="106">
        <v>63.28</v>
      </c>
      <c r="Z309" s="107" t="s">
        <v>208</v>
      </c>
      <c r="AA309" s="106">
        <v>63.28</v>
      </c>
      <c r="AB309" s="107" t="s">
        <v>208</v>
      </c>
      <c r="AC309" s="106">
        <v>63.28</v>
      </c>
      <c r="AD309" s="107" t="s">
        <v>208</v>
      </c>
      <c r="AE309" s="106">
        <v>18.36</v>
      </c>
      <c r="AF309" s="107" t="s">
        <v>208</v>
      </c>
      <c r="AG309" s="106">
        <v>0</v>
      </c>
      <c r="AH309" s="107" t="s">
        <v>208</v>
      </c>
      <c r="AI309" s="106">
        <v>0</v>
      </c>
      <c r="AJ309" s="107" t="s">
        <v>208</v>
      </c>
      <c r="AK309" s="106">
        <v>0</v>
      </c>
      <c r="AL309" s="107" t="s">
        <v>208</v>
      </c>
      <c r="AM309" s="106">
        <v>0</v>
      </c>
      <c r="AN309" s="107" t="s">
        <v>208</v>
      </c>
      <c r="AO309" s="106">
        <v>59.4</v>
      </c>
      <c r="AP309" s="107" t="s">
        <v>208</v>
      </c>
      <c r="AQ309" s="106">
        <v>27.95</v>
      </c>
      <c r="AR309" s="106" t="s">
        <v>208</v>
      </c>
      <c r="AS309" s="106">
        <v>59.4</v>
      </c>
      <c r="AT309" s="107" t="s">
        <v>208</v>
      </c>
      <c r="AU309" s="106">
        <f t="shared" si="13"/>
        <v>418.22999999999996</v>
      </c>
      <c r="AV309" s="25">
        <v>0.28699999999999998</v>
      </c>
      <c r="AW309" s="30" t="str">
        <f t="shared" si="14"/>
        <v>95-70</v>
      </c>
      <c r="AX309" s="30" t="s">
        <v>1907</v>
      </c>
      <c r="AY309" s="30">
        <v>0</v>
      </c>
      <c r="AZ309" s="30">
        <v>0</v>
      </c>
    </row>
    <row r="310" spans="1:52" ht="31.2" x14ac:dyDescent="0.3">
      <c r="A310" s="103">
        <v>300</v>
      </c>
      <c r="B310" s="30" t="s">
        <v>931</v>
      </c>
      <c r="C310" s="30" t="s">
        <v>1899</v>
      </c>
      <c r="D310" s="105" t="s">
        <v>1900</v>
      </c>
      <c r="E310" s="108" t="s">
        <v>1901</v>
      </c>
      <c r="F310" s="30" t="s">
        <v>1902</v>
      </c>
      <c r="G310" s="26" t="s">
        <v>145</v>
      </c>
      <c r="H310" s="24" t="s">
        <v>146</v>
      </c>
      <c r="I310" s="25">
        <v>1</v>
      </c>
      <c r="J310" s="24" t="s">
        <v>1903</v>
      </c>
      <c r="K310" s="24">
        <v>50</v>
      </c>
      <c r="L310" s="24">
        <v>5</v>
      </c>
      <c r="M310" s="24" t="str">
        <f t="shared" si="12"/>
        <v>95-70</v>
      </c>
      <c r="N310" s="24" t="s">
        <v>529</v>
      </c>
      <c r="O310" s="24" t="s">
        <v>529</v>
      </c>
      <c r="P310" s="24">
        <v>1</v>
      </c>
      <c r="Q310" s="102">
        <v>0</v>
      </c>
      <c r="R310" s="30" t="s">
        <v>1905</v>
      </c>
      <c r="S310" s="24">
        <v>0</v>
      </c>
      <c r="T310" s="24"/>
      <c r="U310" s="94">
        <v>598.53</v>
      </c>
      <c r="V310" s="94">
        <v>672.83</v>
      </c>
      <c r="W310" s="106">
        <v>151.57999999999998</v>
      </c>
      <c r="X310" s="107" t="s">
        <v>208</v>
      </c>
      <c r="Y310" s="106">
        <v>88.800000000000011</v>
      </c>
      <c r="Z310" s="107" t="s">
        <v>208</v>
      </c>
      <c r="AA310" s="106">
        <v>130.34</v>
      </c>
      <c r="AB310" s="107" t="s">
        <v>208</v>
      </c>
      <c r="AC310" s="106">
        <v>91.539999999999992</v>
      </c>
      <c r="AD310" s="107" t="s">
        <v>208</v>
      </c>
      <c r="AE310" s="106">
        <v>28.46</v>
      </c>
      <c r="AF310" s="107" t="s">
        <v>208</v>
      </c>
      <c r="AG310" s="106">
        <v>0</v>
      </c>
      <c r="AH310" s="107" t="s">
        <v>208</v>
      </c>
      <c r="AI310" s="106">
        <v>0</v>
      </c>
      <c r="AJ310" s="107" t="s">
        <v>208</v>
      </c>
      <c r="AK310" s="106">
        <v>0</v>
      </c>
      <c r="AL310" s="107" t="s">
        <v>208</v>
      </c>
      <c r="AM310" s="106">
        <v>0</v>
      </c>
      <c r="AN310" s="107" t="s">
        <v>208</v>
      </c>
      <c r="AO310" s="106">
        <v>46.58</v>
      </c>
      <c r="AP310" s="107" t="s">
        <v>208</v>
      </c>
      <c r="AQ310" s="106">
        <v>55.78</v>
      </c>
      <c r="AR310" s="106" t="s">
        <v>208</v>
      </c>
      <c r="AS310" s="106">
        <v>81.440000000000012</v>
      </c>
      <c r="AT310" s="107" t="s">
        <v>208</v>
      </c>
      <c r="AU310" s="106">
        <f t="shared" si="13"/>
        <v>674.52</v>
      </c>
      <c r="AV310" s="25">
        <v>0.2636</v>
      </c>
      <c r="AW310" s="30" t="str">
        <f t="shared" si="14"/>
        <v>95-70</v>
      </c>
      <c r="AX310" s="30" t="s">
        <v>1907</v>
      </c>
      <c r="AY310" s="30">
        <v>0</v>
      </c>
      <c r="AZ310" s="30">
        <v>0</v>
      </c>
    </row>
    <row r="311" spans="1:52" ht="31.2" x14ac:dyDescent="0.3">
      <c r="A311" s="103">
        <v>301</v>
      </c>
      <c r="B311" s="30" t="s">
        <v>932</v>
      </c>
      <c r="C311" s="30" t="s">
        <v>1899</v>
      </c>
      <c r="D311" s="105" t="s">
        <v>1900</v>
      </c>
      <c r="E311" s="108" t="s">
        <v>1901</v>
      </c>
      <c r="F311" s="30" t="s">
        <v>1902</v>
      </c>
      <c r="G311" s="26" t="s">
        <v>145</v>
      </c>
      <c r="H311" s="24" t="s">
        <v>146</v>
      </c>
      <c r="I311" s="25">
        <v>1</v>
      </c>
      <c r="J311" s="24" t="s">
        <v>1903</v>
      </c>
      <c r="K311" s="24">
        <v>32</v>
      </c>
      <c r="L311" s="24">
        <v>5</v>
      </c>
      <c r="M311" s="24" t="str">
        <f t="shared" si="12"/>
        <v>95-70</v>
      </c>
      <c r="N311" s="24" t="s">
        <v>529</v>
      </c>
      <c r="O311" s="24" t="s">
        <v>529</v>
      </c>
      <c r="P311" s="24">
        <v>1</v>
      </c>
      <c r="Q311" s="102">
        <v>0</v>
      </c>
      <c r="R311" s="30" t="s">
        <v>1905</v>
      </c>
      <c r="S311" s="24">
        <v>0</v>
      </c>
      <c r="T311" s="24"/>
      <c r="U311" s="94">
        <f>1003.64*0.16</f>
        <v>160.58240000000001</v>
      </c>
      <c r="V311" s="94">
        <f>1152.36*0.16</f>
        <v>184.3776</v>
      </c>
      <c r="W311" s="106">
        <f>157.37*0.16</f>
        <v>25.179200000000002</v>
      </c>
      <c r="X311" s="107" t="s">
        <v>1906</v>
      </c>
      <c r="Y311" s="106">
        <f>157.37*0.16</f>
        <v>25.179200000000002</v>
      </c>
      <c r="Z311" s="107" t="s">
        <v>1906</v>
      </c>
      <c r="AA311" s="106">
        <f>157.37*0.16</f>
        <v>25.179200000000002</v>
      </c>
      <c r="AB311" s="107" t="s">
        <v>1906</v>
      </c>
      <c r="AC311" s="106">
        <f>157.37*0.16</f>
        <v>25.179200000000002</v>
      </c>
      <c r="AD311" s="107" t="s">
        <v>1906</v>
      </c>
      <c r="AE311" s="106">
        <f>50.77*0.16</f>
        <v>8.1232000000000006</v>
      </c>
      <c r="AF311" s="107" t="s">
        <v>1906</v>
      </c>
      <c r="AG311" s="106">
        <v>0</v>
      </c>
      <c r="AH311" s="107" t="s">
        <v>1906</v>
      </c>
      <c r="AI311" s="106">
        <v>0</v>
      </c>
      <c r="AJ311" s="107" t="s">
        <v>1906</v>
      </c>
      <c r="AK311" s="106">
        <v>0</v>
      </c>
      <c r="AL311" s="107" t="s">
        <v>1906</v>
      </c>
      <c r="AM311" s="106">
        <f>4.44*0.16</f>
        <v>0.71040000000000003</v>
      </c>
      <c r="AN311" s="107" t="s">
        <v>1906</v>
      </c>
      <c r="AO311" s="106">
        <f>160.35*0.16</f>
        <v>25.655999999999999</v>
      </c>
      <c r="AP311" s="107" t="s">
        <v>1906</v>
      </c>
      <c r="AQ311" s="106">
        <f>65.87*0.16</f>
        <v>10.539200000000001</v>
      </c>
      <c r="AR311" s="106" t="s">
        <v>1906</v>
      </c>
      <c r="AS311" s="106">
        <f>160.35*0.16</f>
        <v>25.655999999999999</v>
      </c>
      <c r="AT311" s="107" t="s">
        <v>1906</v>
      </c>
      <c r="AU311" s="106">
        <f t="shared" si="13"/>
        <v>171.4016</v>
      </c>
      <c r="AV311" s="25">
        <v>5.8999999999999997E-2</v>
      </c>
      <c r="AW311" s="30" t="str">
        <f t="shared" si="14"/>
        <v>95-70</v>
      </c>
      <c r="AX311" s="30" t="s">
        <v>1907</v>
      </c>
      <c r="AY311" s="30">
        <v>0</v>
      </c>
      <c r="AZ311" s="30">
        <v>0</v>
      </c>
    </row>
    <row r="312" spans="1:52" ht="31.2" x14ac:dyDescent="0.3">
      <c r="A312" s="103">
        <v>302</v>
      </c>
      <c r="B312" s="30" t="s">
        <v>933</v>
      </c>
      <c r="C312" s="30" t="s">
        <v>1899</v>
      </c>
      <c r="D312" s="105" t="s">
        <v>1900</v>
      </c>
      <c r="E312" s="108" t="s">
        <v>1901</v>
      </c>
      <c r="F312" s="30" t="s">
        <v>1902</v>
      </c>
      <c r="G312" s="26" t="s">
        <v>145</v>
      </c>
      <c r="H312" s="24" t="s">
        <v>146</v>
      </c>
      <c r="I312" s="25">
        <v>1</v>
      </c>
      <c r="J312" s="24" t="s">
        <v>1903</v>
      </c>
      <c r="K312" s="24">
        <v>50</v>
      </c>
      <c r="L312" s="24">
        <v>5</v>
      </c>
      <c r="M312" s="24" t="str">
        <f t="shared" si="12"/>
        <v>95-70</v>
      </c>
      <c r="N312" s="24" t="s">
        <v>529</v>
      </c>
      <c r="O312" s="24" t="s">
        <v>529</v>
      </c>
      <c r="P312" s="24">
        <v>1</v>
      </c>
      <c r="Q312" s="102">
        <v>0</v>
      </c>
      <c r="R312" s="30" t="s">
        <v>1905</v>
      </c>
      <c r="S312" s="24">
        <v>0</v>
      </c>
      <c r="T312" s="24"/>
      <c r="U312" s="94">
        <f>1003.64*0.84</f>
        <v>843.05759999999998</v>
      </c>
      <c r="V312" s="94">
        <f>1152.36*0.84</f>
        <v>967.98239999999987</v>
      </c>
      <c r="W312" s="106">
        <f>157.37*0.84</f>
        <v>132.1908</v>
      </c>
      <c r="X312" s="107" t="s">
        <v>208</v>
      </c>
      <c r="Y312" s="106">
        <f>157.37*0.84</f>
        <v>132.1908</v>
      </c>
      <c r="Z312" s="107" t="s">
        <v>208</v>
      </c>
      <c r="AA312" s="106">
        <f>157.37*0.84</f>
        <v>132.1908</v>
      </c>
      <c r="AB312" s="107" t="s">
        <v>208</v>
      </c>
      <c r="AC312" s="106">
        <f>157.37*0.84</f>
        <v>132.1908</v>
      </c>
      <c r="AD312" s="107" t="s">
        <v>208</v>
      </c>
      <c r="AE312" s="106">
        <f>50.77*0.84</f>
        <v>42.646799999999999</v>
      </c>
      <c r="AF312" s="107" t="s">
        <v>208</v>
      </c>
      <c r="AG312" s="106">
        <v>0</v>
      </c>
      <c r="AH312" s="107" t="s">
        <v>208</v>
      </c>
      <c r="AI312" s="106">
        <v>0</v>
      </c>
      <c r="AJ312" s="107" t="s">
        <v>208</v>
      </c>
      <c r="AK312" s="106">
        <v>0</v>
      </c>
      <c r="AL312" s="107" t="s">
        <v>208</v>
      </c>
      <c r="AM312" s="106">
        <f>4.44*0.84</f>
        <v>3.7296</v>
      </c>
      <c r="AN312" s="107" t="s">
        <v>208</v>
      </c>
      <c r="AO312" s="106">
        <f>160.35*0.84</f>
        <v>134.69399999999999</v>
      </c>
      <c r="AP312" s="107" t="s">
        <v>208</v>
      </c>
      <c r="AQ312" s="106">
        <f>65.87*0.84</f>
        <v>55.330800000000004</v>
      </c>
      <c r="AR312" s="106" t="s">
        <v>208</v>
      </c>
      <c r="AS312" s="106">
        <f>160.35*0.84</f>
        <v>134.69399999999999</v>
      </c>
      <c r="AT312" s="107" t="s">
        <v>208</v>
      </c>
      <c r="AU312" s="106">
        <f t="shared" si="13"/>
        <v>899.85839999999985</v>
      </c>
      <c r="AV312" s="25">
        <v>0.48080000000000001</v>
      </c>
      <c r="AW312" s="30" t="str">
        <f t="shared" si="14"/>
        <v>95-70</v>
      </c>
      <c r="AX312" s="30" t="s">
        <v>1907</v>
      </c>
      <c r="AY312" s="30">
        <v>0</v>
      </c>
      <c r="AZ312" s="30">
        <v>0</v>
      </c>
    </row>
    <row r="313" spans="1:52" ht="31.2" x14ac:dyDescent="0.3">
      <c r="A313" s="103">
        <v>303</v>
      </c>
      <c r="B313" s="30" t="s">
        <v>934</v>
      </c>
      <c r="C313" s="30" t="s">
        <v>1899</v>
      </c>
      <c r="D313" s="105" t="s">
        <v>1900</v>
      </c>
      <c r="E313" s="108" t="s">
        <v>1901</v>
      </c>
      <c r="F313" s="30" t="s">
        <v>1902</v>
      </c>
      <c r="G313" s="26" t="s">
        <v>145</v>
      </c>
      <c r="H313" s="24" t="s">
        <v>146</v>
      </c>
      <c r="I313" s="25">
        <v>1</v>
      </c>
      <c r="J313" s="24" t="s">
        <v>1903</v>
      </c>
      <c r="K313" s="24">
        <v>32</v>
      </c>
      <c r="L313" s="24">
        <v>5</v>
      </c>
      <c r="M313" s="24" t="str">
        <f t="shared" si="12"/>
        <v>95-70</v>
      </c>
      <c r="N313" s="24" t="s">
        <v>529</v>
      </c>
      <c r="O313" s="24" t="s">
        <v>529</v>
      </c>
      <c r="P313" s="24">
        <v>1</v>
      </c>
      <c r="Q313" s="102">
        <v>0</v>
      </c>
      <c r="R313" s="30" t="s">
        <v>1905</v>
      </c>
      <c r="S313" s="24">
        <v>0</v>
      </c>
      <c r="T313" s="24"/>
      <c r="U313" s="94">
        <v>243.52999999999997</v>
      </c>
      <c r="V313" s="94">
        <v>174.31</v>
      </c>
      <c r="W313" s="106">
        <v>23.91</v>
      </c>
      <c r="X313" s="107" t="s">
        <v>1906</v>
      </c>
      <c r="Y313" s="106">
        <v>23.91</v>
      </c>
      <c r="Z313" s="107" t="s">
        <v>1906</v>
      </c>
      <c r="AA313" s="106">
        <v>23.91</v>
      </c>
      <c r="AB313" s="107" t="s">
        <v>1906</v>
      </c>
      <c r="AC313" s="106">
        <v>23.91</v>
      </c>
      <c r="AD313" s="107" t="s">
        <v>1906</v>
      </c>
      <c r="AE313" s="106">
        <v>6.94</v>
      </c>
      <c r="AF313" s="107" t="s">
        <v>1906</v>
      </c>
      <c r="AG313" s="106">
        <v>0</v>
      </c>
      <c r="AH313" s="107" t="s">
        <v>1906</v>
      </c>
      <c r="AI313" s="106">
        <v>0</v>
      </c>
      <c r="AJ313" s="107" t="s">
        <v>1906</v>
      </c>
      <c r="AK313" s="106">
        <v>0</v>
      </c>
      <c r="AL313" s="107" t="s">
        <v>1906</v>
      </c>
      <c r="AM313" s="106">
        <v>4.8499999999999996</v>
      </c>
      <c r="AN313" s="107" t="s">
        <v>1906</v>
      </c>
      <c r="AO313" s="106">
        <v>20.78</v>
      </c>
      <c r="AP313" s="107" t="s">
        <v>1906</v>
      </c>
      <c r="AQ313" s="106">
        <v>20.78</v>
      </c>
      <c r="AR313" s="106" t="s">
        <v>1906</v>
      </c>
      <c r="AS313" s="106">
        <v>20.78</v>
      </c>
      <c r="AT313" s="107" t="s">
        <v>1906</v>
      </c>
      <c r="AU313" s="106">
        <f t="shared" si="13"/>
        <v>169.76999999999998</v>
      </c>
      <c r="AV313" s="25">
        <v>0.11070000000000001</v>
      </c>
      <c r="AW313" s="30" t="str">
        <f t="shared" si="14"/>
        <v>95-70</v>
      </c>
      <c r="AX313" s="30" t="s">
        <v>1907</v>
      </c>
      <c r="AY313" s="30">
        <v>0</v>
      </c>
      <c r="AZ313" s="30">
        <v>0</v>
      </c>
    </row>
    <row r="314" spans="1:52" ht="31.2" x14ac:dyDescent="0.3">
      <c r="A314" s="103">
        <v>304</v>
      </c>
      <c r="B314" s="30" t="s">
        <v>935</v>
      </c>
      <c r="C314" s="30" t="s">
        <v>1899</v>
      </c>
      <c r="D314" s="105" t="s">
        <v>1900</v>
      </c>
      <c r="E314" s="108" t="s">
        <v>1901</v>
      </c>
      <c r="F314" s="30" t="s">
        <v>1902</v>
      </c>
      <c r="G314" s="26" t="s">
        <v>145</v>
      </c>
      <c r="H314" s="24" t="s">
        <v>146</v>
      </c>
      <c r="I314" s="25">
        <v>0</v>
      </c>
      <c r="J314" s="24" t="s">
        <v>1903</v>
      </c>
      <c r="K314" s="24">
        <v>32</v>
      </c>
      <c r="L314" s="24">
        <v>5</v>
      </c>
      <c r="M314" s="24" t="str">
        <f t="shared" si="12"/>
        <v>95-70</v>
      </c>
      <c r="N314" s="24" t="s">
        <v>529</v>
      </c>
      <c r="O314" s="24" t="s">
        <v>529</v>
      </c>
      <c r="P314" s="24">
        <v>0</v>
      </c>
      <c r="Q314" s="102">
        <v>0</v>
      </c>
      <c r="R314" s="30" t="s">
        <v>1905</v>
      </c>
      <c r="S314" s="24">
        <v>0</v>
      </c>
      <c r="T314" s="24"/>
      <c r="U314" s="94">
        <f>345.71*0.61</f>
        <v>210.88309999999998</v>
      </c>
      <c r="V314" s="94">
        <f>276.43*0.61</f>
        <v>168.6223</v>
      </c>
      <c r="W314" s="106">
        <f>37.75*0.61</f>
        <v>23.0275</v>
      </c>
      <c r="X314" s="107" t="s">
        <v>1906</v>
      </c>
      <c r="Y314" s="106">
        <f>37.75*0.61</f>
        <v>23.0275</v>
      </c>
      <c r="Z314" s="107" t="s">
        <v>1906</v>
      </c>
      <c r="AA314" s="106">
        <f>37.75*0.61</f>
        <v>23.0275</v>
      </c>
      <c r="AB314" s="107" t="s">
        <v>1906</v>
      </c>
      <c r="AC314" s="106">
        <f>37.75*0.61</f>
        <v>23.0275</v>
      </c>
      <c r="AD314" s="107" t="s">
        <v>1906</v>
      </c>
      <c r="AE314" s="106">
        <f>12.18*0.61</f>
        <v>7.4297999999999993</v>
      </c>
      <c r="AF314" s="107" t="s">
        <v>1906</v>
      </c>
      <c r="AG314" s="106">
        <v>0</v>
      </c>
      <c r="AH314" s="107" t="s">
        <v>1906</v>
      </c>
      <c r="AI314" s="106">
        <v>0</v>
      </c>
      <c r="AJ314" s="107" t="s">
        <v>1906</v>
      </c>
      <c r="AK314" s="106">
        <v>0</v>
      </c>
      <c r="AL314" s="107" t="s">
        <v>1906</v>
      </c>
      <c r="AM314" s="106">
        <f>8.34*0.61</f>
        <v>5.0873999999999997</v>
      </c>
      <c r="AN314" s="107" t="s">
        <v>1906</v>
      </c>
      <c r="AO314" s="106">
        <f>35.76*0.61</f>
        <v>21.813599999999997</v>
      </c>
      <c r="AP314" s="107" t="s">
        <v>1906</v>
      </c>
      <c r="AQ314" s="106">
        <f>35.76*0.61</f>
        <v>21.813599999999997</v>
      </c>
      <c r="AR314" s="106" t="s">
        <v>1906</v>
      </c>
      <c r="AS314" s="106">
        <f>35.76*0.61</f>
        <v>21.813599999999997</v>
      </c>
      <c r="AT314" s="107" t="s">
        <v>1906</v>
      </c>
      <c r="AU314" s="106">
        <f t="shared" si="13"/>
        <v>170.06800000000001</v>
      </c>
      <c r="AV314" s="25">
        <v>0.1656</v>
      </c>
      <c r="AW314" s="30" t="str">
        <f t="shared" si="14"/>
        <v>95-70</v>
      </c>
      <c r="AX314" s="30" t="s">
        <v>1907</v>
      </c>
      <c r="AY314" s="30">
        <v>0</v>
      </c>
      <c r="AZ314" s="30">
        <v>0</v>
      </c>
    </row>
    <row r="315" spans="1:52" ht="31.2" x14ac:dyDescent="0.3">
      <c r="A315" s="103">
        <v>305</v>
      </c>
      <c r="B315" s="30" t="s">
        <v>936</v>
      </c>
      <c r="C315" s="30" t="s">
        <v>1899</v>
      </c>
      <c r="D315" s="105" t="s">
        <v>1900</v>
      </c>
      <c r="E315" s="108" t="s">
        <v>1901</v>
      </c>
      <c r="F315" s="30" t="s">
        <v>1902</v>
      </c>
      <c r="G315" s="26" t="s">
        <v>145</v>
      </c>
      <c r="H315" s="24" t="s">
        <v>146</v>
      </c>
      <c r="I315" s="25">
        <v>1</v>
      </c>
      <c r="J315" s="24" t="s">
        <v>1903</v>
      </c>
      <c r="K315" s="24">
        <v>32</v>
      </c>
      <c r="L315" s="24">
        <v>5</v>
      </c>
      <c r="M315" s="24" t="str">
        <f t="shared" si="12"/>
        <v>95-70</v>
      </c>
      <c r="N315" s="24" t="s">
        <v>529</v>
      </c>
      <c r="O315" s="24" t="s">
        <v>529</v>
      </c>
      <c r="P315" s="24">
        <v>1</v>
      </c>
      <c r="Q315" s="102">
        <v>0</v>
      </c>
      <c r="R315" s="30" t="s">
        <v>1905</v>
      </c>
      <c r="S315" s="24">
        <v>0</v>
      </c>
      <c r="T315" s="24"/>
      <c r="U315" s="94">
        <f>345.71*0.39</f>
        <v>134.82689999999999</v>
      </c>
      <c r="V315" s="94">
        <f>276.43*0.39</f>
        <v>107.80770000000001</v>
      </c>
      <c r="W315" s="106">
        <f>37.75*0.39</f>
        <v>14.7225</v>
      </c>
      <c r="X315" s="107" t="s">
        <v>1906</v>
      </c>
      <c r="Y315" s="106">
        <f>37.75*0.39</f>
        <v>14.7225</v>
      </c>
      <c r="Z315" s="107" t="s">
        <v>1906</v>
      </c>
      <c r="AA315" s="106">
        <f>37.75*0.39</f>
        <v>14.7225</v>
      </c>
      <c r="AB315" s="107" t="s">
        <v>1906</v>
      </c>
      <c r="AC315" s="106">
        <f>37.75*0.39</f>
        <v>14.7225</v>
      </c>
      <c r="AD315" s="107" t="s">
        <v>1906</v>
      </c>
      <c r="AE315" s="106">
        <f>12.18*0.39</f>
        <v>4.7502000000000004</v>
      </c>
      <c r="AF315" s="107" t="s">
        <v>1906</v>
      </c>
      <c r="AG315" s="106">
        <v>0</v>
      </c>
      <c r="AH315" s="107" t="s">
        <v>1906</v>
      </c>
      <c r="AI315" s="106">
        <v>0</v>
      </c>
      <c r="AJ315" s="107" t="s">
        <v>1906</v>
      </c>
      <c r="AK315" s="106">
        <v>0</v>
      </c>
      <c r="AL315" s="107" t="s">
        <v>1906</v>
      </c>
      <c r="AM315" s="106">
        <f>8.34*0.39</f>
        <v>3.2526000000000002</v>
      </c>
      <c r="AN315" s="107" t="s">
        <v>1906</v>
      </c>
      <c r="AO315" s="106">
        <f>35.76*0.39</f>
        <v>13.946400000000001</v>
      </c>
      <c r="AP315" s="107" t="s">
        <v>1906</v>
      </c>
      <c r="AQ315" s="106">
        <f>35.76*0.39</f>
        <v>13.946400000000001</v>
      </c>
      <c r="AR315" s="106" t="s">
        <v>1906</v>
      </c>
      <c r="AS315" s="106">
        <f>35.76*0.39</f>
        <v>13.946400000000001</v>
      </c>
      <c r="AT315" s="107" t="s">
        <v>1906</v>
      </c>
      <c r="AU315" s="106">
        <f t="shared" si="13"/>
        <v>108.73199999999999</v>
      </c>
      <c r="AV315" s="25">
        <v>0.1656</v>
      </c>
      <c r="AW315" s="30" t="str">
        <f t="shared" si="14"/>
        <v>95-70</v>
      </c>
      <c r="AX315" s="30" t="s">
        <v>1907</v>
      </c>
      <c r="AY315" s="30">
        <v>0</v>
      </c>
      <c r="AZ315" s="30">
        <v>0</v>
      </c>
    </row>
    <row r="316" spans="1:52" ht="31.2" x14ac:dyDescent="0.3">
      <c r="A316" s="103">
        <v>306</v>
      </c>
      <c r="B316" s="30" t="s">
        <v>937</v>
      </c>
      <c r="C316" s="30" t="s">
        <v>1899</v>
      </c>
      <c r="D316" s="105" t="s">
        <v>1900</v>
      </c>
      <c r="E316" s="108" t="s">
        <v>1901</v>
      </c>
      <c r="F316" s="30" t="s">
        <v>1902</v>
      </c>
      <c r="G316" s="26" t="s">
        <v>145</v>
      </c>
      <c r="H316" s="24" t="s">
        <v>146</v>
      </c>
      <c r="I316" s="25">
        <v>0</v>
      </c>
      <c r="J316" s="24" t="s">
        <v>1903</v>
      </c>
      <c r="K316" s="24">
        <v>32</v>
      </c>
      <c r="L316" s="24">
        <v>5</v>
      </c>
      <c r="M316" s="24" t="str">
        <f t="shared" si="12"/>
        <v>95-70</v>
      </c>
      <c r="N316" s="24" t="s">
        <v>529</v>
      </c>
      <c r="O316" s="24" t="s">
        <v>529</v>
      </c>
      <c r="P316" s="24">
        <v>0</v>
      </c>
      <c r="Q316" s="102">
        <v>0</v>
      </c>
      <c r="R316" s="30" t="s">
        <v>1905</v>
      </c>
      <c r="S316" s="24">
        <v>0</v>
      </c>
      <c r="T316" s="24"/>
      <c r="U316" s="94">
        <v>337.32</v>
      </c>
      <c r="V316" s="94">
        <v>282.93999999999994</v>
      </c>
      <c r="W316" s="106">
        <v>38.64</v>
      </c>
      <c r="X316" s="107" t="s">
        <v>1906</v>
      </c>
      <c r="Y316" s="106">
        <v>38.64</v>
      </c>
      <c r="Z316" s="107" t="s">
        <v>1906</v>
      </c>
      <c r="AA316" s="106">
        <v>38.64</v>
      </c>
      <c r="AB316" s="107" t="s">
        <v>1906</v>
      </c>
      <c r="AC316" s="106">
        <v>38.64</v>
      </c>
      <c r="AD316" s="107" t="s">
        <v>1906</v>
      </c>
      <c r="AE316" s="106">
        <v>12.46</v>
      </c>
      <c r="AF316" s="107" t="s">
        <v>1906</v>
      </c>
      <c r="AG316" s="106">
        <v>0</v>
      </c>
      <c r="AH316" s="107" t="s">
        <v>1906</v>
      </c>
      <c r="AI316" s="106">
        <v>0</v>
      </c>
      <c r="AJ316" s="107" t="s">
        <v>1906</v>
      </c>
      <c r="AK316" s="106">
        <v>0</v>
      </c>
      <c r="AL316" s="107" t="s">
        <v>1906</v>
      </c>
      <c r="AM316" s="106">
        <v>8.6999999999999993</v>
      </c>
      <c r="AN316" s="107" t="s">
        <v>1906</v>
      </c>
      <c r="AO316" s="106">
        <v>37.29</v>
      </c>
      <c r="AP316" s="107" t="s">
        <v>1906</v>
      </c>
      <c r="AQ316" s="106">
        <v>37.29</v>
      </c>
      <c r="AR316" s="106" t="s">
        <v>1906</v>
      </c>
      <c r="AS316" s="106">
        <v>37.29</v>
      </c>
      <c r="AT316" s="107" t="s">
        <v>1906</v>
      </c>
      <c r="AU316" s="106">
        <f t="shared" si="13"/>
        <v>287.58999999999997</v>
      </c>
      <c r="AV316" s="25">
        <v>0.1656</v>
      </c>
      <c r="AW316" s="30" t="str">
        <f t="shared" si="14"/>
        <v>95-70</v>
      </c>
      <c r="AX316" s="30" t="s">
        <v>1907</v>
      </c>
      <c r="AY316" s="30">
        <v>0</v>
      </c>
      <c r="AZ316" s="30">
        <v>0</v>
      </c>
    </row>
    <row r="317" spans="1:52" ht="31.2" x14ac:dyDescent="0.3">
      <c r="A317" s="103">
        <v>307</v>
      </c>
      <c r="B317" s="30" t="s">
        <v>939</v>
      </c>
      <c r="C317" s="30" t="s">
        <v>1899</v>
      </c>
      <c r="D317" s="105" t="s">
        <v>1900</v>
      </c>
      <c r="E317" s="108" t="s">
        <v>1901</v>
      </c>
      <c r="F317" s="30" t="s">
        <v>1902</v>
      </c>
      <c r="G317" s="26" t="s">
        <v>145</v>
      </c>
      <c r="H317" s="24" t="s">
        <v>146</v>
      </c>
      <c r="I317" s="25">
        <v>1</v>
      </c>
      <c r="J317" s="24" t="s">
        <v>1903</v>
      </c>
      <c r="K317" s="24">
        <v>65</v>
      </c>
      <c r="L317" s="24">
        <v>5</v>
      </c>
      <c r="M317" s="24" t="str">
        <f t="shared" si="12"/>
        <v>95-70</v>
      </c>
      <c r="N317" s="24" t="s">
        <v>529</v>
      </c>
      <c r="O317" s="24" t="s">
        <v>529</v>
      </c>
      <c r="P317" s="24">
        <v>1</v>
      </c>
      <c r="Q317" s="102">
        <v>0</v>
      </c>
      <c r="R317" s="30" t="s">
        <v>1905</v>
      </c>
      <c r="S317" s="24">
        <v>0</v>
      </c>
      <c r="T317" s="24"/>
      <c r="U317" s="94">
        <v>1307.8399999999999</v>
      </c>
      <c r="V317" s="94">
        <v>1629.28</v>
      </c>
      <c r="W317" s="106">
        <v>222.5</v>
      </c>
      <c r="X317" s="107" t="s">
        <v>1906</v>
      </c>
      <c r="Y317" s="106">
        <v>222.5</v>
      </c>
      <c r="Z317" s="107" t="s">
        <v>1906</v>
      </c>
      <c r="AA317" s="106">
        <v>222.5</v>
      </c>
      <c r="AB317" s="107" t="s">
        <v>1906</v>
      </c>
      <c r="AC317" s="106">
        <v>222.5</v>
      </c>
      <c r="AD317" s="107" t="s">
        <v>1906</v>
      </c>
      <c r="AE317" s="106">
        <v>71.78</v>
      </c>
      <c r="AF317" s="107" t="s">
        <v>1906</v>
      </c>
      <c r="AG317" s="106">
        <v>0</v>
      </c>
      <c r="AH317" s="107" t="s">
        <v>1906</v>
      </c>
      <c r="AI317" s="106">
        <v>0</v>
      </c>
      <c r="AJ317" s="107" t="s">
        <v>1906</v>
      </c>
      <c r="AK317" s="106">
        <v>0</v>
      </c>
      <c r="AL317" s="107" t="s">
        <v>1906</v>
      </c>
      <c r="AM317" s="106">
        <v>50.5</v>
      </c>
      <c r="AN317" s="107" t="s">
        <v>1906</v>
      </c>
      <c r="AO317" s="106">
        <v>216.43</v>
      </c>
      <c r="AP317" s="107" t="s">
        <v>1906</v>
      </c>
      <c r="AQ317" s="106">
        <v>216.43</v>
      </c>
      <c r="AR317" s="106" t="s">
        <v>1906</v>
      </c>
      <c r="AS317" s="106">
        <v>216.43</v>
      </c>
      <c r="AT317" s="107" t="s">
        <v>1906</v>
      </c>
      <c r="AU317" s="106">
        <f t="shared" si="13"/>
        <v>1661.5700000000002</v>
      </c>
      <c r="AV317" s="25">
        <v>0.62649999999999995</v>
      </c>
      <c r="AW317" s="30" t="str">
        <f t="shared" si="14"/>
        <v>95-70</v>
      </c>
      <c r="AX317" s="30" t="s">
        <v>1907</v>
      </c>
      <c r="AY317" s="30">
        <v>0</v>
      </c>
      <c r="AZ317" s="30">
        <v>0</v>
      </c>
    </row>
    <row r="318" spans="1:52" ht="31.2" x14ac:dyDescent="0.3">
      <c r="A318" s="103">
        <v>308</v>
      </c>
      <c r="B318" s="30" t="s">
        <v>942</v>
      </c>
      <c r="C318" s="30" t="s">
        <v>1899</v>
      </c>
      <c r="D318" s="105" t="s">
        <v>1900</v>
      </c>
      <c r="E318" s="108" t="s">
        <v>1901</v>
      </c>
      <c r="F318" s="30" t="s">
        <v>1902</v>
      </c>
      <c r="G318" s="26" t="s">
        <v>145</v>
      </c>
      <c r="H318" s="24" t="s">
        <v>146</v>
      </c>
      <c r="I318" s="25">
        <v>0</v>
      </c>
      <c r="J318" s="24" t="s">
        <v>1903</v>
      </c>
      <c r="K318" s="24"/>
      <c r="L318" s="24">
        <v>5</v>
      </c>
      <c r="M318" s="24" t="str">
        <f t="shared" si="12"/>
        <v>95-70</v>
      </c>
      <c r="N318" s="24" t="s">
        <v>529</v>
      </c>
      <c r="O318" s="24" t="s">
        <v>529</v>
      </c>
      <c r="P318" s="24">
        <v>0</v>
      </c>
      <c r="Q318" s="102">
        <v>0</v>
      </c>
      <c r="R318" s="30" t="s">
        <v>1905</v>
      </c>
      <c r="S318" s="24">
        <v>0</v>
      </c>
      <c r="T318" s="24"/>
      <c r="U318" s="94">
        <v>388.20000000000005</v>
      </c>
      <c r="V318" s="94">
        <v>279.22000000000003</v>
      </c>
      <c r="W318" s="106">
        <v>38.300000000000004</v>
      </c>
      <c r="X318" s="107" t="s">
        <v>1906</v>
      </c>
      <c r="Y318" s="106">
        <v>38.300000000000004</v>
      </c>
      <c r="Z318" s="107" t="s">
        <v>1906</v>
      </c>
      <c r="AA318" s="106">
        <v>38.300000000000004</v>
      </c>
      <c r="AB318" s="107" t="s">
        <v>1906</v>
      </c>
      <c r="AC318" s="106">
        <v>38.300000000000004</v>
      </c>
      <c r="AD318" s="107" t="s">
        <v>1906</v>
      </c>
      <c r="AE318" s="106">
        <v>11.12</v>
      </c>
      <c r="AF318" s="107" t="s">
        <v>1906</v>
      </c>
      <c r="AG318" s="106">
        <v>0</v>
      </c>
      <c r="AH318" s="107" t="s">
        <v>1906</v>
      </c>
      <c r="AI318" s="106">
        <v>0</v>
      </c>
      <c r="AJ318" s="107" t="s">
        <v>1906</v>
      </c>
      <c r="AK318" s="106">
        <v>0</v>
      </c>
      <c r="AL318" s="107" t="s">
        <v>1906</v>
      </c>
      <c r="AM318" s="106">
        <v>8.36</v>
      </c>
      <c r="AN318" s="107" t="s">
        <v>1906</v>
      </c>
      <c r="AO318" s="106">
        <v>35.82</v>
      </c>
      <c r="AP318" s="107" t="s">
        <v>1906</v>
      </c>
      <c r="AQ318" s="106">
        <v>35.82</v>
      </c>
      <c r="AR318" s="106" t="s">
        <v>1906</v>
      </c>
      <c r="AS318" s="106">
        <v>35.82</v>
      </c>
      <c r="AT318" s="107" t="s">
        <v>1906</v>
      </c>
      <c r="AU318" s="106">
        <f t="shared" si="13"/>
        <v>280.14</v>
      </c>
      <c r="AV318" s="25">
        <v>0.1726</v>
      </c>
      <c r="AW318" s="30" t="str">
        <f t="shared" si="14"/>
        <v>95-70</v>
      </c>
      <c r="AX318" s="30" t="s">
        <v>1907</v>
      </c>
      <c r="AY318" s="30">
        <v>0</v>
      </c>
      <c r="AZ318" s="30">
        <v>0</v>
      </c>
    </row>
    <row r="319" spans="1:52" ht="31.2" x14ac:dyDescent="0.3">
      <c r="A319" s="103">
        <v>309</v>
      </c>
      <c r="B319" s="30" t="s">
        <v>944</v>
      </c>
      <c r="C319" s="30" t="s">
        <v>1899</v>
      </c>
      <c r="D319" s="105" t="s">
        <v>1900</v>
      </c>
      <c r="E319" s="108" t="s">
        <v>1901</v>
      </c>
      <c r="F319" s="30" t="s">
        <v>1902</v>
      </c>
      <c r="G319" s="26" t="s">
        <v>145</v>
      </c>
      <c r="H319" s="24" t="s">
        <v>146</v>
      </c>
      <c r="I319" s="25">
        <v>1</v>
      </c>
      <c r="J319" s="24" t="s">
        <v>1903</v>
      </c>
      <c r="K319" s="24">
        <v>50</v>
      </c>
      <c r="L319" s="24">
        <v>5</v>
      </c>
      <c r="M319" s="24" t="str">
        <f t="shared" si="12"/>
        <v>95-70</v>
      </c>
      <c r="N319" s="24" t="s">
        <v>529</v>
      </c>
      <c r="O319" s="24" t="s">
        <v>529</v>
      </c>
      <c r="P319" s="24">
        <v>1</v>
      </c>
      <c r="Q319" s="102">
        <v>0</v>
      </c>
      <c r="R319" s="30" t="s">
        <v>1905</v>
      </c>
      <c r="S319" s="24">
        <v>0</v>
      </c>
      <c r="T319" s="24"/>
      <c r="U319" s="94">
        <v>403.11000000000007</v>
      </c>
      <c r="V319" s="94">
        <v>370.14000000000004</v>
      </c>
      <c r="W319" s="106">
        <v>76.06</v>
      </c>
      <c r="X319" s="107" t="s">
        <v>208</v>
      </c>
      <c r="Y319" s="106">
        <v>41.64</v>
      </c>
      <c r="Z319" s="107" t="s">
        <v>208</v>
      </c>
      <c r="AA319" s="106">
        <v>72.08</v>
      </c>
      <c r="AB319" s="107" t="s">
        <v>208</v>
      </c>
      <c r="AC319" s="106">
        <v>50.26</v>
      </c>
      <c r="AD319" s="107" t="s">
        <v>208</v>
      </c>
      <c r="AE319" s="106">
        <v>14.94</v>
      </c>
      <c r="AF319" s="107" t="s">
        <v>208</v>
      </c>
      <c r="AG319" s="106">
        <v>0</v>
      </c>
      <c r="AH319" s="107" t="s">
        <v>208</v>
      </c>
      <c r="AI319" s="106">
        <v>0</v>
      </c>
      <c r="AJ319" s="107" t="s">
        <v>208</v>
      </c>
      <c r="AK319" s="106">
        <v>0</v>
      </c>
      <c r="AL319" s="107" t="s">
        <v>208</v>
      </c>
      <c r="AM319" s="106">
        <v>0</v>
      </c>
      <c r="AN319" s="107" t="s">
        <v>208</v>
      </c>
      <c r="AO319" s="106">
        <v>25.240000000000002</v>
      </c>
      <c r="AP319" s="107" t="s">
        <v>208</v>
      </c>
      <c r="AQ319" s="106">
        <v>28.89</v>
      </c>
      <c r="AR319" s="106" t="s">
        <v>208</v>
      </c>
      <c r="AS319" s="106">
        <v>43.050000000000004</v>
      </c>
      <c r="AT319" s="107" t="s">
        <v>208</v>
      </c>
      <c r="AU319" s="106">
        <f t="shared" si="13"/>
        <v>352.15999999999997</v>
      </c>
      <c r="AV319" s="25">
        <v>0.2001</v>
      </c>
      <c r="AW319" s="30" t="str">
        <f t="shared" si="14"/>
        <v>95-70</v>
      </c>
      <c r="AX319" s="30" t="s">
        <v>1907</v>
      </c>
      <c r="AY319" s="30">
        <v>0</v>
      </c>
      <c r="AZ319" s="30">
        <v>0</v>
      </c>
    </row>
    <row r="320" spans="1:52" ht="31.2" x14ac:dyDescent="0.3">
      <c r="A320" s="103">
        <v>310</v>
      </c>
      <c r="B320" s="30" t="s">
        <v>946</v>
      </c>
      <c r="C320" s="30" t="s">
        <v>1899</v>
      </c>
      <c r="D320" s="105" t="s">
        <v>1900</v>
      </c>
      <c r="E320" s="108" t="s">
        <v>1901</v>
      </c>
      <c r="F320" s="30" t="s">
        <v>1902</v>
      </c>
      <c r="G320" s="26" t="s">
        <v>145</v>
      </c>
      <c r="H320" s="24" t="s">
        <v>146</v>
      </c>
      <c r="I320" s="25">
        <v>1</v>
      </c>
      <c r="J320" s="24" t="s">
        <v>1903</v>
      </c>
      <c r="K320" s="24">
        <v>32</v>
      </c>
      <c r="L320" s="24">
        <v>5</v>
      </c>
      <c r="M320" s="24" t="str">
        <f t="shared" si="12"/>
        <v>95-70</v>
      </c>
      <c r="N320" s="24" t="s">
        <v>529</v>
      </c>
      <c r="O320" s="24" t="s">
        <v>529</v>
      </c>
      <c r="P320" s="24">
        <v>1</v>
      </c>
      <c r="Q320" s="102">
        <v>0</v>
      </c>
      <c r="R320" s="30" t="s">
        <v>1905</v>
      </c>
      <c r="S320" s="24">
        <v>0</v>
      </c>
      <c r="T320" s="24"/>
      <c r="U320" s="94">
        <f>343.51*0.65</f>
        <v>223.28149999999999</v>
      </c>
      <c r="V320" s="94">
        <f>251.58*0.65</f>
        <v>163.52700000000002</v>
      </c>
      <c r="W320" s="106">
        <f>34.51*0.65</f>
        <v>22.4315</v>
      </c>
      <c r="X320" s="107" t="s">
        <v>1906</v>
      </c>
      <c r="Y320" s="106">
        <f>34.51*0.65</f>
        <v>22.4315</v>
      </c>
      <c r="Z320" s="107" t="s">
        <v>1906</v>
      </c>
      <c r="AA320" s="106">
        <f>34.51*0.65</f>
        <v>22.4315</v>
      </c>
      <c r="AB320" s="107" t="s">
        <v>1906</v>
      </c>
      <c r="AC320" s="106">
        <f>34.51*0.65</f>
        <v>22.4315</v>
      </c>
      <c r="AD320" s="107" t="s">
        <v>1906</v>
      </c>
      <c r="AE320" s="106">
        <f>10.01*0.65</f>
        <v>6.5065</v>
      </c>
      <c r="AF320" s="107" t="s">
        <v>1906</v>
      </c>
      <c r="AG320" s="106">
        <v>0</v>
      </c>
      <c r="AH320" s="107" t="s">
        <v>1906</v>
      </c>
      <c r="AI320" s="106">
        <v>0</v>
      </c>
      <c r="AJ320" s="107" t="s">
        <v>1906</v>
      </c>
      <c r="AK320" s="106">
        <v>0</v>
      </c>
      <c r="AL320" s="107" t="s">
        <v>1906</v>
      </c>
      <c r="AM320" s="106">
        <f>6.64*0.65</f>
        <v>4.3159999999999998</v>
      </c>
      <c r="AN320" s="107" t="s">
        <v>1906</v>
      </c>
      <c r="AO320" s="106">
        <f>33.2*0.65</f>
        <v>21.580000000000002</v>
      </c>
      <c r="AP320" s="107" t="s">
        <v>1906</v>
      </c>
      <c r="AQ320" s="106">
        <f>33.2*0.65</f>
        <v>21.580000000000002</v>
      </c>
      <c r="AR320" s="106" t="s">
        <v>1906</v>
      </c>
      <c r="AS320" s="106">
        <f>33.2*0.65</f>
        <v>21.580000000000002</v>
      </c>
      <c r="AT320" s="107" t="s">
        <v>1906</v>
      </c>
      <c r="AU320" s="106">
        <f t="shared" si="13"/>
        <v>165.28850000000003</v>
      </c>
      <c r="AV320" s="25">
        <v>0.15160000000000001</v>
      </c>
      <c r="AW320" s="30" t="str">
        <f t="shared" si="14"/>
        <v>95-70</v>
      </c>
      <c r="AX320" s="30" t="s">
        <v>1907</v>
      </c>
      <c r="AY320" s="30">
        <v>0</v>
      </c>
      <c r="AZ320" s="30">
        <v>0</v>
      </c>
    </row>
    <row r="321" spans="1:52" ht="31.2" x14ac:dyDescent="0.3">
      <c r="A321" s="103">
        <v>311</v>
      </c>
      <c r="B321" s="30" t="s">
        <v>947</v>
      </c>
      <c r="C321" s="30" t="s">
        <v>1899</v>
      </c>
      <c r="D321" s="105" t="s">
        <v>1900</v>
      </c>
      <c r="E321" s="108" t="s">
        <v>1901</v>
      </c>
      <c r="F321" s="30" t="s">
        <v>1902</v>
      </c>
      <c r="G321" s="26" t="s">
        <v>145</v>
      </c>
      <c r="H321" s="24" t="s">
        <v>146</v>
      </c>
      <c r="I321" s="25">
        <v>0</v>
      </c>
      <c r="J321" s="24" t="s">
        <v>1903</v>
      </c>
      <c r="K321" s="24">
        <v>32</v>
      </c>
      <c r="L321" s="24">
        <v>5</v>
      </c>
      <c r="M321" s="24" t="str">
        <f t="shared" si="12"/>
        <v>95-70</v>
      </c>
      <c r="N321" s="24" t="s">
        <v>529</v>
      </c>
      <c r="O321" s="24" t="s">
        <v>529</v>
      </c>
      <c r="P321" s="24">
        <v>0</v>
      </c>
      <c r="Q321" s="102">
        <v>0</v>
      </c>
      <c r="R321" s="30" t="s">
        <v>1905</v>
      </c>
      <c r="S321" s="24">
        <v>0</v>
      </c>
      <c r="T321" s="24"/>
      <c r="U321" s="94">
        <f>343.51*0.35</f>
        <v>120.22849999999998</v>
      </c>
      <c r="V321" s="94">
        <f>251.58*0.35</f>
        <v>88.052999999999997</v>
      </c>
      <c r="W321" s="106">
        <f>34.51*0.35</f>
        <v>12.078499999999998</v>
      </c>
      <c r="X321" s="107" t="s">
        <v>1906</v>
      </c>
      <c r="Y321" s="106">
        <f>34.51*0.35</f>
        <v>12.078499999999998</v>
      </c>
      <c r="Z321" s="107" t="s">
        <v>1906</v>
      </c>
      <c r="AA321" s="106">
        <f>34.51*0.35</f>
        <v>12.078499999999998</v>
      </c>
      <c r="AB321" s="107" t="s">
        <v>1906</v>
      </c>
      <c r="AC321" s="106">
        <f>34.51*0.35</f>
        <v>12.078499999999998</v>
      </c>
      <c r="AD321" s="107" t="s">
        <v>1906</v>
      </c>
      <c r="AE321" s="106">
        <f>10.01*0.35</f>
        <v>3.5034999999999998</v>
      </c>
      <c r="AF321" s="107" t="s">
        <v>1906</v>
      </c>
      <c r="AG321" s="106">
        <v>0</v>
      </c>
      <c r="AH321" s="107" t="s">
        <v>1906</v>
      </c>
      <c r="AI321" s="106">
        <v>0</v>
      </c>
      <c r="AJ321" s="107" t="s">
        <v>1906</v>
      </c>
      <c r="AK321" s="106">
        <v>0</v>
      </c>
      <c r="AL321" s="107" t="s">
        <v>1906</v>
      </c>
      <c r="AM321" s="106">
        <f>6.64*0.35</f>
        <v>2.3239999999999998</v>
      </c>
      <c r="AN321" s="107" t="s">
        <v>1906</v>
      </c>
      <c r="AO321" s="106">
        <f>33.2*0.35</f>
        <v>11.620000000000001</v>
      </c>
      <c r="AP321" s="107" t="s">
        <v>1906</v>
      </c>
      <c r="AQ321" s="106">
        <f>33.2*0.35</f>
        <v>11.620000000000001</v>
      </c>
      <c r="AR321" s="106" t="s">
        <v>1906</v>
      </c>
      <c r="AS321" s="106">
        <f>33.2*0.35</f>
        <v>11.620000000000001</v>
      </c>
      <c r="AT321" s="107" t="s">
        <v>1906</v>
      </c>
      <c r="AU321" s="106">
        <f t="shared" si="13"/>
        <v>89.001500000000007</v>
      </c>
      <c r="AV321" s="25">
        <v>1E-3</v>
      </c>
      <c r="AW321" s="30" t="str">
        <f t="shared" si="14"/>
        <v>95-70</v>
      </c>
      <c r="AX321" s="30" t="s">
        <v>1907</v>
      </c>
      <c r="AY321" s="30">
        <v>0</v>
      </c>
      <c r="AZ321" s="30">
        <v>0</v>
      </c>
    </row>
    <row r="322" spans="1:52" ht="31.2" x14ac:dyDescent="0.3">
      <c r="A322" s="103">
        <v>312</v>
      </c>
      <c r="B322" s="30" t="s">
        <v>948</v>
      </c>
      <c r="C322" s="30" t="s">
        <v>1899</v>
      </c>
      <c r="D322" s="105" t="s">
        <v>1900</v>
      </c>
      <c r="E322" s="108" t="s">
        <v>1901</v>
      </c>
      <c r="F322" s="30" t="s">
        <v>1902</v>
      </c>
      <c r="G322" s="26" t="s">
        <v>145</v>
      </c>
      <c r="H322" s="24" t="s">
        <v>146</v>
      </c>
      <c r="I322" s="25">
        <v>0</v>
      </c>
      <c r="J322" s="24" t="s">
        <v>1903</v>
      </c>
      <c r="K322" s="24">
        <v>32</v>
      </c>
      <c r="L322" s="24">
        <v>5</v>
      </c>
      <c r="M322" s="24" t="str">
        <f t="shared" si="12"/>
        <v>95-70</v>
      </c>
      <c r="N322" s="24" t="s">
        <v>529</v>
      </c>
      <c r="O322" s="24" t="s">
        <v>529</v>
      </c>
      <c r="P322" s="24">
        <v>0</v>
      </c>
      <c r="Q322" s="102">
        <v>0</v>
      </c>
      <c r="R322" s="30" t="s">
        <v>1905</v>
      </c>
      <c r="S322" s="24">
        <v>0</v>
      </c>
      <c r="T322" s="24"/>
      <c r="U322" s="94">
        <v>170.54</v>
      </c>
      <c r="V322" s="94">
        <v>86.829999999999984</v>
      </c>
      <c r="W322" s="106">
        <v>11.91</v>
      </c>
      <c r="X322" s="107" t="s">
        <v>1906</v>
      </c>
      <c r="Y322" s="106">
        <v>11.91</v>
      </c>
      <c r="Z322" s="107" t="s">
        <v>1906</v>
      </c>
      <c r="AA322" s="106">
        <v>11.91</v>
      </c>
      <c r="AB322" s="107" t="s">
        <v>1906</v>
      </c>
      <c r="AC322" s="106">
        <v>11.91</v>
      </c>
      <c r="AD322" s="107" t="s">
        <v>1906</v>
      </c>
      <c r="AE322" s="106">
        <v>3.46</v>
      </c>
      <c r="AF322" s="107" t="s">
        <v>1906</v>
      </c>
      <c r="AG322" s="106">
        <v>0</v>
      </c>
      <c r="AH322" s="107" t="s">
        <v>1906</v>
      </c>
      <c r="AI322" s="106">
        <v>0</v>
      </c>
      <c r="AJ322" s="107" t="s">
        <v>1906</v>
      </c>
      <c r="AK322" s="106">
        <v>0</v>
      </c>
      <c r="AL322" s="107" t="s">
        <v>1906</v>
      </c>
      <c r="AM322" s="106">
        <v>2.2999999999999998</v>
      </c>
      <c r="AN322" s="107" t="s">
        <v>1906</v>
      </c>
      <c r="AO322" s="106">
        <v>11.48</v>
      </c>
      <c r="AP322" s="107" t="s">
        <v>1906</v>
      </c>
      <c r="AQ322" s="106">
        <v>11.48</v>
      </c>
      <c r="AR322" s="106" t="s">
        <v>1906</v>
      </c>
      <c r="AS322" s="106">
        <v>11.48</v>
      </c>
      <c r="AT322" s="107" t="s">
        <v>1906</v>
      </c>
      <c r="AU322" s="106">
        <f t="shared" si="13"/>
        <v>87.84</v>
      </c>
      <c r="AV322" s="25">
        <v>6.6199999999999995E-2</v>
      </c>
      <c r="AW322" s="30" t="str">
        <f t="shared" si="14"/>
        <v>95-70</v>
      </c>
      <c r="AX322" s="30" t="s">
        <v>1907</v>
      </c>
      <c r="AY322" s="30">
        <v>0</v>
      </c>
      <c r="AZ322" s="30">
        <v>0</v>
      </c>
    </row>
    <row r="323" spans="1:52" ht="31.2" x14ac:dyDescent="0.3">
      <c r="A323" s="103">
        <v>313</v>
      </c>
      <c r="B323" s="30" t="s">
        <v>949</v>
      </c>
      <c r="C323" s="30" t="s">
        <v>1899</v>
      </c>
      <c r="D323" s="105" t="s">
        <v>1900</v>
      </c>
      <c r="E323" s="108" t="s">
        <v>1901</v>
      </c>
      <c r="F323" s="30" t="s">
        <v>1902</v>
      </c>
      <c r="G323" s="26" t="s">
        <v>145</v>
      </c>
      <c r="H323" s="24" t="s">
        <v>146</v>
      </c>
      <c r="I323" s="25">
        <v>1</v>
      </c>
      <c r="J323" s="24" t="s">
        <v>1903</v>
      </c>
      <c r="K323" s="24">
        <v>50</v>
      </c>
      <c r="L323" s="24">
        <v>5</v>
      </c>
      <c r="M323" s="24" t="str">
        <f t="shared" si="12"/>
        <v>95-70</v>
      </c>
      <c r="N323" s="24" t="s">
        <v>529</v>
      </c>
      <c r="O323" s="24" t="s">
        <v>529</v>
      </c>
      <c r="P323" s="24">
        <v>1</v>
      </c>
      <c r="Q323" s="102">
        <v>0</v>
      </c>
      <c r="R323" s="30" t="s">
        <v>1905</v>
      </c>
      <c r="S323" s="24">
        <v>0</v>
      </c>
      <c r="T323" s="24"/>
      <c r="U323" s="94">
        <f>670.24*0.98</f>
        <v>656.83519999999999</v>
      </c>
      <c r="V323" s="94">
        <f>427.16*0.98</f>
        <v>418.61680000000001</v>
      </c>
      <c r="W323" s="106">
        <f>87.91*0.98</f>
        <v>86.151799999999994</v>
      </c>
      <c r="X323" s="107" t="s">
        <v>208</v>
      </c>
      <c r="Y323" s="106">
        <f>51.11*0.98</f>
        <v>50.087800000000001</v>
      </c>
      <c r="Z323" s="107" t="s">
        <v>208</v>
      </c>
      <c r="AA323" s="106">
        <f>82.91*0.98</f>
        <v>81.251799999999989</v>
      </c>
      <c r="AB323" s="107" t="s">
        <v>208</v>
      </c>
      <c r="AC323" s="106">
        <f>58.78*0.98</f>
        <v>57.604399999999998</v>
      </c>
      <c r="AD323" s="107" t="s">
        <v>208</v>
      </c>
      <c r="AE323" s="106">
        <f>18.4*0.98</f>
        <v>18.032</v>
      </c>
      <c r="AF323" s="107" t="s">
        <v>208</v>
      </c>
      <c r="AG323" s="106">
        <v>0</v>
      </c>
      <c r="AH323" s="107" t="s">
        <v>208</v>
      </c>
      <c r="AI323" s="106">
        <v>0</v>
      </c>
      <c r="AJ323" s="107" t="s">
        <v>208</v>
      </c>
      <c r="AK323" s="106">
        <v>0</v>
      </c>
      <c r="AL323" s="107" t="s">
        <v>208</v>
      </c>
      <c r="AM323" s="106">
        <v>0</v>
      </c>
      <c r="AN323" s="107" t="s">
        <v>208</v>
      </c>
      <c r="AO323" s="106">
        <f>28.58*0.98</f>
        <v>28.008399999999998</v>
      </c>
      <c r="AP323" s="107" t="s">
        <v>208</v>
      </c>
      <c r="AQ323" s="106">
        <f>33.14*0.98</f>
        <v>32.477200000000003</v>
      </c>
      <c r="AR323" s="106" t="s">
        <v>208</v>
      </c>
      <c r="AS323" s="106">
        <f>49.71*0.98</f>
        <v>48.715800000000002</v>
      </c>
      <c r="AT323" s="107" t="s">
        <v>208</v>
      </c>
      <c r="AU323" s="106">
        <f t="shared" si="13"/>
        <v>402.32919999999996</v>
      </c>
      <c r="AV323" s="25">
        <v>0.2303</v>
      </c>
      <c r="AW323" s="30" t="str">
        <f t="shared" si="14"/>
        <v>95-70</v>
      </c>
      <c r="AX323" s="30" t="s">
        <v>1907</v>
      </c>
      <c r="AY323" s="30">
        <v>0</v>
      </c>
      <c r="AZ323" s="30">
        <v>0</v>
      </c>
    </row>
    <row r="324" spans="1:52" ht="31.2" x14ac:dyDescent="0.3">
      <c r="A324" s="103">
        <v>314</v>
      </c>
      <c r="B324" s="30" t="s">
        <v>950</v>
      </c>
      <c r="C324" s="30" t="s">
        <v>1899</v>
      </c>
      <c r="D324" s="105" t="s">
        <v>1900</v>
      </c>
      <c r="E324" s="108" t="s">
        <v>1901</v>
      </c>
      <c r="F324" s="30" t="s">
        <v>1902</v>
      </c>
      <c r="G324" s="26" t="s">
        <v>145</v>
      </c>
      <c r="H324" s="24" t="s">
        <v>146</v>
      </c>
      <c r="I324" s="25">
        <v>1</v>
      </c>
      <c r="J324" s="24" t="s">
        <v>1903</v>
      </c>
      <c r="K324" s="24">
        <v>32</v>
      </c>
      <c r="L324" s="24">
        <v>5</v>
      </c>
      <c r="M324" s="24" t="str">
        <f t="shared" si="12"/>
        <v>95-70</v>
      </c>
      <c r="N324" s="24" t="s">
        <v>529</v>
      </c>
      <c r="O324" s="24" t="s">
        <v>529</v>
      </c>
      <c r="P324" s="24">
        <v>1</v>
      </c>
      <c r="Q324" s="102">
        <v>0</v>
      </c>
      <c r="R324" s="30" t="s">
        <v>1905</v>
      </c>
      <c r="S324" s="24">
        <v>0</v>
      </c>
      <c r="T324" s="24"/>
      <c r="U324" s="94">
        <f>670.24*0.02</f>
        <v>13.4048</v>
      </c>
      <c r="V324" s="94">
        <f>427.16*0.02</f>
        <v>8.5432000000000006</v>
      </c>
      <c r="W324" s="106">
        <f>87.91*0.02</f>
        <v>1.7582</v>
      </c>
      <c r="X324" s="107" t="s">
        <v>208</v>
      </c>
      <c r="Y324" s="106">
        <f>51.11*0.02</f>
        <v>1.0222</v>
      </c>
      <c r="Z324" s="107" t="s">
        <v>208</v>
      </c>
      <c r="AA324" s="106">
        <f>82.91*0.02</f>
        <v>1.6581999999999999</v>
      </c>
      <c r="AB324" s="107" t="s">
        <v>208</v>
      </c>
      <c r="AC324" s="106">
        <f>58.78*0.02</f>
        <v>1.1756</v>
      </c>
      <c r="AD324" s="107" t="s">
        <v>208</v>
      </c>
      <c r="AE324" s="106">
        <f>18.4*0.02</f>
        <v>0.36799999999999999</v>
      </c>
      <c r="AF324" s="107" t="s">
        <v>208</v>
      </c>
      <c r="AG324" s="106">
        <v>0</v>
      </c>
      <c r="AH324" s="107" t="s">
        <v>208</v>
      </c>
      <c r="AI324" s="106">
        <v>0</v>
      </c>
      <c r="AJ324" s="107" t="s">
        <v>208</v>
      </c>
      <c r="AK324" s="106">
        <v>0</v>
      </c>
      <c r="AL324" s="107" t="s">
        <v>208</v>
      </c>
      <c r="AM324" s="106">
        <v>0</v>
      </c>
      <c r="AN324" s="107" t="s">
        <v>208</v>
      </c>
      <c r="AO324" s="106">
        <f>28.58*0.02</f>
        <v>0.5716</v>
      </c>
      <c r="AP324" s="107" t="s">
        <v>208</v>
      </c>
      <c r="AQ324" s="106">
        <f>33.14*0.02</f>
        <v>0.66280000000000006</v>
      </c>
      <c r="AR324" s="106" t="s">
        <v>208</v>
      </c>
      <c r="AS324" s="106">
        <f>49.71*0.02</f>
        <v>0.99420000000000008</v>
      </c>
      <c r="AT324" s="107" t="s">
        <v>208</v>
      </c>
      <c r="AU324" s="106">
        <f t="shared" si="13"/>
        <v>8.2108000000000008</v>
      </c>
      <c r="AV324" s="25">
        <v>6.3100000000000003E-2</v>
      </c>
      <c r="AW324" s="30" t="str">
        <f t="shared" si="14"/>
        <v>95-70</v>
      </c>
      <c r="AX324" s="30" t="s">
        <v>1907</v>
      </c>
      <c r="AY324" s="30">
        <v>0</v>
      </c>
      <c r="AZ324" s="30">
        <v>0</v>
      </c>
    </row>
    <row r="325" spans="1:52" ht="31.2" x14ac:dyDescent="0.3">
      <c r="A325" s="103">
        <v>315</v>
      </c>
      <c r="B325" s="30" t="s">
        <v>951</v>
      </c>
      <c r="C325" s="30" t="s">
        <v>1899</v>
      </c>
      <c r="D325" s="105" t="s">
        <v>1900</v>
      </c>
      <c r="E325" s="108" t="s">
        <v>1901</v>
      </c>
      <c r="F325" s="30" t="s">
        <v>1902</v>
      </c>
      <c r="G325" s="26" t="s">
        <v>145</v>
      </c>
      <c r="H325" s="24" t="s">
        <v>146</v>
      </c>
      <c r="I325" s="25">
        <v>1</v>
      </c>
      <c r="J325" s="24" t="s">
        <v>1903</v>
      </c>
      <c r="K325" s="24">
        <v>50</v>
      </c>
      <c r="L325" s="24">
        <v>5</v>
      </c>
      <c r="M325" s="24" t="str">
        <f t="shared" si="12"/>
        <v>95-70</v>
      </c>
      <c r="N325" s="24" t="s">
        <v>529</v>
      </c>
      <c r="O325" s="24" t="s">
        <v>529</v>
      </c>
      <c r="P325" s="24">
        <v>1</v>
      </c>
      <c r="Q325" s="102">
        <v>0</v>
      </c>
      <c r="R325" s="30" t="s">
        <v>1905</v>
      </c>
      <c r="S325" s="24">
        <v>0</v>
      </c>
      <c r="T325" s="24"/>
      <c r="U325" s="94">
        <f>236.03*0.72</f>
        <v>169.94159999999999</v>
      </c>
      <c r="V325" s="94">
        <f>384.13*0.72</f>
        <v>276.5736</v>
      </c>
      <c r="W325" s="106">
        <f>72.72*0.72</f>
        <v>52.358399999999996</v>
      </c>
      <c r="X325" s="107" t="s">
        <v>208</v>
      </c>
      <c r="Y325" s="106">
        <f>44.83*0.72</f>
        <v>32.2776</v>
      </c>
      <c r="Z325" s="107" t="s">
        <v>208</v>
      </c>
      <c r="AA325" s="106">
        <f>78.36*0.72</f>
        <v>56.419199999999996</v>
      </c>
      <c r="AB325" s="107" t="s">
        <v>208</v>
      </c>
      <c r="AC325" s="106">
        <f>52.94*0.72</f>
        <v>38.116799999999998</v>
      </c>
      <c r="AD325" s="107" t="s">
        <v>208</v>
      </c>
      <c r="AE325" s="106">
        <f>17.37*0.72</f>
        <v>12.506400000000001</v>
      </c>
      <c r="AF325" s="107" t="s">
        <v>208</v>
      </c>
      <c r="AG325" s="106">
        <v>0</v>
      </c>
      <c r="AH325" s="107" t="s">
        <v>208</v>
      </c>
      <c r="AI325" s="106">
        <v>0</v>
      </c>
      <c r="AJ325" s="107" t="s">
        <v>208</v>
      </c>
      <c r="AK325" s="106">
        <v>0</v>
      </c>
      <c r="AL325" s="107" t="s">
        <v>208</v>
      </c>
      <c r="AM325" s="106">
        <v>0</v>
      </c>
      <c r="AN325" s="107" t="s">
        <v>208</v>
      </c>
      <c r="AO325" s="106">
        <f>27.72*0.72</f>
        <v>19.958399999999997</v>
      </c>
      <c r="AP325" s="107" t="s">
        <v>208</v>
      </c>
      <c r="AQ325" s="106">
        <f>31.15*0.72</f>
        <v>22.427999999999997</v>
      </c>
      <c r="AR325" s="106" t="s">
        <v>208</v>
      </c>
      <c r="AS325" s="106">
        <f>45.87*0.72</f>
        <v>33.026399999999995</v>
      </c>
      <c r="AT325" s="107" t="s">
        <v>208</v>
      </c>
      <c r="AU325" s="106">
        <f t="shared" si="13"/>
        <v>267.09119999999996</v>
      </c>
      <c r="AV325" s="25">
        <v>0.1971</v>
      </c>
      <c r="AW325" s="30" t="str">
        <f t="shared" si="14"/>
        <v>95-70</v>
      </c>
      <c r="AX325" s="30" t="s">
        <v>1907</v>
      </c>
      <c r="AY325" s="30">
        <v>0</v>
      </c>
      <c r="AZ325" s="30">
        <v>0</v>
      </c>
    </row>
    <row r="326" spans="1:52" ht="31.2" x14ac:dyDescent="0.3">
      <c r="A326" s="103">
        <v>316</v>
      </c>
      <c r="B326" s="30" t="s">
        <v>952</v>
      </c>
      <c r="C326" s="30" t="s">
        <v>1899</v>
      </c>
      <c r="D326" s="105" t="s">
        <v>1900</v>
      </c>
      <c r="E326" s="108" t="s">
        <v>1901</v>
      </c>
      <c r="F326" s="30" t="s">
        <v>1902</v>
      </c>
      <c r="G326" s="26" t="s">
        <v>145</v>
      </c>
      <c r="H326" s="24" t="s">
        <v>146</v>
      </c>
      <c r="I326" s="25">
        <v>1</v>
      </c>
      <c r="J326" s="24" t="s">
        <v>1903</v>
      </c>
      <c r="K326" s="24">
        <v>32</v>
      </c>
      <c r="L326" s="24">
        <v>5</v>
      </c>
      <c r="M326" s="24" t="str">
        <f t="shared" si="12"/>
        <v>95-70</v>
      </c>
      <c r="N326" s="24" t="s">
        <v>529</v>
      </c>
      <c r="O326" s="24" t="s">
        <v>529</v>
      </c>
      <c r="P326" s="24">
        <v>1</v>
      </c>
      <c r="Q326" s="102">
        <v>0</v>
      </c>
      <c r="R326" s="30" t="s">
        <v>1905</v>
      </c>
      <c r="S326" s="24">
        <v>0</v>
      </c>
      <c r="T326" s="24"/>
      <c r="U326" s="94">
        <f>236.03*0.28</f>
        <v>66.088400000000007</v>
      </c>
      <c r="V326" s="94">
        <f>384.13*0.28</f>
        <v>107.55640000000001</v>
      </c>
      <c r="W326" s="106">
        <f>72.72*0.28</f>
        <v>20.361600000000003</v>
      </c>
      <c r="X326" s="107" t="s">
        <v>208</v>
      </c>
      <c r="Y326" s="106">
        <f>44.83*0.28</f>
        <v>12.5524</v>
      </c>
      <c r="Z326" s="107" t="s">
        <v>208</v>
      </c>
      <c r="AA326" s="106">
        <f>78.36*0.28</f>
        <v>21.940800000000003</v>
      </c>
      <c r="AB326" s="107" t="s">
        <v>208</v>
      </c>
      <c r="AC326" s="106">
        <f>52.94*0.28</f>
        <v>14.8232</v>
      </c>
      <c r="AD326" s="107" t="s">
        <v>208</v>
      </c>
      <c r="AE326" s="106">
        <f>17.37*0.28</f>
        <v>4.8636000000000008</v>
      </c>
      <c r="AF326" s="107" t="s">
        <v>208</v>
      </c>
      <c r="AG326" s="106">
        <v>0</v>
      </c>
      <c r="AH326" s="107" t="s">
        <v>208</v>
      </c>
      <c r="AI326" s="106">
        <v>0</v>
      </c>
      <c r="AJ326" s="107" t="s">
        <v>208</v>
      </c>
      <c r="AK326" s="106">
        <v>0</v>
      </c>
      <c r="AL326" s="107" t="s">
        <v>208</v>
      </c>
      <c r="AM326" s="106">
        <v>0</v>
      </c>
      <c r="AN326" s="107" t="s">
        <v>208</v>
      </c>
      <c r="AO326" s="106">
        <f>27.72*0.28</f>
        <v>7.7616000000000005</v>
      </c>
      <c r="AP326" s="107" t="s">
        <v>208</v>
      </c>
      <c r="AQ326" s="106">
        <f>31.15*0.28</f>
        <v>8.7220000000000013</v>
      </c>
      <c r="AR326" s="106" t="s">
        <v>208</v>
      </c>
      <c r="AS326" s="106">
        <f>45.87*0.28</f>
        <v>12.8436</v>
      </c>
      <c r="AT326" s="107" t="s">
        <v>208</v>
      </c>
      <c r="AU326" s="106">
        <f t="shared" si="13"/>
        <v>103.86880000000001</v>
      </c>
      <c r="AV326" s="25">
        <v>3.7100000000000001E-2</v>
      </c>
      <c r="AW326" s="30" t="str">
        <f t="shared" si="14"/>
        <v>95-70</v>
      </c>
      <c r="AX326" s="30" t="s">
        <v>1907</v>
      </c>
      <c r="AY326" s="30">
        <v>0</v>
      </c>
      <c r="AZ326" s="30">
        <v>0</v>
      </c>
    </row>
    <row r="327" spans="1:52" ht="31.2" x14ac:dyDescent="0.3">
      <c r="A327" s="103">
        <v>317</v>
      </c>
      <c r="B327" s="30" t="s">
        <v>953</v>
      </c>
      <c r="C327" s="30" t="s">
        <v>1899</v>
      </c>
      <c r="D327" s="105" t="s">
        <v>1900</v>
      </c>
      <c r="E327" s="108" t="s">
        <v>1901</v>
      </c>
      <c r="F327" s="30" t="s">
        <v>1902</v>
      </c>
      <c r="G327" s="26" t="s">
        <v>145</v>
      </c>
      <c r="H327" s="24" t="s">
        <v>146</v>
      </c>
      <c r="I327" s="25">
        <v>0</v>
      </c>
      <c r="J327" s="24" t="s">
        <v>1903</v>
      </c>
      <c r="K327" s="24">
        <v>32</v>
      </c>
      <c r="L327" s="24">
        <v>5</v>
      </c>
      <c r="M327" s="24" t="str">
        <f t="shared" si="12"/>
        <v>95-70</v>
      </c>
      <c r="N327" s="24" t="s">
        <v>529</v>
      </c>
      <c r="O327" s="24" t="s">
        <v>529</v>
      </c>
      <c r="P327" s="24">
        <v>0</v>
      </c>
      <c r="Q327" s="102">
        <v>0</v>
      </c>
      <c r="R327" s="30" t="s">
        <v>1905</v>
      </c>
      <c r="S327" s="24">
        <v>0</v>
      </c>
      <c r="T327" s="24"/>
      <c r="U327" s="94">
        <v>211.55999999999997</v>
      </c>
      <c r="V327" s="94">
        <v>117.74000000000001</v>
      </c>
      <c r="W327" s="106">
        <v>16.149999999999999</v>
      </c>
      <c r="X327" s="107" t="s">
        <v>1906</v>
      </c>
      <c r="Y327" s="106">
        <v>16.149999999999999</v>
      </c>
      <c r="Z327" s="107" t="s">
        <v>1906</v>
      </c>
      <c r="AA327" s="106">
        <v>16.149999999999999</v>
      </c>
      <c r="AB327" s="107" t="s">
        <v>1906</v>
      </c>
      <c r="AC327" s="106">
        <v>16.149999999999999</v>
      </c>
      <c r="AD327" s="107" t="s">
        <v>1906</v>
      </c>
      <c r="AE327" s="106">
        <v>4.6899999999999995</v>
      </c>
      <c r="AF327" s="107" t="s">
        <v>1906</v>
      </c>
      <c r="AG327" s="106">
        <v>0</v>
      </c>
      <c r="AH327" s="107" t="s">
        <v>1906</v>
      </c>
      <c r="AI327" s="106">
        <v>0</v>
      </c>
      <c r="AJ327" s="107" t="s">
        <v>1906</v>
      </c>
      <c r="AK327" s="106">
        <v>0</v>
      </c>
      <c r="AL327" s="107" t="s">
        <v>1906</v>
      </c>
      <c r="AM327" s="106">
        <v>3.17</v>
      </c>
      <c r="AN327" s="107" t="s">
        <v>1906</v>
      </c>
      <c r="AO327" s="106">
        <v>15.85</v>
      </c>
      <c r="AP327" s="107" t="s">
        <v>1906</v>
      </c>
      <c r="AQ327" s="106">
        <v>15.85</v>
      </c>
      <c r="AR327" s="106" t="s">
        <v>1906</v>
      </c>
      <c r="AS327" s="106">
        <v>15.85</v>
      </c>
      <c r="AT327" s="107" t="s">
        <v>1906</v>
      </c>
      <c r="AU327" s="106">
        <f t="shared" si="13"/>
        <v>120.00999999999998</v>
      </c>
      <c r="AV327" s="25">
        <v>8.7300000000000003E-2</v>
      </c>
      <c r="AW327" s="30" t="str">
        <f t="shared" si="14"/>
        <v>95-70</v>
      </c>
      <c r="AX327" s="30" t="s">
        <v>1907</v>
      </c>
      <c r="AY327" s="30">
        <v>0</v>
      </c>
      <c r="AZ327" s="30">
        <v>0</v>
      </c>
    </row>
    <row r="328" spans="1:52" ht="31.2" x14ac:dyDescent="0.3">
      <c r="A328" s="103">
        <v>318</v>
      </c>
      <c r="B328" s="30" t="s">
        <v>954</v>
      </c>
      <c r="C328" s="30" t="s">
        <v>1899</v>
      </c>
      <c r="D328" s="105" t="s">
        <v>1900</v>
      </c>
      <c r="E328" s="108" t="s">
        <v>1901</v>
      </c>
      <c r="F328" s="30" t="s">
        <v>1902</v>
      </c>
      <c r="G328" s="26" t="s">
        <v>145</v>
      </c>
      <c r="H328" s="24" t="s">
        <v>146</v>
      </c>
      <c r="I328" s="25">
        <v>0</v>
      </c>
      <c r="J328" s="24" t="s">
        <v>1903</v>
      </c>
      <c r="K328" s="24">
        <v>32</v>
      </c>
      <c r="L328" s="24">
        <v>5</v>
      </c>
      <c r="M328" s="24" t="str">
        <f t="shared" si="12"/>
        <v>95-70</v>
      </c>
      <c r="N328" s="24" t="s">
        <v>529</v>
      </c>
      <c r="O328" s="24" t="s">
        <v>529</v>
      </c>
      <c r="P328" s="24">
        <v>0</v>
      </c>
      <c r="Q328" s="102">
        <v>0</v>
      </c>
      <c r="R328" s="30" t="s">
        <v>1905</v>
      </c>
      <c r="S328" s="24">
        <v>0</v>
      </c>
      <c r="T328" s="24"/>
      <c r="U328" s="94">
        <v>386.7</v>
      </c>
      <c r="V328" s="94">
        <v>317.77999999999997</v>
      </c>
      <c r="W328" s="106">
        <v>43.59</v>
      </c>
      <c r="X328" s="107" t="s">
        <v>1906</v>
      </c>
      <c r="Y328" s="106">
        <v>43.59</v>
      </c>
      <c r="Z328" s="107" t="s">
        <v>1906</v>
      </c>
      <c r="AA328" s="106">
        <v>43.59</v>
      </c>
      <c r="AB328" s="107" t="s">
        <v>1906</v>
      </c>
      <c r="AC328" s="106">
        <v>43.59</v>
      </c>
      <c r="AD328" s="107" t="s">
        <v>1906</v>
      </c>
      <c r="AE328" s="106">
        <v>12.65</v>
      </c>
      <c r="AF328" s="107" t="s">
        <v>1906</v>
      </c>
      <c r="AG328" s="106">
        <v>0</v>
      </c>
      <c r="AH328" s="107" t="s">
        <v>1906</v>
      </c>
      <c r="AI328" s="106">
        <v>0</v>
      </c>
      <c r="AJ328" s="107" t="s">
        <v>1906</v>
      </c>
      <c r="AK328" s="106">
        <v>0</v>
      </c>
      <c r="AL328" s="107" t="s">
        <v>1906</v>
      </c>
      <c r="AM328" s="106">
        <v>8.4600000000000009</v>
      </c>
      <c r="AN328" s="107" t="s">
        <v>1906</v>
      </c>
      <c r="AO328" s="106">
        <v>42.3</v>
      </c>
      <c r="AP328" s="107" t="s">
        <v>1906</v>
      </c>
      <c r="AQ328" s="106">
        <v>42.3</v>
      </c>
      <c r="AR328" s="106" t="s">
        <v>1906</v>
      </c>
      <c r="AS328" s="106">
        <v>42.3</v>
      </c>
      <c r="AT328" s="107" t="s">
        <v>1906</v>
      </c>
      <c r="AU328" s="106">
        <f t="shared" si="13"/>
        <v>322.37000000000006</v>
      </c>
      <c r="AV328" s="25">
        <v>0.1706</v>
      </c>
      <c r="AW328" s="30" t="str">
        <f t="shared" si="14"/>
        <v>95-70</v>
      </c>
      <c r="AX328" s="30" t="s">
        <v>1907</v>
      </c>
      <c r="AY328" s="30">
        <v>0</v>
      </c>
      <c r="AZ328" s="30">
        <v>0</v>
      </c>
    </row>
    <row r="329" spans="1:52" ht="31.2" x14ac:dyDescent="0.3">
      <c r="A329" s="103">
        <v>319</v>
      </c>
      <c r="B329" s="30" t="s">
        <v>957</v>
      </c>
      <c r="C329" s="30" t="s">
        <v>1899</v>
      </c>
      <c r="D329" s="105" t="s">
        <v>1900</v>
      </c>
      <c r="E329" s="108" t="s">
        <v>1901</v>
      </c>
      <c r="F329" s="30" t="s">
        <v>1902</v>
      </c>
      <c r="G329" s="26" t="s">
        <v>145</v>
      </c>
      <c r="H329" s="24" t="s">
        <v>146</v>
      </c>
      <c r="I329" s="25">
        <v>1</v>
      </c>
      <c r="J329" s="24" t="s">
        <v>1903</v>
      </c>
      <c r="K329" s="24">
        <v>50</v>
      </c>
      <c r="L329" s="24">
        <v>5</v>
      </c>
      <c r="M329" s="24" t="str">
        <f t="shared" si="12"/>
        <v>95-70</v>
      </c>
      <c r="N329" s="24" t="s">
        <v>529</v>
      </c>
      <c r="O329" s="24" t="s">
        <v>529</v>
      </c>
      <c r="P329" s="24">
        <v>1</v>
      </c>
      <c r="Q329" s="102">
        <v>0</v>
      </c>
      <c r="R329" s="30" t="s">
        <v>1905</v>
      </c>
      <c r="S329" s="24">
        <v>0</v>
      </c>
      <c r="T329" s="24"/>
      <c r="U329" s="94">
        <v>439.59999999999997</v>
      </c>
      <c r="V329" s="94">
        <v>504.25000000000006</v>
      </c>
      <c r="W329" s="106">
        <v>101.43</v>
      </c>
      <c r="X329" s="107" t="s">
        <v>208</v>
      </c>
      <c r="Y329" s="106">
        <v>62.5</v>
      </c>
      <c r="Z329" s="107" t="s">
        <v>208</v>
      </c>
      <c r="AA329" s="106">
        <v>91.75</v>
      </c>
      <c r="AB329" s="107" t="s">
        <v>208</v>
      </c>
      <c r="AC329" s="106">
        <v>64.16</v>
      </c>
      <c r="AD329" s="107" t="s">
        <v>208</v>
      </c>
      <c r="AE329" s="106">
        <v>17.71</v>
      </c>
      <c r="AF329" s="107" t="s">
        <v>208</v>
      </c>
      <c r="AG329" s="106">
        <v>0</v>
      </c>
      <c r="AH329" s="107" t="s">
        <v>208</v>
      </c>
      <c r="AI329" s="106">
        <v>0</v>
      </c>
      <c r="AJ329" s="107" t="s">
        <v>208</v>
      </c>
      <c r="AK329" s="106">
        <v>0</v>
      </c>
      <c r="AL329" s="107" t="s">
        <v>208</v>
      </c>
      <c r="AM329" s="106">
        <v>0</v>
      </c>
      <c r="AN329" s="107" t="s">
        <v>208</v>
      </c>
      <c r="AO329" s="106">
        <v>36.53</v>
      </c>
      <c r="AP329" s="107" t="s">
        <v>208</v>
      </c>
      <c r="AQ329" s="106">
        <v>35.54</v>
      </c>
      <c r="AR329" s="106" t="s">
        <v>208</v>
      </c>
      <c r="AS329" s="106">
        <v>53.73</v>
      </c>
      <c r="AT329" s="107" t="s">
        <v>208</v>
      </c>
      <c r="AU329" s="106">
        <f t="shared" si="13"/>
        <v>463.35000000000008</v>
      </c>
      <c r="AV329" s="25">
        <v>0.2044</v>
      </c>
      <c r="AW329" s="30" t="str">
        <f t="shared" si="14"/>
        <v>95-70</v>
      </c>
      <c r="AX329" s="30" t="s">
        <v>1907</v>
      </c>
      <c r="AY329" s="30">
        <v>0</v>
      </c>
      <c r="AZ329" s="30">
        <v>0</v>
      </c>
    </row>
    <row r="330" spans="1:52" ht="31.2" x14ac:dyDescent="0.3">
      <c r="A330" s="103">
        <v>320</v>
      </c>
      <c r="B330" s="30" t="s">
        <v>958</v>
      </c>
      <c r="C330" s="30" t="s">
        <v>1899</v>
      </c>
      <c r="D330" s="105" t="s">
        <v>1900</v>
      </c>
      <c r="E330" s="108" t="s">
        <v>1901</v>
      </c>
      <c r="F330" s="30" t="s">
        <v>1902</v>
      </c>
      <c r="G330" s="26" t="s">
        <v>145</v>
      </c>
      <c r="H330" s="24" t="s">
        <v>146</v>
      </c>
      <c r="I330" s="25">
        <v>1</v>
      </c>
      <c r="J330" s="24" t="s">
        <v>1903</v>
      </c>
      <c r="K330" s="24">
        <v>32</v>
      </c>
      <c r="L330" s="24">
        <v>5</v>
      </c>
      <c r="M330" s="24" t="str">
        <f t="shared" si="12"/>
        <v>95-70</v>
      </c>
      <c r="N330" s="24" t="s">
        <v>529</v>
      </c>
      <c r="O330" s="24" t="s">
        <v>529</v>
      </c>
      <c r="P330" s="24">
        <v>1</v>
      </c>
      <c r="Q330" s="102">
        <v>0</v>
      </c>
      <c r="R330" s="30" t="s">
        <v>1905</v>
      </c>
      <c r="S330" s="24">
        <v>0</v>
      </c>
      <c r="T330" s="24"/>
      <c r="U330" s="94">
        <v>394.60999999999996</v>
      </c>
      <c r="V330" s="94">
        <v>353.86</v>
      </c>
      <c r="W330" s="106">
        <v>47.96</v>
      </c>
      <c r="X330" s="107" t="s">
        <v>208</v>
      </c>
      <c r="Y330" s="106">
        <v>47.96</v>
      </c>
      <c r="Z330" s="107" t="s">
        <v>208</v>
      </c>
      <c r="AA330" s="106">
        <v>219.11</v>
      </c>
      <c r="AB330" s="107" t="s">
        <v>208</v>
      </c>
      <c r="AC330" s="106">
        <v>0</v>
      </c>
      <c r="AD330" s="107" t="s">
        <v>208</v>
      </c>
      <c r="AE330" s="106">
        <v>-105.68</v>
      </c>
      <c r="AF330" s="107" t="s">
        <v>208</v>
      </c>
      <c r="AG330" s="106">
        <v>0</v>
      </c>
      <c r="AH330" s="107" t="s">
        <v>208</v>
      </c>
      <c r="AI330" s="106">
        <v>0</v>
      </c>
      <c r="AJ330" s="107" t="s">
        <v>208</v>
      </c>
      <c r="AK330" s="106">
        <v>0</v>
      </c>
      <c r="AL330" s="107" t="s">
        <v>208</v>
      </c>
      <c r="AM330" s="106">
        <v>0</v>
      </c>
      <c r="AN330" s="107" t="s">
        <v>208</v>
      </c>
      <c r="AO330" s="106">
        <v>29.15</v>
      </c>
      <c r="AP330" s="107" t="s">
        <v>208</v>
      </c>
      <c r="AQ330" s="106">
        <v>30.57</v>
      </c>
      <c r="AR330" s="106" t="s">
        <v>208</v>
      </c>
      <c r="AS330" s="106">
        <v>45.16</v>
      </c>
      <c r="AT330" s="107" t="s">
        <v>208</v>
      </c>
      <c r="AU330" s="106">
        <f t="shared" si="13"/>
        <v>314.23</v>
      </c>
      <c r="AV330" s="25">
        <v>0.17860000000000001</v>
      </c>
      <c r="AW330" s="30" t="str">
        <f t="shared" si="14"/>
        <v>95-70</v>
      </c>
      <c r="AX330" s="30" t="s">
        <v>1907</v>
      </c>
      <c r="AY330" s="30">
        <v>0</v>
      </c>
      <c r="AZ330" s="30">
        <v>0</v>
      </c>
    </row>
    <row r="331" spans="1:52" ht="31.2" x14ac:dyDescent="0.3">
      <c r="A331" s="103">
        <v>321</v>
      </c>
      <c r="B331" s="30" t="s">
        <v>959</v>
      </c>
      <c r="C331" s="30" t="s">
        <v>1899</v>
      </c>
      <c r="D331" s="105" t="s">
        <v>1900</v>
      </c>
      <c r="E331" s="108" t="s">
        <v>1901</v>
      </c>
      <c r="F331" s="30" t="s">
        <v>1902</v>
      </c>
      <c r="G331" s="26" t="s">
        <v>145</v>
      </c>
      <c r="H331" s="24" t="s">
        <v>146</v>
      </c>
      <c r="I331" s="25">
        <v>1</v>
      </c>
      <c r="J331" s="24" t="s">
        <v>1903</v>
      </c>
      <c r="K331" s="24">
        <v>50</v>
      </c>
      <c r="L331" s="24">
        <v>5</v>
      </c>
      <c r="M331" s="24" t="str">
        <f t="shared" si="12"/>
        <v>95-70</v>
      </c>
      <c r="N331" s="24" t="s">
        <v>529</v>
      </c>
      <c r="O331" s="24" t="s">
        <v>529</v>
      </c>
      <c r="P331" s="24">
        <v>1</v>
      </c>
      <c r="Q331" s="102">
        <v>0</v>
      </c>
      <c r="R331" s="30" t="s">
        <v>1905</v>
      </c>
      <c r="S331" s="24">
        <v>0</v>
      </c>
      <c r="T331" s="24"/>
      <c r="U331" s="94">
        <v>605.39</v>
      </c>
      <c r="V331" s="94">
        <v>630.68000000000006</v>
      </c>
      <c r="W331" s="106">
        <v>140.19</v>
      </c>
      <c r="X331" s="107" t="s">
        <v>208</v>
      </c>
      <c r="Y331" s="106">
        <v>60.42</v>
      </c>
      <c r="Z331" s="107" t="s">
        <v>208</v>
      </c>
      <c r="AA331" s="106">
        <v>95.4</v>
      </c>
      <c r="AB331" s="107" t="s">
        <v>208</v>
      </c>
      <c r="AC331" s="106">
        <v>55.86</v>
      </c>
      <c r="AD331" s="107" t="s">
        <v>208</v>
      </c>
      <c r="AE331" s="106">
        <v>16.97</v>
      </c>
      <c r="AF331" s="107" t="s">
        <v>208</v>
      </c>
      <c r="AG331" s="106">
        <v>0</v>
      </c>
      <c r="AH331" s="107" t="s">
        <v>208</v>
      </c>
      <c r="AI331" s="106">
        <v>0</v>
      </c>
      <c r="AJ331" s="107" t="s">
        <v>208</v>
      </c>
      <c r="AK331" s="106">
        <v>0</v>
      </c>
      <c r="AL331" s="107" t="s">
        <v>208</v>
      </c>
      <c r="AM331" s="106">
        <v>0</v>
      </c>
      <c r="AN331" s="107" t="s">
        <v>208</v>
      </c>
      <c r="AO331" s="106">
        <v>40.03</v>
      </c>
      <c r="AP331" s="107" t="s">
        <v>208</v>
      </c>
      <c r="AQ331" s="106">
        <v>57.39</v>
      </c>
      <c r="AR331" s="106" t="s">
        <v>208</v>
      </c>
      <c r="AS331" s="106">
        <v>74.349999999999994</v>
      </c>
      <c r="AT331" s="107" t="s">
        <v>208</v>
      </c>
      <c r="AU331" s="106">
        <f t="shared" si="13"/>
        <v>540.61</v>
      </c>
      <c r="AV331" s="25">
        <v>0.26400000000000001</v>
      </c>
      <c r="AW331" s="30" t="str">
        <f t="shared" si="14"/>
        <v>95-70</v>
      </c>
      <c r="AX331" s="30" t="s">
        <v>1907</v>
      </c>
      <c r="AY331" s="30">
        <v>0</v>
      </c>
      <c r="AZ331" s="30">
        <v>0</v>
      </c>
    </row>
    <row r="332" spans="1:52" ht="31.2" x14ac:dyDescent="0.3">
      <c r="A332" s="103">
        <v>322</v>
      </c>
      <c r="B332" s="30" t="s">
        <v>960</v>
      </c>
      <c r="C332" s="30" t="s">
        <v>1899</v>
      </c>
      <c r="D332" s="105" t="s">
        <v>1900</v>
      </c>
      <c r="E332" s="108" t="s">
        <v>1901</v>
      </c>
      <c r="F332" s="30" t="s">
        <v>1902</v>
      </c>
      <c r="G332" s="26" t="s">
        <v>145</v>
      </c>
      <c r="H332" s="24" t="s">
        <v>146</v>
      </c>
      <c r="I332" s="25">
        <v>0</v>
      </c>
      <c r="J332" s="24" t="s">
        <v>1903</v>
      </c>
      <c r="K332" s="24">
        <v>32</v>
      </c>
      <c r="L332" s="24">
        <v>5</v>
      </c>
      <c r="M332" s="24" t="str">
        <f t="shared" si="12"/>
        <v>95-70</v>
      </c>
      <c r="N332" s="24" t="s">
        <v>529</v>
      </c>
      <c r="O332" s="24" t="s">
        <v>529</v>
      </c>
      <c r="P332" s="24">
        <v>0</v>
      </c>
      <c r="Q332" s="102">
        <v>0</v>
      </c>
      <c r="R332" s="30" t="s">
        <v>1905</v>
      </c>
      <c r="S332" s="24">
        <v>0</v>
      </c>
      <c r="T332" s="24"/>
      <c r="U332" s="94">
        <v>262.35000000000002</v>
      </c>
      <c r="V332" s="94">
        <v>226.39000000000001</v>
      </c>
      <c r="W332" s="106">
        <v>30.939999999999998</v>
      </c>
      <c r="X332" s="107" t="s">
        <v>1906</v>
      </c>
      <c r="Y332" s="106">
        <v>30.89</v>
      </c>
      <c r="Z332" s="107" t="s">
        <v>1906</v>
      </c>
      <c r="AA332" s="106">
        <v>30.89</v>
      </c>
      <c r="AB332" s="107" t="s">
        <v>1906</v>
      </c>
      <c r="AC332" s="106">
        <v>30.89</v>
      </c>
      <c r="AD332" s="107" t="s">
        <v>1906</v>
      </c>
      <c r="AE332" s="106">
        <v>9.9600000000000009</v>
      </c>
      <c r="AF332" s="107" t="s">
        <v>1906</v>
      </c>
      <c r="AG332" s="106">
        <v>0</v>
      </c>
      <c r="AH332" s="107" t="s">
        <v>1906</v>
      </c>
      <c r="AI332" s="106">
        <v>0</v>
      </c>
      <c r="AJ332" s="107" t="s">
        <v>1906</v>
      </c>
      <c r="AK332" s="106">
        <v>0</v>
      </c>
      <c r="AL332" s="107" t="s">
        <v>1906</v>
      </c>
      <c r="AM332" s="106">
        <v>6.69</v>
      </c>
      <c r="AN332" s="107" t="s">
        <v>1906</v>
      </c>
      <c r="AO332" s="106">
        <v>28.69</v>
      </c>
      <c r="AP332" s="107" t="s">
        <v>1906</v>
      </c>
      <c r="AQ332" s="106">
        <v>28.69</v>
      </c>
      <c r="AR332" s="106" t="s">
        <v>1906</v>
      </c>
      <c r="AS332" s="106">
        <v>28.69</v>
      </c>
      <c r="AT332" s="107" t="s">
        <v>1906</v>
      </c>
      <c r="AU332" s="106">
        <f t="shared" si="13"/>
        <v>226.32999999999998</v>
      </c>
      <c r="AV332" s="25">
        <v>0.1275</v>
      </c>
      <c r="AW332" s="30" t="str">
        <f t="shared" si="14"/>
        <v>95-70</v>
      </c>
      <c r="AX332" s="30" t="s">
        <v>1907</v>
      </c>
      <c r="AY332" s="30">
        <v>0</v>
      </c>
      <c r="AZ332" s="30">
        <v>0</v>
      </c>
    </row>
    <row r="333" spans="1:52" ht="31.2" x14ac:dyDescent="0.3">
      <c r="A333" s="103">
        <v>323</v>
      </c>
      <c r="B333" s="30" t="s">
        <v>962</v>
      </c>
      <c r="C333" s="30" t="s">
        <v>1899</v>
      </c>
      <c r="D333" s="105" t="s">
        <v>1900</v>
      </c>
      <c r="E333" s="108" t="s">
        <v>1910</v>
      </c>
      <c r="F333" s="30" t="s">
        <v>1902</v>
      </c>
      <c r="G333" s="26" t="s">
        <v>145</v>
      </c>
      <c r="H333" s="24" t="s">
        <v>146</v>
      </c>
      <c r="I333" s="25">
        <v>2</v>
      </c>
      <c r="J333" s="24" t="s">
        <v>1903</v>
      </c>
      <c r="K333" s="24" t="s">
        <v>1913</v>
      </c>
      <c r="L333" s="24">
        <v>5</v>
      </c>
      <c r="M333" s="24" t="str">
        <f t="shared" ref="M333:M396" si="15">M332</f>
        <v>95-70</v>
      </c>
      <c r="N333" s="24" t="s">
        <v>528</v>
      </c>
      <c r="O333" s="24" t="s">
        <v>529</v>
      </c>
      <c r="P333" s="24">
        <v>1</v>
      </c>
      <c r="Q333" s="102">
        <v>0</v>
      </c>
      <c r="R333" s="30" t="s">
        <v>1905</v>
      </c>
      <c r="S333" s="24">
        <v>0</v>
      </c>
      <c r="T333" s="24"/>
      <c r="U333" s="94">
        <v>3290.3</v>
      </c>
      <c r="V333" s="94">
        <v>2920.2199999999993</v>
      </c>
      <c r="W333" s="106">
        <v>419.71000000000004</v>
      </c>
      <c r="X333" s="107" t="s">
        <v>208</v>
      </c>
      <c r="Y333" s="106">
        <v>328.78</v>
      </c>
      <c r="Z333" s="107" t="s">
        <v>208</v>
      </c>
      <c r="AA333" s="106">
        <v>403.07</v>
      </c>
      <c r="AB333" s="107" t="s">
        <v>208</v>
      </c>
      <c r="AC333" s="106">
        <v>284.73999999999995</v>
      </c>
      <c r="AD333" s="107" t="s">
        <v>208</v>
      </c>
      <c r="AE333" s="106">
        <v>70.59</v>
      </c>
      <c r="AF333" s="107" t="s">
        <v>208</v>
      </c>
      <c r="AG333" s="106">
        <v>0</v>
      </c>
      <c r="AH333" s="107" t="s">
        <v>208</v>
      </c>
      <c r="AI333" s="106">
        <v>0</v>
      </c>
      <c r="AJ333" s="107" t="s">
        <v>208</v>
      </c>
      <c r="AK333" s="106">
        <v>0</v>
      </c>
      <c r="AL333" s="107" t="s">
        <v>208</v>
      </c>
      <c r="AM333" s="106">
        <v>0</v>
      </c>
      <c r="AN333" s="107" t="s">
        <v>208</v>
      </c>
      <c r="AO333" s="106">
        <v>154.94</v>
      </c>
      <c r="AP333" s="107" t="s">
        <v>208</v>
      </c>
      <c r="AQ333" s="106">
        <v>250.45999999999998</v>
      </c>
      <c r="AR333" s="106" t="s">
        <v>208</v>
      </c>
      <c r="AS333" s="106">
        <v>250.45999999999998</v>
      </c>
      <c r="AT333" s="107" t="s">
        <v>208</v>
      </c>
      <c r="AU333" s="106">
        <f t="shared" ref="AU333:AU396" si="16">W333+Y333+AA333+AC333+AE333+AG333+AI333+AK333+AM333+AO333+AQ333+AS333</f>
        <v>2162.75</v>
      </c>
      <c r="AV333" s="25">
        <v>0.93359999999999999</v>
      </c>
      <c r="AW333" s="30" t="str">
        <f t="shared" ref="AW333:AW396" si="17">AW332</f>
        <v>95-70</v>
      </c>
      <c r="AX333" s="30" t="s">
        <v>1907</v>
      </c>
      <c r="AY333" s="30">
        <v>0</v>
      </c>
      <c r="AZ333" s="30">
        <v>0</v>
      </c>
    </row>
    <row r="334" spans="1:52" ht="31.2" x14ac:dyDescent="0.3">
      <c r="A334" s="103">
        <v>324</v>
      </c>
      <c r="B334" s="30" t="s">
        <v>964</v>
      </c>
      <c r="C334" s="30" t="s">
        <v>1899</v>
      </c>
      <c r="D334" s="105" t="s">
        <v>1900</v>
      </c>
      <c r="E334" s="108" t="s">
        <v>1901</v>
      </c>
      <c r="F334" s="30" t="s">
        <v>1902</v>
      </c>
      <c r="G334" s="26" t="s">
        <v>145</v>
      </c>
      <c r="H334" s="24" t="s">
        <v>146</v>
      </c>
      <c r="I334" s="25">
        <v>1</v>
      </c>
      <c r="J334" s="24" t="s">
        <v>1903</v>
      </c>
      <c r="K334" s="24">
        <v>32</v>
      </c>
      <c r="L334" s="24">
        <v>5</v>
      </c>
      <c r="M334" s="24" t="str">
        <f t="shared" si="15"/>
        <v>95-70</v>
      </c>
      <c r="N334" s="24" t="s">
        <v>529</v>
      </c>
      <c r="O334" s="24" t="s">
        <v>529</v>
      </c>
      <c r="P334" s="24">
        <v>1</v>
      </c>
      <c r="Q334" s="102">
        <v>0</v>
      </c>
      <c r="R334" s="30" t="s">
        <v>1905</v>
      </c>
      <c r="S334" s="24">
        <v>0</v>
      </c>
      <c r="T334" s="24"/>
      <c r="U334" s="94">
        <v>464.7</v>
      </c>
      <c r="V334" s="94">
        <v>479.48999999999995</v>
      </c>
      <c r="W334" s="106">
        <v>65.77</v>
      </c>
      <c r="X334" s="107" t="s">
        <v>1906</v>
      </c>
      <c r="Y334" s="106">
        <v>65.77</v>
      </c>
      <c r="Z334" s="107" t="s">
        <v>1906</v>
      </c>
      <c r="AA334" s="106">
        <v>65.77</v>
      </c>
      <c r="AB334" s="107" t="s">
        <v>1906</v>
      </c>
      <c r="AC334" s="106">
        <v>65.77</v>
      </c>
      <c r="AD334" s="107" t="s">
        <v>1906</v>
      </c>
      <c r="AE334" s="106">
        <v>19.100000000000001</v>
      </c>
      <c r="AF334" s="107" t="s">
        <v>1906</v>
      </c>
      <c r="AG334" s="106">
        <v>0</v>
      </c>
      <c r="AH334" s="107" t="s">
        <v>1906</v>
      </c>
      <c r="AI334" s="106">
        <v>0</v>
      </c>
      <c r="AJ334" s="107" t="s">
        <v>1906</v>
      </c>
      <c r="AK334" s="106">
        <v>0</v>
      </c>
      <c r="AL334" s="107" t="s">
        <v>1906</v>
      </c>
      <c r="AM334" s="106">
        <v>15.16</v>
      </c>
      <c r="AN334" s="107" t="s">
        <v>1906</v>
      </c>
      <c r="AO334" s="106">
        <v>64.97</v>
      </c>
      <c r="AP334" s="107" t="s">
        <v>1906</v>
      </c>
      <c r="AQ334" s="106">
        <v>64.97</v>
      </c>
      <c r="AR334" s="106" t="s">
        <v>1906</v>
      </c>
      <c r="AS334" s="106">
        <v>64.97</v>
      </c>
      <c r="AT334" s="107" t="s">
        <v>1906</v>
      </c>
      <c r="AU334" s="106">
        <f t="shared" si="16"/>
        <v>492.25000000000011</v>
      </c>
      <c r="AV334" s="25">
        <v>0.20669999999999999</v>
      </c>
      <c r="AW334" s="30" t="str">
        <f t="shared" si="17"/>
        <v>95-70</v>
      </c>
      <c r="AX334" s="30" t="s">
        <v>1907</v>
      </c>
      <c r="AY334" s="30">
        <v>0</v>
      </c>
      <c r="AZ334" s="30">
        <v>0</v>
      </c>
    </row>
    <row r="335" spans="1:52" ht="31.2" x14ac:dyDescent="0.3">
      <c r="A335" s="103">
        <v>325</v>
      </c>
      <c r="B335" s="30" t="s">
        <v>967</v>
      </c>
      <c r="C335" s="30" t="s">
        <v>1899</v>
      </c>
      <c r="D335" s="105" t="s">
        <v>1900</v>
      </c>
      <c r="E335" s="108" t="s">
        <v>1901</v>
      </c>
      <c r="F335" s="30" t="s">
        <v>1902</v>
      </c>
      <c r="G335" s="26" t="s">
        <v>145</v>
      </c>
      <c r="H335" s="24" t="s">
        <v>146</v>
      </c>
      <c r="I335" s="25">
        <v>1</v>
      </c>
      <c r="J335" s="24" t="s">
        <v>1903</v>
      </c>
      <c r="K335" s="24">
        <v>32</v>
      </c>
      <c r="L335" s="24">
        <v>5</v>
      </c>
      <c r="M335" s="24" t="str">
        <f t="shared" si="15"/>
        <v>95-70</v>
      </c>
      <c r="N335" s="24" t="s">
        <v>529</v>
      </c>
      <c r="O335" s="24" t="s">
        <v>529</v>
      </c>
      <c r="P335" s="24">
        <v>1</v>
      </c>
      <c r="Q335" s="102">
        <v>0</v>
      </c>
      <c r="R335" s="30" t="s">
        <v>1905</v>
      </c>
      <c r="S335" s="24">
        <v>0</v>
      </c>
      <c r="T335" s="24"/>
      <c r="U335" s="94">
        <v>300.22000000000003</v>
      </c>
      <c r="V335" s="94">
        <v>280.76</v>
      </c>
      <c r="W335" s="106">
        <v>38.51</v>
      </c>
      <c r="X335" s="107" t="s">
        <v>1906</v>
      </c>
      <c r="Y335" s="106">
        <v>38.51</v>
      </c>
      <c r="Z335" s="107" t="s">
        <v>1906</v>
      </c>
      <c r="AA335" s="106">
        <v>38.51</v>
      </c>
      <c r="AB335" s="107" t="s">
        <v>1906</v>
      </c>
      <c r="AC335" s="106">
        <v>38.51</v>
      </c>
      <c r="AD335" s="107" t="s">
        <v>1906</v>
      </c>
      <c r="AE335" s="106">
        <v>11.190000000000001</v>
      </c>
      <c r="AF335" s="107" t="s">
        <v>1906</v>
      </c>
      <c r="AG335" s="106">
        <v>0</v>
      </c>
      <c r="AH335" s="107" t="s">
        <v>1906</v>
      </c>
      <c r="AI335" s="106">
        <v>0</v>
      </c>
      <c r="AJ335" s="107" t="s">
        <v>1906</v>
      </c>
      <c r="AK335" s="106">
        <v>0</v>
      </c>
      <c r="AL335" s="107" t="s">
        <v>1906</v>
      </c>
      <c r="AM335" s="106">
        <v>8.5299999999999994</v>
      </c>
      <c r="AN335" s="107" t="s">
        <v>1906</v>
      </c>
      <c r="AO335" s="106">
        <v>36.56</v>
      </c>
      <c r="AP335" s="107" t="s">
        <v>1906</v>
      </c>
      <c r="AQ335" s="106">
        <v>36.56</v>
      </c>
      <c r="AR335" s="106" t="s">
        <v>1906</v>
      </c>
      <c r="AS335" s="106">
        <v>36.56</v>
      </c>
      <c r="AT335" s="107" t="s">
        <v>1906</v>
      </c>
      <c r="AU335" s="106">
        <f t="shared" si="16"/>
        <v>283.44</v>
      </c>
      <c r="AV335" s="25">
        <v>0.13550000000000001</v>
      </c>
      <c r="AW335" s="30" t="str">
        <f t="shared" si="17"/>
        <v>95-70</v>
      </c>
      <c r="AX335" s="30" t="s">
        <v>1907</v>
      </c>
      <c r="AY335" s="30">
        <v>0</v>
      </c>
      <c r="AZ335" s="30">
        <v>0</v>
      </c>
    </row>
    <row r="336" spans="1:52" ht="31.2" x14ac:dyDescent="0.3">
      <c r="A336" s="103">
        <v>326</v>
      </c>
      <c r="B336" s="30" t="s">
        <v>970</v>
      </c>
      <c r="C336" s="30" t="s">
        <v>1914</v>
      </c>
      <c r="D336" s="105" t="s">
        <v>1900</v>
      </c>
      <c r="E336" s="108" t="s">
        <v>1901</v>
      </c>
      <c r="F336" s="30" t="s">
        <v>1902</v>
      </c>
      <c r="G336" s="26" t="s">
        <v>145</v>
      </c>
      <c r="H336" s="24" t="s">
        <v>146</v>
      </c>
      <c r="I336" s="25">
        <v>1</v>
      </c>
      <c r="J336" s="24" t="s">
        <v>1903</v>
      </c>
      <c r="K336" s="24">
        <v>32</v>
      </c>
      <c r="L336" s="24">
        <v>5</v>
      </c>
      <c r="M336" s="24" t="str">
        <f t="shared" si="15"/>
        <v>95-70</v>
      </c>
      <c r="N336" s="24" t="s">
        <v>529</v>
      </c>
      <c r="O336" s="24" t="s">
        <v>529</v>
      </c>
      <c r="P336" s="24">
        <v>1</v>
      </c>
      <c r="Q336" s="102">
        <v>0</v>
      </c>
      <c r="R336" s="30" t="s">
        <v>1905</v>
      </c>
      <c r="S336" s="24">
        <v>0</v>
      </c>
      <c r="T336" s="24"/>
      <c r="U336" s="94">
        <v>0</v>
      </c>
      <c r="V336" s="94">
        <v>0</v>
      </c>
      <c r="W336" s="106">
        <v>0</v>
      </c>
      <c r="X336" s="107" t="s">
        <v>1906</v>
      </c>
      <c r="Y336" s="106">
        <v>0</v>
      </c>
      <c r="Z336" s="107" t="s">
        <v>1906</v>
      </c>
      <c r="AA336" s="106">
        <v>0</v>
      </c>
      <c r="AB336" s="107" t="s">
        <v>1906</v>
      </c>
      <c r="AC336" s="106">
        <v>0</v>
      </c>
      <c r="AD336" s="107" t="s">
        <v>1906</v>
      </c>
      <c r="AE336" s="106">
        <v>0</v>
      </c>
      <c r="AF336" s="107" t="s">
        <v>1906</v>
      </c>
      <c r="AG336" s="106">
        <v>0</v>
      </c>
      <c r="AH336" s="107" t="s">
        <v>1906</v>
      </c>
      <c r="AI336" s="106">
        <v>0</v>
      </c>
      <c r="AJ336" s="107" t="s">
        <v>1906</v>
      </c>
      <c r="AK336" s="106">
        <v>0</v>
      </c>
      <c r="AL336" s="107" t="s">
        <v>1906</v>
      </c>
      <c r="AM336" s="106">
        <v>0</v>
      </c>
      <c r="AN336" s="107" t="s">
        <v>1906</v>
      </c>
      <c r="AO336" s="106">
        <v>0</v>
      </c>
      <c r="AP336" s="107" t="s">
        <v>1906</v>
      </c>
      <c r="AQ336" s="106">
        <v>0</v>
      </c>
      <c r="AR336" s="106" t="s">
        <v>1906</v>
      </c>
      <c r="AS336" s="106">
        <v>0</v>
      </c>
      <c r="AT336" s="107" t="s">
        <v>1906</v>
      </c>
      <c r="AU336" s="106">
        <f t="shared" si="16"/>
        <v>0</v>
      </c>
      <c r="AV336" s="25">
        <v>0.2369</v>
      </c>
      <c r="AW336" s="30" t="str">
        <f t="shared" si="17"/>
        <v>95-70</v>
      </c>
      <c r="AX336" s="30" t="s">
        <v>1907</v>
      </c>
      <c r="AY336" s="30">
        <v>0</v>
      </c>
      <c r="AZ336" s="30">
        <v>0</v>
      </c>
    </row>
    <row r="337" spans="1:52" ht="31.2" x14ac:dyDescent="0.3">
      <c r="A337" s="103">
        <v>327</v>
      </c>
      <c r="B337" s="30" t="s">
        <v>972</v>
      </c>
      <c r="C337" s="30" t="s">
        <v>1899</v>
      </c>
      <c r="D337" s="105" t="s">
        <v>1900</v>
      </c>
      <c r="E337" s="108" t="s">
        <v>1901</v>
      </c>
      <c r="F337" s="30" t="s">
        <v>1902</v>
      </c>
      <c r="G337" s="26" t="s">
        <v>145</v>
      </c>
      <c r="H337" s="24" t="s">
        <v>146</v>
      </c>
      <c r="I337" s="25">
        <v>0</v>
      </c>
      <c r="J337" s="24" t="s">
        <v>1903</v>
      </c>
      <c r="K337" s="24">
        <v>32</v>
      </c>
      <c r="L337" s="24">
        <v>5</v>
      </c>
      <c r="M337" s="24" t="str">
        <f t="shared" si="15"/>
        <v>95-70</v>
      </c>
      <c r="N337" s="24" t="s">
        <v>529</v>
      </c>
      <c r="O337" s="24" t="s">
        <v>529</v>
      </c>
      <c r="P337" s="24">
        <v>0</v>
      </c>
      <c r="Q337" s="102">
        <v>0</v>
      </c>
      <c r="R337" s="30" t="s">
        <v>1905</v>
      </c>
      <c r="S337" s="24">
        <v>0</v>
      </c>
      <c r="T337" s="24"/>
      <c r="U337" s="94">
        <v>313.73999999999995</v>
      </c>
      <c r="V337" s="94">
        <v>250.20999999999998</v>
      </c>
      <c r="W337" s="106">
        <v>34.32</v>
      </c>
      <c r="X337" s="107" t="s">
        <v>1906</v>
      </c>
      <c r="Y337" s="106">
        <v>34.32</v>
      </c>
      <c r="Z337" s="107" t="s">
        <v>1906</v>
      </c>
      <c r="AA337" s="106">
        <v>34.32</v>
      </c>
      <c r="AB337" s="107" t="s">
        <v>1906</v>
      </c>
      <c r="AC337" s="106">
        <v>34.32</v>
      </c>
      <c r="AD337" s="107" t="s">
        <v>1906</v>
      </c>
      <c r="AE337" s="106">
        <v>9.9699999999999989</v>
      </c>
      <c r="AF337" s="107" t="s">
        <v>1906</v>
      </c>
      <c r="AG337" s="106">
        <v>0</v>
      </c>
      <c r="AH337" s="107" t="s">
        <v>1906</v>
      </c>
      <c r="AI337" s="106">
        <v>0</v>
      </c>
      <c r="AJ337" s="107" t="s">
        <v>1906</v>
      </c>
      <c r="AK337" s="106">
        <v>0</v>
      </c>
      <c r="AL337" s="107" t="s">
        <v>1906</v>
      </c>
      <c r="AM337" s="106">
        <v>7.37</v>
      </c>
      <c r="AN337" s="107" t="s">
        <v>1906</v>
      </c>
      <c r="AO337" s="106">
        <v>31.61</v>
      </c>
      <c r="AP337" s="107" t="s">
        <v>1906</v>
      </c>
      <c r="AQ337" s="106">
        <v>31.61</v>
      </c>
      <c r="AR337" s="106" t="s">
        <v>1906</v>
      </c>
      <c r="AS337" s="106">
        <v>31.61</v>
      </c>
      <c r="AT337" s="107" t="s">
        <v>1906</v>
      </c>
      <c r="AU337" s="106">
        <f t="shared" si="16"/>
        <v>249.45000000000005</v>
      </c>
      <c r="AV337" s="25">
        <v>0.13919999999999999</v>
      </c>
      <c r="AW337" s="30" t="str">
        <f t="shared" si="17"/>
        <v>95-70</v>
      </c>
      <c r="AX337" s="30" t="s">
        <v>1907</v>
      </c>
      <c r="AY337" s="30">
        <v>0</v>
      </c>
      <c r="AZ337" s="30">
        <v>0</v>
      </c>
    </row>
    <row r="338" spans="1:52" ht="31.2" x14ac:dyDescent="0.3">
      <c r="A338" s="103">
        <v>328</v>
      </c>
      <c r="B338" s="30" t="s">
        <v>973</v>
      </c>
      <c r="C338" s="30" t="s">
        <v>1899</v>
      </c>
      <c r="D338" s="105" t="s">
        <v>1900</v>
      </c>
      <c r="E338" s="108" t="s">
        <v>1901</v>
      </c>
      <c r="F338" s="30" t="s">
        <v>1902</v>
      </c>
      <c r="G338" s="26" t="s">
        <v>145</v>
      </c>
      <c r="H338" s="24" t="s">
        <v>146</v>
      </c>
      <c r="I338" s="25">
        <v>1</v>
      </c>
      <c r="J338" s="24" t="s">
        <v>1903</v>
      </c>
      <c r="K338" s="24">
        <v>50</v>
      </c>
      <c r="L338" s="24">
        <v>5</v>
      </c>
      <c r="M338" s="24" t="str">
        <f t="shared" si="15"/>
        <v>95-70</v>
      </c>
      <c r="N338" s="24" t="s">
        <v>529</v>
      </c>
      <c r="O338" s="24" t="s">
        <v>529</v>
      </c>
      <c r="P338" s="24">
        <v>1</v>
      </c>
      <c r="Q338" s="102">
        <v>0</v>
      </c>
      <c r="R338" s="30" t="s">
        <v>1905</v>
      </c>
      <c r="S338" s="24">
        <v>0</v>
      </c>
      <c r="T338" s="24"/>
      <c r="U338" s="94">
        <f>1083.91*0.65</f>
        <v>704.54150000000004</v>
      </c>
      <c r="V338" s="94">
        <f>1151.97*0.65</f>
        <v>748.78050000000007</v>
      </c>
      <c r="W338" s="106">
        <f>170.5*0.65</f>
        <v>110.825</v>
      </c>
      <c r="X338" s="107" t="s">
        <v>1906</v>
      </c>
      <c r="Y338" s="106">
        <f>161.74*0.65</f>
        <v>105.13100000000001</v>
      </c>
      <c r="Z338" s="107" t="s">
        <v>1906</v>
      </c>
      <c r="AA338" s="106">
        <f>193.84*0.65</f>
        <v>125.99600000000001</v>
      </c>
      <c r="AB338" s="107" t="s">
        <v>1906</v>
      </c>
      <c r="AC338" s="106">
        <f>133.61*0.65</f>
        <v>86.846500000000006</v>
      </c>
      <c r="AD338" s="107" t="s">
        <v>1906</v>
      </c>
      <c r="AE338" s="106">
        <f>30.99*0.65</f>
        <v>20.1435</v>
      </c>
      <c r="AF338" s="107" t="s">
        <v>1906</v>
      </c>
      <c r="AG338" s="106">
        <v>0</v>
      </c>
      <c r="AH338" s="107" t="s">
        <v>1906</v>
      </c>
      <c r="AI338" s="106">
        <v>0</v>
      </c>
      <c r="AJ338" s="107" t="s">
        <v>1906</v>
      </c>
      <c r="AK338" s="106">
        <v>0</v>
      </c>
      <c r="AL338" s="107" t="s">
        <v>1906</v>
      </c>
      <c r="AM338" s="106">
        <f>14.13*0.65</f>
        <v>9.1845000000000017</v>
      </c>
      <c r="AN338" s="107" t="s">
        <v>1906</v>
      </c>
      <c r="AO338" s="106">
        <f>117.87*0.65</f>
        <v>76.615500000000011</v>
      </c>
      <c r="AP338" s="107" t="s">
        <v>1906</v>
      </c>
      <c r="AQ338" s="106">
        <f>131.05*0.65</f>
        <v>85.182500000000005</v>
      </c>
      <c r="AR338" s="106" t="s">
        <v>1906</v>
      </c>
      <c r="AS338" s="106">
        <f>161.82*0.65</f>
        <v>105.18299999999999</v>
      </c>
      <c r="AT338" s="107" t="s">
        <v>1906</v>
      </c>
      <c r="AU338" s="106">
        <f t="shared" si="16"/>
        <v>725.10750000000007</v>
      </c>
      <c r="AV338" s="25">
        <v>0.31790000000000002</v>
      </c>
      <c r="AW338" s="30" t="str">
        <f t="shared" si="17"/>
        <v>95-70</v>
      </c>
      <c r="AX338" s="30" t="s">
        <v>1907</v>
      </c>
      <c r="AY338" s="30">
        <v>0</v>
      </c>
      <c r="AZ338" s="30">
        <v>0</v>
      </c>
    </row>
    <row r="339" spans="1:52" ht="31.2" x14ac:dyDescent="0.3">
      <c r="A339" s="103">
        <v>329</v>
      </c>
      <c r="B339" s="30" t="s">
        <v>974</v>
      </c>
      <c r="C339" s="30" t="s">
        <v>1899</v>
      </c>
      <c r="D339" s="105" t="s">
        <v>1900</v>
      </c>
      <c r="E339" s="108" t="s">
        <v>1901</v>
      </c>
      <c r="F339" s="30" t="s">
        <v>1902</v>
      </c>
      <c r="G339" s="26" t="s">
        <v>145</v>
      </c>
      <c r="H339" s="24" t="s">
        <v>146</v>
      </c>
      <c r="I339" s="25">
        <v>1</v>
      </c>
      <c r="J339" s="24" t="s">
        <v>1903</v>
      </c>
      <c r="K339" s="24">
        <v>32</v>
      </c>
      <c r="L339" s="24">
        <v>5</v>
      </c>
      <c r="M339" s="24" t="str">
        <f t="shared" si="15"/>
        <v>95-70</v>
      </c>
      <c r="N339" s="24" t="s">
        <v>529</v>
      </c>
      <c r="O339" s="24" t="s">
        <v>529</v>
      </c>
      <c r="P339" s="24">
        <v>1</v>
      </c>
      <c r="Q339" s="102">
        <v>0</v>
      </c>
      <c r="R339" s="30" t="s">
        <v>1905</v>
      </c>
      <c r="S339" s="24">
        <v>0</v>
      </c>
      <c r="T339" s="24"/>
      <c r="U339" s="94">
        <f>1083.91*0.35</f>
        <v>379.36849999999998</v>
      </c>
      <c r="V339" s="94">
        <f>1151.97*0.35</f>
        <v>403.18950000000001</v>
      </c>
      <c r="W339" s="106">
        <f>170.5*0.35</f>
        <v>59.674999999999997</v>
      </c>
      <c r="X339" s="107" t="s">
        <v>1906</v>
      </c>
      <c r="Y339" s="106">
        <f>161.74*0.35</f>
        <v>56.609000000000002</v>
      </c>
      <c r="Z339" s="107" t="s">
        <v>1906</v>
      </c>
      <c r="AA339" s="106">
        <f>193.84*0.35</f>
        <v>67.843999999999994</v>
      </c>
      <c r="AB339" s="107" t="s">
        <v>1906</v>
      </c>
      <c r="AC339" s="106">
        <f>133.61*0.35</f>
        <v>46.763500000000001</v>
      </c>
      <c r="AD339" s="107" t="s">
        <v>1906</v>
      </c>
      <c r="AE339" s="106">
        <f>30.99*0.35</f>
        <v>10.846499999999999</v>
      </c>
      <c r="AF339" s="107" t="s">
        <v>1906</v>
      </c>
      <c r="AG339" s="106">
        <v>0</v>
      </c>
      <c r="AH339" s="107" t="s">
        <v>1906</v>
      </c>
      <c r="AI339" s="106">
        <v>0</v>
      </c>
      <c r="AJ339" s="107" t="s">
        <v>1906</v>
      </c>
      <c r="AK339" s="106">
        <v>0</v>
      </c>
      <c r="AL339" s="107" t="s">
        <v>1906</v>
      </c>
      <c r="AM339" s="106">
        <f>14.13*0.35</f>
        <v>4.9455</v>
      </c>
      <c r="AN339" s="107" t="s">
        <v>1906</v>
      </c>
      <c r="AO339" s="106">
        <f>117.87*0.35</f>
        <v>41.2545</v>
      </c>
      <c r="AP339" s="107" t="s">
        <v>1906</v>
      </c>
      <c r="AQ339" s="106">
        <f>131.05*0.35</f>
        <v>45.8675</v>
      </c>
      <c r="AR339" s="106" t="s">
        <v>1906</v>
      </c>
      <c r="AS339" s="106">
        <f>161.82*0.35</f>
        <v>56.636999999999993</v>
      </c>
      <c r="AT339" s="107" t="s">
        <v>1906</v>
      </c>
      <c r="AU339" s="106">
        <f t="shared" si="16"/>
        <v>390.4425</v>
      </c>
      <c r="AV339" s="25">
        <v>0.17130000000000001</v>
      </c>
      <c r="AW339" s="30" t="str">
        <f t="shared" si="17"/>
        <v>95-70</v>
      </c>
      <c r="AX339" s="30" t="s">
        <v>1907</v>
      </c>
      <c r="AY339" s="30">
        <v>0</v>
      </c>
      <c r="AZ339" s="30">
        <v>0</v>
      </c>
    </row>
    <row r="340" spans="1:52" ht="31.2" x14ac:dyDescent="0.3">
      <c r="A340" s="103">
        <v>330</v>
      </c>
      <c r="B340" s="30" t="s">
        <v>975</v>
      </c>
      <c r="C340" s="30" t="s">
        <v>1899</v>
      </c>
      <c r="D340" s="105" t="s">
        <v>1900</v>
      </c>
      <c r="E340" s="108" t="s">
        <v>1901</v>
      </c>
      <c r="F340" s="30" t="s">
        <v>1902</v>
      </c>
      <c r="G340" s="26" t="s">
        <v>145</v>
      </c>
      <c r="H340" s="24" t="s">
        <v>146</v>
      </c>
      <c r="I340" s="25">
        <v>1</v>
      </c>
      <c r="J340" s="24" t="s">
        <v>1903</v>
      </c>
      <c r="K340" s="24">
        <v>32</v>
      </c>
      <c r="L340" s="24">
        <v>5</v>
      </c>
      <c r="M340" s="24" t="str">
        <f t="shared" si="15"/>
        <v>95-70</v>
      </c>
      <c r="N340" s="24" t="s">
        <v>529</v>
      </c>
      <c r="O340" s="24" t="s">
        <v>529</v>
      </c>
      <c r="P340" s="24">
        <v>1</v>
      </c>
      <c r="Q340" s="102">
        <v>0</v>
      </c>
      <c r="R340" s="30" t="s">
        <v>1905</v>
      </c>
      <c r="S340" s="24">
        <v>0</v>
      </c>
      <c r="T340" s="24"/>
      <c r="U340" s="94">
        <f>484.13*0.57</f>
        <v>275.95409999999998</v>
      </c>
      <c r="V340" s="94">
        <f>405.92*0.57</f>
        <v>231.37439999999998</v>
      </c>
      <c r="W340" s="106">
        <f>55.94*0.57</f>
        <v>31.885799999999996</v>
      </c>
      <c r="X340" s="107" t="s">
        <v>1906</v>
      </c>
      <c r="Y340" s="106">
        <f>55.36*0.57</f>
        <v>31.555199999999996</v>
      </c>
      <c r="Z340" s="107" t="s">
        <v>1906</v>
      </c>
      <c r="AA340" s="106">
        <f>55.36*0.57</f>
        <v>31.555199999999996</v>
      </c>
      <c r="AB340" s="107" t="s">
        <v>1906</v>
      </c>
      <c r="AC340" s="106">
        <f>55.36*0.57</f>
        <v>31.555199999999996</v>
      </c>
      <c r="AD340" s="107" t="s">
        <v>1906</v>
      </c>
      <c r="AE340" s="106">
        <f>16.08*0.57</f>
        <v>9.1655999999999977</v>
      </c>
      <c r="AF340" s="107" t="s">
        <v>1906</v>
      </c>
      <c r="AG340" s="106">
        <v>0</v>
      </c>
      <c r="AH340" s="107" t="s">
        <v>1906</v>
      </c>
      <c r="AI340" s="106">
        <v>0</v>
      </c>
      <c r="AJ340" s="107" t="s">
        <v>1906</v>
      </c>
      <c r="AK340" s="106">
        <v>0</v>
      </c>
      <c r="AL340" s="107" t="s">
        <v>1906</v>
      </c>
      <c r="AM340" s="106">
        <f>10.53*0.57</f>
        <v>6.0020999999999995</v>
      </c>
      <c r="AN340" s="107" t="s">
        <v>1906</v>
      </c>
      <c r="AO340" s="106">
        <f>52.65*0.57</f>
        <v>30.010499999999997</v>
      </c>
      <c r="AP340" s="107" t="s">
        <v>1906</v>
      </c>
      <c r="AQ340" s="106">
        <f>52.65*0.57</f>
        <v>30.010499999999997</v>
      </c>
      <c r="AR340" s="106" t="s">
        <v>1906</v>
      </c>
      <c r="AS340" s="106">
        <f>52.65*0.57</f>
        <v>30.010499999999997</v>
      </c>
      <c r="AT340" s="107" t="s">
        <v>1906</v>
      </c>
      <c r="AU340" s="106">
        <f t="shared" si="16"/>
        <v>231.75060000000002</v>
      </c>
      <c r="AV340" s="25">
        <v>0.1976</v>
      </c>
      <c r="AW340" s="30" t="str">
        <f t="shared" si="17"/>
        <v>95-70</v>
      </c>
      <c r="AX340" s="30" t="s">
        <v>1907</v>
      </c>
      <c r="AY340" s="30">
        <v>0</v>
      </c>
      <c r="AZ340" s="30">
        <v>0</v>
      </c>
    </row>
    <row r="341" spans="1:52" ht="31.2" x14ac:dyDescent="0.3">
      <c r="A341" s="103">
        <v>331</v>
      </c>
      <c r="B341" s="30" t="s">
        <v>976</v>
      </c>
      <c r="C341" s="30" t="s">
        <v>1899</v>
      </c>
      <c r="D341" s="105" t="s">
        <v>1900</v>
      </c>
      <c r="E341" s="108" t="s">
        <v>1901</v>
      </c>
      <c r="F341" s="30" t="s">
        <v>1902</v>
      </c>
      <c r="G341" s="26" t="s">
        <v>145</v>
      </c>
      <c r="H341" s="24" t="s">
        <v>146</v>
      </c>
      <c r="I341" s="25">
        <v>1</v>
      </c>
      <c r="J341" s="24" t="s">
        <v>1903</v>
      </c>
      <c r="K341" s="24">
        <v>32</v>
      </c>
      <c r="L341" s="24">
        <v>5</v>
      </c>
      <c r="M341" s="24" t="str">
        <f t="shared" si="15"/>
        <v>95-70</v>
      </c>
      <c r="N341" s="24" t="s">
        <v>529</v>
      </c>
      <c r="O341" s="24" t="s">
        <v>529</v>
      </c>
      <c r="P341" s="24">
        <v>1</v>
      </c>
      <c r="Q341" s="102">
        <v>0</v>
      </c>
      <c r="R341" s="30" t="s">
        <v>1905</v>
      </c>
      <c r="S341" s="24">
        <v>0</v>
      </c>
      <c r="T341" s="24"/>
      <c r="U341" s="94">
        <f>484.13*0.2</f>
        <v>96.826000000000008</v>
      </c>
      <c r="V341" s="94">
        <f>405.92*0.2</f>
        <v>81.184000000000012</v>
      </c>
      <c r="W341" s="106">
        <f>55.94*0.2</f>
        <v>11.188000000000001</v>
      </c>
      <c r="X341" s="107" t="s">
        <v>1906</v>
      </c>
      <c r="Y341" s="106">
        <f>55.36*0.2</f>
        <v>11.072000000000001</v>
      </c>
      <c r="Z341" s="107" t="s">
        <v>1906</v>
      </c>
      <c r="AA341" s="106">
        <f>55.36*0.2</f>
        <v>11.072000000000001</v>
      </c>
      <c r="AB341" s="107" t="s">
        <v>1906</v>
      </c>
      <c r="AC341" s="106">
        <f>55.36*0.2</f>
        <v>11.072000000000001</v>
      </c>
      <c r="AD341" s="107" t="s">
        <v>1906</v>
      </c>
      <c r="AE341" s="106">
        <f>16.08*0.2</f>
        <v>3.2159999999999997</v>
      </c>
      <c r="AF341" s="107" t="s">
        <v>1906</v>
      </c>
      <c r="AG341" s="106">
        <v>0</v>
      </c>
      <c r="AH341" s="107" t="s">
        <v>1906</v>
      </c>
      <c r="AI341" s="106">
        <v>0</v>
      </c>
      <c r="AJ341" s="107" t="s">
        <v>1906</v>
      </c>
      <c r="AK341" s="106">
        <v>0</v>
      </c>
      <c r="AL341" s="107" t="s">
        <v>1906</v>
      </c>
      <c r="AM341" s="106">
        <f>10.53*0.2</f>
        <v>2.1059999999999999</v>
      </c>
      <c r="AN341" s="107" t="s">
        <v>1906</v>
      </c>
      <c r="AO341" s="106">
        <f>52.65*0.2</f>
        <v>10.530000000000001</v>
      </c>
      <c r="AP341" s="107" t="s">
        <v>1906</v>
      </c>
      <c r="AQ341" s="106">
        <f>52.65*0.2</f>
        <v>10.530000000000001</v>
      </c>
      <c r="AR341" s="106" t="s">
        <v>1906</v>
      </c>
      <c r="AS341" s="106">
        <f>52.65*0.2</f>
        <v>10.530000000000001</v>
      </c>
      <c r="AT341" s="107" t="s">
        <v>1906</v>
      </c>
      <c r="AU341" s="106">
        <f t="shared" si="16"/>
        <v>81.316000000000003</v>
      </c>
      <c r="AV341" s="25">
        <v>0.1976</v>
      </c>
      <c r="AW341" s="30" t="str">
        <f t="shared" si="17"/>
        <v>95-70</v>
      </c>
      <c r="AX341" s="30" t="s">
        <v>1907</v>
      </c>
      <c r="AY341" s="30">
        <v>0</v>
      </c>
      <c r="AZ341" s="30">
        <v>0</v>
      </c>
    </row>
    <row r="342" spans="1:52" ht="31.2" x14ac:dyDescent="0.3">
      <c r="A342" s="103">
        <v>332</v>
      </c>
      <c r="B342" s="30" t="s">
        <v>977</v>
      </c>
      <c r="C342" s="30" t="s">
        <v>1899</v>
      </c>
      <c r="D342" s="105" t="s">
        <v>1900</v>
      </c>
      <c r="E342" s="108" t="s">
        <v>1901</v>
      </c>
      <c r="F342" s="30" t="s">
        <v>1902</v>
      </c>
      <c r="G342" s="26" t="s">
        <v>145</v>
      </c>
      <c r="H342" s="24" t="s">
        <v>146</v>
      </c>
      <c r="I342" s="25">
        <v>1</v>
      </c>
      <c r="J342" s="24" t="s">
        <v>1903</v>
      </c>
      <c r="K342" s="24">
        <v>32</v>
      </c>
      <c r="L342" s="24">
        <v>5</v>
      </c>
      <c r="M342" s="24" t="str">
        <f t="shared" si="15"/>
        <v>95-70</v>
      </c>
      <c r="N342" s="24" t="s">
        <v>529</v>
      </c>
      <c r="O342" s="24" t="s">
        <v>529</v>
      </c>
      <c r="P342" s="24">
        <v>1</v>
      </c>
      <c r="Q342" s="102">
        <v>0</v>
      </c>
      <c r="R342" s="30" t="s">
        <v>1905</v>
      </c>
      <c r="S342" s="24">
        <v>0</v>
      </c>
      <c r="T342" s="24"/>
      <c r="U342" s="94">
        <f>484.13*0.23</f>
        <v>111.34990000000001</v>
      </c>
      <c r="V342" s="94">
        <f>405.92*0.23</f>
        <v>93.36160000000001</v>
      </c>
      <c r="W342" s="106">
        <f>55.94*0.23</f>
        <v>12.866199999999999</v>
      </c>
      <c r="X342" s="107" t="s">
        <v>1906</v>
      </c>
      <c r="Y342" s="106">
        <f>55.36*0.23</f>
        <v>12.732800000000001</v>
      </c>
      <c r="Z342" s="107" t="s">
        <v>1906</v>
      </c>
      <c r="AA342" s="106">
        <f>55.36*0.23</f>
        <v>12.732800000000001</v>
      </c>
      <c r="AB342" s="107" t="s">
        <v>1906</v>
      </c>
      <c r="AC342" s="106">
        <f>55.36*0.23</f>
        <v>12.732800000000001</v>
      </c>
      <c r="AD342" s="107" t="s">
        <v>1906</v>
      </c>
      <c r="AE342" s="106">
        <f>16.08*0.23</f>
        <v>3.6983999999999999</v>
      </c>
      <c r="AF342" s="107" t="s">
        <v>1906</v>
      </c>
      <c r="AG342" s="106">
        <v>0</v>
      </c>
      <c r="AH342" s="107" t="s">
        <v>1906</v>
      </c>
      <c r="AI342" s="106">
        <v>0</v>
      </c>
      <c r="AJ342" s="107" t="s">
        <v>1906</v>
      </c>
      <c r="AK342" s="106">
        <v>0</v>
      </c>
      <c r="AL342" s="107" t="s">
        <v>1906</v>
      </c>
      <c r="AM342" s="106">
        <f>10.53*0.23</f>
        <v>2.4218999999999999</v>
      </c>
      <c r="AN342" s="107" t="s">
        <v>1906</v>
      </c>
      <c r="AO342" s="106">
        <f>52.65*0.23</f>
        <v>12.109500000000001</v>
      </c>
      <c r="AP342" s="107" t="s">
        <v>1906</v>
      </c>
      <c r="AQ342" s="106">
        <f>52.65*0.23</f>
        <v>12.109500000000001</v>
      </c>
      <c r="AR342" s="106" t="s">
        <v>1906</v>
      </c>
      <c r="AS342" s="106">
        <f>52.65*0.23</f>
        <v>12.109500000000001</v>
      </c>
      <c r="AT342" s="107" t="s">
        <v>1906</v>
      </c>
      <c r="AU342" s="106">
        <f t="shared" si="16"/>
        <v>93.51339999999999</v>
      </c>
      <c r="AV342" s="25">
        <v>6.93E-2</v>
      </c>
      <c r="AW342" s="30" t="str">
        <f t="shared" si="17"/>
        <v>95-70</v>
      </c>
      <c r="AX342" s="30" t="s">
        <v>1907</v>
      </c>
      <c r="AY342" s="30">
        <v>0</v>
      </c>
      <c r="AZ342" s="30">
        <v>0</v>
      </c>
    </row>
    <row r="343" spans="1:52" ht="31.2" x14ac:dyDescent="0.3">
      <c r="A343" s="103">
        <v>333</v>
      </c>
      <c r="B343" s="30" t="s">
        <v>196</v>
      </c>
      <c r="C343" s="30" t="s">
        <v>1899</v>
      </c>
      <c r="D343" s="105" t="s">
        <v>1900</v>
      </c>
      <c r="E343" s="108" t="s">
        <v>1901</v>
      </c>
      <c r="F343" s="30" t="s">
        <v>1902</v>
      </c>
      <c r="G343" s="26" t="s">
        <v>145</v>
      </c>
      <c r="H343" s="24" t="s">
        <v>146</v>
      </c>
      <c r="I343" s="25">
        <v>1</v>
      </c>
      <c r="J343" s="24" t="s">
        <v>1903</v>
      </c>
      <c r="K343" s="24">
        <v>50</v>
      </c>
      <c r="L343" s="24">
        <v>5</v>
      </c>
      <c r="M343" s="24" t="str">
        <f t="shared" si="15"/>
        <v>95-70</v>
      </c>
      <c r="N343" s="24" t="s">
        <v>529</v>
      </c>
      <c r="O343" s="24" t="s">
        <v>529</v>
      </c>
      <c r="P343" s="24">
        <v>1</v>
      </c>
      <c r="Q343" s="102">
        <v>0</v>
      </c>
      <c r="R343" s="30" t="s">
        <v>1905</v>
      </c>
      <c r="S343" s="24">
        <v>0</v>
      </c>
      <c r="T343" s="24"/>
      <c r="U343" s="94">
        <v>453.46999999999997</v>
      </c>
      <c r="V343" s="94">
        <v>548.37</v>
      </c>
      <c r="W343" s="106">
        <v>115.32</v>
      </c>
      <c r="X343" s="107" t="s">
        <v>208</v>
      </c>
      <c r="Y343" s="106">
        <v>75.14</v>
      </c>
      <c r="Z343" s="107" t="s">
        <v>208</v>
      </c>
      <c r="AA343" s="106">
        <v>100.33</v>
      </c>
      <c r="AB343" s="107" t="s">
        <v>208</v>
      </c>
      <c r="AC343" s="106">
        <v>68.78</v>
      </c>
      <c r="AD343" s="107" t="s">
        <v>208</v>
      </c>
      <c r="AE343" s="106">
        <v>24.64</v>
      </c>
      <c r="AF343" s="107" t="s">
        <v>208</v>
      </c>
      <c r="AG343" s="106">
        <v>0</v>
      </c>
      <c r="AH343" s="107" t="s">
        <v>208</v>
      </c>
      <c r="AI343" s="106">
        <v>0</v>
      </c>
      <c r="AJ343" s="107" t="s">
        <v>208</v>
      </c>
      <c r="AK343" s="106">
        <v>0</v>
      </c>
      <c r="AL343" s="107" t="s">
        <v>208</v>
      </c>
      <c r="AM343" s="106">
        <v>0</v>
      </c>
      <c r="AN343" s="107" t="s">
        <v>208</v>
      </c>
      <c r="AO343" s="106">
        <v>35.700000000000003</v>
      </c>
      <c r="AP343" s="107" t="s">
        <v>208</v>
      </c>
      <c r="AQ343" s="106">
        <v>46.92</v>
      </c>
      <c r="AR343" s="106" t="s">
        <v>208</v>
      </c>
      <c r="AS343" s="106">
        <v>66.959999999999994</v>
      </c>
      <c r="AT343" s="107" t="s">
        <v>208</v>
      </c>
      <c r="AU343" s="106">
        <f t="shared" si="16"/>
        <v>533.79</v>
      </c>
      <c r="AV343" s="25">
        <v>0.2359</v>
      </c>
      <c r="AW343" s="30" t="str">
        <f t="shared" si="17"/>
        <v>95-70</v>
      </c>
      <c r="AX343" s="30" t="s">
        <v>1907</v>
      </c>
      <c r="AY343" s="30">
        <v>0</v>
      </c>
      <c r="AZ343" s="30">
        <v>0</v>
      </c>
    </row>
    <row r="344" spans="1:52" ht="31.2" x14ac:dyDescent="0.3">
      <c r="A344" s="103">
        <v>334</v>
      </c>
      <c r="B344" s="30" t="s">
        <v>978</v>
      </c>
      <c r="C344" s="30" t="s">
        <v>1899</v>
      </c>
      <c r="D344" s="105" t="s">
        <v>1900</v>
      </c>
      <c r="E344" s="108" t="s">
        <v>1901</v>
      </c>
      <c r="F344" s="30" t="s">
        <v>1902</v>
      </c>
      <c r="G344" s="26" t="s">
        <v>145</v>
      </c>
      <c r="H344" s="24" t="s">
        <v>146</v>
      </c>
      <c r="I344" s="25">
        <v>1</v>
      </c>
      <c r="J344" s="24" t="s">
        <v>1903</v>
      </c>
      <c r="K344" s="24">
        <v>65</v>
      </c>
      <c r="L344" s="24">
        <v>5</v>
      </c>
      <c r="M344" s="24" t="str">
        <f t="shared" si="15"/>
        <v>95-70</v>
      </c>
      <c r="N344" s="24" t="s">
        <v>529</v>
      </c>
      <c r="O344" s="24" t="s">
        <v>529</v>
      </c>
      <c r="P344" s="24">
        <v>1</v>
      </c>
      <c r="Q344" s="102">
        <v>0</v>
      </c>
      <c r="R344" s="30" t="s">
        <v>1905</v>
      </c>
      <c r="S344" s="24">
        <v>0</v>
      </c>
      <c r="T344" s="24"/>
      <c r="U344" s="94">
        <v>811.48</v>
      </c>
      <c r="V344" s="94">
        <v>982.2700000000001</v>
      </c>
      <c r="W344" s="106">
        <v>135.54999999999998</v>
      </c>
      <c r="X344" s="107" t="s">
        <v>1906</v>
      </c>
      <c r="Y344" s="106">
        <v>135.45999999999998</v>
      </c>
      <c r="Z344" s="107" t="s">
        <v>1906</v>
      </c>
      <c r="AA344" s="106">
        <v>135.45999999999998</v>
      </c>
      <c r="AB344" s="107" t="s">
        <v>1906</v>
      </c>
      <c r="AC344" s="106">
        <v>132.99999999999997</v>
      </c>
      <c r="AD344" s="107" t="s">
        <v>1906</v>
      </c>
      <c r="AE344" s="106">
        <v>36.150000000000006</v>
      </c>
      <c r="AF344" s="107" t="s">
        <v>1906</v>
      </c>
      <c r="AG344" s="106">
        <v>0</v>
      </c>
      <c r="AH344" s="107" t="s">
        <v>1906</v>
      </c>
      <c r="AI344" s="106">
        <v>0</v>
      </c>
      <c r="AJ344" s="107" t="s">
        <v>1906</v>
      </c>
      <c r="AK344" s="106">
        <v>0</v>
      </c>
      <c r="AL344" s="107" t="s">
        <v>1906</v>
      </c>
      <c r="AM344" s="106">
        <v>0</v>
      </c>
      <c r="AN344" s="107" t="s">
        <v>1906</v>
      </c>
      <c r="AO344" s="106">
        <v>133.39000000000001</v>
      </c>
      <c r="AP344" s="107" t="s">
        <v>1906</v>
      </c>
      <c r="AQ344" s="106">
        <v>133.39000000000001</v>
      </c>
      <c r="AR344" s="106" t="s">
        <v>1906</v>
      </c>
      <c r="AS344" s="106">
        <v>133.39000000000001</v>
      </c>
      <c r="AT344" s="107" t="s">
        <v>1906</v>
      </c>
      <c r="AU344" s="106">
        <f t="shared" si="16"/>
        <v>975.78999999999985</v>
      </c>
      <c r="AV344" s="25">
        <v>0.36620000000000003</v>
      </c>
      <c r="AW344" s="30" t="str">
        <f t="shared" si="17"/>
        <v>95-70</v>
      </c>
      <c r="AX344" s="30" t="s">
        <v>1907</v>
      </c>
      <c r="AY344" s="30">
        <v>0</v>
      </c>
      <c r="AZ344" s="30">
        <v>0</v>
      </c>
    </row>
    <row r="345" spans="1:52" ht="31.2" x14ac:dyDescent="0.3">
      <c r="A345" s="103">
        <v>335</v>
      </c>
      <c r="B345" s="30" t="s">
        <v>979</v>
      </c>
      <c r="C345" s="30" t="s">
        <v>1899</v>
      </c>
      <c r="D345" s="105" t="s">
        <v>1900</v>
      </c>
      <c r="E345" s="108" t="s">
        <v>1901</v>
      </c>
      <c r="F345" s="30" t="s">
        <v>1902</v>
      </c>
      <c r="G345" s="26" t="s">
        <v>145</v>
      </c>
      <c r="H345" s="24" t="s">
        <v>146</v>
      </c>
      <c r="I345" s="25">
        <v>1</v>
      </c>
      <c r="J345" s="24" t="s">
        <v>1903</v>
      </c>
      <c r="K345" s="24">
        <v>50</v>
      </c>
      <c r="L345" s="24">
        <v>5</v>
      </c>
      <c r="M345" s="24" t="str">
        <f t="shared" si="15"/>
        <v>95-70</v>
      </c>
      <c r="N345" s="24" t="s">
        <v>529</v>
      </c>
      <c r="O345" s="24" t="s">
        <v>529</v>
      </c>
      <c r="P345" s="24">
        <v>1</v>
      </c>
      <c r="Q345" s="102">
        <v>0</v>
      </c>
      <c r="R345" s="30" t="s">
        <v>1905</v>
      </c>
      <c r="S345" s="24">
        <v>0</v>
      </c>
      <c r="T345" s="24"/>
      <c r="U345" s="94">
        <f>579.76*0.48</f>
        <v>278.28479999999996</v>
      </c>
      <c r="V345" s="94">
        <f>573.67*0.48</f>
        <v>275.36159999999995</v>
      </c>
      <c r="W345" s="106">
        <f>78.69*0.48</f>
        <v>37.7712</v>
      </c>
      <c r="X345" s="107" t="s">
        <v>1906</v>
      </c>
      <c r="Y345" s="106">
        <f>78.69*0.48</f>
        <v>37.7712</v>
      </c>
      <c r="Z345" s="107" t="s">
        <v>1906</v>
      </c>
      <c r="AA345" s="106">
        <f>78.69*0.48</f>
        <v>37.7712</v>
      </c>
      <c r="AB345" s="107" t="s">
        <v>1906</v>
      </c>
      <c r="AC345" s="106">
        <f>78.69*0.48</f>
        <v>37.7712</v>
      </c>
      <c r="AD345" s="107" t="s">
        <v>1906</v>
      </c>
      <c r="AE345" s="106">
        <f>22.84*0.48</f>
        <v>10.963199999999999</v>
      </c>
      <c r="AF345" s="107" t="s">
        <v>1906</v>
      </c>
      <c r="AG345" s="106">
        <v>0</v>
      </c>
      <c r="AH345" s="107" t="s">
        <v>1906</v>
      </c>
      <c r="AI345" s="106">
        <v>0</v>
      </c>
      <c r="AJ345" s="107" t="s">
        <v>1906</v>
      </c>
      <c r="AK345" s="106">
        <v>0</v>
      </c>
      <c r="AL345" s="107" t="s">
        <v>1906</v>
      </c>
      <c r="AM345" s="106">
        <f>9.43*0.48</f>
        <v>4.5263999999999998</v>
      </c>
      <c r="AN345" s="107" t="s">
        <v>1906</v>
      </c>
      <c r="AO345" s="106">
        <f>78.45*0.48</f>
        <v>37.655999999999999</v>
      </c>
      <c r="AP345" s="107" t="s">
        <v>1906</v>
      </c>
      <c r="AQ345" s="106">
        <f>78.45*0.48</f>
        <v>37.655999999999999</v>
      </c>
      <c r="AR345" s="106" t="s">
        <v>1906</v>
      </c>
      <c r="AS345" s="106">
        <f>78.45*0.48</f>
        <v>37.655999999999999</v>
      </c>
      <c r="AT345" s="107" t="s">
        <v>1906</v>
      </c>
      <c r="AU345" s="106">
        <f t="shared" si="16"/>
        <v>279.54239999999999</v>
      </c>
      <c r="AV345" s="25">
        <v>0.123</v>
      </c>
      <c r="AW345" s="30" t="str">
        <f t="shared" si="17"/>
        <v>95-70</v>
      </c>
      <c r="AX345" s="30" t="s">
        <v>1907</v>
      </c>
      <c r="AY345" s="30">
        <v>0</v>
      </c>
      <c r="AZ345" s="30">
        <v>0</v>
      </c>
    </row>
    <row r="346" spans="1:52" ht="31.2" x14ac:dyDescent="0.3">
      <c r="A346" s="103">
        <v>336</v>
      </c>
      <c r="B346" s="30" t="s">
        <v>198</v>
      </c>
      <c r="C346" s="30" t="s">
        <v>1899</v>
      </c>
      <c r="D346" s="105" t="s">
        <v>1900</v>
      </c>
      <c r="E346" s="108" t="s">
        <v>1901</v>
      </c>
      <c r="F346" s="30" t="s">
        <v>1902</v>
      </c>
      <c r="G346" s="26" t="s">
        <v>145</v>
      </c>
      <c r="H346" s="24" t="s">
        <v>146</v>
      </c>
      <c r="I346" s="25">
        <v>1</v>
      </c>
      <c r="J346" s="24" t="s">
        <v>1903</v>
      </c>
      <c r="K346" s="24">
        <v>32</v>
      </c>
      <c r="L346" s="24">
        <v>5</v>
      </c>
      <c r="M346" s="24" t="str">
        <f t="shared" si="15"/>
        <v>95-70</v>
      </c>
      <c r="N346" s="24" t="s">
        <v>529</v>
      </c>
      <c r="O346" s="24" t="s">
        <v>529</v>
      </c>
      <c r="P346" s="24">
        <v>1</v>
      </c>
      <c r="Q346" s="102">
        <v>0</v>
      </c>
      <c r="R346" s="30" t="s">
        <v>1905</v>
      </c>
      <c r="S346" s="24">
        <v>0</v>
      </c>
      <c r="T346" s="24"/>
      <c r="U346" s="94">
        <f>579.76*0.52</f>
        <v>301.47520000000003</v>
      </c>
      <c r="V346" s="94">
        <f>573.67*0.52</f>
        <v>298.30840000000001</v>
      </c>
      <c r="W346" s="106">
        <f>78.69*0.52</f>
        <v>40.918799999999997</v>
      </c>
      <c r="X346" s="107" t="s">
        <v>1906</v>
      </c>
      <c r="Y346" s="106">
        <f>78.69*0.52</f>
        <v>40.918799999999997</v>
      </c>
      <c r="Z346" s="107" t="s">
        <v>1906</v>
      </c>
      <c r="AA346" s="106">
        <f>78.69*0.52</f>
        <v>40.918799999999997</v>
      </c>
      <c r="AB346" s="107" t="s">
        <v>1906</v>
      </c>
      <c r="AC346" s="106">
        <f>78.69*0.52</f>
        <v>40.918799999999997</v>
      </c>
      <c r="AD346" s="107" t="s">
        <v>1906</v>
      </c>
      <c r="AE346" s="106">
        <f>22.84*0.52</f>
        <v>11.876800000000001</v>
      </c>
      <c r="AF346" s="107" t="s">
        <v>1906</v>
      </c>
      <c r="AG346" s="106">
        <v>0</v>
      </c>
      <c r="AH346" s="107" t="s">
        <v>1906</v>
      </c>
      <c r="AI346" s="106">
        <v>0</v>
      </c>
      <c r="AJ346" s="107" t="s">
        <v>1906</v>
      </c>
      <c r="AK346" s="106">
        <v>0</v>
      </c>
      <c r="AL346" s="107" t="s">
        <v>1906</v>
      </c>
      <c r="AM346" s="106">
        <f>9.43*0.52</f>
        <v>4.9036</v>
      </c>
      <c r="AN346" s="107" t="s">
        <v>1906</v>
      </c>
      <c r="AO346" s="106">
        <f>78.45*0.52</f>
        <v>40.794000000000004</v>
      </c>
      <c r="AP346" s="107" t="s">
        <v>1906</v>
      </c>
      <c r="AQ346" s="106">
        <f>78.45*0.52</f>
        <v>40.794000000000004</v>
      </c>
      <c r="AR346" s="106" t="s">
        <v>1906</v>
      </c>
      <c r="AS346" s="106">
        <f>78.45*0.52</f>
        <v>40.794000000000004</v>
      </c>
      <c r="AT346" s="107" t="s">
        <v>1906</v>
      </c>
      <c r="AU346" s="106">
        <f t="shared" si="16"/>
        <v>302.83760000000001</v>
      </c>
      <c r="AV346" s="25">
        <v>0.123</v>
      </c>
      <c r="AW346" s="30" t="str">
        <f t="shared" si="17"/>
        <v>95-70</v>
      </c>
      <c r="AX346" s="30" t="s">
        <v>1907</v>
      </c>
      <c r="AY346" s="30">
        <v>0</v>
      </c>
      <c r="AZ346" s="30">
        <v>0</v>
      </c>
    </row>
    <row r="347" spans="1:52" ht="31.2" x14ac:dyDescent="0.3">
      <c r="A347" s="103">
        <v>337</v>
      </c>
      <c r="B347" s="30" t="s">
        <v>980</v>
      </c>
      <c r="C347" s="30" t="s">
        <v>1899</v>
      </c>
      <c r="D347" s="105" t="s">
        <v>1900</v>
      </c>
      <c r="E347" s="108" t="s">
        <v>1901</v>
      </c>
      <c r="F347" s="30" t="s">
        <v>1902</v>
      </c>
      <c r="G347" s="26" t="s">
        <v>145</v>
      </c>
      <c r="H347" s="24" t="s">
        <v>146</v>
      </c>
      <c r="I347" s="25">
        <v>1</v>
      </c>
      <c r="J347" s="24" t="s">
        <v>1903</v>
      </c>
      <c r="K347" s="24">
        <v>50</v>
      </c>
      <c r="L347" s="24">
        <v>5</v>
      </c>
      <c r="M347" s="24" t="str">
        <f t="shared" si="15"/>
        <v>95-70</v>
      </c>
      <c r="N347" s="24" t="s">
        <v>529</v>
      </c>
      <c r="O347" s="24" t="s">
        <v>529</v>
      </c>
      <c r="P347" s="24">
        <v>1</v>
      </c>
      <c r="Q347" s="102">
        <v>0</v>
      </c>
      <c r="R347" s="30" t="s">
        <v>1905</v>
      </c>
      <c r="S347" s="24">
        <v>0</v>
      </c>
      <c r="T347" s="24"/>
      <c r="U347" s="94">
        <v>489.82</v>
      </c>
      <c r="V347" s="94">
        <v>506.82</v>
      </c>
      <c r="W347" s="106">
        <v>103.09</v>
      </c>
      <c r="X347" s="107" t="s">
        <v>208</v>
      </c>
      <c r="Y347" s="106">
        <v>65.72</v>
      </c>
      <c r="Z347" s="107" t="s">
        <v>208</v>
      </c>
      <c r="AA347" s="106">
        <v>92.18</v>
      </c>
      <c r="AB347" s="107" t="s">
        <v>208</v>
      </c>
      <c r="AC347" s="106">
        <v>68.760000000000005</v>
      </c>
      <c r="AD347" s="107" t="s">
        <v>208</v>
      </c>
      <c r="AE347" s="106">
        <v>19.45</v>
      </c>
      <c r="AF347" s="107" t="s">
        <v>208</v>
      </c>
      <c r="AG347" s="106">
        <v>0</v>
      </c>
      <c r="AH347" s="107" t="s">
        <v>208</v>
      </c>
      <c r="AI347" s="106">
        <v>0</v>
      </c>
      <c r="AJ347" s="107" t="s">
        <v>208</v>
      </c>
      <c r="AK347" s="106">
        <v>0</v>
      </c>
      <c r="AL347" s="107" t="s">
        <v>208</v>
      </c>
      <c r="AM347" s="106">
        <v>0</v>
      </c>
      <c r="AN347" s="107" t="s">
        <v>208</v>
      </c>
      <c r="AO347" s="106">
        <v>34.31</v>
      </c>
      <c r="AP347" s="107" t="s">
        <v>208</v>
      </c>
      <c r="AQ347" s="106">
        <v>42.2</v>
      </c>
      <c r="AR347" s="106" t="s">
        <v>208</v>
      </c>
      <c r="AS347" s="106">
        <v>59.48</v>
      </c>
      <c r="AT347" s="107" t="s">
        <v>208</v>
      </c>
      <c r="AU347" s="106">
        <f t="shared" si="16"/>
        <v>485.19</v>
      </c>
      <c r="AV347" s="25">
        <v>0.20880000000000001</v>
      </c>
      <c r="AW347" s="30" t="str">
        <f t="shared" si="17"/>
        <v>95-70</v>
      </c>
      <c r="AX347" s="30" t="s">
        <v>1907</v>
      </c>
      <c r="AY347" s="30">
        <v>0</v>
      </c>
      <c r="AZ347" s="30">
        <v>0</v>
      </c>
    </row>
    <row r="348" spans="1:52" ht="31.2" x14ac:dyDescent="0.3">
      <c r="A348" s="103">
        <v>338</v>
      </c>
      <c r="B348" s="30" t="s">
        <v>981</v>
      </c>
      <c r="C348" s="30" t="s">
        <v>1899</v>
      </c>
      <c r="D348" s="105" t="s">
        <v>1900</v>
      </c>
      <c r="E348" s="108" t="s">
        <v>1901</v>
      </c>
      <c r="F348" s="30" t="s">
        <v>1902</v>
      </c>
      <c r="G348" s="26" t="s">
        <v>145</v>
      </c>
      <c r="H348" s="24" t="s">
        <v>146</v>
      </c>
      <c r="I348" s="25">
        <v>1</v>
      </c>
      <c r="J348" s="24" t="s">
        <v>1903</v>
      </c>
      <c r="K348" s="24">
        <v>32</v>
      </c>
      <c r="L348" s="24">
        <v>5</v>
      </c>
      <c r="M348" s="24" t="str">
        <f t="shared" si="15"/>
        <v>95-70</v>
      </c>
      <c r="N348" s="24" t="s">
        <v>529</v>
      </c>
      <c r="O348" s="24" t="s">
        <v>529</v>
      </c>
      <c r="P348" s="24">
        <v>1</v>
      </c>
      <c r="Q348" s="102">
        <v>0</v>
      </c>
      <c r="R348" s="30" t="s">
        <v>1905</v>
      </c>
      <c r="S348" s="24">
        <v>0</v>
      </c>
      <c r="T348" s="24"/>
      <c r="U348" s="94">
        <v>375.39000000000004</v>
      </c>
      <c r="V348" s="94">
        <v>344.6</v>
      </c>
      <c r="W348" s="106">
        <v>66.66</v>
      </c>
      <c r="X348" s="107" t="s">
        <v>208</v>
      </c>
      <c r="Y348" s="106">
        <v>42.38</v>
      </c>
      <c r="Z348" s="107" t="s">
        <v>208</v>
      </c>
      <c r="AA348" s="106">
        <v>60.67</v>
      </c>
      <c r="AB348" s="107" t="s">
        <v>208</v>
      </c>
      <c r="AC348" s="106">
        <v>44.6</v>
      </c>
      <c r="AD348" s="107" t="s">
        <v>208</v>
      </c>
      <c r="AE348" s="106">
        <v>16.43</v>
      </c>
      <c r="AF348" s="107" t="s">
        <v>208</v>
      </c>
      <c r="AG348" s="106">
        <v>0</v>
      </c>
      <c r="AH348" s="107" t="s">
        <v>208</v>
      </c>
      <c r="AI348" s="106">
        <v>0</v>
      </c>
      <c r="AJ348" s="107" t="s">
        <v>208</v>
      </c>
      <c r="AK348" s="106">
        <v>0</v>
      </c>
      <c r="AL348" s="107" t="s">
        <v>208</v>
      </c>
      <c r="AM348" s="106">
        <v>0</v>
      </c>
      <c r="AN348" s="107" t="s">
        <v>208</v>
      </c>
      <c r="AO348" s="106">
        <v>27.21</v>
      </c>
      <c r="AP348" s="107" t="s">
        <v>208</v>
      </c>
      <c r="AQ348" s="106">
        <v>32.5</v>
      </c>
      <c r="AR348" s="106" t="s">
        <v>208</v>
      </c>
      <c r="AS348" s="106">
        <v>47.34</v>
      </c>
      <c r="AT348" s="107" t="s">
        <v>208</v>
      </c>
      <c r="AU348" s="106">
        <f t="shared" si="16"/>
        <v>337.78999999999996</v>
      </c>
      <c r="AV348" s="25">
        <v>0.15540000000000001</v>
      </c>
      <c r="AW348" s="30" t="str">
        <f t="shared" si="17"/>
        <v>95-70</v>
      </c>
      <c r="AX348" s="30" t="s">
        <v>1907</v>
      </c>
      <c r="AY348" s="30">
        <v>0</v>
      </c>
      <c r="AZ348" s="30">
        <v>0</v>
      </c>
    </row>
    <row r="349" spans="1:52" ht="31.2" x14ac:dyDescent="0.3">
      <c r="A349" s="103">
        <v>339</v>
      </c>
      <c r="B349" s="30" t="s">
        <v>982</v>
      </c>
      <c r="C349" s="30" t="s">
        <v>1899</v>
      </c>
      <c r="D349" s="105" t="s">
        <v>1900</v>
      </c>
      <c r="E349" s="108" t="s">
        <v>1901</v>
      </c>
      <c r="F349" s="30" t="s">
        <v>1902</v>
      </c>
      <c r="G349" s="26" t="s">
        <v>145</v>
      </c>
      <c r="H349" s="24" t="s">
        <v>146</v>
      </c>
      <c r="I349" s="25">
        <v>1</v>
      </c>
      <c r="J349" s="24" t="s">
        <v>1903</v>
      </c>
      <c r="K349" s="24">
        <v>32</v>
      </c>
      <c r="L349" s="24">
        <v>5</v>
      </c>
      <c r="M349" s="24" t="str">
        <f t="shared" si="15"/>
        <v>95-70</v>
      </c>
      <c r="N349" s="24" t="s">
        <v>529</v>
      </c>
      <c r="O349" s="24" t="s">
        <v>529</v>
      </c>
      <c r="P349" s="24">
        <v>1</v>
      </c>
      <c r="Q349" s="102">
        <v>0</v>
      </c>
      <c r="R349" s="30" t="s">
        <v>1905</v>
      </c>
      <c r="S349" s="24">
        <v>0</v>
      </c>
      <c r="T349" s="24"/>
      <c r="U349" s="94">
        <v>1635.9</v>
      </c>
      <c r="V349" s="94">
        <v>1972.95</v>
      </c>
      <c r="W349" s="106">
        <v>166.14000000000001</v>
      </c>
      <c r="X349" s="107" t="s">
        <v>1906</v>
      </c>
      <c r="Y349" s="106">
        <v>166.14000000000001</v>
      </c>
      <c r="Z349" s="107" t="s">
        <v>1906</v>
      </c>
      <c r="AA349" s="106">
        <v>166.14000000000001</v>
      </c>
      <c r="AB349" s="107" t="s">
        <v>1906</v>
      </c>
      <c r="AC349" s="106">
        <v>166.14000000000001</v>
      </c>
      <c r="AD349" s="107" t="s">
        <v>1906</v>
      </c>
      <c r="AE349" s="106">
        <v>48.23</v>
      </c>
      <c r="AF349" s="107" t="s">
        <v>1906</v>
      </c>
      <c r="AG349" s="106">
        <v>0</v>
      </c>
      <c r="AH349" s="107" t="s">
        <v>1906</v>
      </c>
      <c r="AI349" s="106">
        <v>0</v>
      </c>
      <c r="AJ349" s="107" t="s">
        <v>1906</v>
      </c>
      <c r="AK349" s="106">
        <v>0</v>
      </c>
      <c r="AL349" s="107" t="s">
        <v>1906</v>
      </c>
      <c r="AM349" s="106">
        <v>37.35</v>
      </c>
      <c r="AN349" s="107" t="s">
        <v>1906</v>
      </c>
      <c r="AO349" s="106">
        <v>160.07</v>
      </c>
      <c r="AP349" s="107" t="s">
        <v>1906</v>
      </c>
      <c r="AQ349" s="106">
        <v>160.07</v>
      </c>
      <c r="AR349" s="106" t="s">
        <v>1906</v>
      </c>
      <c r="AS349" s="106">
        <v>160.07</v>
      </c>
      <c r="AT349" s="107" t="s">
        <v>1906</v>
      </c>
      <c r="AU349" s="106">
        <f t="shared" si="16"/>
        <v>1230.3499999999999</v>
      </c>
      <c r="AV349" s="25">
        <v>0.59089999999999998</v>
      </c>
      <c r="AW349" s="30" t="str">
        <f t="shared" si="17"/>
        <v>95-70</v>
      </c>
      <c r="AX349" s="30" t="s">
        <v>1907</v>
      </c>
      <c r="AY349" s="30">
        <v>0</v>
      </c>
      <c r="AZ349" s="30">
        <v>0</v>
      </c>
    </row>
    <row r="350" spans="1:52" ht="31.2" x14ac:dyDescent="0.3">
      <c r="A350" s="103">
        <v>340</v>
      </c>
      <c r="B350" s="30" t="s">
        <v>983</v>
      </c>
      <c r="C350" s="30" t="s">
        <v>1899</v>
      </c>
      <c r="D350" s="105" t="s">
        <v>1900</v>
      </c>
      <c r="E350" s="108" t="s">
        <v>1901</v>
      </c>
      <c r="F350" s="30" t="s">
        <v>1902</v>
      </c>
      <c r="G350" s="26" t="s">
        <v>145</v>
      </c>
      <c r="H350" s="24" t="s">
        <v>146</v>
      </c>
      <c r="I350" s="25">
        <v>0</v>
      </c>
      <c r="J350" s="24" t="s">
        <v>1903</v>
      </c>
      <c r="K350" s="24">
        <v>32</v>
      </c>
      <c r="L350" s="24">
        <v>5</v>
      </c>
      <c r="M350" s="24" t="str">
        <f t="shared" si="15"/>
        <v>95-70</v>
      </c>
      <c r="N350" s="24" t="s">
        <v>529</v>
      </c>
      <c r="O350" s="24" t="s">
        <v>529</v>
      </c>
      <c r="P350" s="24">
        <v>0</v>
      </c>
      <c r="Q350" s="102">
        <v>0</v>
      </c>
      <c r="R350" s="30" t="s">
        <v>1905</v>
      </c>
      <c r="S350" s="24">
        <v>0</v>
      </c>
      <c r="T350" s="24"/>
      <c r="U350" s="94">
        <v>342.13</v>
      </c>
      <c r="V350" s="94">
        <v>276.81999999999994</v>
      </c>
      <c r="W350" s="106">
        <v>37.97</v>
      </c>
      <c r="X350" s="107" t="s">
        <v>1906</v>
      </c>
      <c r="Y350" s="106">
        <v>37.97</v>
      </c>
      <c r="Z350" s="107" t="s">
        <v>1906</v>
      </c>
      <c r="AA350" s="106">
        <v>37.97</v>
      </c>
      <c r="AB350" s="107" t="s">
        <v>1906</v>
      </c>
      <c r="AC350" s="106">
        <v>37.97</v>
      </c>
      <c r="AD350" s="107" t="s">
        <v>1906</v>
      </c>
      <c r="AE350" s="106">
        <v>11.030000000000001</v>
      </c>
      <c r="AF350" s="107" t="s">
        <v>1906</v>
      </c>
      <c r="AG350" s="106">
        <v>0</v>
      </c>
      <c r="AH350" s="107" t="s">
        <v>1906</v>
      </c>
      <c r="AI350" s="106">
        <v>0</v>
      </c>
      <c r="AJ350" s="107" t="s">
        <v>1906</v>
      </c>
      <c r="AK350" s="106">
        <v>0</v>
      </c>
      <c r="AL350" s="107" t="s">
        <v>1906</v>
      </c>
      <c r="AM350" s="106">
        <v>8.98</v>
      </c>
      <c r="AN350" s="107" t="s">
        <v>1906</v>
      </c>
      <c r="AO350" s="106">
        <v>38.49</v>
      </c>
      <c r="AP350" s="107" t="s">
        <v>1906</v>
      </c>
      <c r="AQ350" s="106">
        <v>38.49</v>
      </c>
      <c r="AR350" s="106" t="s">
        <v>1906</v>
      </c>
      <c r="AS350" s="106">
        <v>38.49</v>
      </c>
      <c r="AT350" s="107" t="s">
        <v>1906</v>
      </c>
      <c r="AU350" s="106">
        <f t="shared" si="16"/>
        <v>287.36</v>
      </c>
      <c r="AV350" s="25">
        <v>0.1656</v>
      </c>
      <c r="AW350" s="30" t="str">
        <f t="shared" si="17"/>
        <v>95-70</v>
      </c>
      <c r="AX350" s="30" t="s">
        <v>1907</v>
      </c>
      <c r="AY350" s="30">
        <v>0</v>
      </c>
      <c r="AZ350" s="30">
        <v>0</v>
      </c>
    </row>
    <row r="351" spans="1:52" ht="31.2" x14ac:dyDescent="0.3">
      <c r="A351" s="103">
        <v>341</v>
      </c>
      <c r="B351" s="30" t="s">
        <v>984</v>
      </c>
      <c r="C351" s="30" t="s">
        <v>1899</v>
      </c>
      <c r="D351" s="105" t="s">
        <v>1900</v>
      </c>
      <c r="E351" s="108" t="s">
        <v>1901</v>
      </c>
      <c r="F351" s="30" t="s">
        <v>1902</v>
      </c>
      <c r="G351" s="26" t="s">
        <v>145</v>
      </c>
      <c r="H351" s="24" t="s">
        <v>146</v>
      </c>
      <c r="I351" s="25">
        <v>1</v>
      </c>
      <c r="J351" s="24" t="s">
        <v>1903</v>
      </c>
      <c r="K351" s="24">
        <v>50</v>
      </c>
      <c r="L351" s="24">
        <v>5</v>
      </c>
      <c r="M351" s="24" t="str">
        <f t="shared" si="15"/>
        <v>95-70</v>
      </c>
      <c r="N351" s="24" t="s">
        <v>529</v>
      </c>
      <c r="O351" s="24" t="s">
        <v>529</v>
      </c>
      <c r="P351" s="24">
        <v>1</v>
      </c>
      <c r="Q351" s="102">
        <v>0</v>
      </c>
      <c r="R351" s="30" t="s">
        <v>1905</v>
      </c>
      <c r="S351" s="24">
        <v>0</v>
      </c>
      <c r="T351" s="24"/>
      <c r="U351" s="94">
        <v>580.55000000000007</v>
      </c>
      <c r="V351" s="94">
        <v>712.2700000000001</v>
      </c>
      <c r="W351" s="106">
        <v>97.7</v>
      </c>
      <c r="X351" s="107" t="s">
        <v>1906</v>
      </c>
      <c r="Y351" s="106">
        <v>97.7</v>
      </c>
      <c r="Z351" s="107" t="s">
        <v>1906</v>
      </c>
      <c r="AA351" s="106">
        <v>97.7</v>
      </c>
      <c r="AB351" s="107" t="s">
        <v>1906</v>
      </c>
      <c r="AC351" s="106">
        <v>97.7</v>
      </c>
      <c r="AD351" s="107" t="s">
        <v>1906</v>
      </c>
      <c r="AE351" s="106">
        <v>28.369999999999997</v>
      </c>
      <c r="AF351" s="107" t="s">
        <v>1906</v>
      </c>
      <c r="AG351" s="106">
        <v>0</v>
      </c>
      <c r="AH351" s="107" t="s">
        <v>1906</v>
      </c>
      <c r="AI351" s="106">
        <v>0</v>
      </c>
      <c r="AJ351" s="107" t="s">
        <v>1906</v>
      </c>
      <c r="AK351" s="106">
        <v>0</v>
      </c>
      <c r="AL351" s="107" t="s">
        <v>1906</v>
      </c>
      <c r="AM351" s="106">
        <v>0</v>
      </c>
      <c r="AN351" s="107" t="s">
        <v>1906</v>
      </c>
      <c r="AO351" s="106">
        <v>93.45</v>
      </c>
      <c r="AP351" s="107" t="s">
        <v>1906</v>
      </c>
      <c r="AQ351" s="106">
        <v>93.45</v>
      </c>
      <c r="AR351" s="106" t="s">
        <v>1906</v>
      </c>
      <c r="AS351" s="106">
        <v>93.45</v>
      </c>
      <c r="AT351" s="107" t="s">
        <v>1906</v>
      </c>
      <c r="AU351" s="106">
        <f t="shared" si="16"/>
        <v>699.5200000000001</v>
      </c>
      <c r="AV351" s="25">
        <v>0.28100000000000003</v>
      </c>
      <c r="AW351" s="30" t="str">
        <f t="shared" si="17"/>
        <v>95-70</v>
      </c>
      <c r="AX351" s="30" t="s">
        <v>1907</v>
      </c>
      <c r="AY351" s="30">
        <v>0</v>
      </c>
      <c r="AZ351" s="30">
        <v>0</v>
      </c>
    </row>
    <row r="352" spans="1:52" ht="31.2" x14ac:dyDescent="0.3">
      <c r="A352" s="103">
        <v>342</v>
      </c>
      <c r="B352" s="30" t="s">
        <v>985</v>
      </c>
      <c r="C352" s="30" t="s">
        <v>1899</v>
      </c>
      <c r="D352" s="105" t="s">
        <v>1900</v>
      </c>
      <c r="E352" s="108" t="s">
        <v>1901</v>
      </c>
      <c r="F352" s="30" t="s">
        <v>1902</v>
      </c>
      <c r="G352" s="26" t="s">
        <v>145</v>
      </c>
      <c r="H352" s="24" t="s">
        <v>146</v>
      </c>
      <c r="I352" s="25">
        <v>1</v>
      </c>
      <c r="J352" s="24" t="s">
        <v>1903</v>
      </c>
      <c r="K352" s="24">
        <v>32</v>
      </c>
      <c r="L352" s="24">
        <v>5</v>
      </c>
      <c r="M352" s="24" t="str">
        <f t="shared" si="15"/>
        <v>95-70</v>
      </c>
      <c r="N352" s="24" t="s">
        <v>529</v>
      </c>
      <c r="O352" s="24" t="s">
        <v>529</v>
      </c>
      <c r="P352" s="24">
        <v>1</v>
      </c>
      <c r="Q352" s="102">
        <v>0</v>
      </c>
      <c r="R352" s="30" t="s">
        <v>1905</v>
      </c>
      <c r="S352" s="24">
        <v>0</v>
      </c>
      <c r="T352" s="24"/>
      <c r="U352" s="94">
        <v>316.73</v>
      </c>
      <c r="V352" s="94">
        <v>258.22000000000003</v>
      </c>
      <c r="W352" s="106">
        <v>35.42</v>
      </c>
      <c r="X352" s="107" t="s">
        <v>1906</v>
      </c>
      <c r="Y352" s="106">
        <v>35.42</v>
      </c>
      <c r="Z352" s="107" t="s">
        <v>1906</v>
      </c>
      <c r="AA352" s="106">
        <v>35.42</v>
      </c>
      <c r="AB352" s="107" t="s">
        <v>1906</v>
      </c>
      <c r="AC352" s="106">
        <v>35.42</v>
      </c>
      <c r="AD352" s="107" t="s">
        <v>1906</v>
      </c>
      <c r="AE352" s="106">
        <v>10.28</v>
      </c>
      <c r="AF352" s="107" t="s">
        <v>1906</v>
      </c>
      <c r="AG352" s="106">
        <v>0</v>
      </c>
      <c r="AH352" s="107" t="s">
        <v>1906</v>
      </c>
      <c r="AI352" s="106">
        <v>0</v>
      </c>
      <c r="AJ352" s="107" t="s">
        <v>1906</v>
      </c>
      <c r="AK352" s="106">
        <v>0</v>
      </c>
      <c r="AL352" s="107" t="s">
        <v>1906</v>
      </c>
      <c r="AM352" s="106">
        <v>7.98</v>
      </c>
      <c r="AN352" s="107" t="s">
        <v>1906</v>
      </c>
      <c r="AO352" s="106">
        <v>34.200000000000003</v>
      </c>
      <c r="AP352" s="107" t="s">
        <v>1906</v>
      </c>
      <c r="AQ352" s="106">
        <v>34.200000000000003</v>
      </c>
      <c r="AR352" s="106" t="s">
        <v>1906</v>
      </c>
      <c r="AS352" s="106">
        <v>34.200000000000003</v>
      </c>
      <c r="AT352" s="107" t="s">
        <v>1906</v>
      </c>
      <c r="AU352" s="106">
        <f t="shared" si="16"/>
        <v>262.53999999999996</v>
      </c>
      <c r="AV352" s="25">
        <v>0.13500000000000001</v>
      </c>
      <c r="AW352" s="30" t="str">
        <f t="shared" si="17"/>
        <v>95-70</v>
      </c>
      <c r="AX352" s="30" t="s">
        <v>1907</v>
      </c>
      <c r="AY352" s="30">
        <v>0</v>
      </c>
      <c r="AZ352" s="30">
        <v>0</v>
      </c>
    </row>
    <row r="353" spans="1:52" ht="31.2" x14ac:dyDescent="0.3">
      <c r="A353" s="103">
        <v>343</v>
      </c>
      <c r="B353" s="30" t="s">
        <v>986</v>
      </c>
      <c r="C353" s="30" t="s">
        <v>1899</v>
      </c>
      <c r="D353" s="105" t="s">
        <v>1900</v>
      </c>
      <c r="E353" s="108" t="s">
        <v>1901</v>
      </c>
      <c r="F353" s="30" t="s">
        <v>1902</v>
      </c>
      <c r="G353" s="26" t="s">
        <v>145</v>
      </c>
      <c r="H353" s="24" t="s">
        <v>146</v>
      </c>
      <c r="I353" s="25">
        <v>1</v>
      </c>
      <c r="J353" s="24" t="s">
        <v>1903</v>
      </c>
      <c r="K353" s="24">
        <v>32</v>
      </c>
      <c r="L353" s="24">
        <v>5</v>
      </c>
      <c r="M353" s="24" t="str">
        <f t="shared" si="15"/>
        <v>95-70</v>
      </c>
      <c r="N353" s="24" t="s">
        <v>529</v>
      </c>
      <c r="O353" s="24" t="s">
        <v>529</v>
      </c>
      <c r="P353" s="24">
        <v>1</v>
      </c>
      <c r="Q353" s="102">
        <v>0</v>
      </c>
      <c r="R353" s="30" t="s">
        <v>1905</v>
      </c>
      <c r="S353" s="24">
        <v>0</v>
      </c>
      <c r="T353" s="24"/>
      <c r="U353" s="94">
        <f>576.41*0.96</f>
        <v>553.35359999999991</v>
      </c>
      <c r="V353" s="94">
        <f>631.27*0.96</f>
        <v>606.01919999999996</v>
      </c>
      <c r="W353" s="106">
        <f>86.59*0.96</f>
        <v>83.126400000000004</v>
      </c>
      <c r="X353" s="107" t="s">
        <v>1906</v>
      </c>
      <c r="Y353" s="106">
        <f>86.59*0.96</f>
        <v>83.126400000000004</v>
      </c>
      <c r="Z353" s="107" t="s">
        <v>1906</v>
      </c>
      <c r="AA353" s="106">
        <f>86.59*0.96</f>
        <v>83.126400000000004</v>
      </c>
      <c r="AB353" s="107" t="s">
        <v>1906</v>
      </c>
      <c r="AC353" s="106">
        <f>86.59*0.96</f>
        <v>83.126400000000004</v>
      </c>
      <c r="AD353" s="107" t="s">
        <v>1906</v>
      </c>
      <c r="AE353" s="106">
        <f>25.14*0.96</f>
        <v>24.134399999999999</v>
      </c>
      <c r="AF353" s="107" t="s">
        <v>1906</v>
      </c>
      <c r="AG353" s="106">
        <v>0</v>
      </c>
      <c r="AH353" s="107" t="s">
        <v>1906</v>
      </c>
      <c r="AI353" s="106">
        <v>0</v>
      </c>
      <c r="AJ353" s="107" t="s">
        <v>1906</v>
      </c>
      <c r="AK353" s="106">
        <v>0</v>
      </c>
      <c r="AL353" s="107" t="s">
        <v>1906</v>
      </c>
      <c r="AM353" s="106">
        <v>0</v>
      </c>
      <c r="AN353" s="107" t="s">
        <v>1906</v>
      </c>
      <c r="AO353" s="106">
        <f>83.31*0.96</f>
        <v>79.977599999999995</v>
      </c>
      <c r="AP353" s="107" t="s">
        <v>1906</v>
      </c>
      <c r="AQ353" s="106">
        <f>83.31*0.96</f>
        <v>79.977599999999995</v>
      </c>
      <c r="AR353" s="106" t="s">
        <v>1906</v>
      </c>
      <c r="AS353" s="106">
        <f>83.31*0.96</f>
        <v>79.977599999999995</v>
      </c>
      <c r="AT353" s="107" t="s">
        <v>1906</v>
      </c>
      <c r="AU353" s="106">
        <f t="shared" si="16"/>
        <v>596.57279999999992</v>
      </c>
      <c r="AV353" s="25">
        <v>0.27900000000000003</v>
      </c>
      <c r="AW353" s="30" t="str">
        <f t="shared" si="17"/>
        <v>95-70</v>
      </c>
      <c r="AX353" s="30" t="s">
        <v>1907</v>
      </c>
      <c r="AY353" s="30">
        <v>0</v>
      </c>
      <c r="AZ353" s="30">
        <v>0</v>
      </c>
    </row>
    <row r="354" spans="1:52" ht="31.2" x14ac:dyDescent="0.3">
      <c r="A354" s="103">
        <v>344</v>
      </c>
      <c r="B354" s="30" t="s">
        <v>987</v>
      </c>
      <c r="C354" s="30" t="s">
        <v>1899</v>
      </c>
      <c r="D354" s="105" t="s">
        <v>1900</v>
      </c>
      <c r="E354" s="108" t="s">
        <v>1901</v>
      </c>
      <c r="F354" s="30" t="s">
        <v>1902</v>
      </c>
      <c r="G354" s="26" t="s">
        <v>145</v>
      </c>
      <c r="H354" s="24" t="s">
        <v>146</v>
      </c>
      <c r="I354" s="25">
        <v>0</v>
      </c>
      <c r="J354" s="24" t="s">
        <v>1903</v>
      </c>
      <c r="K354" s="24">
        <v>32</v>
      </c>
      <c r="L354" s="24">
        <v>5</v>
      </c>
      <c r="M354" s="24" t="str">
        <f t="shared" si="15"/>
        <v>95-70</v>
      </c>
      <c r="N354" s="24" t="s">
        <v>529</v>
      </c>
      <c r="O354" s="24" t="s">
        <v>529</v>
      </c>
      <c r="P354" s="24">
        <v>0</v>
      </c>
      <c r="Q354" s="102">
        <v>0</v>
      </c>
      <c r="R354" s="30" t="s">
        <v>1905</v>
      </c>
      <c r="S354" s="24">
        <v>0</v>
      </c>
      <c r="T354" s="24"/>
      <c r="U354" s="94">
        <f>576.41*0.04</f>
        <v>23.0564</v>
      </c>
      <c r="V354" s="94">
        <f>631.27*0.04</f>
        <v>25.250799999999998</v>
      </c>
      <c r="W354" s="106">
        <f>86.59*0.04</f>
        <v>3.4636</v>
      </c>
      <c r="X354" s="107" t="s">
        <v>1906</v>
      </c>
      <c r="Y354" s="106">
        <f>86.59*0.04</f>
        <v>3.4636</v>
      </c>
      <c r="Z354" s="107" t="s">
        <v>1906</v>
      </c>
      <c r="AA354" s="106">
        <f>86.59*0.04</f>
        <v>3.4636</v>
      </c>
      <c r="AB354" s="107" t="s">
        <v>1906</v>
      </c>
      <c r="AC354" s="106">
        <f>86.59*0.04</f>
        <v>3.4636</v>
      </c>
      <c r="AD354" s="107" t="s">
        <v>1906</v>
      </c>
      <c r="AE354" s="106">
        <f>25.14*0.04</f>
        <v>1.0056</v>
      </c>
      <c r="AF354" s="107" t="s">
        <v>1906</v>
      </c>
      <c r="AG354" s="106">
        <v>0</v>
      </c>
      <c r="AH354" s="107" t="s">
        <v>1906</v>
      </c>
      <c r="AI354" s="106">
        <v>0</v>
      </c>
      <c r="AJ354" s="107" t="s">
        <v>1906</v>
      </c>
      <c r="AK354" s="106">
        <v>0</v>
      </c>
      <c r="AL354" s="107" t="s">
        <v>1906</v>
      </c>
      <c r="AM354" s="106">
        <v>0</v>
      </c>
      <c r="AN354" s="107" t="s">
        <v>1906</v>
      </c>
      <c r="AO354" s="106">
        <f>83.31*0.04</f>
        <v>3.3324000000000003</v>
      </c>
      <c r="AP354" s="107" t="s">
        <v>1906</v>
      </c>
      <c r="AQ354" s="106">
        <f>83.31*0.04</f>
        <v>3.3324000000000003</v>
      </c>
      <c r="AR354" s="106" t="s">
        <v>1906</v>
      </c>
      <c r="AS354" s="106">
        <f>83.31*0.04</f>
        <v>3.3324000000000003</v>
      </c>
      <c r="AT354" s="107" t="s">
        <v>1906</v>
      </c>
      <c r="AU354" s="106">
        <f t="shared" si="16"/>
        <v>24.857199999999999</v>
      </c>
      <c r="AV354" s="25">
        <v>1E-3</v>
      </c>
      <c r="AW354" s="30" t="str">
        <f t="shared" si="17"/>
        <v>95-70</v>
      </c>
      <c r="AX354" s="30" t="s">
        <v>1907</v>
      </c>
      <c r="AY354" s="30">
        <v>0</v>
      </c>
      <c r="AZ354" s="30">
        <v>0</v>
      </c>
    </row>
    <row r="355" spans="1:52" ht="31.2" x14ac:dyDescent="0.3">
      <c r="A355" s="103">
        <v>345</v>
      </c>
      <c r="B355" s="30" t="s">
        <v>989</v>
      </c>
      <c r="C355" s="30" t="s">
        <v>1899</v>
      </c>
      <c r="D355" s="105" t="s">
        <v>1900</v>
      </c>
      <c r="E355" s="108" t="s">
        <v>1901</v>
      </c>
      <c r="F355" s="30" t="s">
        <v>1902</v>
      </c>
      <c r="G355" s="26" t="s">
        <v>145</v>
      </c>
      <c r="H355" s="24" t="s">
        <v>146</v>
      </c>
      <c r="I355" s="25">
        <v>1</v>
      </c>
      <c r="J355" s="24" t="s">
        <v>1903</v>
      </c>
      <c r="K355" s="24">
        <v>40</v>
      </c>
      <c r="L355" s="24">
        <v>5</v>
      </c>
      <c r="M355" s="24" t="str">
        <f t="shared" si="15"/>
        <v>95-70</v>
      </c>
      <c r="N355" s="24" t="s">
        <v>529</v>
      </c>
      <c r="O355" s="24" t="s">
        <v>529</v>
      </c>
      <c r="P355" s="24">
        <v>1</v>
      </c>
      <c r="Q355" s="102">
        <v>0</v>
      </c>
      <c r="R355" s="30" t="s">
        <v>1905</v>
      </c>
      <c r="S355" s="24">
        <v>0</v>
      </c>
      <c r="T355" s="24"/>
      <c r="U355" s="94">
        <f>602.28*0.53</f>
        <v>319.20839999999998</v>
      </c>
      <c r="V355" s="94">
        <f>612.27*0.53</f>
        <v>324.50310000000002</v>
      </c>
      <c r="W355" s="106">
        <f>83.63*0.53</f>
        <v>44.323900000000002</v>
      </c>
      <c r="X355" s="107" t="s">
        <v>1906</v>
      </c>
      <c r="Y355" s="106">
        <f>83.63*0.53</f>
        <v>44.323900000000002</v>
      </c>
      <c r="Z355" s="107" t="s">
        <v>1906</v>
      </c>
      <c r="AA355" s="106">
        <f>83.63*0.53</f>
        <v>44.323900000000002</v>
      </c>
      <c r="AB355" s="107" t="s">
        <v>1906</v>
      </c>
      <c r="AC355" s="106">
        <f>83.58*0.53</f>
        <v>44.297400000000003</v>
      </c>
      <c r="AD355" s="107" t="s">
        <v>1906</v>
      </c>
      <c r="AE355" s="106">
        <f>26.91*0.53</f>
        <v>14.262300000000002</v>
      </c>
      <c r="AF355" s="107" t="s">
        <v>1906</v>
      </c>
      <c r="AG355" s="106">
        <v>0</v>
      </c>
      <c r="AH355" s="107" t="s">
        <v>1906</v>
      </c>
      <c r="AI355" s="106">
        <v>0</v>
      </c>
      <c r="AJ355" s="107" t="s">
        <v>1906</v>
      </c>
      <c r="AK355" s="106">
        <v>0</v>
      </c>
      <c r="AL355" s="107" t="s">
        <v>1906</v>
      </c>
      <c r="AM355" s="106">
        <f>18.4*0.53</f>
        <v>9.7519999999999989</v>
      </c>
      <c r="AN355" s="107" t="s">
        <v>1906</v>
      </c>
      <c r="AO355" s="106">
        <f>78.86*0.53</f>
        <v>41.7958</v>
      </c>
      <c r="AP355" s="107" t="s">
        <v>1906</v>
      </c>
      <c r="AQ355" s="106">
        <f>78.86*0.53</f>
        <v>41.7958</v>
      </c>
      <c r="AR355" s="106" t="s">
        <v>1906</v>
      </c>
      <c r="AS355" s="106">
        <f>78.86*0.53</f>
        <v>41.7958</v>
      </c>
      <c r="AT355" s="107" t="s">
        <v>1906</v>
      </c>
      <c r="AU355" s="106">
        <f t="shared" si="16"/>
        <v>326.67079999999999</v>
      </c>
      <c r="AV355" s="25">
        <v>0.31519999999999998</v>
      </c>
      <c r="AW355" s="30" t="str">
        <f t="shared" si="17"/>
        <v>95-70</v>
      </c>
      <c r="AX355" s="30" t="s">
        <v>1907</v>
      </c>
      <c r="AY355" s="30">
        <v>0</v>
      </c>
      <c r="AZ355" s="30">
        <v>0</v>
      </c>
    </row>
    <row r="356" spans="1:52" ht="31.2" x14ac:dyDescent="0.3">
      <c r="A356" s="103">
        <v>346</v>
      </c>
      <c r="B356" s="30" t="s">
        <v>990</v>
      </c>
      <c r="C356" s="30" t="s">
        <v>1899</v>
      </c>
      <c r="D356" s="105" t="s">
        <v>1900</v>
      </c>
      <c r="E356" s="108" t="s">
        <v>1901</v>
      </c>
      <c r="F356" s="30" t="s">
        <v>1902</v>
      </c>
      <c r="G356" s="26" t="s">
        <v>145</v>
      </c>
      <c r="H356" s="24" t="s">
        <v>146</v>
      </c>
      <c r="I356" s="25">
        <v>0</v>
      </c>
      <c r="J356" s="24" t="s">
        <v>1903</v>
      </c>
      <c r="K356" s="24">
        <v>32</v>
      </c>
      <c r="L356" s="24">
        <v>5</v>
      </c>
      <c r="M356" s="24" t="str">
        <f t="shared" si="15"/>
        <v>95-70</v>
      </c>
      <c r="N356" s="24" t="s">
        <v>529</v>
      </c>
      <c r="O356" s="24" t="s">
        <v>529</v>
      </c>
      <c r="P356" s="24">
        <v>0</v>
      </c>
      <c r="Q356" s="102">
        <v>0</v>
      </c>
      <c r="R356" s="30" t="s">
        <v>1905</v>
      </c>
      <c r="S356" s="24">
        <v>0</v>
      </c>
      <c r="T356" s="24"/>
      <c r="U356" s="94">
        <f>602.28*0.47</f>
        <v>283.07159999999999</v>
      </c>
      <c r="V356" s="94">
        <f>612.27*0.47</f>
        <v>287.76689999999996</v>
      </c>
      <c r="W356" s="106">
        <f>83.63*0.47</f>
        <v>39.306099999999994</v>
      </c>
      <c r="X356" s="107" t="s">
        <v>1906</v>
      </c>
      <c r="Y356" s="106">
        <f>83.63*0.47</f>
        <v>39.306099999999994</v>
      </c>
      <c r="Z356" s="107" t="s">
        <v>1906</v>
      </c>
      <c r="AA356" s="106">
        <f>83.63*0.47</f>
        <v>39.306099999999994</v>
      </c>
      <c r="AB356" s="107" t="s">
        <v>1906</v>
      </c>
      <c r="AC356" s="106">
        <f>83.58*0.47</f>
        <v>39.282599999999995</v>
      </c>
      <c r="AD356" s="107" t="s">
        <v>1906</v>
      </c>
      <c r="AE356" s="106">
        <f>26.91*0.47</f>
        <v>12.647699999999999</v>
      </c>
      <c r="AF356" s="107" t="s">
        <v>1906</v>
      </c>
      <c r="AG356" s="106">
        <v>0</v>
      </c>
      <c r="AH356" s="107" t="s">
        <v>1906</v>
      </c>
      <c r="AI356" s="106">
        <v>0</v>
      </c>
      <c r="AJ356" s="107" t="s">
        <v>1906</v>
      </c>
      <c r="AK356" s="106">
        <v>0</v>
      </c>
      <c r="AL356" s="107" t="s">
        <v>1906</v>
      </c>
      <c r="AM356" s="106">
        <f>18.4*0.47</f>
        <v>8.6479999999999997</v>
      </c>
      <c r="AN356" s="107" t="s">
        <v>1906</v>
      </c>
      <c r="AO356" s="106">
        <f>78.86*0.47</f>
        <v>37.0642</v>
      </c>
      <c r="AP356" s="107" t="s">
        <v>1906</v>
      </c>
      <c r="AQ356" s="106">
        <f>78.86*0.47</f>
        <v>37.0642</v>
      </c>
      <c r="AR356" s="106" t="s">
        <v>1906</v>
      </c>
      <c r="AS356" s="106">
        <f>78.86*0.47</f>
        <v>37.0642</v>
      </c>
      <c r="AT356" s="107" t="s">
        <v>1906</v>
      </c>
      <c r="AU356" s="106">
        <f t="shared" si="16"/>
        <v>289.68919999999997</v>
      </c>
      <c r="AV356" s="25">
        <v>1E-3</v>
      </c>
      <c r="AW356" s="30" t="str">
        <f t="shared" si="17"/>
        <v>95-70</v>
      </c>
      <c r="AX356" s="30" t="s">
        <v>1907</v>
      </c>
      <c r="AY356" s="30">
        <v>0</v>
      </c>
      <c r="AZ356" s="30">
        <v>0</v>
      </c>
    </row>
    <row r="357" spans="1:52" ht="31.2" x14ac:dyDescent="0.3">
      <c r="A357" s="103">
        <v>347</v>
      </c>
      <c r="B357" s="30" t="s">
        <v>992</v>
      </c>
      <c r="C357" s="30" t="s">
        <v>1899</v>
      </c>
      <c r="D357" s="105" t="s">
        <v>1900</v>
      </c>
      <c r="E357" s="108" t="s">
        <v>1901</v>
      </c>
      <c r="F357" s="30" t="s">
        <v>1902</v>
      </c>
      <c r="G357" s="26" t="s">
        <v>145</v>
      </c>
      <c r="H357" s="24" t="s">
        <v>146</v>
      </c>
      <c r="I357" s="25">
        <v>1</v>
      </c>
      <c r="J357" s="24" t="s">
        <v>1903</v>
      </c>
      <c r="K357" s="24">
        <v>50</v>
      </c>
      <c r="L357" s="24">
        <v>5</v>
      </c>
      <c r="M357" s="24" t="str">
        <f t="shared" si="15"/>
        <v>95-70</v>
      </c>
      <c r="N357" s="24" t="s">
        <v>529</v>
      </c>
      <c r="O357" s="24" t="s">
        <v>529</v>
      </c>
      <c r="P357" s="24">
        <v>1</v>
      </c>
      <c r="Q357" s="102">
        <v>0</v>
      </c>
      <c r="R357" s="30" t="s">
        <v>1905</v>
      </c>
      <c r="S357" s="24">
        <v>0</v>
      </c>
      <c r="T357" s="24"/>
      <c r="U357" s="94">
        <v>546.65</v>
      </c>
      <c r="V357" s="94">
        <v>657.83</v>
      </c>
      <c r="W357" s="106">
        <v>116.74</v>
      </c>
      <c r="X357" s="107" t="s">
        <v>208</v>
      </c>
      <c r="Y357" s="106">
        <v>73.89</v>
      </c>
      <c r="Z357" s="107" t="s">
        <v>208</v>
      </c>
      <c r="AA357" s="106">
        <v>110.51</v>
      </c>
      <c r="AB357" s="107" t="s">
        <v>208</v>
      </c>
      <c r="AC357" s="106">
        <v>85.74</v>
      </c>
      <c r="AD357" s="107" t="s">
        <v>208</v>
      </c>
      <c r="AE357" s="106">
        <v>25.61</v>
      </c>
      <c r="AF357" s="107" t="s">
        <v>208</v>
      </c>
      <c r="AG357" s="106">
        <v>0</v>
      </c>
      <c r="AH357" s="107" t="s">
        <v>208</v>
      </c>
      <c r="AI357" s="106">
        <v>0</v>
      </c>
      <c r="AJ357" s="107" t="s">
        <v>208</v>
      </c>
      <c r="AK357" s="106">
        <v>0</v>
      </c>
      <c r="AL357" s="107" t="s">
        <v>208</v>
      </c>
      <c r="AM357" s="106">
        <v>0</v>
      </c>
      <c r="AN357" s="107" t="s">
        <v>208</v>
      </c>
      <c r="AO357" s="106">
        <v>43.21</v>
      </c>
      <c r="AP357" s="107" t="s">
        <v>208</v>
      </c>
      <c r="AQ357" s="106">
        <v>53.7</v>
      </c>
      <c r="AR357" s="106" t="s">
        <v>208</v>
      </c>
      <c r="AS357" s="106">
        <v>75.319999999999993</v>
      </c>
      <c r="AT357" s="107" t="s">
        <v>208</v>
      </c>
      <c r="AU357" s="106">
        <f t="shared" si="16"/>
        <v>584.72</v>
      </c>
      <c r="AV357" s="25">
        <v>0.28599999999999998</v>
      </c>
      <c r="AW357" s="30" t="str">
        <f t="shared" si="17"/>
        <v>95-70</v>
      </c>
      <c r="AX357" s="30" t="s">
        <v>1907</v>
      </c>
      <c r="AY357" s="30">
        <v>0</v>
      </c>
      <c r="AZ357" s="30">
        <v>0</v>
      </c>
    </row>
    <row r="358" spans="1:52" ht="31.2" x14ac:dyDescent="0.3">
      <c r="A358" s="103">
        <v>348</v>
      </c>
      <c r="B358" s="30" t="s">
        <v>994</v>
      </c>
      <c r="C358" s="30" t="s">
        <v>1899</v>
      </c>
      <c r="D358" s="105" t="s">
        <v>1900</v>
      </c>
      <c r="E358" s="108" t="s">
        <v>1901</v>
      </c>
      <c r="F358" s="30" t="s">
        <v>1902</v>
      </c>
      <c r="G358" s="26" t="s">
        <v>145</v>
      </c>
      <c r="H358" s="24" t="s">
        <v>146</v>
      </c>
      <c r="I358" s="25">
        <v>0</v>
      </c>
      <c r="J358" s="24" t="s">
        <v>1903</v>
      </c>
      <c r="K358" s="24">
        <v>32</v>
      </c>
      <c r="L358" s="24">
        <v>5</v>
      </c>
      <c r="M358" s="24" t="str">
        <f t="shared" si="15"/>
        <v>95-70</v>
      </c>
      <c r="N358" s="24" t="s">
        <v>529</v>
      </c>
      <c r="O358" s="24" t="s">
        <v>529</v>
      </c>
      <c r="P358" s="24">
        <v>0</v>
      </c>
      <c r="Q358" s="102">
        <v>0</v>
      </c>
      <c r="R358" s="30" t="s">
        <v>1905</v>
      </c>
      <c r="S358" s="24">
        <v>0</v>
      </c>
      <c r="T358" s="24"/>
      <c r="U358" s="94">
        <v>299.7299999999999</v>
      </c>
      <c r="V358" s="94">
        <v>288.14</v>
      </c>
      <c r="W358" s="106">
        <v>39.35</v>
      </c>
      <c r="X358" s="107" t="s">
        <v>1906</v>
      </c>
      <c r="Y358" s="106">
        <v>39.35</v>
      </c>
      <c r="Z358" s="107" t="s">
        <v>1906</v>
      </c>
      <c r="AA358" s="106">
        <v>39.35</v>
      </c>
      <c r="AB358" s="107" t="s">
        <v>1906</v>
      </c>
      <c r="AC358" s="106">
        <v>39.35</v>
      </c>
      <c r="AD358" s="107" t="s">
        <v>1906</v>
      </c>
      <c r="AE358" s="106">
        <v>12.69</v>
      </c>
      <c r="AF358" s="107" t="s">
        <v>1906</v>
      </c>
      <c r="AG358" s="106">
        <v>0</v>
      </c>
      <c r="AH358" s="107" t="s">
        <v>1906</v>
      </c>
      <c r="AI358" s="106">
        <v>0</v>
      </c>
      <c r="AJ358" s="107" t="s">
        <v>1906</v>
      </c>
      <c r="AK358" s="106">
        <v>0</v>
      </c>
      <c r="AL358" s="107" t="s">
        <v>1906</v>
      </c>
      <c r="AM358" s="106">
        <v>7.79</v>
      </c>
      <c r="AN358" s="107" t="s">
        <v>1906</v>
      </c>
      <c r="AO358" s="106">
        <v>38.96</v>
      </c>
      <c r="AP358" s="107" t="s">
        <v>1906</v>
      </c>
      <c r="AQ358" s="106">
        <v>38.96</v>
      </c>
      <c r="AR358" s="106" t="s">
        <v>1906</v>
      </c>
      <c r="AS358" s="106">
        <v>38.96</v>
      </c>
      <c r="AT358" s="107" t="s">
        <v>1906</v>
      </c>
      <c r="AU358" s="106">
        <f t="shared" si="16"/>
        <v>294.76</v>
      </c>
      <c r="AV358" s="25">
        <v>0.15559999999999999</v>
      </c>
      <c r="AW358" s="30" t="str">
        <f t="shared" si="17"/>
        <v>95-70</v>
      </c>
      <c r="AX358" s="30" t="s">
        <v>1907</v>
      </c>
      <c r="AY358" s="30">
        <v>0</v>
      </c>
      <c r="AZ358" s="30">
        <v>0</v>
      </c>
    </row>
    <row r="359" spans="1:52" ht="31.2" x14ac:dyDescent="0.3">
      <c r="A359" s="103">
        <v>349</v>
      </c>
      <c r="B359" s="30" t="s">
        <v>995</v>
      </c>
      <c r="C359" s="30" t="s">
        <v>1899</v>
      </c>
      <c r="D359" s="105" t="s">
        <v>1900</v>
      </c>
      <c r="E359" s="108" t="s">
        <v>1901</v>
      </c>
      <c r="F359" s="30" t="s">
        <v>1902</v>
      </c>
      <c r="G359" s="26" t="s">
        <v>145</v>
      </c>
      <c r="H359" s="24" t="s">
        <v>146</v>
      </c>
      <c r="I359" s="25">
        <v>1</v>
      </c>
      <c r="J359" s="24" t="s">
        <v>1903</v>
      </c>
      <c r="K359" s="24">
        <v>40</v>
      </c>
      <c r="L359" s="24">
        <v>5</v>
      </c>
      <c r="M359" s="24" t="str">
        <f t="shared" si="15"/>
        <v>95-70</v>
      </c>
      <c r="N359" s="24" t="s">
        <v>529</v>
      </c>
      <c r="O359" s="24" t="s">
        <v>529</v>
      </c>
      <c r="P359" s="24">
        <v>1</v>
      </c>
      <c r="Q359" s="102">
        <v>0</v>
      </c>
      <c r="R359" s="30" t="s">
        <v>1905</v>
      </c>
      <c r="S359" s="24">
        <v>0</v>
      </c>
      <c r="T359" s="24"/>
      <c r="U359" s="94">
        <v>587.38</v>
      </c>
      <c r="V359" s="94">
        <v>503.55000000000007</v>
      </c>
      <c r="W359" s="106">
        <v>104.88</v>
      </c>
      <c r="X359" s="107" t="s">
        <v>208</v>
      </c>
      <c r="Y359" s="106">
        <v>68.11</v>
      </c>
      <c r="Z359" s="107" t="s">
        <v>208</v>
      </c>
      <c r="AA359" s="106">
        <v>93.45</v>
      </c>
      <c r="AB359" s="107" t="s">
        <v>208</v>
      </c>
      <c r="AC359" s="106">
        <v>73.08</v>
      </c>
      <c r="AD359" s="107" t="s">
        <v>208</v>
      </c>
      <c r="AE359" s="106">
        <v>19.64</v>
      </c>
      <c r="AF359" s="107" t="s">
        <v>208</v>
      </c>
      <c r="AG359" s="106">
        <v>0</v>
      </c>
      <c r="AH359" s="107" t="s">
        <v>208</v>
      </c>
      <c r="AI359" s="106">
        <v>0</v>
      </c>
      <c r="AJ359" s="107" t="s">
        <v>208</v>
      </c>
      <c r="AK359" s="106">
        <v>0</v>
      </c>
      <c r="AL359" s="107" t="s">
        <v>208</v>
      </c>
      <c r="AM359" s="106">
        <v>0</v>
      </c>
      <c r="AN359" s="107" t="s">
        <v>208</v>
      </c>
      <c r="AO359" s="106">
        <v>36.270000000000003</v>
      </c>
      <c r="AP359" s="107" t="s">
        <v>208</v>
      </c>
      <c r="AQ359" s="106">
        <v>39.46</v>
      </c>
      <c r="AR359" s="106" t="s">
        <v>208</v>
      </c>
      <c r="AS359" s="106">
        <v>67.52</v>
      </c>
      <c r="AT359" s="107" t="s">
        <v>208</v>
      </c>
      <c r="AU359" s="106">
        <f t="shared" si="16"/>
        <v>502.40999999999991</v>
      </c>
      <c r="AV359" s="25">
        <v>0.25669999999999998</v>
      </c>
      <c r="AW359" s="30" t="str">
        <f t="shared" si="17"/>
        <v>95-70</v>
      </c>
      <c r="AX359" s="30" t="s">
        <v>1907</v>
      </c>
      <c r="AY359" s="30">
        <v>0</v>
      </c>
      <c r="AZ359" s="30">
        <v>0</v>
      </c>
    </row>
    <row r="360" spans="1:52" ht="31.2" x14ac:dyDescent="0.3">
      <c r="A360" s="103">
        <v>350</v>
      </c>
      <c r="B360" s="30" t="s">
        <v>996</v>
      </c>
      <c r="C360" s="30" t="s">
        <v>1899</v>
      </c>
      <c r="D360" s="105" t="s">
        <v>1900</v>
      </c>
      <c r="E360" s="108" t="s">
        <v>1901</v>
      </c>
      <c r="F360" s="30" t="s">
        <v>1902</v>
      </c>
      <c r="G360" s="26" t="s">
        <v>145</v>
      </c>
      <c r="H360" s="24" t="s">
        <v>146</v>
      </c>
      <c r="I360" s="25">
        <v>1</v>
      </c>
      <c r="J360" s="24" t="s">
        <v>1903</v>
      </c>
      <c r="K360" s="24">
        <v>32</v>
      </c>
      <c r="L360" s="24">
        <v>5</v>
      </c>
      <c r="M360" s="24" t="str">
        <f t="shared" si="15"/>
        <v>95-70</v>
      </c>
      <c r="N360" s="24" t="s">
        <v>529</v>
      </c>
      <c r="O360" s="24" t="s">
        <v>529</v>
      </c>
      <c r="P360" s="24">
        <v>1</v>
      </c>
      <c r="Q360" s="102">
        <v>0</v>
      </c>
      <c r="R360" s="30" t="s">
        <v>1905</v>
      </c>
      <c r="S360" s="24">
        <v>0</v>
      </c>
      <c r="T360" s="24"/>
      <c r="U360" s="94">
        <f>247.54*0.44</f>
        <v>108.91759999999999</v>
      </c>
      <c r="V360" s="94">
        <f>157.53*0.44</f>
        <v>69.313199999999995</v>
      </c>
      <c r="W360" s="106">
        <f>30.18*0.44</f>
        <v>13.279199999999999</v>
      </c>
      <c r="X360" s="107" t="s">
        <v>208</v>
      </c>
      <c r="Y360" s="106">
        <f>18.47*0.44</f>
        <v>8.1267999999999994</v>
      </c>
      <c r="Z360" s="107" t="s">
        <v>208</v>
      </c>
      <c r="AA360" s="106">
        <f>26.68*0.44</f>
        <v>11.7392</v>
      </c>
      <c r="AB360" s="107" t="s">
        <v>208</v>
      </c>
      <c r="AC360" s="106">
        <f>20.14*0.44</f>
        <v>8.861600000000001</v>
      </c>
      <c r="AD360" s="107" t="s">
        <v>208</v>
      </c>
      <c r="AE360" s="106">
        <f>6.62*0.44</f>
        <v>2.9128000000000003</v>
      </c>
      <c r="AF360" s="107" t="s">
        <v>208</v>
      </c>
      <c r="AG360" s="106">
        <v>0</v>
      </c>
      <c r="AH360" s="107" t="s">
        <v>208</v>
      </c>
      <c r="AI360" s="106">
        <v>0</v>
      </c>
      <c r="AJ360" s="107" t="s">
        <v>208</v>
      </c>
      <c r="AK360" s="106">
        <v>0</v>
      </c>
      <c r="AL360" s="107" t="s">
        <v>208</v>
      </c>
      <c r="AM360" s="106">
        <v>0</v>
      </c>
      <c r="AN360" s="107" t="s">
        <v>208</v>
      </c>
      <c r="AO360" s="106">
        <f>10.68*0.44</f>
        <v>4.6992000000000003</v>
      </c>
      <c r="AP360" s="107" t="s">
        <v>208</v>
      </c>
      <c r="AQ360" s="106">
        <f>12.36*0.44</f>
        <v>5.4383999999999997</v>
      </c>
      <c r="AR360" s="106" t="s">
        <v>208</v>
      </c>
      <c r="AS360" s="106">
        <f>17.82*0.44</f>
        <v>7.8407999999999998</v>
      </c>
      <c r="AT360" s="107" t="s">
        <v>208</v>
      </c>
      <c r="AU360" s="106">
        <f t="shared" si="16"/>
        <v>62.898000000000003</v>
      </c>
      <c r="AV360" s="25">
        <v>0.1255</v>
      </c>
      <c r="AW360" s="30" t="str">
        <f t="shared" si="17"/>
        <v>95-70</v>
      </c>
      <c r="AX360" s="30" t="s">
        <v>1907</v>
      </c>
      <c r="AY360" s="30">
        <v>0</v>
      </c>
      <c r="AZ360" s="30">
        <v>0</v>
      </c>
    </row>
    <row r="361" spans="1:52" ht="31.2" x14ac:dyDescent="0.3">
      <c r="A361" s="103">
        <v>351</v>
      </c>
      <c r="B361" s="30" t="s">
        <v>997</v>
      </c>
      <c r="C361" s="30" t="s">
        <v>1899</v>
      </c>
      <c r="D361" s="105" t="s">
        <v>1900</v>
      </c>
      <c r="E361" s="108" t="s">
        <v>1901</v>
      </c>
      <c r="F361" s="30" t="s">
        <v>1902</v>
      </c>
      <c r="G361" s="26" t="s">
        <v>145</v>
      </c>
      <c r="H361" s="24" t="s">
        <v>146</v>
      </c>
      <c r="I361" s="25">
        <v>0</v>
      </c>
      <c r="J361" s="24" t="s">
        <v>1903</v>
      </c>
      <c r="K361" s="24">
        <v>32</v>
      </c>
      <c r="L361" s="24">
        <v>5</v>
      </c>
      <c r="M361" s="24" t="str">
        <f t="shared" si="15"/>
        <v>95-70</v>
      </c>
      <c r="N361" s="24" t="s">
        <v>529</v>
      </c>
      <c r="O361" s="24" t="s">
        <v>529</v>
      </c>
      <c r="P361" s="24">
        <v>0</v>
      </c>
      <c r="Q361" s="102">
        <v>0</v>
      </c>
      <c r="R361" s="30" t="s">
        <v>1905</v>
      </c>
      <c r="S361" s="24">
        <v>0</v>
      </c>
      <c r="T361" s="24"/>
      <c r="U361" s="94">
        <f>247.54*0.56</f>
        <v>138.6224</v>
      </c>
      <c r="V361" s="94">
        <f>157.53*0.56</f>
        <v>88.216800000000006</v>
      </c>
      <c r="W361" s="106">
        <f>30.18*0.56</f>
        <v>16.9008</v>
      </c>
      <c r="X361" s="107" t="s">
        <v>1906</v>
      </c>
      <c r="Y361" s="106">
        <f>18.47*0.56</f>
        <v>10.3432</v>
      </c>
      <c r="Z361" s="107" t="s">
        <v>1906</v>
      </c>
      <c r="AA361" s="106">
        <f>26.68*0.56</f>
        <v>14.940800000000001</v>
      </c>
      <c r="AB361" s="107" t="s">
        <v>1906</v>
      </c>
      <c r="AC361" s="106">
        <f>20.14*0.56</f>
        <v>11.278400000000001</v>
      </c>
      <c r="AD361" s="107" t="s">
        <v>1906</v>
      </c>
      <c r="AE361" s="106">
        <f>6.62*0.56</f>
        <v>3.7072000000000003</v>
      </c>
      <c r="AF361" s="107" t="s">
        <v>1906</v>
      </c>
      <c r="AG361" s="106">
        <v>0</v>
      </c>
      <c r="AH361" s="107" t="s">
        <v>1906</v>
      </c>
      <c r="AI361" s="106">
        <v>0</v>
      </c>
      <c r="AJ361" s="107" t="s">
        <v>1906</v>
      </c>
      <c r="AK361" s="106">
        <v>0</v>
      </c>
      <c r="AL361" s="107" t="s">
        <v>1906</v>
      </c>
      <c r="AM361" s="106">
        <v>0</v>
      </c>
      <c r="AN361" s="107" t="s">
        <v>1906</v>
      </c>
      <c r="AO361" s="106">
        <f>10.68*0.56</f>
        <v>5.9808000000000003</v>
      </c>
      <c r="AP361" s="107" t="s">
        <v>1906</v>
      </c>
      <c r="AQ361" s="106">
        <f>12.36*0.56</f>
        <v>6.9216000000000006</v>
      </c>
      <c r="AR361" s="106" t="s">
        <v>1906</v>
      </c>
      <c r="AS361" s="106">
        <f>17.82*0.56</f>
        <v>9.9792000000000005</v>
      </c>
      <c r="AT361" s="107" t="s">
        <v>1906</v>
      </c>
      <c r="AU361" s="106">
        <f t="shared" si="16"/>
        <v>80.052000000000007</v>
      </c>
      <c r="AV361" s="25">
        <v>1E-3</v>
      </c>
      <c r="AW361" s="30" t="str">
        <f t="shared" si="17"/>
        <v>95-70</v>
      </c>
      <c r="AX361" s="30" t="s">
        <v>1907</v>
      </c>
      <c r="AY361" s="30">
        <v>0</v>
      </c>
      <c r="AZ361" s="30">
        <v>0</v>
      </c>
    </row>
    <row r="362" spans="1:52" ht="31.2" x14ac:dyDescent="0.3">
      <c r="A362" s="103">
        <v>352</v>
      </c>
      <c r="B362" s="30" t="s">
        <v>999</v>
      </c>
      <c r="C362" s="30" t="s">
        <v>1899</v>
      </c>
      <c r="D362" s="105" t="s">
        <v>1900</v>
      </c>
      <c r="E362" s="108" t="s">
        <v>1901</v>
      </c>
      <c r="F362" s="30" t="s">
        <v>1902</v>
      </c>
      <c r="G362" s="26" t="s">
        <v>145</v>
      </c>
      <c r="H362" s="24" t="s">
        <v>146</v>
      </c>
      <c r="I362" s="25">
        <v>1</v>
      </c>
      <c r="J362" s="24" t="s">
        <v>1903</v>
      </c>
      <c r="K362" s="24">
        <v>32</v>
      </c>
      <c r="L362" s="24">
        <v>5</v>
      </c>
      <c r="M362" s="24" t="str">
        <f t="shared" si="15"/>
        <v>95-70</v>
      </c>
      <c r="N362" s="24" t="s">
        <v>529</v>
      </c>
      <c r="O362" s="24" t="s">
        <v>529</v>
      </c>
      <c r="P362" s="24">
        <v>1</v>
      </c>
      <c r="Q362" s="102">
        <v>0</v>
      </c>
      <c r="R362" s="30" t="s">
        <v>1905</v>
      </c>
      <c r="S362" s="24">
        <v>0</v>
      </c>
      <c r="T362" s="24"/>
      <c r="U362" s="94">
        <v>476.26</v>
      </c>
      <c r="V362" s="94">
        <v>480.21999999999997</v>
      </c>
      <c r="W362" s="106">
        <v>65.58</v>
      </c>
      <c r="X362" s="107" t="s">
        <v>1906</v>
      </c>
      <c r="Y362" s="106">
        <v>65.58</v>
      </c>
      <c r="Z362" s="107" t="s">
        <v>1906</v>
      </c>
      <c r="AA362" s="106">
        <v>65.58</v>
      </c>
      <c r="AB362" s="107" t="s">
        <v>1906</v>
      </c>
      <c r="AC362" s="106">
        <v>65.58</v>
      </c>
      <c r="AD362" s="107" t="s">
        <v>1906</v>
      </c>
      <c r="AE362" s="106">
        <v>21.16</v>
      </c>
      <c r="AF362" s="107" t="s">
        <v>1906</v>
      </c>
      <c r="AG362" s="106">
        <v>0</v>
      </c>
      <c r="AH362" s="107" t="s">
        <v>1906</v>
      </c>
      <c r="AI362" s="106">
        <v>0</v>
      </c>
      <c r="AJ362" s="107" t="s">
        <v>1906</v>
      </c>
      <c r="AK362" s="106">
        <v>0</v>
      </c>
      <c r="AL362" s="107" t="s">
        <v>1906</v>
      </c>
      <c r="AM362" s="106">
        <v>12.57</v>
      </c>
      <c r="AN362" s="107" t="s">
        <v>1906</v>
      </c>
      <c r="AO362" s="106">
        <v>62.86</v>
      </c>
      <c r="AP362" s="107" t="s">
        <v>1906</v>
      </c>
      <c r="AQ362" s="106">
        <v>62.86</v>
      </c>
      <c r="AR362" s="106" t="s">
        <v>1906</v>
      </c>
      <c r="AS362" s="106">
        <v>62.86</v>
      </c>
      <c r="AT362" s="107" t="s">
        <v>1906</v>
      </c>
      <c r="AU362" s="106">
        <f t="shared" si="16"/>
        <v>484.63000000000005</v>
      </c>
      <c r="AV362" s="25">
        <v>0.2472</v>
      </c>
      <c r="AW362" s="30" t="str">
        <f t="shared" si="17"/>
        <v>95-70</v>
      </c>
      <c r="AX362" s="30" t="s">
        <v>1907</v>
      </c>
      <c r="AY362" s="30">
        <v>0</v>
      </c>
      <c r="AZ362" s="30">
        <v>0</v>
      </c>
    </row>
    <row r="363" spans="1:52" ht="31.2" x14ac:dyDescent="0.3">
      <c r="A363" s="103">
        <v>353</v>
      </c>
      <c r="B363" s="30" t="s">
        <v>1002</v>
      </c>
      <c r="C363" s="30" t="s">
        <v>1899</v>
      </c>
      <c r="D363" s="105" t="s">
        <v>1900</v>
      </c>
      <c r="E363" s="108" t="s">
        <v>1901</v>
      </c>
      <c r="F363" s="30" t="s">
        <v>1902</v>
      </c>
      <c r="G363" s="26" t="s">
        <v>145</v>
      </c>
      <c r="H363" s="24" t="s">
        <v>146</v>
      </c>
      <c r="I363" s="25">
        <v>1</v>
      </c>
      <c r="J363" s="24" t="s">
        <v>1903</v>
      </c>
      <c r="K363" s="24">
        <v>32</v>
      </c>
      <c r="L363" s="24">
        <v>5</v>
      </c>
      <c r="M363" s="24" t="str">
        <f t="shared" si="15"/>
        <v>95-70</v>
      </c>
      <c r="N363" s="24" t="s">
        <v>529</v>
      </c>
      <c r="O363" s="24" t="s">
        <v>529</v>
      </c>
      <c r="P363" s="24">
        <v>1</v>
      </c>
      <c r="Q363" s="102">
        <v>0</v>
      </c>
      <c r="R363" s="30" t="s">
        <v>1905</v>
      </c>
      <c r="S363" s="24">
        <v>0</v>
      </c>
      <c r="T363" s="24"/>
      <c r="U363" s="94">
        <v>310.92</v>
      </c>
      <c r="V363" s="94">
        <v>331.36</v>
      </c>
      <c r="W363" s="106">
        <v>45.44</v>
      </c>
      <c r="X363" s="107" t="s">
        <v>1906</v>
      </c>
      <c r="Y363" s="106">
        <v>45.44</v>
      </c>
      <c r="Z363" s="107" t="s">
        <v>1906</v>
      </c>
      <c r="AA363" s="106">
        <v>45.44</v>
      </c>
      <c r="AB363" s="107" t="s">
        <v>1906</v>
      </c>
      <c r="AC363" s="106">
        <v>44.85</v>
      </c>
      <c r="AD363" s="107" t="s">
        <v>1906</v>
      </c>
      <c r="AE363" s="106">
        <v>13.87</v>
      </c>
      <c r="AF363" s="107" t="s">
        <v>1906</v>
      </c>
      <c r="AG363" s="106">
        <v>0</v>
      </c>
      <c r="AH363" s="107" t="s">
        <v>1906</v>
      </c>
      <c r="AI363" s="106">
        <v>0</v>
      </c>
      <c r="AJ363" s="107" t="s">
        <v>1906</v>
      </c>
      <c r="AK363" s="106">
        <v>0</v>
      </c>
      <c r="AL363" s="107" t="s">
        <v>1906</v>
      </c>
      <c r="AM363" s="106">
        <v>10.47</v>
      </c>
      <c r="AN363" s="107" t="s">
        <v>1906</v>
      </c>
      <c r="AO363" s="106">
        <v>44.85</v>
      </c>
      <c r="AP363" s="107" t="s">
        <v>1906</v>
      </c>
      <c r="AQ363" s="106">
        <v>44.85</v>
      </c>
      <c r="AR363" s="106" t="s">
        <v>1906</v>
      </c>
      <c r="AS363" s="106">
        <v>44.85</v>
      </c>
      <c r="AT363" s="107" t="s">
        <v>1906</v>
      </c>
      <c r="AU363" s="106">
        <f t="shared" si="16"/>
        <v>340.06</v>
      </c>
      <c r="AV363" s="25">
        <v>0.14849999999999999</v>
      </c>
      <c r="AW363" s="30" t="str">
        <f t="shared" si="17"/>
        <v>95-70</v>
      </c>
      <c r="AX363" s="30" t="s">
        <v>1907</v>
      </c>
      <c r="AY363" s="30">
        <v>0</v>
      </c>
      <c r="AZ363" s="30">
        <v>0</v>
      </c>
    </row>
    <row r="364" spans="1:52" ht="31.2" x14ac:dyDescent="0.3">
      <c r="A364" s="103">
        <v>354</v>
      </c>
      <c r="B364" s="30" t="s">
        <v>1003</v>
      </c>
      <c r="C364" s="30" t="s">
        <v>1899</v>
      </c>
      <c r="D364" s="105" t="s">
        <v>1900</v>
      </c>
      <c r="E364" s="108" t="s">
        <v>1901</v>
      </c>
      <c r="F364" s="30" t="s">
        <v>1902</v>
      </c>
      <c r="G364" s="26" t="s">
        <v>145</v>
      </c>
      <c r="H364" s="24" t="s">
        <v>146</v>
      </c>
      <c r="I364" s="25">
        <v>0</v>
      </c>
      <c r="J364" s="24" t="s">
        <v>1903</v>
      </c>
      <c r="K364" s="24">
        <v>32</v>
      </c>
      <c r="L364" s="24">
        <v>5</v>
      </c>
      <c r="M364" s="24" t="str">
        <f t="shared" si="15"/>
        <v>95-70</v>
      </c>
      <c r="N364" s="24" t="s">
        <v>529</v>
      </c>
      <c r="O364" s="24" t="s">
        <v>529</v>
      </c>
      <c r="P364" s="24">
        <v>0</v>
      </c>
      <c r="Q364" s="102">
        <v>0</v>
      </c>
      <c r="R364" s="30" t="s">
        <v>1905</v>
      </c>
      <c r="S364" s="24">
        <v>0</v>
      </c>
      <c r="T364" s="24"/>
      <c r="U364" s="94">
        <v>264.71000000000004</v>
      </c>
      <c r="V364" s="94">
        <v>309.31</v>
      </c>
      <c r="W364" s="106">
        <v>42.24</v>
      </c>
      <c r="X364" s="107" t="s">
        <v>1906</v>
      </c>
      <c r="Y364" s="106">
        <v>42.24</v>
      </c>
      <c r="Z364" s="107" t="s">
        <v>1906</v>
      </c>
      <c r="AA364" s="106">
        <v>42.24</v>
      </c>
      <c r="AB364" s="107" t="s">
        <v>1906</v>
      </c>
      <c r="AC364" s="106">
        <v>42.24</v>
      </c>
      <c r="AD364" s="107" t="s">
        <v>1906</v>
      </c>
      <c r="AE364" s="106">
        <v>13.63</v>
      </c>
      <c r="AF364" s="107" t="s">
        <v>1906</v>
      </c>
      <c r="AG364" s="106">
        <v>0</v>
      </c>
      <c r="AH364" s="107" t="s">
        <v>1906</v>
      </c>
      <c r="AI364" s="106">
        <v>0</v>
      </c>
      <c r="AJ364" s="107" t="s">
        <v>1906</v>
      </c>
      <c r="AK364" s="106">
        <v>0</v>
      </c>
      <c r="AL364" s="107" t="s">
        <v>1906</v>
      </c>
      <c r="AM364" s="106">
        <v>9.9600000000000009</v>
      </c>
      <c r="AN364" s="107" t="s">
        <v>1906</v>
      </c>
      <c r="AO364" s="106">
        <v>42.68</v>
      </c>
      <c r="AP364" s="107" t="s">
        <v>1906</v>
      </c>
      <c r="AQ364" s="106">
        <v>42.68</v>
      </c>
      <c r="AR364" s="106" t="s">
        <v>1906</v>
      </c>
      <c r="AS364" s="106">
        <v>42.68</v>
      </c>
      <c r="AT364" s="107" t="s">
        <v>1906</v>
      </c>
      <c r="AU364" s="106">
        <f t="shared" si="16"/>
        <v>320.59000000000003</v>
      </c>
      <c r="AV364" s="25">
        <v>0.1265</v>
      </c>
      <c r="AW364" s="30" t="str">
        <f t="shared" si="17"/>
        <v>95-70</v>
      </c>
      <c r="AX364" s="30" t="s">
        <v>1907</v>
      </c>
      <c r="AY364" s="30">
        <v>0</v>
      </c>
      <c r="AZ364" s="30">
        <v>0</v>
      </c>
    </row>
    <row r="365" spans="1:52" ht="31.2" x14ac:dyDescent="0.3">
      <c r="A365" s="103">
        <v>355</v>
      </c>
      <c r="B365" s="30" t="s">
        <v>1004</v>
      </c>
      <c r="C365" s="30" t="s">
        <v>1899</v>
      </c>
      <c r="D365" s="105" t="s">
        <v>1900</v>
      </c>
      <c r="E365" s="108" t="s">
        <v>1901</v>
      </c>
      <c r="F365" s="30" t="s">
        <v>1902</v>
      </c>
      <c r="G365" s="26" t="s">
        <v>145</v>
      </c>
      <c r="H365" s="24" t="s">
        <v>146</v>
      </c>
      <c r="I365" s="25">
        <v>1</v>
      </c>
      <c r="J365" s="24" t="s">
        <v>1903</v>
      </c>
      <c r="K365" s="24">
        <v>32</v>
      </c>
      <c r="L365" s="24">
        <v>5</v>
      </c>
      <c r="M365" s="24" t="str">
        <f t="shared" si="15"/>
        <v>95-70</v>
      </c>
      <c r="N365" s="24" t="s">
        <v>529</v>
      </c>
      <c r="O365" s="24" t="s">
        <v>529</v>
      </c>
      <c r="P365" s="24">
        <v>1</v>
      </c>
      <c r="Q365" s="102">
        <v>0</v>
      </c>
      <c r="R365" s="30" t="s">
        <v>1905</v>
      </c>
      <c r="S365" s="24">
        <v>0</v>
      </c>
      <c r="T365" s="24"/>
      <c r="U365" s="94">
        <v>449.81</v>
      </c>
      <c r="V365" s="94">
        <v>532.57000000000005</v>
      </c>
      <c r="W365" s="106">
        <v>72.73</v>
      </c>
      <c r="X365" s="107" t="s">
        <v>208</v>
      </c>
      <c r="Y365" s="106">
        <v>72.73</v>
      </c>
      <c r="Z365" s="107" t="s">
        <v>208</v>
      </c>
      <c r="AA365" s="106">
        <v>72.73</v>
      </c>
      <c r="AB365" s="107" t="s">
        <v>208</v>
      </c>
      <c r="AC365" s="106">
        <v>72.73</v>
      </c>
      <c r="AD365" s="107" t="s">
        <v>208</v>
      </c>
      <c r="AE365" s="106">
        <v>23.46</v>
      </c>
      <c r="AF365" s="107" t="s">
        <v>208</v>
      </c>
      <c r="AG365" s="106">
        <v>0</v>
      </c>
      <c r="AH365" s="107" t="s">
        <v>208</v>
      </c>
      <c r="AI365" s="106">
        <v>0</v>
      </c>
      <c r="AJ365" s="107" t="s">
        <v>208</v>
      </c>
      <c r="AK365" s="106">
        <v>0</v>
      </c>
      <c r="AL365" s="107" t="s">
        <v>208</v>
      </c>
      <c r="AM365" s="106">
        <v>0</v>
      </c>
      <c r="AN365" s="107" t="s">
        <v>208</v>
      </c>
      <c r="AO365" s="106">
        <v>71.36</v>
      </c>
      <c r="AP365" s="107" t="s">
        <v>208</v>
      </c>
      <c r="AQ365" s="106">
        <v>25.98</v>
      </c>
      <c r="AR365" s="106" t="s">
        <v>208</v>
      </c>
      <c r="AS365" s="106">
        <v>71.36</v>
      </c>
      <c r="AT365" s="107" t="s">
        <v>208</v>
      </c>
      <c r="AU365" s="106">
        <f t="shared" si="16"/>
        <v>483.08000000000004</v>
      </c>
      <c r="AV365" s="25">
        <v>0.251</v>
      </c>
      <c r="AW365" s="30" t="str">
        <f t="shared" si="17"/>
        <v>95-70</v>
      </c>
      <c r="AX365" s="30" t="s">
        <v>1907</v>
      </c>
      <c r="AY365" s="30">
        <v>0</v>
      </c>
      <c r="AZ365" s="30">
        <v>0</v>
      </c>
    </row>
    <row r="366" spans="1:52" ht="31.2" x14ac:dyDescent="0.3">
      <c r="A366" s="103">
        <v>356</v>
      </c>
      <c r="B366" s="30" t="s">
        <v>1005</v>
      </c>
      <c r="C366" s="30" t="s">
        <v>1899</v>
      </c>
      <c r="D366" s="105" t="s">
        <v>1900</v>
      </c>
      <c r="E366" s="108" t="s">
        <v>1901</v>
      </c>
      <c r="F366" s="30" t="s">
        <v>1902</v>
      </c>
      <c r="G366" s="26" t="s">
        <v>145</v>
      </c>
      <c r="H366" s="24" t="s">
        <v>146</v>
      </c>
      <c r="I366" s="25">
        <v>1</v>
      </c>
      <c r="J366" s="24" t="s">
        <v>1903</v>
      </c>
      <c r="K366" s="24">
        <v>40</v>
      </c>
      <c r="L366" s="24">
        <v>5</v>
      </c>
      <c r="M366" s="24" t="str">
        <f t="shared" si="15"/>
        <v>95-70</v>
      </c>
      <c r="N366" s="24" t="s">
        <v>529</v>
      </c>
      <c r="O366" s="24" t="s">
        <v>529</v>
      </c>
      <c r="P366" s="24">
        <v>1</v>
      </c>
      <c r="Q366" s="102">
        <v>0</v>
      </c>
      <c r="R366" s="30" t="s">
        <v>1905</v>
      </c>
      <c r="S366" s="24">
        <v>0</v>
      </c>
      <c r="T366" s="24"/>
      <c r="U366" s="94">
        <f>565.61*0.53</f>
        <v>299.77330000000001</v>
      </c>
      <c r="V366" s="94">
        <f>571.78*0.53</f>
        <v>303.04340000000002</v>
      </c>
      <c r="W366" s="106">
        <f>89.24*0.53</f>
        <v>47.297199999999997</v>
      </c>
      <c r="X366" s="107" t="s">
        <v>208</v>
      </c>
      <c r="Y366" s="106">
        <f>74.8*0.53</f>
        <v>39.643999999999998</v>
      </c>
      <c r="Z366" s="107" t="s">
        <v>208</v>
      </c>
      <c r="AA366" s="106">
        <f>91.37*0.53</f>
        <v>48.426100000000005</v>
      </c>
      <c r="AB366" s="107" t="s">
        <v>208</v>
      </c>
      <c r="AC366" s="106">
        <f>77.2*0.53</f>
        <v>40.916000000000004</v>
      </c>
      <c r="AD366" s="107" t="s">
        <v>208</v>
      </c>
      <c r="AE366" s="106">
        <f>24.6*0.53</f>
        <v>13.038000000000002</v>
      </c>
      <c r="AF366" s="107" t="s">
        <v>208</v>
      </c>
      <c r="AG366" s="106">
        <v>0</v>
      </c>
      <c r="AH366" s="107" t="s">
        <v>208</v>
      </c>
      <c r="AI366" s="106">
        <v>0</v>
      </c>
      <c r="AJ366" s="107" t="s">
        <v>208</v>
      </c>
      <c r="AK366" s="106">
        <v>0</v>
      </c>
      <c r="AL366" s="107" t="s">
        <v>208</v>
      </c>
      <c r="AM366" s="106">
        <v>0</v>
      </c>
      <c r="AN366" s="107" t="s">
        <v>208</v>
      </c>
      <c r="AO366" s="106">
        <f>55.28*0.53</f>
        <v>29.298400000000001</v>
      </c>
      <c r="AP366" s="107" t="s">
        <v>208</v>
      </c>
      <c r="AQ366" s="106">
        <f>59.84*0.53</f>
        <v>31.715200000000003</v>
      </c>
      <c r="AR366" s="106" t="s">
        <v>208</v>
      </c>
      <c r="AS366" s="106">
        <f>71.19*0.53</f>
        <v>37.730699999999999</v>
      </c>
      <c r="AT366" s="107" t="s">
        <v>208</v>
      </c>
      <c r="AU366" s="106">
        <f t="shared" si="16"/>
        <v>288.06560000000002</v>
      </c>
      <c r="AV366" s="25">
        <v>0.1399</v>
      </c>
      <c r="AW366" s="30" t="str">
        <f t="shared" si="17"/>
        <v>95-70</v>
      </c>
      <c r="AX366" s="30" t="s">
        <v>1907</v>
      </c>
      <c r="AY366" s="30">
        <v>0</v>
      </c>
      <c r="AZ366" s="30">
        <v>0</v>
      </c>
    </row>
    <row r="367" spans="1:52" ht="31.2" x14ac:dyDescent="0.3">
      <c r="A367" s="103">
        <v>357</v>
      </c>
      <c r="B367" s="30" t="s">
        <v>1006</v>
      </c>
      <c r="C367" s="30" t="s">
        <v>1899</v>
      </c>
      <c r="D367" s="105" t="s">
        <v>1900</v>
      </c>
      <c r="E367" s="108" t="s">
        <v>1901</v>
      </c>
      <c r="F367" s="30" t="s">
        <v>1902</v>
      </c>
      <c r="G367" s="26" t="s">
        <v>145</v>
      </c>
      <c r="H367" s="24" t="s">
        <v>146</v>
      </c>
      <c r="I367" s="25">
        <v>1</v>
      </c>
      <c r="J367" s="24" t="s">
        <v>1903</v>
      </c>
      <c r="K367" s="24">
        <v>40</v>
      </c>
      <c r="L367" s="24">
        <v>5</v>
      </c>
      <c r="M367" s="24" t="str">
        <f t="shared" si="15"/>
        <v>95-70</v>
      </c>
      <c r="N367" s="24" t="s">
        <v>529</v>
      </c>
      <c r="O367" s="24" t="s">
        <v>529</v>
      </c>
      <c r="P367" s="24">
        <v>1</v>
      </c>
      <c r="Q367" s="102">
        <v>0</v>
      </c>
      <c r="R367" s="30" t="s">
        <v>1905</v>
      </c>
      <c r="S367" s="24">
        <v>0</v>
      </c>
      <c r="T367" s="24"/>
      <c r="U367" s="94">
        <f>565.61*0.47</f>
        <v>265.83670000000001</v>
      </c>
      <c r="V367" s="94">
        <f>571.78*0.47</f>
        <v>268.73659999999995</v>
      </c>
      <c r="W367" s="106">
        <f>89.24*0.47</f>
        <v>41.942799999999998</v>
      </c>
      <c r="X367" s="107" t="s">
        <v>1906</v>
      </c>
      <c r="Y367" s="106">
        <f>74.8*0.47</f>
        <v>35.155999999999999</v>
      </c>
      <c r="Z367" s="107" t="s">
        <v>1906</v>
      </c>
      <c r="AA367" s="106">
        <f>91.37*0.47</f>
        <v>42.943899999999999</v>
      </c>
      <c r="AB367" s="107" t="s">
        <v>1906</v>
      </c>
      <c r="AC367" s="106">
        <f>77.2*0.47</f>
        <v>36.283999999999999</v>
      </c>
      <c r="AD367" s="107" t="s">
        <v>1906</v>
      </c>
      <c r="AE367" s="106">
        <f>24.6*0.47</f>
        <v>11.561999999999999</v>
      </c>
      <c r="AF367" s="107" t="s">
        <v>1906</v>
      </c>
      <c r="AG367" s="106">
        <v>0</v>
      </c>
      <c r="AH367" s="107" t="s">
        <v>1906</v>
      </c>
      <c r="AI367" s="106">
        <v>0</v>
      </c>
      <c r="AJ367" s="107" t="s">
        <v>1906</v>
      </c>
      <c r="AK367" s="106">
        <v>0</v>
      </c>
      <c r="AL367" s="107" t="s">
        <v>1906</v>
      </c>
      <c r="AM367" s="106">
        <v>0</v>
      </c>
      <c r="AN367" s="107" t="s">
        <v>1906</v>
      </c>
      <c r="AO367" s="106">
        <f>55.28*0.47</f>
        <v>25.9816</v>
      </c>
      <c r="AP367" s="107" t="s">
        <v>1906</v>
      </c>
      <c r="AQ367" s="106">
        <f>59.84*0.47</f>
        <v>28.1248</v>
      </c>
      <c r="AR367" s="106" t="s">
        <v>1906</v>
      </c>
      <c r="AS367" s="106">
        <f>71.19*0.47</f>
        <v>33.459299999999999</v>
      </c>
      <c r="AT367" s="107" t="s">
        <v>1906</v>
      </c>
      <c r="AU367" s="106">
        <f t="shared" si="16"/>
        <v>255.45439999999996</v>
      </c>
      <c r="AV367" s="25">
        <v>0.13109999999999999</v>
      </c>
      <c r="AW367" s="30" t="str">
        <f t="shared" si="17"/>
        <v>95-70</v>
      </c>
      <c r="AX367" s="30" t="s">
        <v>1907</v>
      </c>
      <c r="AY367" s="30">
        <v>0</v>
      </c>
      <c r="AZ367" s="30">
        <v>0</v>
      </c>
    </row>
    <row r="368" spans="1:52" ht="31.2" x14ac:dyDescent="0.3">
      <c r="A368" s="103">
        <v>358</v>
      </c>
      <c r="B368" s="30" t="s">
        <v>1007</v>
      </c>
      <c r="C368" s="30" t="s">
        <v>1899</v>
      </c>
      <c r="D368" s="105" t="s">
        <v>1900</v>
      </c>
      <c r="E368" s="108" t="s">
        <v>1901</v>
      </c>
      <c r="F368" s="30" t="s">
        <v>1902</v>
      </c>
      <c r="G368" s="26" t="s">
        <v>145</v>
      </c>
      <c r="H368" s="24" t="s">
        <v>146</v>
      </c>
      <c r="I368" s="25">
        <v>0</v>
      </c>
      <c r="J368" s="24" t="s">
        <v>1903</v>
      </c>
      <c r="K368" s="24">
        <v>40</v>
      </c>
      <c r="L368" s="24">
        <v>5</v>
      </c>
      <c r="M368" s="24" t="str">
        <f t="shared" si="15"/>
        <v>95-70</v>
      </c>
      <c r="N368" s="24" t="s">
        <v>529</v>
      </c>
      <c r="O368" s="24" t="s">
        <v>529</v>
      </c>
      <c r="P368" s="24">
        <v>0</v>
      </c>
      <c r="Q368" s="102">
        <v>0</v>
      </c>
      <c r="R368" s="30" t="s">
        <v>1905</v>
      </c>
      <c r="S368" s="24">
        <v>0</v>
      </c>
      <c r="T368" s="24"/>
      <c r="U368" s="94">
        <f>280.44*0.43</f>
        <v>120.58919999999999</v>
      </c>
      <c r="V368" s="94">
        <f>211.47*0.43</f>
        <v>90.932099999999991</v>
      </c>
      <c r="W368" s="106">
        <f>29.02*0.43</f>
        <v>12.4786</v>
      </c>
      <c r="X368" s="107" t="s">
        <v>1906</v>
      </c>
      <c r="Y368" s="106">
        <f>28.86*0.43</f>
        <v>12.409799999999999</v>
      </c>
      <c r="Z368" s="107" t="s">
        <v>1906</v>
      </c>
      <c r="AA368" s="106">
        <f>28.97*0.43</f>
        <v>12.457099999999999</v>
      </c>
      <c r="AB368" s="107" t="s">
        <v>1906</v>
      </c>
      <c r="AC368" s="106">
        <f>28.86*0.43</f>
        <v>12.409799999999999</v>
      </c>
      <c r="AD368" s="107" t="s">
        <v>1906</v>
      </c>
      <c r="AE368" s="106">
        <f>9.26*0.43</f>
        <v>3.9817999999999998</v>
      </c>
      <c r="AF368" s="107" t="s">
        <v>1906</v>
      </c>
      <c r="AG368" s="106">
        <v>0</v>
      </c>
      <c r="AH368" s="107" t="s">
        <v>1906</v>
      </c>
      <c r="AI368" s="106">
        <v>0</v>
      </c>
      <c r="AJ368" s="107" t="s">
        <v>1906</v>
      </c>
      <c r="AK368" s="106">
        <v>0</v>
      </c>
      <c r="AL368" s="107" t="s">
        <v>1906</v>
      </c>
      <c r="AM368" s="106">
        <f>6.3*0.43</f>
        <v>2.7090000000000001</v>
      </c>
      <c r="AN368" s="107" t="s">
        <v>1906</v>
      </c>
      <c r="AO368" s="106">
        <f>26.98*0.43</f>
        <v>11.6014</v>
      </c>
      <c r="AP368" s="107" t="s">
        <v>1906</v>
      </c>
      <c r="AQ368" s="106">
        <f>27.04*0.43</f>
        <v>11.6272</v>
      </c>
      <c r="AR368" s="106" t="s">
        <v>1906</v>
      </c>
      <c r="AS368" s="106">
        <f>27.08*0.43</f>
        <v>11.644399999999999</v>
      </c>
      <c r="AT368" s="107" t="s">
        <v>1906</v>
      </c>
      <c r="AU368" s="106">
        <f t="shared" si="16"/>
        <v>91.319100000000006</v>
      </c>
      <c r="AV368" s="25">
        <v>0.13250000000000001</v>
      </c>
      <c r="AW368" s="30" t="str">
        <f t="shared" si="17"/>
        <v>95-70</v>
      </c>
      <c r="AX368" s="30" t="s">
        <v>1907</v>
      </c>
      <c r="AY368" s="30">
        <v>0</v>
      </c>
      <c r="AZ368" s="30">
        <v>0</v>
      </c>
    </row>
    <row r="369" spans="1:52" ht="31.2" x14ac:dyDescent="0.3">
      <c r="A369" s="103">
        <v>359</v>
      </c>
      <c r="B369" s="30" t="s">
        <v>1008</v>
      </c>
      <c r="C369" s="30" t="s">
        <v>1899</v>
      </c>
      <c r="D369" s="105" t="s">
        <v>1900</v>
      </c>
      <c r="E369" s="108" t="s">
        <v>1901</v>
      </c>
      <c r="F369" s="30" t="s">
        <v>1902</v>
      </c>
      <c r="G369" s="26" t="s">
        <v>145</v>
      </c>
      <c r="H369" s="24" t="s">
        <v>146</v>
      </c>
      <c r="I369" s="25">
        <v>0</v>
      </c>
      <c r="J369" s="24" t="s">
        <v>1903</v>
      </c>
      <c r="K369" s="24"/>
      <c r="L369" s="24">
        <v>5</v>
      </c>
      <c r="M369" s="24" t="str">
        <f t="shared" si="15"/>
        <v>95-70</v>
      </c>
      <c r="N369" s="24" t="s">
        <v>529</v>
      </c>
      <c r="O369" s="24" t="s">
        <v>529</v>
      </c>
      <c r="P369" s="24">
        <v>0</v>
      </c>
      <c r="Q369" s="102">
        <v>0</v>
      </c>
      <c r="R369" s="30" t="s">
        <v>1905</v>
      </c>
      <c r="S369" s="24">
        <v>0</v>
      </c>
      <c r="T369" s="24"/>
      <c r="U369" s="94">
        <f>280.44*0.57</f>
        <v>159.85079999999999</v>
      </c>
      <c r="V369" s="94">
        <f>211.47*0.57</f>
        <v>120.53789999999999</v>
      </c>
      <c r="W369" s="106">
        <f>29.02*0.57</f>
        <v>16.541399999999999</v>
      </c>
      <c r="X369" s="107" t="s">
        <v>1906</v>
      </c>
      <c r="Y369" s="106">
        <f>28.86*0.57</f>
        <v>16.450199999999999</v>
      </c>
      <c r="Z369" s="107" t="s">
        <v>1906</v>
      </c>
      <c r="AA369" s="106">
        <f>28.97*0.57</f>
        <v>16.512899999999998</v>
      </c>
      <c r="AB369" s="107" t="s">
        <v>1906</v>
      </c>
      <c r="AC369" s="106">
        <f>28.86*0.57</f>
        <v>16.450199999999999</v>
      </c>
      <c r="AD369" s="107" t="s">
        <v>1906</v>
      </c>
      <c r="AE369" s="106">
        <f>9.26*0.57</f>
        <v>5.2781999999999991</v>
      </c>
      <c r="AF369" s="107" t="s">
        <v>1906</v>
      </c>
      <c r="AG369" s="106">
        <v>0</v>
      </c>
      <c r="AH369" s="107" t="s">
        <v>1906</v>
      </c>
      <c r="AI369" s="106">
        <v>0</v>
      </c>
      <c r="AJ369" s="107" t="s">
        <v>1906</v>
      </c>
      <c r="AK369" s="106">
        <v>0</v>
      </c>
      <c r="AL369" s="107" t="s">
        <v>1906</v>
      </c>
      <c r="AM369" s="106">
        <f>6.3*0.57</f>
        <v>3.5909999999999997</v>
      </c>
      <c r="AN369" s="107" t="s">
        <v>1906</v>
      </c>
      <c r="AO369" s="106">
        <f>26.98*0.57</f>
        <v>15.378599999999999</v>
      </c>
      <c r="AP369" s="107" t="s">
        <v>1906</v>
      </c>
      <c r="AQ369" s="106">
        <f>27.04*0.57</f>
        <v>15.412799999999999</v>
      </c>
      <c r="AR369" s="106" t="s">
        <v>1906</v>
      </c>
      <c r="AS369" s="106">
        <f>27.08*0.57</f>
        <v>15.435599999999997</v>
      </c>
      <c r="AT369" s="107" t="s">
        <v>1906</v>
      </c>
      <c r="AU369" s="106">
        <f t="shared" si="16"/>
        <v>121.05089999999998</v>
      </c>
      <c r="AV369" s="25"/>
      <c r="AW369" s="30" t="str">
        <f t="shared" si="17"/>
        <v>95-70</v>
      </c>
      <c r="AX369" s="30" t="s">
        <v>1907</v>
      </c>
      <c r="AY369" s="30">
        <v>0</v>
      </c>
      <c r="AZ369" s="30">
        <v>0</v>
      </c>
    </row>
    <row r="370" spans="1:52" ht="31.2" x14ac:dyDescent="0.3">
      <c r="A370" s="103">
        <v>360</v>
      </c>
      <c r="B370" s="30" t="s">
        <v>1009</v>
      </c>
      <c r="C370" s="30" t="s">
        <v>1899</v>
      </c>
      <c r="D370" s="105" t="s">
        <v>1900</v>
      </c>
      <c r="E370" s="108" t="s">
        <v>1901</v>
      </c>
      <c r="F370" s="30" t="s">
        <v>1902</v>
      </c>
      <c r="G370" s="26" t="s">
        <v>145</v>
      </c>
      <c r="H370" s="24" t="s">
        <v>146</v>
      </c>
      <c r="I370" s="25">
        <v>0</v>
      </c>
      <c r="J370" s="24" t="s">
        <v>1903</v>
      </c>
      <c r="K370" s="24">
        <v>32</v>
      </c>
      <c r="L370" s="24">
        <v>5</v>
      </c>
      <c r="M370" s="24" t="str">
        <f t="shared" si="15"/>
        <v>95-70</v>
      </c>
      <c r="N370" s="24" t="s">
        <v>529</v>
      </c>
      <c r="O370" s="24" t="s">
        <v>529</v>
      </c>
      <c r="P370" s="24">
        <v>0</v>
      </c>
      <c r="Q370" s="102">
        <v>0</v>
      </c>
      <c r="R370" s="30" t="s">
        <v>1905</v>
      </c>
      <c r="S370" s="24">
        <v>0</v>
      </c>
      <c r="T370" s="24"/>
      <c r="U370" s="94">
        <v>172.26</v>
      </c>
      <c r="V370" s="94">
        <v>159.91999999999999</v>
      </c>
      <c r="W370" s="106">
        <v>21.84</v>
      </c>
      <c r="X370" s="107" t="s">
        <v>1906</v>
      </c>
      <c r="Y370" s="106">
        <v>21.84</v>
      </c>
      <c r="Z370" s="107" t="s">
        <v>1906</v>
      </c>
      <c r="AA370" s="106">
        <v>21.84</v>
      </c>
      <c r="AB370" s="107" t="s">
        <v>1906</v>
      </c>
      <c r="AC370" s="106">
        <v>21.84</v>
      </c>
      <c r="AD370" s="107" t="s">
        <v>1906</v>
      </c>
      <c r="AE370" s="106">
        <v>7.04</v>
      </c>
      <c r="AF370" s="107" t="s">
        <v>1906</v>
      </c>
      <c r="AG370" s="106">
        <v>0</v>
      </c>
      <c r="AH370" s="107" t="s">
        <v>1906</v>
      </c>
      <c r="AI370" s="106">
        <v>0</v>
      </c>
      <c r="AJ370" s="107" t="s">
        <v>1906</v>
      </c>
      <c r="AK370" s="106">
        <v>0</v>
      </c>
      <c r="AL370" s="107" t="s">
        <v>1906</v>
      </c>
      <c r="AM370" s="106">
        <v>4.54</v>
      </c>
      <c r="AN370" s="107" t="s">
        <v>1906</v>
      </c>
      <c r="AO370" s="106">
        <v>19.440000000000001</v>
      </c>
      <c r="AP370" s="107" t="s">
        <v>1906</v>
      </c>
      <c r="AQ370" s="106">
        <v>19.440000000000001</v>
      </c>
      <c r="AR370" s="106" t="s">
        <v>1906</v>
      </c>
      <c r="AS370" s="106">
        <v>19.440000000000001</v>
      </c>
      <c r="AT370" s="107" t="s">
        <v>1906</v>
      </c>
      <c r="AU370" s="106">
        <f t="shared" si="16"/>
        <v>157.26000000000002</v>
      </c>
      <c r="AV370" s="25">
        <v>8.2500000000000004E-2</v>
      </c>
      <c r="AW370" s="30" t="str">
        <f t="shared" si="17"/>
        <v>95-70</v>
      </c>
      <c r="AX370" s="30" t="s">
        <v>1907</v>
      </c>
      <c r="AY370" s="30">
        <v>0</v>
      </c>
      <c r="AZ370" s="30">
        <v>0</v>
      </c>
    </row>
    <row r="371" spans="1:52" ht="31.2" x14ac:dyDescent="0.3">
      <c r="A371" s="103">
        <v>361</v>
      </c>
      <c r="B371" s="30" t="s">
        <v>1010</v>
      </c>
      <c r="C371" s="30" t="s">
        <v>1899</v>
      </c>
      <c r="D371" s="105" t="s">
        <v>1900</v>
      </c>
      <c r="E371" s="108" t="s">
        <v>1901</v>
      </c>
      <c r="F371" s="30" t="s">
        <v>1902</v>
      </c>
      <c r="G371" s="26" t="s">
        <v>145</v>
      </c>
      <c r="H371" s="24" t="s">
        <v>146</v>
      </c>
      <c r="I371" s="25">
        <v>1</v>
      </c>
      <c r="J371" s="24" t="s">
        <v>1903</v>
      </c>
      <c r="K371" s="24">
        <v>32</v>
      </c>
      <c r="L371" s="24">
        <v>5</v>
      </c>
      <c r="M371" s="24" t="str">
        <f t="shared" si="15"/>
        <v>95-70</v>
      </c>
      <c r="N371" s="24" t="s">
        <v>529</v>
      </c>
      <c r="O371" s="24" t="s">
        <v>529</v>
      </c>
      <c r="P371" s="24">
        <v>1</v>
      </c>
      <c r="Q371" s="102">
        <v>0</v>
      </c>
      <c r="R371" s="30" t="s">
        <v>1905</v>
      </c>
      <c r="S371" s="24">
        <v>0</v>
      </c>
      <c r="T371" s="24"/>
      <c r="U371" s="94">
        <v>319.26999999999992</v>
      </c>
      <c r="V371" s="94">
        <v>297.58999999999997</v>
      </c>
      <c r="W371" s="106">
        <v>40.64</v>
      </c>
      <c r="X371" s="107" t="s">
        <v>1906</v>
      </c>
      <c r="Y371" s="106">
        <v>40.64</v>
      </c>
      <c r="Z371" s="107" t="s">
        <v>1906</v>
      </c>
      <c r="AA371" s="106">
        <v>40.64</v>
      </c>
      <c r="AB371" s="107" t="s">
        <v>1906</v>
      </c>
      <c r="AC371" s="106">
        <v>40.64</v>
      </c>
      <c r="AD371" s="107" t="s">
        <v>1906</v>
      </c>
      <c r="AE371" s="106">
        <v>13.110000000000001</v>
      </c>
      <c r="AF371" s="107" t="s">
        <v>1906</v>
      </c>
      <c r="AG371" s="106">
        <v>0</v>
      </c>
      <c r="AH371" s="107" t="s">
        <v>1906</v>
      </c>
      <c r="AI371" s="106">
        <v>0</v>
      </c>
      <c r="AJ371" s="107" t="s">
        <v>1906</v>
      </c>
      <c r="AK371" s="106">
        <v>0</v>
      </c>
      <c r="AL371" s="107" t="s">
        <v>1906</v>
      </c>
      <c r="AM371" s="106">
        <v>8.48</v>
      </c>
      <c r="AN371" s="107" t="s">
        <v>1906</v>
      </c>
      <c r="AO371" s="106">
        <v>36.35</v>
      </c>
      <c r="AP371" s="107" t="s">
        <v>1906</v>
      </c>
      <c r="AQ371" s="106">
        <v>36.35</v>
      </c>
      <c r="AR371" s="106" t="s">
        <v>1906</v>
      </c>
      <c r="AS371" s="106">
        <v>36.35</v>
      </c>
      <c r="AT371" s="107" t="s">
        <v>1906</v>
      </c>
      <c r="AU371" s="106">
        <f t="shared" si="16"/>
        <v>293.20000000000005</v>
      </c>
      <c r="AV371" s="25">
        <v>0.153</v>
      </c>
      <c r="AW371" s="30" t="str">
        <f t="shared" si="17"/>
        <v>95-70</v>
      </c>
      <c r="AX371" s="30" t="s">
        <v>1907</v>
      </c>
      <c r="AY371" s="30">
        <v>0</v>
      </c>
      <c r="AZ371" s="30">
        <v>0</v>
      </c>
    </row>
    <row r="372" spans="1:52" ht="31.2" x14ac:dyDescent="0.3">
      <c r="A372" s="103">
        <v>362</v>
      </c>
      <c r="B372" s="30" t="s">
        <v>1011</v>
      </c>
      <c r="C372" s="30" t="s">
        <v>1899</v>
      </c>
      <c r="D372" s="105" t="s">
        <v>1900</v>
      </c>
      <c r="E372" s="108" t="s">
        <v>1901</v>
      </c>
      <c r="F372" s="30" t="s">
        <v>1902</v>
      </c>
      <c r="G372" s="26" t="s">
        <v>145</v>
      </c>
      <c r="H372" s="24" t="s">
        <v>146</v>
      </c>
      <c r="I372" s="25">
        <v>1</v>
      </c>
      <c r="J372" s="24" t="s">
        <v>1903</v>
      </c>
      <c r="K372" s="24">
        <v>40</v>
      </c>
      <c r="L372" s="24">
        <v>5</v>
      </c>
      <c r="M372" s="24" t="str">
        <f t="shared" si="15"/>
        <v>95-70</v>
      </c>
      <c r="N372" s="24" t="s">
        <v>529</v>
      </c>
      <c r="O372" s="24" t="s">
        <v>529</v>
      </c>
      <c r="P372" s="24">
        <v>1</v>
      </c>
      <c r="Q372" s="102">
        <v>0</v>
      </c>
      <c r="R372" s="30" t="s">
        <v>1905</v>
      </c>
      <c r="S372" s="24">
        <v>0</v>
      </c>
      <c r="T372" s="24"/>
      <c r="U372" s="94">
        <v>500.29</v>
      </c>
      <c r="V372" s="94">
        <v>525.46</v>
      </c>
      <c r="W372" s="106">
        <v>71.760000000000005</v>
      </c>
      <c r="X372" s="107" t="s">
        <v>1906</v>
      </c>
      <c r="Y372" s="106">
        <v>71.760000000000005</v>
      </c>
      <c r="Z372" s="107" t="s">
        <v>1906</v>
      </c>
      <c r="AA372" s="106">
        <v>71.760000000000005</v>
      </c>
      <c r="AB372" s="107" t="s">
        <v>1906</v>
      </c>
      <c r="AC372" s="106">
        <v>71.760000000000005</v>
      </c>
      <c r="AD372" s="107" t="s">
        <v>1906</v>
      </c>
      <c r="AE372" s="106">
        <v>23.14</v>
      </c>
      <c r="AF372" s="107" t="s">
        <v>1906</v>
      </c>
      <c r="AG372" s="106">
        <v>0</v>
      </c>
      <c r="AH372" s="107" t="s">
        <v>1906</v>
      </c>
      <c r="AI372" s="106">
        <v>0</v>
      </c>
      <c r="AJ372" s="107" t="s">
        <v>1906</v>
      </c>
      <c r="AK372" s="106">
        <v>0</v>
      </c>
      <c r="AL372" s="107" t="s">
        <v>1906</v>
      </c>
      <c r="AM372" s="106">
        <v>16.73</v>
      </c>
      <c r="AN372" s="107" t="s">
        <v>1906</v>
      </c>
      <c r="AO372" s="106">
        <v>71.680000000000007</v>
      </c>
      <c r="AP372" s="107" t="s">
        <v>1906</v>
      </c>
      <c r="AQ372" s="106">
        <v>71.680000000000007</v>
      </c>
      <c r="AR372" s="106" t="s">
        <v>1906</v>
      </c>
      <c r="AS372" s="106">
        <v>71.680000000000007</v>
      </c>
      <c r="AT372" s="107" t="s">
        <v>1906</v>
      </c>
      <c r="AU372" s="106">
        <f t="shared" si="16"/>
        <v>541.95000000000005</v>
      </c>
      <c r="AV372" s="25">
        <v>0.22670000000000001</v>
      </c>
      <c r="AW372" s="30" t="str">
        <f t="shared" si="17"/>
        <v>95-70</v>
      </c>
      <c r="AX372" s="30" t="s">
        <v>1907</v>
      </c>
      <c r="AY372" s="30">
        <v>0</v>
      </c>
      <c r="AZ372" s="30">
        <v>0</v>
      </c>
    </row>
    <row r="373" spans="1:52" ht="31.2" x14ac:dyDescent="0.3">
      <c r="A373" s="103">
        <v>363</v>
      </c>
      <c r="B373" s="30" t="s">
        <v>1012</v>
      </c>
      <c r="C373" s="30" t="s">
        <v>1899</v>
      </c>
      <c r="D373" s="105" t="s">
        <v>1900</v>
      </c>
      <c r="E373" s="108" t="s">
        <v>1901</v>
      </c>
      <c r="F373" s="30" t="s">
        <v>1902</v>
      </c>
      <c r="G373" s="26" t="s">
        <v>145</v>
      </c>
      <c r="H373" s="24" t="s">
        <v>146</v>
      </c>
      <c r="I373" s="25">
        <v>1</v>
      </c>
      <c r="J373" s="24" t="s">
        <v>1903</v>
      </c>
      <c r="K373" s="24">
        <v>50</v>
      </c>
      <c r="L373" s="24">
        <v>5</v>
      </c>
      <c r="M373" s="24" t="str">
        <f t="shared" si="15"/>
        <v>95-70</v>
      </c>
      <c r="N373" s="24" t="s">
        <v>529</v>
      </c>
      <c r="O373" s="24" t="s">
        <v>529</v>
      </c>
      <c r="P373" s="24">
        <v>1</v>
      </c>
      <c r="Q373" s="102">
        <v>0</v>
      </c>
      <c r="R373" s="30" t="s">
        <v>1905</v>
      </c>
      <c r="S373" s="24">
        <v>0</v>
      </c>
      <c r="T373" s="24"/>
      <c r="U373" s="94">
        <v>547.08000000000004</v>
      </c>
      <c r="V373" s="94">
        <v>600.29000000000008</v>
      </c>
      <c r="W373" s="106">
        <v>108.85</v>
      </c>
      <c r="X373" s="107" t="s">
        <v>208</v>
      </c>
      <c r="Y373" s="106">
        <v>80.680000000000007</v>
      </c>
      <c r="Z373" s="107" t="s">
        <v>208</v>
      </c>
      <c r="AA373" s="106">
        <v>110</v>
      </c>
      <c r="AB373" s="107" t="s">
        <v>208</v>
      </c>
      <c r="AC373" s="106">
        <v>76.459999999999994</v>
      </c>
      <c r="AD373" s="107" t="s">
        <v>208</v>
      </c>
      <c r="AE373" s="106">
        <v>19.11</v>
      </c>
      <c r="AF373" s="107" t="s">
        <v>208</v>
      </c>
      <c r="AG373" s="106">
        <v>0</v>
      </c>
      <c r="AH373" s="107" t="s">
        <v>208</v>
      </c>
      <c r="AI373" s="106">
        <v>0</v>
      </c>
      <c r="AJ373" s="107" t="s">
        <v>208</v>
      </c>
      <c r="AK373" s="106">
        <v>0</v>
      </c>
      <c r="AL373" s="107" t="s">
        <v>208</v>
      </c>
      <c r="AM373" s="106">
        <v>0</v>
      </c>
      <c r="AN373" s="107" t="s">
        <v>208</v>
      </c>
      <c r="AO373" s="106">
        <v>40.54</v>
      </c>
      <c r="AP373" s="107" t="s">
        <v>208</v>
      </c>
      <c r="AQ373" s="106">
        <v>51.85</v>
      </c>
      <c r="AR373" s="106" t="s">
        <v>208</v>
      </c>
      <c r="AS373" s="106">
        <v>74.8</v>
      </c>
      <c r="AT373" s="107" t="s">
        <v>208</v>
      </c>
      <c r="AU373" s="106">
        <f t="shared" si="16"/>
        <v>562.29</v>
      </c>
      <c r="AV373" s="25">
        <v>0.26100000000000001</v>
      </c>
      <c r="AW373" s="30" t="str">
        <f t="shared" si="17"/>
        <v>95-70</v>
      </c>
      <c r="AX373" s="30" t="s">
        <v>1907</v>
      </c>
      <c r="AY373" s="30">
        <v>0</v>
      </c>
      <c r="AZ373" s="30">
        <v>0</v>
      </c>
    </row>
    <row r="374" spans="1:52" ht="31.2" x14ac:dyDescent="0.3">
      <c r="A374" s="103">
        <v>364</v>
      </c>
      <c r="B374" s="30" t="s">
        <v>1013</v>
      </c>
      <c r="C374" s="30" t="s">
        <v>1899</v>
      </c>
      <c r="D374" s="105" t="s">
        <v>1900</v>
      </c>
      <c r="E374" s="108" t="s">
        <v>1901</v>
      </c>
      <c r="F374" s="30" t="s">
        <v>1902</v>
      </c>
      <c r="G374" s="26" t="s">
        <v>145</v>
      </c>
      <c r="H374" s="24" t="s">
        <v>146</v>
      </c>
      <c r="I374" s="25">
        <v>1</v>
      </c>
      <c r="J374" s="24" t="s">
        <v>1903</v>
      </c>
      <c r="K374" s="24">
        <v>65</v>
      </c>
      <c r="L374" s="24">
        <v>5</v>
      </c>
      <c r="M374" s="24" t="str">
        <f t="shared" si="15"/>
        <v>95-70</v>
      </c>
      <c r="N374" s="24" t="s">
        <v>529</v>
      </c>
      <c r="O374" s="24" t="s">
        <v>529</v>
      </c>
      <c r="P374" s="24">
        <v>1</v>
      </c>
      <c r="Q374" s="102">
        <v>0</v>
      </c>
      <c r="R374" s="30" t="s">
        <v>1905</v>
      </c>
      <c r="S374" s="24">
        <v>0</v>
      </c>
      <c r="T374" s="24"/>
      <c r="U374" s="94">
        <v>683.33</v>
      </c>
      <c r="V374" s="94">
        <v>922.63</v>
      </c>
      <c r="W374" s="106">
        <v>147.93</v>
      </c>
      <c r="X374" s="107" t="s">
        <v>208</v>
      </c>
      <c r="Y374" s="106">
        <v>124.30999999999999</v>
      </c>
      <c r="Z374" s="107" t="s">
        <v>208</v>
      </c>
      <c r="AA374" s="106">
        <v>160.62</v>
      </c>
      <c r="AB374" s="107" t="s">
        <v>208</v>
      </c>
      <c r="AC374" s="106">
        <v>117.22</v>
      </c>
      <c r="AD374" s="107" t="s">
        <v>208</v>
      </c>
      <c r="AE374" s="106">
        <v>34.75</v>
      </c>
      <c r="AF374" s="107" t="s">
        <v>208</v>
      </c>
      <c r="AG374" s="106">
        <v>0</v>
      </c>
      <c r="AH374" s="107" t="s">
        <v>208</v>
      </c>
      <c r="AI374" s="106">
        <v>0</v>
      </c>
      <c r="AJ374" s="107" t="s">
        <v>208</v>
      </c>
      <c r="AK374" s="106">
        <v>0</v>
      </c>
      <c r="AL374" s="107" t="s">
        <v>208</v>
      </c>
      <c r="AM374" s="106">
        <v>0</v>
      </c>
      <c r="AN374" s="107" t="s">
        <v>208</v>
      </c>
      <c r="AO374" s="106">
        <v>66.17</v>
      </c>
      <c r="AP374" s="107" t="s">
        <v>208</v>
      </c>
      <c r="AQ374" s="106">
        <v>75.589999999999989</v>
      </c>
      <c r="AR374" s="106" t="s">
        <v>208</v>
      </c>
      <c r="AS374" s="106">
        <v>107.61</v>
      </c>
      <c r="AT374" s="107" t="s">
        <v>208</v>
      </c>
      <c r="AU374" s="106">
        <f t="shared" si="16"/>
        <v>834.2</v>
      </c>
      <c r="AV374" s="25">
        <v>0.34079999999999999</v>
      </c>
      <c r="AW374" s="30" t="str">
        <f t="shared" si="17"/>
        <v>95-70</v>
      </c>
      <c r="AX374" s="30" t="s">
        <v>1907</v>
      </c>
      <c r="AY374" s="30">
        <v>0</v>
      </c>
      <c r="AZ374" s="30">
        <v>0</v>
      </c>
    </row>
    <row r="375" spans="1:52" ht="31.2" x14ac:dyDescent="0.3">
      <c r="A375" s="103">
        <v>365</v>
      </c>
      <c r="B375" s="30" t="s">
        <v>1014</v>
      </c>
      <c r="C375" s="30" t="s">
        <v>1899</v>
      </c>
      <c r="D375" s="105" t="s">
        <v>1900</v>
      </c>
      <c r="E375" s="108" t="s">
        <v>1901</v>
      </c>
      <c r="F375" s="30" t="s">
        <v>1902</v>
      </c>
      <c r="G375" s="26" t="s">
        <v>145</v>
      </c>
      <c r="H375" s="24" t="s">
        <v>146</v>
      </c>
      <c r="I375" s="25">
        <v>4</v>
      </c>
      <c r="J375" s="24" t="s">
        <v>1903</v>
      </c>
      <c r="K375" s="24">
        <v>65</v>
      </c>
      <c r="L375" s="24">
        <v>5</v>
      </c>
      <c r="M375" s="24" t="str">
        <f t="shared" si="15"/>
        <v>95-70</v>
      </c>
      <c r="N375" s="24" t="s">
        <v>529</v>
      </c>
      <c r="O375" s="24" t="s">
        <v>529</v>
      </c>
      <c r="P375" s="24">
        <v>1</v>
      </c>
      <c r="Q375" s="102">
        <v>0</v>
      </c>
      <c r="R375" s="30" t="s">
        <v>1915</v>
      </c>
      <c r="S375" s="24">
        <v>0</v>
      </c>
      <c r="T375" s="24"/>
      <c r="U375" s="94">
        <v>2072.59</v>
      </c>
      <c r="V375" s="94">
        <v>1727.0399999999997</v>
      </c>
      <c r="W375" s="106">
        <v>235.85</v>
      </c>
      <c r="X375" s="107" t="s">
        <v>208</v>
      </c>
      <c r="Y375" s="106">
        <v>235.85</v>
      </c>
      <c r="Z375" s="107" t="s">
        <v>208</v>
      </c>
      <c r="AA375" s="106">
        <v>235.85</v>
      </c>
      <c r="AB375" s="107" t="s">
        <v>208</v>
      </c>
      <c r="AC375" s="106">
        <v>235.85</v>
      </c>
      <c r="AD375" s="107" t="s">
        <v>208</v>
      </c>
      <c r="AE375" s="106">
        <v>76.09</v>
      </c>
      <c r="AF375" s="107" t="s">
        <v>208</v>
      </c>
      <c r="AG375" s="106">
        <v>0</v>
      </c>
      <c r="AH375" s="107" t="s">
        <v>208</v>
      </c>
      <c r="AI375" s="106">
        <v>0</v>
      </c>
      <c r="AJ375" s="107" t="s">
        <v>208</v>
      </c>
      <c r="AK375" s="106">
        <v>0</v>
      </c>
      <c r="AL375" s="107" t="s">
        <v>208</v>
      </c>
      <c r="AM375" s="106">
        <v>10.82</v>
      </c>
      <c r="AN375" s="107" t="s">
        <v>208</v>
      </c>
      <c r="AO375" s="106">
        <v>220.48000000000002</v>
      </c>
      <c r="AP375" s="107" t="s">
        <v>208</v>
      </c>
      <c r="AQ375" s="106">
        <v>103.28</v>
      </c>
      <c r="AR375" s="106" t="s">
        <v>208</v>
      </c>
      <c r="AS375" s="106">
        <v>220.48000000000002</v>
      </c>
      <c r="AT375" s="107" t="s">
        <v>208</v>
      </c>
      <c r="AU375" s="106">
        <f t="shared" si="16"/>
        <v>1574.55</v>
      </c>
      <c r="AV375" s="25">
        <v>0.94510000000000005</v>
      </c>
      <c r="AW375" s="30" t="str">
        <f t="shared" si="17"/>
        <v>95-70</v>
      </c>
      <c r="AX375" s="30" t="s">
        <v>1907</v>
      </c>
      <c r="AY375" s="30">
        <v>0</v>
      </c>
      <c r="AZ375" s="30">
        <v>0</v>
      </c>
    </row>
    <row r="376" spans="1:52" ht="31.2" x14ac:dyDescent="0.3">
      <c r="A376" s="103">
        <v>366</v>
      </c>
      <c r="B376" s="30" t="s">
        <v>1015</v>
      </c>
      <c r="C376" s="30" t="s">
        <v>1899</v>
      </c>
      <c r="D376" s="105" t="s">
        <v>1900</v>
      </c>
      <c r="E376" s="108" t="s">
        <v>1910</v>
      </c>
      <c r="F376" s="30" t="s">
        <v>1902</v>
      </c>
      <c r="G376" s="26" t="s">
        <v>145</v>
      </c>
      <c r="H376" s="24" t="s">
        <v>146</v>
      </c>
      <c r="I376" s="25">
        <v>2</v>
      </c>
      <c r="J376" s="24" t="s">
        <v>1903</v>
      </c>
      <c r="K376" s="24" t="s">
        <v>1916</v>
      </c>
      <c r="L376" s="24">
        <v>5</v>
      </c>
      <c r="M376" s="24" t="str">
        <f t="shared" si="15"/>
        <v>95-70</v>
      </c>
      <c r="N376" s="24" t="s">
        <v>528</v>
      </c>
      <c r="O376" s="24" t="s">
        <v>529</v>
      </c>
      <c r="P376" s="24">
        <v>1</v>
      </c>
      <c r="Q376" s="102">
        <v>0</v>
      </c>
      <c r="R376" s="30" t="s">
        <v>1905</v>
      </c>
      <c r="S376" s="24">
        <v>0</v>
      </c>
      <c r="T376" s="24"/>
      <c r="U376" s="94">
        <v>2514.6099999999997</v>
      </c>
      <c r="V376" s="94">
        <v>2802.25</v>
      </c>
      <c r="W376" s="106">
        <v>432.90999999999997</v>
      </c>
      <c r="X376" s="107" t="s">
        <v>208</v>
      </c>
      <c r="Y376" s="106">
        <v>291.89999999999998</v>
      </c>
      <c r="Z376" s="107" t="s">
        <v>208</v>
      </c>
      <c r="AA376" s="106">
        <v>417.82</v>
      </c>
      <c r="AB376" s="107" t="s">
        <v>208</v>
      </c>
      <c r="AC376" s="106">
        <v>260.03999999999996</v>
      </c>
      <c r="AD376" s="107" t="s">
        <v>208</v>
      </c>
      <c r="AE376" s="106">
        <v>82.02000000000001</v>
      </c>
      <c r="AF376" s="107" t="s">
        <v>208</v>
      </c>
      <c r="AG376" s="106">
        <v>0</v>
      </c>
      <c r="AH376" s="107" t="s">
        <v>208</v>
      </c>
      <c r="AI376" s="106">
        <v>0</v>
      </c>
      <c r="AJ376" s="107" t="s">
        <v>208</v>
      </c>
      <c r="AK376" s="106">
        <v>0</v>
      </c>
      <c r="AL376" s="107" t="s">
        <v>208</v>
      </c>
      <c r="AM376" s="106">
        <v>0</v>
      </c>
      <c r="AN376" s="107" t="s">
        <v>208</v>
      </c>
      <c r="AO376" s="106">
        <v>162.28</v>
      </c>
      <c r="AP376" s="107" t="s">
        <v>208</v>
      </c>
      <c r="AQ376" s="106">
        <v>188.45</v>
      </c>
      <c r="AR376" s="106" t="s">
        <v>208</v>
      </c>
      <c r="AS376" s="106">
        <v>269.62</v>
      </c>
      <c r="AT376" s="107" t="s">
        <v>208</v>
      </c>
      <c r="AU376" s="106">
        <f t="shared" si="16"/>
        <v>2105.04</v>
      </c>
      <c r="AV376" s="25">
        <v>0.76880000000000004</v>
      </c>
      <c r="AW376" s="30" t="str">
        <f t="shared" si="17"/>
        <v>95-70</v>
      </c>
      <c r="AX376" s="30" t="s">
        <v>1907</v>
      </c>
      <c r="AY376" s="30">
        <v>0</v>
      </c>
      <c r="AZ376" s="30">
        <v>0</v>
      </c>
    </row>
    <row r="377" spans="1:52" ht="31.2" x14ac:dyDescent="0.3">
      <c r="A377" s="103">
        <v>367</v>
      </c>
      <c r="B377" s="30" t="s">
        <v>1018</v>
      </c>
      <c r="C377" s="30" t="s">
        <v>1899</v>
      </c>
      <c r="D377" s="105" t="s">
        <v>1900</v>
      </c>
      <c r="E377" s="108" t="s">
        <v>1901</v>
      </c>
      <c r="F377" s="30" t="s">
        <v>1902</v>
      </c>
      <c r="G377" s="26" t="s">
        <v>145</v>
      </c>
      <c r="H377" s="24" t="s">
        <v>146</v>
      </c>
      <c r="I377" s="25">
        <v>1</v>
      </c>
      <c r="J377" s="24" t="s">
        <v>1903</v>
      </c>
      <c r="K377" s="24">
        <v>32</v>
      </c>
      <c r="L377" s="24">
        <v>5</v>
      </c>
      <c r="M377" s="24" t="str">
        <f t="shared" si="15"/>
        <v>95-70</v>
      </c>
      <c r="N377" s="24" t="s">
        <v>529</v>
      </c>
      <c r="O377" s="24" t="s">
        <v>529</v>
      </c>
      <c r="P377" s="24">
        <v>1</v>
      </c>
      <c r="Q377" s="102">
        <v>0</v>
      </c>
      <c r="R377" s="30" t="s">
        <v>1905</v>
      </c>
      <c r="S377" s="24">
        <v>0</v>
      </c>
      <c r="T377" s="24"/>
      <c r="U377" s="94">
        <v>448.56999999999994</v>
      </c>
      <c r="V377" s="94">
        <v>508.86</v>
      </c>
      <c r="W377" s="106">
        <v>69.8</v>
      </c>
      <c r="X377" s="107" t="s">
        <v>1906</v>
      </c>
      <c r="Y377" s="106">
        <v>69.8</v>
      </c>
      <c r="Z377" s="107" t="s">
        <v>1906</v>
      </c>
      <c r="AA377" s="106">
        <v>69.8</v>
      </c>
      <c r="AB377" s="107" t="s">
        <v>1906</v>
      </c>
      <c r="AC377" s="106">
        <v>69.8</v>
      </c>
      <c r="AD377" s="107" t="s">
        <v>1906</v>
      </c>
      <c r="AE377" s="106">
        <v>20.260000000000002</v>
      </c>
      <c r="AF377" s="107" t="s">
        <v>1906</v>
      </c>
      <c r="AG377" s="106">
        <v>0</v>
      </c>
      <c r="AH377" s="107" t="s">
        <v>1906</v>
      </c>
      <c r="AI377" s="106">
        <v>0</v>
      </c>
      <c r="AJ377" s="107" t="s">
        <v>1906</v>
      </c>
      <c r="AK377" s="106">
        <v>0</v>
      </c>
      <c r="AL377" s="107" t="s">
        <v>1906</v>
      </c>
      <c r="AM377" s="106">
        <v>15.97</v>
      </c>
      <c r="AN377" s="107" t="s">
        <v>1906</v>
      </c>
      <c r="AO377" s="106">
        <v>68.459999999999994</v>
      </c>
      <c r="AP377" s="107" t="s">
        <v>1906</v>
      </c>
      <c r="AQ377" s="106">
        <v>68.459999999999994</v>
      </c>
      <c r="AR377" s="106" t="s">
        <v>1906</v>
      </c>
      <c r="AS377" s="106">
        <v>68.459999999999994</v>
      </c>
      <c r="AT377" s="107" t="s">
        <v>1906</v>
      </c>
      <c r="AU377" s="106">
        <f t="shared" si="16"/>
        <v>520.80999999999995</v>
      </c>
      <c r="AV377" s="25">
        <v>0.26200000000000001</v>
      </c>
      <c r="AW377" s="30" t="str">
        <f t="shared" si="17"/>
        <v>95-70</v>
      </c>
      <c r="AX377" s="30" t="s">
        <v>1907</v>
      </c>
      <c r="AY377" s="30">
        <v>0</v>
      </c>
      <c r="AZ377" s="30">
        <v>0</v>
      </c>
    </row>
    <row r="378" spans="1:52" ht="31.2" x14ac:dyDescent="0.3">
      <c r="A378" s="103">
        <v>368</v>
      </c>
      <c r="B378" s="30" t="s">
        <v>1021</v>
      </c>
      <c r="C378" s="30" t="s">
        <v>1899</v>
      </c>
      <c r="D378" s="105" t="s">
        <v>1900</v>
      </c>
      <c r="E378" s="108" t="s">
        <v>1901</v>
      </c>
      <c r="F378" s="30" t="s">
        <v>1902</v>
      </c>
      <c r="G378" s="26" t="s">
        <v>145</v>
      </c>
      <c r="H378" s="24" t="s">
        <v>146</v>
      </c>
      <c r="I378" s="25">
        <v>1</v>
      </c>
      <c r="J378" s="24" t="s">
        <v>1903</v>
      </c>
      <c r="K378" s="24">
        <v>50</v>
      </c>
      <c r="L378" s="24">
        <v>5</v>
      </c>
      <c r="M378" s="24" t="str">
        <f t="shared" si="15"/>
        <v>95-70</v>
      </c>
      <c r="N378" s="24" t="s">
        <v>529</v>
      </c>
      <c r="O378" s="24" t="s">
        <v>529</v>
      </c>
      <c r="P378" s="24">
        <v>1</v>
      </c>
      <c r="Q378" s="102">
        <v>0</v>
      </c>
      <c r="R378" s="30" t="s">
        <v>1905</v>
      </c>
      <c r="S378" s="24">
        <v>0</v>
      </c>
      <c r="T378" s="24"/>
      <c r="U378" s="94">
        <f>1120.21*0.77</f>
        <v>862.56170000000009</v>
      </c>
      <c r="V378" s="94">
        <f>1287.81*0.77</f>
        <v>991.61369999999999</v>
      </c>
      <c r="W378" s="106">
        <f>259.69*0.77</f>
        <v>199.96129999999999</v>
      </c>
      <c r="X378" s="107" t="s">
        <v>208</v>
      </c>
      <c r="Y378" s="106">
        <f>165.39*0.77</f>
        <v>127.35029999999999</v>
      </c>
      <c r="Z378" s="107" t="s">
        <v>208</v>
      </c>
      <c r="AA378" s="106">
        <f>231.9*0.77</f>
        <v>178.56300000000002</v>
      </c>
      <c r="AB378" s="107" t="s">
        <v>208</v>
      </c>
      <c r="AC378" s="106">
        <f>194.9*0.77</f>
        <v>150.07300000000001</v>
      </c>
      <c r="AD378" s="107" t="s">
        <v>208</v>
      </c>
      <c r="AE378" s="106">
        <f>45.55*0.77</f>
        <v>35.073499999999996</v>
      </c>
      <c r="AF378" s="107" t="s">
        <v>208</v>
      </c>
      <c r="AG378" s="106">
        <v>0</v>
      </c>
      <c r="AH378" s="107" t="s">
        <v>208</v>
      </c>
      <c r="AI378" s="106">
        <v>0</v>
      </c>
      <c r="AJ378" s="107" t="s">
        <v>208</v>
      </c>
      <c r="AK378" s="106">
        <v>0</v>
      </c>
      <c r="AL378" s="107" t="s">
        <v>208</v>
      </c>
      <c r="AM378" s="106">
        <v>0</v>
      </c>
      <c r="AN378" s="107" t="s">
        <v>208</v>
      </c>
      <c r="AO378" s="106">
        <f>88.37*0.77</f>
        <v>68.044899999999998</v>
      </c>
      <c r="AP378" s="107" t="s">
        <v>208</v>
      </c>
      <c r="AQ378" s="106">
        <f>104.31*0.77</f>
        <v>80.318700000000007</v>
      </c>
      <c r="AR378" s="106" t="s">
        <v>208</v>
      </c>
      <c r="AS378" s="106">
        <f>144.13*0.77</f>
        <v>110.98009999999999</v>
      </c>
      <c r="AT378" s="107" t="s">
        <v>208</v>
      </c>
      <c r="AU378" s="106">
        <f t="shared" si="16"/>
        <v>950.36479999999995</v>
      </c>
      <c r="AV378" s="25">
        <v>0.3952</v>
      </c>
      <c r="AW378" s="30" t="str">
        <f t="shared" si="17"/>
        <v>95-70</v>
      </c>
      <c r="AX378" s="30" t="s">
        <v>1907</v>
      </c>
      <c r="AY378" s="30">
        <v>0</v>
      </c>
      <c r="AZ378" s="30">
        <v>0</v>
      </c>
    </row>
    <row r="379" spans="1:52" ht="31.2" x14ac:dyDescent="0.3">
      <c r="A379" s="103">
        <v>369</v>
      </c>
      <c r="B379" s="30" t="s">
        <v>1023</v>
      </c>
      <c r="C379" s="30" t="s">
        <v>1899</v>
      </c>
      <c r="D379" s="105" t="s">
        <v>1900</v>
      </c>
      <c r="E379" s="108" t="s">
        <v>1901</v>
      </c>
      <c r="F379" s="30" t="s">
        <v>1902</v>
      </c>
      <c r="G379" s="26" t="s">
        <v>145</v>
      </c>
      <c r="H379" s="24" t="s">
        <v>146</v>
      </c>
      <c r="I379" s="25">
        <v>0</v>
      </c>
      <c r="J379" s="24" t="s">
        <v>1903</v>
      </c>
      <c r="K379" s="24">
        <v>32</v>
      </c>
      <c r="L379" s="24">
        <v>5</v>
      </c>
      <c r="M379" s="24" t="str">
        <f t="shared" si="15"/>
        <v>95-70</v>
      </c>
      <c r="N379" s="24" t="s">
        <v>529</v>
      </c>
      <c r="O379" s="24" t="s">
        <v>529</v>
      </c>
      <c r="P379" s="24">
        <v>0</v>
      </c>
      <c r="Q379" s="102">
        <v>0</v>
      </c>
      <c r="R379" s="30" t="s">
        <v>1905</v>
      </c>
      <c r="S379" s="24">
        <v>0</v>
      </c>
      <c r="T379" s="24"/>
      <c r="U379" s="94">
        <f>1120.21*0.23</f>
        <v>257.64830000000001</v>
      </c>
      <c r="V379" s="94">
        <f>1287.81*0.23</f>
        <v>296.19630000000001</v>
      </c>
      <c r="W379" s="106">
        <f>259.69*0.23</f>
        <v>59.728700000000003</v>
      </c>
      <c r="X379" s="107" t="s">
        <v>1906</v>
      </c>
      <c r="Y379" s="106">
        <f>165.39*0.23</f>
        <v>38.039699999999996</v>
      </c>
      <c r="Z379" s="107" t="s">
        <v>1906</v>
      </c>
      <c r="AA379" s="106">
        <f>231.9*0.23</f>
        <v>53.337000000000003</v>
      </c>
      <c r="AB379" s="107" t="s">
        <v>1906</v>
      </c>
      <c r="AC379" s="106">
        <f>194.9*0.23</f>
        <v>44.827000000000005</v>
      </c>
      <c r="AD379" s="107" t="s">
        <v>1906</v>
      </c>
      <c r="AE379" s="106">
        <f>45.55*0.23</f>
        <v>10.4765</v>
      </c>
      <c r="AF379" s="107" t="s">
        <v>1906</v>
      </c>
      <c r="AG379" s="106">
        <v>0</v>
      </c>
      <c r="AH379" s="107" t="s">
        <v>1906</v>
      </c>
      <c r="AI379" s="106">
        <v>0</v>
      </c>
      <c r="AJ379" s="107" t="s">
        <v>1906</v>
      </c>
      <c r="AK379" s="106">
        <v>0</v>
      </c>
      <c r="AL379" s="107" t="s">
        <v>1906</v>
      </c>
      <c r="AM379" s="106">
        <v>0</v>
      </c>
      <c r="AN379" s="107" t="s">
        <v>1906</v>
      </c>
      <c r="AO379" s="106">
        <f>88.37*0.23</f>
        <v>20.325100000000003</v>
      </c>
      <c r="AP379" s="107" t="s">
        <v>1906</v>
      </c>
      <c r="AQ379" s="106">
        <f>104.31*0.23</f>
        <v>23.991300000000003</v>
      </c>
      <c r="AR379" s="106" t="s">
        <v>1906</v>
      </c>
      <c r="AS379" s="106">
        <f>144.13*0.23</f>
        <v>33.149900000000002</v>
      </c>
      <c r="AT379" s="107" t="s">
        <v>1906</v>
      </c>
      <c r="AU379" s="106">
        <f t="shared" si="16"/>
        <v>283.87519999999995</v>
      </c>
      <c r="AV379" s="25">
        <v>0.1113</v>
      </c>
      <c r="AW379" s="30" t="str">
        <f t="shared" si="17"/>
        <v>95-70</v>
      </c>
      <c r="AX379" s="30" t="s">
        <v>1907</v>
      </c>
      <c r="AY379" s="30">
        <v>0</v>
      </c>
      <c r="AZ379" s="30">
        <v>0</v>
      </c>
    </row>
    <row r="380" spans="1:52" ht="31.2" x14ac:dyDescent="0.3">
      <c r="A380" s="103">
        <v>370</v>
      </c>
      <c r="B380" s="30" t="s">
        <v>1025</v>
      </c>
      <c r="C380" s="30" t="s">
        <v>1899</v>
      </c>
      <c r="D380" s="105" t="s">
        <v>1900</v>
      </c>
      <c r="E380" s="108" t="s">
        <v>1910</v>
      </c>
      <c r="F380" s="30" t="s">
        <v>1902</v>
      </c>
      <c r="G380" s="26" t="s">
        <v>145</v>
      </c>
      <c r="H380" s="24" t="s">
        <v>146</v>
      </c>
      <c r="I380" s="25">
        <v>1</v>
      </c>
      <c r="J380" s="24" t="s">
        <v>1903</v>
      </c>
      <c r="K380" s="24">
        <v>50.32</v>
      </c>
      <c r="L380" s="24">
        <v>5</v>
      </c>
      <c r="M380" s="24" t="str">
        <f t="shared" si="15"/>
        <v>95-70</v>
      </c>
      <c r="N380" s="24" t="s">
        <v>528</v>
      </c>
      <c r="O380" s="24" t="s">
        <v>529</v>
      </c>
      <c r="P380" s="24">
        <v>1</v>
      </c>
      <c r="Q380" s="102">
        <v>0</v>
      </c>
      <c r="R380" s="30" t="s">
        <v>1905</v>
      </c>
      <c r="S380" s="24">
        <v>0</v>
      </c>
      <c r="T380" s="24"/>
      <c r="U380" s="94">
        <v>1440.05</v>
      </c>
      <c r="V380" s="94">
        <v>1401.02</v>
      </c>
      <c r="W380" s="106">
        <v>131.37</v>
      </c>
      <c r="X380" s="107" t="s">
        <v>1906</v>
      </c>
      <c r="Y380" s="106">
        <v>124.2</v>
      </c>
      <c r="Z380" s="107" t="s">
        <v>1906</v>
      </c>
      <c r="AA380" s="106">
        <v>161.69999999999999</v>
      </c>
      <c r="AB380" s="107" t="s">
        <v>1906</v>
      </c>
      <c r="AC380" s="106">
        <v>115.48</v>
      </c>
      <c r="AD380" s="107" t="s">
        <v>1906</v>
      </c>
      <c r="AE380" s="106">
        <v>36.19</v>
      </c>
      <c r="AF380" s="107" t="s">
        <v>1906</v>
      </c>
      <c r="AG380" s="106">
        <v>0</v>
      </c>
      <c r="AH380" s="107" t="s">
        <v>1906</v>
      </c>
      <c r="AI380" s="106">
        <v>0</v>
      </c>
      <c r="AJ380" s="107" t="s">
        <v>1906</v>
      </c>
      <c r="AK380" s="106">
        <v>0</v>
      </c>
      <c r="AL380" s="107" t="s">
        <v>1906</v>
      </c>
      <c r="AM380" s="106">
        <v>0</v>
      </c>
      <c r="AN380" s="107" t="s">
        <v>1906</v>
      </c>
      <c r="AO380" s="106">
        <v>131.01999999999998</v>
      </c>
      <c r="AP380" s="107" t="s">
        <v>1906</v>
      </c>
      <c r="AQ380" s="106">
        <v>131.01999999999998</v>
      </c>
      <c r="AR380" s="106" t="s">
        <v>1906</v>
      </c>
      <c r="AS380" s="106">
        <v>131.01999999999998</v>
      </c>
      <c r="AT380" s="107" t="s">
        <v>1906</v>
      </c>
      <c r="AU380" s="106">
        <f t="shared" si="16"/>
        <v>962</v>
      </c>
      <c r="AV380" s="25">
        <v>0.45879999999999999</v>
      </c>
      <c r="AW380" s="30" t="str">
        <f t="shared" si="17"/>
        <v>95-70</v>
      </c>
      <c r="AX380" s="30" t="s">
        <v>1907</v>
      </c>
      <c r="AY380" s="30">
        <v>0</v>
      </c>
      <c r="AZ380" s="30">
        <v>0</v>
      </c>
    </row>
    <row r="381" spans="1:52" ht="31.2" x14ac:dyDescent="0.3">
      <c r="A381" s="103">
        <v>371</v>
      </c>
      <c r="B381" s="30" t="s">
        <v>1026</v>
      </c>
      <c r="C381" s="30" t="s">
        <v>1899</v>
      </c>
      <c r="D381" s="105" t="s">
        <v>1900</v>
      </c>
      <c r="E381" s="108" t="s">
        <v>1910</v>
      </c>
      <c r="F381" s="30" t="s">
        <v>1902</v>
      </c>
      <c r="G381" s="26" t="s">
        <v>145</v>
      </c>
      <c r="H381" s="24" t="s">
        <v>146</v>
      </c>
      <c r="I381" s="25">
        <v>1</v>
      </c>
      <c r="J381" s="24" t="s">
        <v>1903</v>
      </c>
      <c r="K381" s="24">
        <v>80.319999999999993</v>
      </c>
      <c r="L381" s="24">
        <v>5</v>
      </c>
      <c r="M381" s="24" t="str">
        <f t="shared" si="15"/>
        <v>95-70</v>
      </c>
      <c r="N381" s="24" t="s">
        <v>528</v>
      </c>
      <c r="O381" s="24" t="s">
        <v>529</v>
      </c>
      <c r="P381" s="24">
        <v>1</v>
      </c>
      <c r="Q381" s="102">
        <v>0</v>
      </c>
      <c r="R381" s="30" t="s">
        <v>1905</v>
      </c>
      <c r="S381" s="24">
        <v>0</v>
      </c>
      <c r="T381" s="24"/>
      <c r="U381" s="94">
        <v>2695.4300000000003</v>
      </c>
      <c r="V381" s="94">
        <v>2548.5800000000004</v>
      </c>
      <c r="W381" s="106">
        <v>365.26</v>
      </c>
      <c r="X381" s="107" t="s">
        <v>1906</v>
      </c>
      <c r="Y381" s="106">
        <v>226.61</v>
      </c>
      <c r="Z381" s="107" t="s">
        <v>1906</v>
      </c>
      <c r="AA381" s="106">
        <v>321.25</v>
      </c>
      <c r="AB381" s="107" t="s">
        <v>1906</v>
      </c>
      <c r="AC381" s="106">
        <v>244.48</v>
      </c>
      <c r="AD381" s="107" t="s">
        <v>1906</v>
      </c>
      <c r="AE381" s="106">
        <v>77.320000000000007</v>
      </c>
      <c r="AF381" s="107" t="s">
        <v>1906</v>
      </c>
      <c r="AG381" s="106">
        <v>0</v>
      </c>
      <c r="AH381" s="107" t="s">
        <v>1906</v>
      </c>
      <c r="AI381" s="106">
        <v>0</v>
      </c>
      <c r="AJ381" s="107" t="s">
        <v>1906</v>
      </c>
      <c r="AK381" s="106">
        <v>0</v>
      </c>
      <c r="AL381" s="107" t="s">
        <v>1906</v>
      </c>
      <c r="AM381" s="106">
        <v>0</v>
      </c>
      <c r="AN381" s="107" t="s">
        <v>1906</v>
      </c>
      <c r="AO381" s="106">
        <v>119.93</v>
      </c>
      <c r="AP381" s="107" t="s">
        <v>1906</v>
      </c>
      <c r="AQ381" s="106">
        <v>256.01</v>
      </c>
      <c r="AR381" s="106" t="s">
        <v>1906</v>
      </c>
      <c r="AS381" s="106">
        <v>256.01</v>
      </c>
      <c r="AT381" s="107" t="s">
        <v>1906</v>
      </c>
      <c r="AU381" s="106">
        <f t="shared" si="16"/>
        <v>1866.87</v>
      </c>
      <c r="AV381" s="25">
        <v>0.9677</v>
      </c>
      <c r="AW381" s="30" t="str">
        <f t="shared" si="17"/>
        <v>95-70</v>
      </c>
      <c r="AX381" s="30" t="s">
        <v>1907</v>
      </c>
      <c r="AY381" s="30">
        <v>0</v>
      </c>
      <c r="AZ381" s="30">
        <v>0</v>
      </c>
    </row>
    <row r="382" spans="1:52" ht="31.2" x14ac:dyDescent="0.3">
      <c r="A382" s="103">
        <v>372</v>
      </c>
      <c r="B382" s="30" t="s">
        <v>1028</v>
      </c>
      <c r="C382" s="30" t="s">
        <v>1899</v>
      </c>
      <c r="D382" s="105" t="s">
        <v>1900</v>
      </c>
      <c r="E382" s="108" t="s">
        <v>1901</v>
      </c>
      <c r="F382" s="30" t="s">
        <v>1902</v>
      </c>
      <c r="G382" s="26" t="s">
        <v>145</v>
      </c>
      <c r="H382" s="24" t="s">
        <v>146</v>
      </c>
      <c r="I382" s="25">
        <v>0</v>
      </c>
      <c r="J382" s="24" t="s">
        <v>1903</v>
      </c>
      <c r="K382" s="24">
        <v>32</v>
      </c>
      <c r="L382" s="24">
        <v>5</v>
      </c>
      <c r="M382" s="24" t="str">
        <f t="shared" si="15"/>
        <v>95-70</v>
      </c>
      <c r="N382" s="24" t="s">
        <v>529</v>
      </c>
      <c r="O382" s="24" t="s">
        <v>529</v>
      </c>
      <c r="P382" s="24">
        <v>0</v>
      </c>
      <c r="Q382" s="102">
        <v>0</v>
      </c>
      <c r="R382" s="30" t="s">
        <v>1905</v>
      </c>
      <c r="S382" s="24">
        <v>0</v>
      </c>
      <c r="T382" s="24"/>
      <c r="U382" s="94">
        <v>191.82</v>
      </c>
      <c r="V382" s="94">
        <v>70.11</v>
      </c>
      <c r="W382" s="106">
        <v>11.09</v>
      </c>
      <c r="X382" s="107" t="s">
        <v>1906</v>
      </c>
      <c r="Y382" s="106">
        <v>11.09</v>
      </c>
      <c r="Z382" s="107" t="s">
        <v>1906</v>
      </c>
      <c r="AA382" s="106">
        <v>11.09</v>
      </c>
      <c r="AB382" s="107" t="s">
        <v>1906</v>
      </c>
      <c r="AC382" s="106">
        <v>11.09</v>
      </c>
      <c r="AD382" s="107" t="s">
        <v>1906</v>
      </c>
      <c r="AE382" s="106">
        <v>3.57</v>
      </c>
      <c r="AF382" s="107" t="s">
        <v>1906</v>
      </c>
      <c r="AG382" s="106">
        <v>0</v>
      </c>
      <c r="AH382" s="107" t="s">
        <v>1906</v>
      </c>
      <c r="AI382" s="106">
        <v>0</v>
      </c>
      <c r="AJ382" s="107" t="s">
        <v>1906</v>
      </c>
      <c r="AK382" s="106">
        <v>0</v>
      </c>
      <c r="AL382" s="107" t="s">
        <v>1906</v>
      </c>
      <c r="AM382" s="106">
        <v>2.57</v>
      </c>
      <c r="AN382" s="107" t="s">
        <v>1906</v>
      </c>
      <c r="AO382" s="106">
        <v>11.01</v>
      </c>
      <c r="AP382" s="107" t="s">
        <v>1906</v>
      </c>
      <c r="AQ382" s="106">
        <v>11.01</v>
      </c>
      <c r="AR382" s="106" t="s">
        <v>1906</v>
      </c>
      <c r="AS382" s="106">
        <v>11.01</v>
      </c>
      <c r="AT382" s="107" t="s">
        <v>1906</v>
      </c>
      <c r="AU382" s="106">
        <f t="shared" si="16"/>
        <v>83.53</v>
      </c>
      <c r="AV382" s="25">
        <v>9.4500000000000001E-2</v>
      </c>
      <c r="AW382" s="30" t="str">
        <f t="shared" si="17"/>
        <v>95-70</v>
      </c>
      <c r="AX382" s="30" t="s">
        <v>1907</v>
      </c>
      <c r="AY382" s="30">
        <v>0</v>
      </c>
      <c r="AZ382" s="30">
        <v>0</v>
      </c>
    </row>
    <row r="383" spans="1:52" ht="31.2" x14ac:dyDescent="0.3">
      <c r="A383" s="103">
        <v>373</v>
      </c>
      <c r="B383" s="30" t="s">
        <v>1029</v>
      </c>
      <c r="C383" s="30" t="s">
        <v>1899</v>
      </c>
      <c r="D383" s="105" t="s">
        <v>1900</v>
      </c>
      <c r="E383" s="108" t="s">
        <v>1901</v>
      </c>
      <c r="F383" s="30" t="s">
        <v>1902</v>
      </c>
      <c r="G383" s="26" t="s">
        <v>145</v>
      </c>
      <c r="H383" s="24" t="s">
        <v>146</v>
      </c>
      <c r="I383" s="25">
        <v>0</v>
      </c>
      <c r="J383" s="24" t="s">
        <v>1903</v>
      </c>
      <c r="K383" s="24">
        <v>32</v>
      </c>
      <c r="L383" s="24">
        <v>5</v>
      </c>
      <c r="M383" s="24" t="str">
        <f t="shared" si="15"/>
        <v>95-70</v>
      </c>
      <c r="N383" s="24" t="s">
        <v>529</v>
      </c>
      <c r="O383" s="24" t="s">
        <v>529</v>
      </c>
      <c r="P383" s="24">
        <v>0</v>
      </c>
      <c r="Q383" s="102">
        <v>0</v>
      </c>
      <c r="R383" s="30" t="s">
        <v>1905</v>
      </c>
      <c r="S383" s="24">
        <v>0</v>
      </c>
      <c r="T383" s="24"/>
      <c r="U383" s="94">
        <v>202.76</v>
      </c>
      <c r="V383" s="94">
        <v>141.38999999999999</v>
      </c>
      <c r="W383" s="106">
        <v>19.309999999999999</v>
      </c>
      <c r="X383" s="107" t="s">
        <v>1906</v>
      </c>
      <c r="Y383" s="106">
        <v>19.309999999999999</v>
      </c>
      <c r="Z383" s="107" t="s">
        <v>1906</v>
      </c>
      <c r="AA383" s="106">
        <v>19.309999999999999</v>
      </c>
      <c r="AB383" s="107" t="s">
        <v>1906</v>
      </c>
      <c r="AC383" s="106">
        <v>19.309999999999999</v>
      </c>
      <c r="AD383" s="107" t="s">
        <v>1906</v>
      </c>
      <c r="AE383" s="106">
        <v>6.22</v>
      </c>
      <c r="AF383" s="107" t="s">
        <v>1906</v>
      </c>
      <c r="AG383" s="106">
        <v>0</v>
      </c>
      <c r="AH383" s="107" t="s">
        <v>1906</v>
      </c>
      <c r="AI383" s="106">
        <v>0</v>
      </c>
      <c r="AJ383" s="107" t="s">
        <v>1906</v>
      </c>
      <c r="AK383" s="106">
        <v>0</v>
      </c>
      <c r="AL383" s="107" t="s">
        <v>1906</v>
      </c>
      <c r="AM383" s="106">
        <v>4.4000000000000004</v>
      </c>
      <c r="AN383" s="107" t="s">
        <v>1906</v>
      </c>
      <c r="AO383" s="106">
        <v>18.87</v>
      </c>
      <c r="AP383" s="107" t="s">
        <v>1906</v>
      </c>
      <c r="AQ383" s="106">
        <v>18.87</v>
      </c>
      <c r="AR383" s="106" t="s">
        <v>1906</v>
      </c>
      <c r="AS383" s="106">
        <v>18.87</v>
      </c>
      <c r="AT383" s="107" t="s">
        <v>1906</v>
      </c>
      <c r="AU383" s="106">
        <f t="shared" si="16"/>
        <v>144.47</v>
      </c>
      <c r="AV383" s="25">
        <v>7.8299999999999995E-2</v>
      </c>
      <c r="AW383" s="30" t="str">
        <f t="shared" si="17"/>
        <v>95-70</v>
      </c>
      <c r="AX383" s="30" t="s">
        <v>1907</v>
      </c>
      <c r="AY383" s="30">
        <v>0</v>
      </c>
      <c r="AZ383" s="30">
        <v>0</v>
      </c>
    </row>
    <row r="384" spans="1:52" ht="31.2" x14ac:dyDescent="0.3">
      <c r="A384" s="103">
        <v>374</v>
      </c>
      <c r="B384" s="30" t="s">
        <v>1030</v>
      </c>
      <c r="C384" s="30" t="s">
        <v>1899</v>
      </c>
      <c r="D384" s="105" t="s">
        <v>1900</v>
      </c>
      <c r="E384" s="108" t="s">
        <v>1901</v>
      </c>
      <c r="F384" s="30" t="s">
        <v>1902</v>
      </c>
      <c r="G384" s="26" t="s">
        <v>145</v>
      </c>
      <c r="H384" s="24" t="s">
        <v>146</v>
      </c>
      <c r="I384" s="25">
        <v>0</v>
      </c>
      <c r="J384" s="24" t="s">
        <v>1903</v>
      </c>
      <c r="K384" s="24">
        <v>32</v>
      </c>
      <c r="L384" s="24">
        <v>5</v>
      </c>
      <c r="M384" s="24" t="str">
        <f t="shared" si="15"/>
        <v>95-70</v>
      </c>
      <c r="N384" s="24" t="s">
        <v>529</v>
      </c>
      <c r="O384" s="24" t="s">
        <v>529</v>
      </c>
      <c r="P384" s="24">
        <v>0</v>
      </c>
      <c r="Q384" s="102">
        <v>0</v>
      </c>
      <c r="R384" s="30" t="s">
        <v>1905</v>
      </c>
      <c r="S384" s="24">
        <v>0</v>
      </c>
      <c r="T384" s="24"/>
      <c r="U384" s="94">
        <f>299.34*0.72</f>
        <v>215.52479999999997</v>
      </c>
      <c r="V384" s="94">
        <f>208.92*0.72</f>
        <v>150.42239999999998</v>
      </c>
      <c r="W384" s="106">
        <f>28.53*0.72</f>
        <v>20.541599999999999</v>
      </c>
      <c r="X384" s="107" t="s">
        <v>1906</v>
      </c>
      <c r="Y384" s="106">
        <f>28.53*0.72</f>
        <v>20.541599999999999</v>
      </c>
      <c r="Z384" s="107" t="s">
        <v>1906</v>
      </c>
      <c r="AA384" s="106">
        <f>28.53*0.72</f>
        <v>20.541599999999999</v>
      </c>
      <c r="AB384" s="107" t="s">
        <v>1906</v>
      </c>
      <c r="AC384" s="106">
        <f>28.53*0.72</f>
        <v>20.541599999999999</v>
      </c>
      <c r="AD384" s="107" t="s">
        <v>1906</v>
      </c>
      <c r="AE384" s="106">
        <f>9.21*0.72</f>
        <v>6.6312000000000006</v>
      </c>
      <c r="AF384" s="107" t="s">
        <v>1906</v>
      </c>
      <c r="AG384" s="106">
        <v>0</v>
      </c>
      <c r="AH384" s="107" t="s">
        <v>1906</v>
      </c>
      <c r="AI384" s="106">
        <v>0</v>
      </c>
      <c r="AJ384" s="107" t="s">
        <v>1906</v>
      </c>
      <c r="AK384" s="106">
        <v>0</v>
      </c>
      <c r="AL384" s="107" t="s">
        <v>1906</v>
      </c>
      <c r="AM384" s="106">
        <f>6.45*0.72</f>
        <v>4.6440000000000001</v>
      </c>
      <c r="AN384" s="107" t="s">
        <v>1906</v>
      </c>
      <c r="AO384" s="106">
        <f>27.65*0.72</f>
        <v>19.907999999999998</v>
      </c>
      <c r="AP384" s="107" t="s">
        <v>1906</v>
      </c>
      <c r="AQ384" s="106">
        <f>27.65*0.72</f>
        <v>19.907999999999998</v>
      </c>
      <c r="AR384" s="106" t="s">
        <v>1906</v>
      </c>
      <c r="AS384" s="106">
        <f>27.65*0.72</f>
        <v>19.907999999999998</v>
      </c>
      <c r="AT384" s="107" t="s">
        <v>1906</v>
      </c>
      <c r="AU384" s="106">
        <f t="shared" si="16"/>
        <v>153.16559999999998</v>
      </c>
      <c r="AV384" s="25">
        <v>9.5600000000000004E-2</v>
      </c>
      <c r="AW384" s="30" t="str">
        <f t="shared" si="17"/>
        <v>95-70</v>
      </c>
      <c r="AX384" s="30" t="s">
        <v>1907</v>
      </c>
      <c r="AY384" s="30">
        <v>0</v>
      </c>
      <c r="AZ384" s="30">
        <v>0</v>
      </c>
    </row>
    <row r="385" spans="1:52" ht="31.2" x14ac:dyDescent="0.3">
      <c r="A385" s="103">
        <v>375</v>
      </c>
      <c r="B385" s="30" t="s">
        <v>1031</v>
      </c>
      <c r="C385" s="30" t="s">
        <v>1899</v>
      </c>
      <c r="D385" s="105" t="s">
        <v>1900</v>
      </c>
      <c r="E385" s="108" t="s">
        <v>1901</v>
      </c>
      <c r="F385" s="30" t="s">
        <v>1902</v>
      </c>
      <c r="G385" s="26" t="s">
        <v>145</v>
      </c>
      <c r="H385" s="24" t="s">
        <v>146</v>
      </c>
      <c r="I385" s="25">
        <v>1</v>
      </c>
      <c r="J385" s="24" t="s">
        <v>1903</v>
      </c>
      <c r="K385" s="24">
        <v>32</v>
      </c>
      <c r="L385" s="24">
        <v>5</v>
      </c>
      <c r="M385" s="24" t="str">
        <f t="shared" si="15"/>
        <v>95-70</v>
      </c>
      <c r="N385" s="24" t="s">
        <v>529</v>
      </c>
      <c r="O385" s="24" t="s">
        <v>529</v>
      </c>
      <c r="P385" s="24">
        <v>1</v>
      </c>
      <c r="Q385" s="102">
        <v>0</v>
      </c>
      <c r="R385" s="30" t="s">
        <v>1905</v>
      </c>
      <c r="S385" s="24">
        <v>0</v>
      </c>
      <c r="T385" s="24"/>
      <c r="U385" s="94">
        <f>299.34*0.28</f>
        <v>83.815200000000004</v>
      </c>
      <c r="V385" s="94">
        <f>208.92*0.28</f>
        <v>58.497600000000006</v>
      </c>
      <c r="W385" s="106">
        <f>28.53*0.28</f>
        <v>7.9884000000000013</v>
      </c>
      <c r="X385" s="107" t="s">
        <v>1906</v>
      </c>
      <c r="Y385" s="106">
        <f>28.53*0.28</f>
        <v>7.9884000000000013</v>
      </c>
      <c r="Z385" s="107" t="s">
        <v>1906</v>
      </c>
      <c r="AA385" s="106">
        <f>28.53*0.28</f>
        <v>7.9884000000000013</v>
      </c>
      <c r="AB385" s="107" t="s">
        <v>1906</v>
      </c>
      <c r="AC385" s="106">
        <f>28.53*0.28</f>
        <v>7.9884000000000013</v>
      </c>
      <c r="AD385" s="107" t="s">
        <v>1906</v>
      </c>
      <c r="AE385" s="106">
        <f>9.21*0.28</f>
        <v>2.5788000000000006</v>
      </c>
      <c r="AF385" s="107" t="s">
        <v>1906</v>
      </c>
      <c r="AG385" s="106">
        <v>0</v>
      </c>
      <c r="AH385" s="107" t="s">
        <v>1906</v>
      </c>
      <c r="AI385" s="106">
        <v>0</v>
      </c>
      <c r="AJ385" s="107" t="s">
        <v>1906</v>
      </c>
      <c r="AK385" s="106">
        <v>0</v>
      </c>
      <c r="AL385" s="107" t="s">
        <v>1906</v>
      </c>
      <c r="AM385" s="106">
        <f>6.45*0.28</f>
        <v>1.8060000000000003</v>
      </c>
      <c r="AN385" s="107" t="s">
        <v>1906</v>
      </c>
      <c r="AO385" s="106">
        <f>27.65*0.28</f>
        <v>7.742</v>
      </c>
      <c r="AP385" s="107" t="s">
        <v>1906</v>
      </c>
      <c r="AQ385" s="106">
        <f>27.65*0.28</f>
        <v>7.742</v>
      </c>
      <c r="AR385" s="106" t="s">
        <v>1906</v>
      </c>
      <c r="AS385" s="106">
        <f>27.65*0.28</f>
        <v>7.742</v>
      </c>
      <c r="AT385" s="107" t="s">
        <v>1906</v>
      </c>
      <c r="AU385" s="106">
        <f t="shared" si="16"/>
        <v>59.564399999999992</v>
      </c>
      <c r="AV385" s="25">
        <v>4.2900000000000001E-2</v>
      </c>
      <c r="AW385" s="30" t="str">
        <f t="shared" si="17"/>
        <v>95-70</v>
      </c>
      <c r="AX385" s="30" t="s">
        <v>1907</v>
      </c>
      <c r="AY385" s="30">
        <v>0</v>
      </c>
      <c r="AZ385" s="30">
        <v>0</v>
      </c>
    </row>
    <row r="386" spans="1:52" ht="31.2" x14ac:dyDescent="0.3">
      <c r="A386" s="103">
        <v>376</v>
      </c>
      <c r="B386" s="30" t="s">
        <v>1032</v>
      </c>
      <c r="C386" s="30" t="s">
        <v>1899</v>
      </c>
      <c r="D386" s="105" t="s">
        <v>1900</v>
      </c>
      <c r="E386" s="108" t="s">
        <v>1901</v>
      </c>
      <c r="F386" s="30" t="s">
        <v>1902</v>
      </c>
      <c r="G386" s="26" t="s">
        <v>145</v>
      </c>
      <c r="H386" s="24" t="s">
        <v>146</v>
      </c>
      <c r="I386" s="25">
        <v>0</v>
      </c>
      <c r="J386" s="24" t="s">
        <v>1903</v>
      </c>
      <c r="K386" s="24">
        <v>32</v>
      </c>
      <c r="L386" s="24">
        <v>5</v>
      </c>
      <c r="M386" s="24" t="str">
        <f t="shared" si="15"/>
        <v>95-70</v>
      </c>
      <c r="N386" s="24" t="s">
        <v>529</v>
      </c>
      <c r="O386" s="24" t="s">
        <v>529</v>
      </c>
      <c r="P386" s="24">
        <v>0</v>
      </c>
      <c r="Q386" s="102">
        <v>0</v>
      </c>
      <c r="R386" s="30" t="s">
        <v>1905</v>
      </c>
      <c r="S386" s="24">
        <v>0</v>
      </c>
      <c r="T386" s="24"/>
      <c r="U386" s="94">
        <v>136.82</v>
      </c>
      <c r="V386" s="94">
        <v>81.86999999999999</v>
      </c>
      <c r="W386" s="106">
        <v>11.18</v>
      </c>
      <c r="X386" s="107" t="s">
        <v>1906</v>
      </c>
      <c r="Y386" s="106">
        <v>11.18</v>
      </c>
      <c r="Z386" s="107" t="s">
        <v>1906</v>
      </c>
      <c r="AA386" s="106">
        <v>11.18</v>
      </c>
      <c r="AB386" s="107" t="s">
        <v>1906</v>
      </c>
      <c r="AC386" s="106">
        <v>11.18</v>
      </c>
      <c r="AD386" s="107" t="s">
        <v>1906</v>
      </c>
      <c r="AE386" s="106">
        <v>3.6100000000000003</v>
      </c>
      <c r="AF386" s="107" t="s">
        <v>1906</v>
      </c>
      <c r="AG386" s="106">
        <v>0</v>
      </c>
      <c r="AH386" s="107" t="s">
        <v>1906</v>
      </c>
      <c r="AI386" s="106">
        <v>0</v>
      </c>
      <c r="AJ386" s="107" t="s">
        <v>1906</v>
      </c>
      <c r="AK386" s="106">
        <v>0</v>
      </c>
      <c r="AL386" s="107" t="s">
        <v>1906</v>
      </c>
      <c r="AM386" s="106">
        <v>2.48</v>
      </c>
      <c r="AN386" s="107" t="s">
        <v>1906</v>
      </c>
      <c r="AO386" s="106">
        <v>10.63</v>
      </c>
      <c r="AP386" s="107" t="s">
        <v>1906</v>
      </c>
      <c r="AQ386" s="106">
        <v>10.63</v>
      </c>
      <c r="AR386" s="106" t="s">
        <v>1906</v>
      </c>
      <c r="AS386" s="106">
        <v>10.63</v>
      </c>
      <c r="AT386" s="107" t="s">
        <v>1906</v>
      </c>
      <c r="AU386" s="106">
        <f t="shared" si="16"/>
        <v>82.699999999999989</v>
      </c>
      <c r="AV386" s="25">
        <v>5.1200000000000002E-2</v>
      </c>
      <c r="AW386" s="30" t="str">
        <f t="shared" si="17"/>
        <v>95-70</v>
      </c>
      <c r="AX386" s="30" t="s">
        <v>1907</v>
      </c>
      <c r="AY386" s="30">
        <v>0</v>
      </c>
      <c r="AZ386" s="30">
        <v>0</v>
      </c>
    </row>
    <row r="387" spans="1:52" ht="31.2" x14ac:dyDescent="0.3">
      <c r="A387" s="103">
        <v>377</v>
      </c>
      <c r="B387" s="30" t="s">
        <v>1033</v>
      </c>
      <c r="C387" s="30" t="s">
        <v>1899</v>
      </c>
      <c r="D387" s="105" t="s">
        <v>1900</v>
      </c>
      <c r="E387" s="108" t="s">
        <v>1901</v>
      </c>
      <c r="F387" s="30" t="s">
        <v>1902</v>
      </c>
      <c r="G387" s="26" t="s">
        <v>145</v>
      </c>
      <c r="H387" s="24" t="s">
        <v>146</v>
      </c>
      <c r="I387" s="25">
        <v>1</v>
      </c>
      <c r="J387" s="24" t="s">
        <v>1903</v>
      </c>
      <c r="K387" s="24">
        <v>32</v>
      </c>
      <c r="L387" s="24">
        <v>5</v>
      </c>
      <c r="M387" s="24" t="str">
        <f t="shared" si="15"/>
        <v>95-70</v>
      </c>
      <c r="N387" s="24" t="s">
        <v>529</v>
      </c>
      <c r="O387" s="24" t="s">
        <v>529</v>
      </c>
      <c r="P387" s="24">
        <v>1</v>
      </c>
      <c r="Q387" s="102">
        <v>0</v>
      </c>
      <c r="R387" s="30" t="s">
        <v>1905</v>
      </c>
      <c r="S387" s="24">
        <v>0</v>
      </c>
      <c r="T387" s="24"/>
      <c r="U387" s="94">
        <v>336.23</v>
      </c>
      <c r="V387" s="94">
        <v>379.68000000000006</v>
      </c>
      <c r="W387" s="106">
        <v>51.85</v>
      </c>
      <c r="X387" s="107" t="s">
        <v>1906</v>
      </c>
      <c r="Y387" s="106">
        <v>51.85</v>
      </c>
      <c r="Z387" s="107" t="s">
        <v>1906</v>
      </c>
      <c r="AA387" s="106">
        <v>51.85</v>
      </c>
      <c r="AB387" s="107" t="s">
        <v>1906</v>
      </c>
      <c r="AC387" s="106">
        <v>51.85</v>
      </c>
      <c r="AD387" s="107" t="s">
        <v>1906</v>
      </c>
      <c r="AE387" s="106">
        <v>16.73</v>
      </c>
      <c r="AF387" s="107" t="s">
        <v>1906</v>
      </c>
      <c r="AG387" s="106">
        <v>0</v>
      </c>
      <c r="AH387" s="107" t="s">
        <v>1906</v>
      </c>
      <c r="AI387" s="106">
        <v>0</v>
      </c>
      <c r="AJ387" s="107" t="s">
        <v>1906</v>
      </c>
      <c r="AK387" s="106">
        <v>0</v>
      </c>
      <c r="AL387" s="107" t="s">
        <v>1906</v>
      </c>
      <c r="AM387" s="106">
        <v>11.64</v>
      </c>
      <c r="AN387" s="107" t="s">
        <v>1906</v>
      </c>
      <c r="AO387" s="106">
        <v>49.89</v>
      </c>
      <c r="AP387" s="107" t="s">
        <v>1906</v>
      </c>
      <c r="AQ387" s="106">
        <v>49.89</v>
      </c>
      <c r="AR387" s="106" t="s">
        <v>1906</v>
      </c>
      <c r="AS387" s="106">
        <v>49.89</v>
      </c>
      <c r="AT387" s="107" t="s">
        <v>1906</v>
      </c>
      <c r="AU387" s="106">
        <f t="shared" si="16"/>
        <v>385.43999999999994</v>
      </c>
      <c r="AV387" s="25">
        <v>0.16109999999999999</v>
      </c>
      <c r="AW387" s="30" t="str">
        <f t="shared" si="17"/>
        <v>95-70</v>
      </c>
      <c r="AX387" s="30" t="s">
        <v>1907</v>
      </c>
      <c r="AY387" s="30">
        <v>0</v>
      </c>
      <c r="AZ387" s="30">
        <v>0</v>
      </c>
    </row>
    <row r="388" spans="1:52" ht="31.2" x14ac:dyDescent="0.3">
      <c r="A388" s="103">
        <v>378</v>
      </c>
      <c r="B388" s="30" t="s">
        <v>1034</v>
      </c>
      <c r="C388" s="30" t="s">
        <v>1899</v>
      </c>
      <c r="D388" s="105" t="s">
        <v>1900</v>
      </c>
      <c r="E388" s="108" t="s">
        <v>1901</v>
      </c>
      <c r="F388" s="30" t="s">
        <v>1902</v>
      </c>
      <c r="G388" s="26" t="s">
        <v>145</v>
      </c>
      <c r="H388" s="24" t="s">
        <v>146</v>
      </c>
      <c r="I388" s="25">
        <v>1</v>
      </c>
      <c r="J388" s="24" t="s">
        <v>1903</v>
      </c>
      <c r="K388" s="24">
        <v>32</v>
      </c>
      <c r="L388" s="24">
        <v>5</v>
      </c>
      <c r="M388" s="24" t="str">
        <f t="shared" si="15"/>
        <v>95-70</v>
      </c>
      <c r="N388" s="24" t="s">
        <v>529</v>
      </c>
      <c r="O388" s="24" t="s">
        <v>529</v>
      </c>
      <c r="P388" s="24">
        <v>1</v>
      </c>
      <c r="Q388" s="102">
        <v>0</v>
      </c>
      <c r="R388" s="30" t="s">
        <v>1905</v>
      </c>
      <c r="S388" s="24">
        <v>0</v>
      </c>
      <c r="T388" s="24"/>
      <c r="U388" s="94">
        <v>390.24</v>
      </c>
      <c r="V388" s="94">
        <v>327.82</v>
      </c>
      <c r="W388" s="106">
        <v>44.769999999999996</v>
      </c>
      <c r="X388" s="107" t="s">
        <v>1906</v>
      </c>
      <c r="Y388" s="106">
        <v>44.769999999999996</v>
      </c>
      <c r="Z388" s="107" t="s">
        <v>1906</v>
      </c>
      <c r="AA388" s="106">
        <v>44.769999999999996</v>
      </c>
      <c r="AB388" s="107" t="s">
        <v>1906</v>
      </c>
      <c r="AC388" s="106">
        <v>44.769999999999996</v>
      </c>
      <c r="AD388" s="107" t="s">
        <v>1906</v>
      </c>
      <c r="AE388" s="106">
        <v>14.43</v>
      </c>
      <c r="AF388" s="107" t="s">
        <v>1906</v>
      </c>
      <c r="AG388" s="106">
        <v>0</v>
      </c>
      <c r="AH388" s="107" t="s">
        <v>1906</v>
      </c>
      <c r="AI388" s="106">
        <v>0</v>
      </c>
      <c r="AJ388" s="107" t="s">
        <v>1906</v>
      </c>
      <c r="AK388" s="106">
        <v>0</v>
      </c>
      <c r="AL388" s="107" t="s">
        <v>1906</v>
      </c>
      <c r="AM388" s="106">
        <v>10.26</v>
      </c>
      <c r="AN388" s="107" t="s">
        <v>1906</v>
      </c>
      <c r="AO388" s="106">
        <v>44.01</v>
      </c>
      <c r="AP388" s="107" t="s">
        <v>1906</v>
      </c>
      <c r="AQ388" s="106">
        <v>44.01</v>
      </c>
      <c r="AR388" s="106" t="s">
        <v>1906</v>
      </c>
      <c r="AS388" s="106">
        <v>44.01</v>
      </c>
      <c r="AT388" s="107" t="s">
        <v>1906</v>
      </c>
      <c r="AU388" s="106">
        <f t="shared" si="16"/>
        <v>335.79999999999995</v>
      </c>
      <c r="AV388" s="25">
        <v>0.17949999999999999</v>
      </c>
      <c r="AW388" s="30" t="str">
        <f t="shared" si="17"/>
        <v>95-70</v>
      </c>
      <c r="AX388" s="30" t="s">
        <v>1907</v>
      </c>
      <c r="AY388" s="30">
        <v>0</v>
      </c>
      <c r="AZ388" s="30">
        <v>0</v>
      </c>
    </row>
    <row r="389" spans="1:52" ht="31.2" x14ac:dyDescent="0.3">
      <c r="A389" s="103">
        <v>379</v>
      </c>
      <c r="B389" s="30" t="s">
        <v>1035</v>
      </c>
      <c r="C389" s="30" t="s">
        <v>1899</v>
      </c>
      <c r="D389" s="105" t="s">
        <v>1900</v>
      </c>
      <c r="E389" s="108" t="s">
        <v>1901</v>
      </c>
      <c r="F389" s="30" t="s">
        <v>1902</v>
      </c>
      <c r="G389" s="26" t="s">
        <v>145</v>
      </c>
      <c r="H389" s="24" t="s">
        <v>146</v>
      </c>
      <c r="I389" s="25">
        <v>1</v>
      </c>
      <c r="J389" s="24" t="s">
        <v>1903</v>
      </c>
      <c r="K389" s="24">
        <v>32</v>
      </c>
      <c r="L389" s="24">
        <v>5</v>
      </c>
      <c r="M389" s="24" t="str">
        <f t="shared" si="15"/>
        <v>95-70</v>
      </c>
      <c r="N389" s="24" t="s">
        <v>529</v>
      </c>
      <c r="O389" s="24" t="s">
        <v>529</v>
      </c>
      <c r="P389" s="24">
        <v>1</v>
      </c>
      <c r="Q389" s="102">
        <v>0</v>
      </c>
      <c r="R389" s="30" t="s">
        <v>1905</v>
      </c>
      <c r="S389" s="24">
        <v>0</v>
      </c>
      <c r="T389" s="24"/>
      <c r="U389" s="94">
        <v>266.21000000000004</v>
      </c>
      <c r="V389" s="94">
        <v>201.65999999999997</v>
      </c>
      <c r="W389" s="106">
        <v>27.54</v>
      </c>
      <c r="X389" s="107" t="s">
        <v>1906</v>
      </c>
      <c r="Y389" s="106">
        <v>27.54</v>
      </c>
      <c r="Z389" s="107" t="s">
        <v>1906</v>
      </c>
      <c r="AA389" s="106">
        <v>27.54</v>
      </c>
      <c r="AB389" s="107" t="s">
        <v>1906</v>
      </c>
      <c r="AC389" s="106">
        <v>27.54</v>
      </c>
      <c r="AD389" s="107" t="s">
        <v>1906</v>
      </c>
      <c r="AE389" s="106">
        <v>8.879999999999999</v>
      </c>
      <c r="AF389" s="107" t="s">
        <v>1906</v>
      </c>
      <c r="AG389" s="106">
        <v>0</v>
      </c>
      <c r="AH389" s="107" t="s">
        <v>1906</v>
      </c>
      <c r="AI389" s="106">
        <v>0</v>
      </c>
      <c r="AJ389" s="107" t="s">
        <v>1906</v>
      </c>
      <c r="AK389" s="106">
        <v>0</v>
      </c>
      <c r="AL389" s="107" t="s">
        <v>1906</v>
      </c>
      <c r="AM389" s="106">
        <v>6.31</v>
      </c>
      <c r="AN389" s="107" t="s">
        <v>1906</v>
      </c>
      <c r="AO389" s="106">
        <v>27.03</v>
      </c>
      <c r="AP389" s="107" t="s">
        <v>1906</v>
      </c>
      <c r="AQ389" s="106">
        <v>27.03</v>
      </c>
      <c r="AR389" s="106" t="s">
        <v>1906</v>
      </c>
      <c r="AS389" s="106">
        <v>27.03</v>
      </c>
      <c r="AT389" s="107" t="s">
        <v>1906</v>
      </c>
      <c r="AU389" s="106">
        <f t="shared" si="16"/>
        <v>206.44</v>
      </c>
      <c r="AV389" s="25">
        <v>0.1235</v>
      </c>
      <c r="AW389" s="30" t="str">
        <f t="shared" si="17"/>
        <v>95-70</v>
      </c>
      <c r="AX389" s="30" t="s">
        <v>1907</v>
      </c>
      <c r="AY389" s="30">
        <v>0</v>
      </c>
      <c r="AZ389" s="30">
        <v>0</v>
      </c>
    </row>
    <row r="390" spans="1:52" ht="31.2" x14ac:dyDescent="0.3">
      <c r="A390" s="103">
        <v>380</v>
      </c>
      <c r="B390" s="30" t="s">
        <v>1037</v>
      </c>
      <c r="C390" s="30" t="s">
        <v>1899</v>
      </c>
      <c r="D390" s="105" t="s">
        <v>1900</v>
      </c>
      <c r="E390" s="108" t="s">
        <v>1901</v>
      </c>
      <c r="F390" s="30" t="s">
        <v>1902</v>
      </c>
      <c r="G390" s="26" t="s">
        <v>145</v>
      </c>
      <c r="H390" s="24" t="s">
        <v>146</v>
      </c>
      <c r="I390" s="25">
        <v>0</v>
      </c>
      <c r="J390" s="24" t="s">
        <v>1903</v>
      </c>
      <c r="K390" s="24">
        <v>32</v>
      </c>
      <c r="L390" s="24">
        <v>5</v>
      </c>
      <c r="M390" s="24" t="str">
        <f t="shared" si="15"/>
        <v>95-70</v>
      </c>
      <c r="N390" s="24" t="s">
        <v>529</v>
      </c>
      <c r="O390" s="24" t="s">
        <v>529</v>
      </c>
      <c r="P390" s="24">
        <v>0</v>
      </c>
      <c r="Q390" s="102">
        <v>0</v>
      </c>
      <c r="R390" s="30" t="s">
        <v>1905</v>
      </c>
      <c r="S390" s="24">
        <v>0</v>
      </c>
      <c r="T390" s="24"/>
      <c r="U390" s="94">
        <v>376.2</v>
      </c>
      <c r="V390" s="94">
        <v>243.23999999999995</v>
      </c>
      <c r="W390" s="106">
        <v>35.620000000000005</v>
      </c>
      <c r="X390" s="107" t="s">
        <v>1906</v>
      </c>
      <c r="Y390" s="106">
        <v>21.16</v>
      </c>
      <c r="Z390" s="107" t="s">
        <v>1906</v>
      </c>
      <c r="AA390" s="106">
        <v>31.409999999999997</v>
      </c>
      <c r="AB390" s="107" t="s">
        <v>1906</v>
      </c>
      <c r="AC390" s="106">
        <v>10.92</v>
      </c>
      <c r="AD390" s="107" t="s">
        <v>1906</v>
      </c>
      <c r="AE390" s="106">
        <v>5.0299999999999994</v>
      </c>
      <c r="AF390" s="107" t="s">
        <v>1906</v>
      </c>
      <c r="AG390" s="106">
        <v>0</v>
      </c>
      <c r="AH390" s="107" t="s">
        <v>1906</v>
      </c>
      <c r="AI390" s="106">
        <v>0</v>
      </c>
      <c r="AJ390" s="107" t="s">
        <v>1906</v>
      </c>
      <c r="AK390" s="106">
        <v>0</v>
      </c>
      <c r="AL390" s="107" t="s">
        <v>1906</v>
      </c>
      <c r="AM390" s="106">
        <v>0</v>
      </c>
      <c r="AN390" s="107" t="s">
        <v>1906</v>
      </c>
      <c r="AO390" s="106">
        <v>6.98</v>
      </c>
      <c r="AP390" s="107" t="s">
        <v>1906</v>
      </c>
      <c r="AQ390" s="106">
        <v>10.32</v>
      </c>
      <c r="AR390" s="106" t="s">
        <v>1906</v>
      </c>
      <c r="AS390" s="106">
        <v>14.5</v>
      </c>
      <c r="AT390" s="107" t="s">
        <v>1906</v>
      </c>
      <c r="AU390" s="106">
        <f t="shared" si="16"/>
        <v>135.94</v>
      </c>
      <c r="AV390" s="25">
        <v>0.1988</v>
      </c>
      <c r="AW390" s="30" t="str">
        <f t="shared" si="17"/>
        <v>95-70</v>
      </c>
      <c r="AX390" s="30" t="s">
        <v>1907</v>
      </c>
      <c r="AY390" s="30">
        <v>0</v>
      </c>
      <c r="AZ390" s="30">
        <v>0</v>
      </c>
    </row>
    <row r="391" spans="1:52" ht="31.2" x14ac:dyDescent="0.3">
      <c r="A391" s="103">
        <v>381</v>
      </c>
      <c r="B391" s="30" t="s">
        <v>1038</v>
      </c>
      <c r="C391" s="30" t="s">
        <v>1899</v>
      </c>
      <c r="D391" s="105" t="s">
        <v>1900</v>
      </c>
      <c r="E391" s="108" t="s">
        <v>1901</v>
      </c>
      <c r="F391" s="30" t="s">
        <v>1902</v>
      </c>
      <c r="G391" s="26" t="s">
        <v>145</v>
      </c>
      <c r="H391" s="24" t="s">
        <v>146</v>
      </c>
      <c r="I391" s="25">
        <v>0</v>
      </c>
      <c r="J391" s="24" t="s">
        <v>1903</v>
      </c>
      <c r="K391" s="24">
        <v>32</v>
      </c>
      <c r="L391" s="24">
        <v>5</v>
      </c>
      <c r="M391" s="24" t="str">
        <f t="shared" si="15"/>
        <v>95-70</v>
      </c>
      <c r="N391" s="24" t="s">
        <v>529</v>
      </c>
      <c r="O391" s="24" t="s">
        <v>529</v>
      </c>
      <c r="P391" s="24">
        <v>0</v>
      </c>
      <c r="Q391" s="102">
        <v>0</v>
      </c>
      <c r="R391" s="30" t="s">
        <v>1905</v>
      </c>
      <c r="S391" s="24">
        <v>0</v>
      </c>
      <c r="T391" s="24"/>
      <c r="U391" s="94">
        <v>289.58000000000004</v>
      </c>
      <c r="V391" s="94">
        <v>260.19</v>
      </c>
      <c r="W391" s="106">
        <v>31.529999999999998</v>
      </c>
      <c r="X391" s="107" t="s">
        <v>1906</v>
      </c>
      <c r="Y391" s="106">
        <v>31.529999999999998</v>
      </c>
      <c r="Z391" s="107" t="s">
        <v>1906</v>
      </c>
      <c r="AA391" s="106">
        <v>24.71</v>
      </c>
      <c r="AB391" s="107" t="s">
        <v>1906</v>
      </c>
      <c r="AC391" s="106">
        <v>31.529999999999998</v>
      </c>
      <c r="AD391" s="107" t="s">
        <v>1906</v>
      </c>
      <c r="AE391" s="106">
        <v>10.18</v>
      </c>
      <c r="AF391" s="107" t="s">
        <v>1906</v>
      </c>
      <c r="AG391" s="106">
        <v>0</v>
      </c>
      <c r="AH391" s="107" t="s">
        <v>1906</v>
      </c>
      <c r="AI391" s="106">
        <v>0</v>
      </c>
      <c r="AJ391" s="107" t="s">
        <v>1906</v>
      </c>
      <c r="AK391" s="106">
        <v>0</v>
      </c>
      <c r="AL391" s="107" t="s">
        <v>1906</v>
      </c>
      <c r="AM391" s="106">
        <v>0</v>
      </c>
      <c r="AN391" s="107" t="s">
        <v>1906</v>
      </c>
      <c r="AO391" s="106">
        <v>32.18</v>
      </c>
      <c r="AP391" s="107" t="s">
        <v>1906</v>
      </c>
      <c r="AQ391" s="106">
        <v>32.18</v>
      </c>
      <c r="AR391" s="106" t="s">
        <v>1906</v>
      </c>
      <c r="AS391" s="106">
        <v>32.18</v>
      </c>
      <c r="AT391" s="107" t="s">
        <v>1906</v>
      </c>
      <c r="AU391" s="106">
        <f t="shared" si="16"/>
        <v>226.02</v>
      </c>
      <c r="AV391" s="25">
        <v>0.13300000000000001</v>
      </c>
      <c r="AW391" s="30" t="str">
        <f t="shared" si="17"/>
        <v>95-70</v>
      </c>
      <c r="AX391" s="30" t="s">
        <v>1907</v>
      </c>
      <c r="AY391" s="30">
        <v>0</v>
      </c>
      <c r="AZ391" s="30">
        <v>0</v>
      </c>
    </row>
    <row r="392" spans="1:52" ht="31.2" x14ac:dyDescent="0.3">
      <c r="A392" s="103">
        <v>382</v>
      </c>
      <c r="B392" s="30" t="s">
        <v>1039</v>
      </c>
      <c r="C392" s="30" t="s">
        <v>1899</v>
      </c>
      <c r="D392" s="105" t="s">
        <v>1900</v>
      </c>
      <c r="E392" s="108" t="s">
        <v>1901</v>
      </c>
      <c r="F392" s="30" t="s">
        <v>1902</v>
      </c>
      <c r="G392" s="26" t="s">
        <v>145</v>
      </c>
      <c r="H392" s="24" t="s">
        <v>146</v>
      </c>
      <c r="I392" s="25">
        <v>0</v>
      </c>
      <c r="J392" s="24" t="s">
        <v>1903</v>
      </c>
      <c r="K392" s="24">
        <v>32</v>
      </c>
      <c r="L392" s="24">
        <v>5</v>
      </c>
      <c r="M392" s="24" t="str">
        <f t="shared" si="15"/>
        <v>95-70</v>
      </c>
      <c r="N392" s="24" t="s">
        <v>529</v>
      </c>
      <c r="O392" s="24" t="s">
        <v>529</v>
      </c>
      <c r="P392" s="24">
        <v>0</v>
      </c>
      <c r="Q392" s="102">
        <v>0</v>
      </c>
      <c r="R392" s="30" t="s">
        <v>1905</v>
      </c>
      <c r="S392" s="24">
        <v>0</v>
      </c>
      <c r="T392" s="24"/>
      <c r="U392" s="94">
        <v>146.52000000000001</v>
      </c>
      <c r="V392" s="94">
        <v>63.760000000000005</v>
      </c>
      <c r="W392" s="106">
        <v>35.69</v>
      </c>
      <c r="X392" s="107" t="s">
        <v>1906</v>
      </c>
      <c r="Y392" s="106">
        <v>35.69</v>
      </c>
      <c r="Z392" s="107" t="s">
        <v>1906</v>
      </c>
      <c r="AA392" s="106">
        <v>35.69</v>
      </c>
      <c r="AB392" s="107" t="s">
        <v>1906</v>
      </c>
      <c r="AC392" s="106">
        <v>35.69</v>
      </c>
      <c r="AD392" s="107" t="s">
        <v>1906</v>
      </c>
      <c r="AE392" s="106">
        <v>10.36</v>
      </c>
      <c r="AF392" s="107" t="s">
        <v>1906</v>
      </c>
      <c r="AG392" s="106">
        <v>0</v>
      </c>
      <c r="AH392" s="107" t="s">
        <v>1906</v>
      </c>
      <c r="AI392" s="106">
        <v>0</v>
      </c>
      <c r="AJ392" s="107" t="s">
        <v>1906</v>
      </c>
      <c r="AK392" s="106">
        <v>0</v>
      </c>
      <c r="AL392" s="107" t="s">
        <v>1906</v>
      </c>
      <c r="AM392" s="106">
        <v>8.09</v>
      </c>
      <c r="AN392" s="107" t="s">
        <v>1906</v>
      </c>
      <c r="AO392" s="106">
        <v>34.65</v>
      </c>
      <c r="AP392" s="107" t="s">
        <v>1906</v>
      </c>
      <c r="AQ392" s="106">
        <v>34.65</v>
      </c>
      <c r="AR392" s="106" t="s">
        <v>1906</v>
      </c>
      <c r="AS392" s="106">
        <v>34.65</v>
      </c>
      <c r="AT392" s="107" t="s">
        <v>1906</v>
      </c>
      <c r="AU392" s="106">
        <f t="shared" si="16"/>
        <v>265.16000000000003</v>
      </c>
      <c r="AV392" s="25">
        <v>5.0999999999999997E-2</v>
      </c>
      <c r="AW392" s="30" t="str">
        <f t="shared" si="17"/>
        <v>95-70</v>
      </c>
      <c r="AX392" s="30" t="s">
        <v>1907</v>
      </c>
      <c r="AY392" s="30">
        <v>0</v>
      </c>
      <c r="AZ392" s="30">
        <v>0</v>
      </c>
    </row>
    <row r="393" spans="1:52" ht="31.2" x14ac:dyDescent="0.3">
      <c r="A393" s="103">
        <v>383</v>
      </c>
      <c r="B393" s="30" t="s">
        <v>1040</v>
      </c>
      <c r="C393" s="30" t="s">
        <v>1899</v>
      </c>
      <c r="D393" s="105" t="s">
        <v>1900</v>
      </c>
      <c r="E393" s="108" t="s">
        <v>1901</v>
      </c>
      <c r="F393" s="30" t="s">
        <v>1902</v>
      </c>
      <c r="G393" s="26" t="s">
        <v>145</v>
      </c>
      <c r="H393" s="24" t="s">
        <v>146</v>
      </c>
      <c r="I393" s="25">
        <v>0</v>
      </c>
      <c r="J393" s="24" t="s">
        <v>1903</v>
      </c>
      <c r="K393" s="24">
        <v>32</v>
      </c>
      <c r="L393" s="24">
        <v>5</v>
      </c>
      <c r="M393" s="24" t="str">
        <f t="shared" si="15"/>
        <v>95-70</v>
      </c>
      <c r="N393" s="24" t="s">
        <v>529</v>
      </c>
      <c r="O393" s="24" t="s">
        <v>529</v>
      </c>
      <c r="P393" s="24">
        <v>0</v>
      </c>
      <c r="Q393" s="102">
        <v>0</v>
      </c>
      <c r="R393" s="30" t="s">
        <v>1905</v>
      </c>
      <c r="S393" s="24">
        <v>0</v>
      </c>
      <c r="T393" s="24"/>
      <c r="U393" s="94">
        <v>132.80000000000001</v>
      </c>
      <c r="V393" s="94">
        <v>82.39</v>
      </c>
      <c r="W393" s="106">
        <v>8.75</v>
      </c>
      <c r="X393" s="107" t="s">
        <v>1906</v>
      </c>
      <c r="Y393" s="106">
        <v>8.74</v>
      </c>
      <c r="Z393" s="107" t="s">
        <v>1906</v>
      </c>
      <c r="AA393" s="106">
        <v>8.74</v>
      </c>
      <c r="AB393" s="107" t="s">
        <v>1906</v>
      </c>
      <c r="AC393" s="106">
        <v>8.74</v>
      </c>
      <c r="AD393" s="107" t="s">
        <v>1906</v>
      </c>
      <c r="AE393" s="106">
        <v>2.54</v>
      </c>
      <c r="AF393" s="107" t="s">
        <v>1906</v>
      </c>
      <c r="AG393" s="106">
        <v>0</v>
      </c>
      <c r="AH393" s="107" t="s">
        <v>1906</v>
      </c>
      <c r="AI393" s="106">
        <v>0</v>
      </c>
      <c r="AJ393" s="107" t="s">
        <v>1906</v>
      </c>
      <c r="AK393" s="106">
        <v>0</v>
      </c>
      <c r="AL393" s="107" t="s">
        <v>1906</v>
      </c>
      <c r="AM393" s="106">
        <v>1.99</v>
      </c>
      <c r="AN393" s="107" t="s">
        <v>1906</v>
      </c>
      <c r="AO393" s="106">
        <v>8.52</v>
      </c>
      <c r="AP393" s="107" t="s">
        <v>1906</v>
      </c>
      <c r="AQ393" s="106">
        <v>8.52</v>
      </c>
      <c r="AR393" s="106" t="s">
        <v>1906</v>
      </c>
      <c r="AS393" s="106">
        <v>8.52</v>
      </c>
      <c r="AT393" s="107" t="s">
        <v>1906</v>
      </c>
      <c r="AU393" s="106">
        <f t="shared" si="16"/>
        <v>65.06</v>
      </c>
      <c r="AV393" s="25">
        <v>6.0999999999999999E-2</v>
      </c>
      <c r="AW393" s="30" t="str">
        <f t="shared" si="17"/>
        <v>95-70</v>
      </c>
      <c r="AX393" s="30" t="s">
        <v>1907</v>
      </c>
      <c r="AY393" s="30">
        <v>0</v>
      </c>
      <c r="AZ393" s="30">
        <v>0</v>
      </c>
    </row>
    <row r="394" spans="1:52" ht="31.2" x14ac:dyDescent="0.3">
      <c r="A394" s="103">
        <v>384</v>
      </c>
      <c r="B394" s="30" t="s">
        <v>1041</v>
      </c>
      <c r="C394" s="30" t="s">
        <v>1899</v>
      </c>
      <c r="D394" s="105" t="s">
        <v>1900</v>
      </c>
      <c r="E394" s="108" t="s">
        <v>1901</v>
      </c>
      <c r="F394" s="30" t="s">
        <v>1902</v>
      </c>
      <c r="G394" s="26" t="s">
        <v>145</v>
      </c>
      <c r="H394" s="24" t="s">
        <v>146</v>
      </c>
      <c r="I394" s="25">
        <v>1</v>
      </c>
      <c r="J394" s="24" t="s">
        <v>1903</v>
      </c>
      <c r="K394" s="24">
        <v>32</v>
      </c>
      <c r="L394" s="24">
        <v>5</v>
      </c>
      <c r="M394" s="24" t="str">
        <f t="shared" si="15"/>
        <v>95-70</v>
      </c>
      <c r="N394" s="24" t="s">
        <v>529</v>
      </c>
      <c r="O394" s="24" t="s">
        <v>529</v>
      </c>
      <c r="P394" s="24">
        <v>1</v>
      </c>
      <c r="Q394" s="102">
        <v>0</v>
      </c>
      <c r="R394" s="30" t="s">
        <v>1905</v>
      </c>
      <c r="S394" s="24">
        <v>0</v>
      </c>
      <c r="T394" s="24"/>
      <c r="U394" s="94">
        <v>314.25</v>
      </c>
      <c r="V394" s="94">
        <v>239.57000000000002</v>
      </c>
      <c r="W394" s="106">
        <v>46.74</v>
      </c>
      <c r="X394" s="107" t="s">
        <v>208</v>
      </c>
      <c r="Y394" s="106">
        <v>29.08</v>
      </c>
      <c r="Z394" s="107" t="s">
        <v>208</v>
      </c>
      <c r="AA394" s="106">
        <v>41.99</v>
      </c>
      <c r="AB394" s="107" t="s">
        <v>208</v>
      </c>
      <c r="AC394" s="106">
        <v>29.6</v>
      </c>
      <c r="AD394" s="107" t="s">
        <v>208</v>
      </c>
      <c r="AE394" s="106">
        <v>8.7100000000000009</v>
      </c>
      <c r="AF394" s="107" t="s">
        <v>208</v>
      </c>
      <c r="AG394" s="106">
        <v>0</v>
      </c>
      <c r="AH394" s="107" t="s">
        <v>208</v>
      </c>
      <c r="AI394" s="106">
        <v>0</v>
      </c>
      <c r="AJ394" s="107" t="s">
        <v>208</v>
      </c>
      <c r="AK394" s="106">
        <v>0</v>
      </c>
      <c r="AL394" s="107" t="s">
        <v>208</v>
      </c>
      <c r="AM394" s="106">
        <v>0</v>
      </c>
      <c r="AN394" s="107" t="s">
        <v>208</v>
      </c>
      <c r="AO394" s="106">
        <v>12.72</v>
      </c>
      <c r="AP394" s="107" t="s">
        <v>208</v>
      </c>
      <c r="AQ394" s="106">
        <v>11.77</v>
      </c>
      <c r="AR394" s="106" t="s">
        <v>208</v>
      </c>
      <c r="AS394" s="106">
        <v>25.14</v>
      </c>
      <c r="AT394" s="107" t="s">
        <v>208</v>
      </c>
      <c r="AU394" s="106">
        <f t="shared" si="16"/>
        <v>205.75</v>
      </c>
      <c r="AV394" s="25">
        <v>0.13800000000000001</v>
      </c>
      <c r="AW394" s="30" t="str">
        <f t="shared" si="17"/>
        <v>95-70</v>
      </c>
      <c r="AX394" s="30" t="s">
        <v>1907</v>
      </c>
      <c r="AY394" s="30">
        <v>0</v>
      </c>
      <c r="AZ394" s="30">
        <v>0</v>
      </c>
    </row>
    <row r="395" spans="1:52" ht="31.2" x14ac:dyDescent="0.3">
      <c r="A395" s="103">
        <v>385</v>
      </c>
      <c r="B395" s="30" t="s">
        <v>1043</v>
      </c>
      <c r="C395" s="30" t="s">
        <v>1899</v>
      </c>
      <c r="D395" s="105" t="s">
        <v>1900</v>
      </c>
      <c r="E395" s="108" t="s">
        <v>1901</v>
      </c>
      <c r="F395" s="30" t="s">
        <v>1902</v>
      </c>
      <c r="G395" s="26" t="s">
        <v>145</v>
      </c>
      <c r="H395" s="24" t="s">
        <v>146</v>
      </c>
      <c r="I395" s="25">
        <v>0</v>
      </c>
      <c r="J395" s="24" t="s">
        <v>1903</v>
      </c>
      <c r="K395" s="24">
        <v>32</v>
      </c>
      <c r="L395" s="24">
        <v>5</v>
      </c>
      <c r="M395" s="24" t="str">
        <f t="shared" si="15"/>
        <v>95-70</v>
      </c>
      <c r="N395" s="24" t="s">
        <v>529</v>
      </c>
      <c r="O395" s="24" t="s">
        <v>529</v>
      </c>
      <c r="P395" s="24">
        <v>0</v>
      </c>
      <c r="Q395" s="102">
        <v>0</v>
      </c>
      <c r="R395" s="30" t="s">
        <v>1905</v>
      </c>
      <c r="S395" s="24">
        <v>0</v>
      </c>
      <c r="T395" s="24"/>
      <c r="U395" s="94">
        <v>302.62</v>
      </c>
      <c r="V395" s="94">
        <v>271.33999999999997</v>
      </c>
      <c r="W395" s="106">
        <v>37.260000000000005</v>
      </c>
      <c r="X395" s="107" t="s">
        <v>1906</v>
      </c>
      <c r="Y395" s="106">
        <v>37.260000000000005</v>
      </c>
      <c r="Z395" s="107" t="s">
        <v>1906</v>
      </c>
      <c r="AA395" s="106">
        <v>37.260000000000005</v>
      </c>
      <c r="AB395" s="107" t="s">
        <v>1906</v>
      </c>
      <c r="AC395" s="106">
        <v>37.130000000000003</v>
      </c>
      <c r="AD395" s="107" t="s">
        <v>1906</v>
      </c>
      <c r="AE395" s="106">
        <v>10.649999999999999</v>
      </c>
      <c r="AF395" s="107" t="s">
        <v>1906</v>
      </c>
      <c r="AG395" s="106">
        <v>0</v>
      </c>
      <c r="AH395" s="107" t="s">
        <v>1906</v>
      </c>
      <c r="AI395" s="106">
        <v>0</v>
      </c>
      <c r="AJ395" s="107" t="s">
        <v>1906</v>
      </c>
      <c r="AK395" s="106">
        <v>0</v>
      </c>
      <c r="AL395" s="107" t="s">
        <v>1906</v>
      </c>
      <c r="AM395" s="106">
        <v>7.92</v>
      </c>
      <c r="AN395" s="107" t="s">
        <v>1906</v>
      </c>
      <c r="AO395" s="106">
        <v>33.93</v>
      </c>
      <c r="AP395" s="107" t="s">
        <v>1906</v>
      </c>
      <c r="AQ395" s="106">
        <v>33.93</v>
      </c>
      <c r="AR395" s="106" t="s">
        <v>1906</v>
      </c>
      <c r="AS395" s="106">
        <v>33.93</v>
      </c>
      <c r="AT395" s="107" t="s">
        <v>1906</v>
      </c>
      <c r="AU395" s="106">
        <f t="shared" si="16"/>
        <v>269.27000000000004</v>
      </c>
      <c r="AV395" s="25">
        <v>0.13900000000000001</v>
      </c>
      <c r="AW395" s="30" t="str">
        <f t="shared" si="17"/>
        <v>95-70</v>
      </c>
      <c r="AX395" s="30" t="s">
        <v>1907</v>
      </c>
      <c r="AY395" s="30">
        <v>0</v>
      </c>
      <c r="AZ395" s="30">
        <v>0</v>
      </c>
    </row>
    <row r="396" spans="1:52" ht="31.2" x14ac:dyDescent="0.3">
      <c r="A396" s="103">
        <v>386</v>
      </c>
      <c r="B396" s="30" t="s">
        <v>1044</v>
      </c>
      <c r="C396" s="30" t="s">
        <v>1899</v>
      </c>
      <c r="D396" s="105" t="s">
        <v>1900</v>
      </c>
      <c r="E396" s="108" t="s">
        <v>1901</v>
      </c>
      <c r="F396" s="30" t="s">
        <v>1902</v>
      </c>
      <c r="G396" s="26" t="s">
        <v>145</v>
      </c>
      <c r="H396" s="24" t="s">
        <v>146</v>
      </c>
      <c r="I396" s="25">
        <v>1</v>
      </c>
      <c r="J396" s="24" t="s">
        <v>1903</v>
      </c>
      <c r="K396" s="24">
        <v>32</v>
      </c>
      <c r="L396" s="24">
        <v>5</v>
      </c>
      <c r="M396" s="24" t="str">
        <f t="shared" si="15"/>
        <v>95-70</v>
      </c>
      <c r="N396" s="24" t="s">
        <v>529</v>
      </c>
      <c r="O396" s="24" t="s">
        <v>529</v>
      </c>
      <c r="P396" s="24">
        <v>1</v>
      </c>
      <c r="Q396" s="102">
        <v>0</v>
      </c>
      <c r="R396" s="30" t="s">
        <v>1905</v>
      </c>
      <c r="S396" s="24">
        <v>0</v>
      </c>
      <c r="T396" s="24"/>
      <c r="U396" s="94">
        <v>264.16000000000003</v>
      </c>
      <c r="V396" s="94">
        <v>206.45999999999998</v>
      </c>
      <c r="W396" s="106">
        <v>28.32</v>
      </c>
      <c r="X396" s="107" t="s">
        <v>1906</v>
      </c>
      <c r="Y396" s="106">
        <v>28.32</v>
      </c>
      <c r="Z396" s="107" t="s">
        <v>1906</v>
      </c>
      <c r="AA396" s="106">
        <v>28.32</v>
      </c>
      <c r="AB396" s="107" t="s">
        <v>1906</v>
      </c>
      <c r="AC396" s="106">
        <v>28.32</v>
      </c>
      <c r="AD396" s="107" t="s">
        <v>1906</v>
      </c>
      <c r="AE396" s="106">
        <v>8.2200000000000006</v>
      </c>
      <c r="AF396" s="107" t="s">
        <v>1906</v>
      </c>
      <c r="AG396" s="106">
        <v>0</v>
      </c>
      <c r="AH396" s="107" t="s">
        <v>1906</v>
      </c>
      <c r="AI396" s="106">
        <v>0</v>
      </c>
      <c r="AJ396" s="107" t="s">
        <v>1906</v>
      </c>
      <c r="AK396" s="106">
        <v>0</v>
      </c>
      <c r="AL396" s="107" t="s">
        <v>1906</v>
      </c>
      <c r="AM396" s="106">
        <v>6.66</v>
      </c>
      <c r="AN396" s="107" t="s">
        <v>1906</v>
      </c>
      <c r="AO396" s="106">
        <v>28.54</v>
      </c>
      <c r="AP396" s="107" t="s">
        <v>1906</v>
      </c>
      <c r="AQ396" s="106">
        <v>28.54</v>
      </c>
      <c r="AR396" s="106" t="s">
        <v>1906</v>
      </c>
      <c r="AS396" s="106">
        <v>28.54</v>
      </c>
      <c r="AT396" s="107" t="s">
        <v>1906</v>
      </c>
      <c r="AU396" s="106">
        <f t="shared" si="16"/>
        <v>213.77999999999997</v>
      </c>
      <c r="AV396" s="25">
        <v>0.11600000000000001</v>
      </c>
      <c r="AW396" s="30" t="str">
        <f t="shared" si="17"/>
        <v>95-70</v>
      </c>
      <c r="AX396" s="30" t="s">
        <v>1907</v>
      </c>
      <c r="AY396" s="30">
        <v>0</v>
      </c>
      <c r="AZ396" s="30">
        <v>0</v>
      </c>
    </row>
    <row r="397" spans="1:52" ht="31.2" x14ac:dyDescent="0.3">
      <c r="A397" s="103">
        <v>387</v>
      </c>
      <c r="B397" s="30" t="s">
        <v>1045</v>
      </c>
      <c r="C397" s="30" t="s">
        <v>1899</v>
      </c>
      <c r="D397" s="105" t="s">
        <v>1900</v>
      </c>
      <c r="E397" s="108" t="s">
        <v>1901</v>
      </c>
      <c r="F397" s="30" t="s">
        <v>1902</v>
      </c>
      <c r="G397" s="26" t="s">
        <v>145</v>
      </c>
      <c r="H397" s="24" t="s">
        <v>146</v>
      </c>
      <c r="I397" s="25">
        <v>1</v>
      </c>
      <c r="J397" s="24" t="s">
        <v>1903</v>
      </c>
      <c r="K397" s="24">
        <v>32</v>
      </c>
      <c r="L397" s="24">
        <v>5</v>
      </c>
      <c r="M397" s="24" t="str">
        <f t="shared" ref="M397:M458" si="18">M396</f>
        <v>95-70</v>
      </c>
      <c r="N397" s="24" t="s">
        <v>529</v>
      </c>
      <c r="O397" s="24" t="s">
        <v>529</v>
      </c>
      <c r="P397" s="24">
        <v>1</v>
      </c>
      <c r="Q397" s="102">
        <v>0</v>
      </c>
      <c r="R397" s="30" t="s">
        <v>1905</v>
      </c>
      <c r="S397" s="24">
        <v>0</v>
      </c>
      <c r="T397" s="24"/>
      <c r="U397" s="94">
        <v>250.34000000000003</v>
      </c>
      <c r="V397" s="94">
        <v>237.70999999999998</v>
      </c>
      <c r="W397" s="106">
        <v>11.41</v>
      </c>
      <c r="X397" s="107" t="s">
        <v>208</v>
      </c>
      <c r="Y397" s="106">
        <v>11.17</v>
      </c>
      <c r="Z397" s="107" t="s">
        <v>208</v>
      </c>
      <c r="AA397" s="106">
        <v>11.17</v>
      </c>
      <c r="AB397" s="107" t="s">
        <v>208</v>
      </c>
      <c r="AC397" s="106">
        <v>11.17</v>
      </c>
      <c r="AD397" s="107" t="s">
        <v>208</v>
      </c>
      <c r="AE397" s="106">
        <v>3.24</v>
      </c>
      <c r="AF397" s="107" t="s">
        <v>208</v>
      </c>
      <c r="AG397" s="106">
        <v>0</v>
      </c>
      <c r="AH397" s="107" t="s">
        <v>208</v>
      </c>
      <c r="AI397" s="106">
        <v>0</v>
      </c>
      <c r="AJ397" s="107" t="s">
        <v>208</v>
      </c>
      <c r="AK397" s="106">
        <v>0</v>
      </c>
      <c r="AL397" s="107" t="s">
        <v>208</v>
      </c>
      <c r="AM397" s="106">
        <v>2.4900000000000002</v>
      </c>
      <c r="AN397" s="107" t="s">
        <v>208</v>
      </c>
      <c r="AO397" s="106">
        <v>10.66</v>
      </c>
      <c r="AP397" s="107" t="s">
        <v>208</v>
      </c>
      <c r="AQ397" s="106">
        <v>10.66</v>
      </c>
      <c r="AR397" s="106" t="s">
        <v>208</v>
      </c>
      <c r="AS397" s="106">
        <v>10.66</v>
      </c>
      <c r="AT397" s="107" t="s">
        <v>208</v>
      </c>
      <c r="AU397" s="106">
        <f t="shared" ref="AU397:AU458" si="19">W397+Y397+AA397+AC397+AE397+AG397+AI397+AK397+AM397+AO397+AQ397+AS397</f>
        <v>82.63</v>
      </c>
      <c r="AV397" s="25">
        <v>0.113</v>
      </c>
      <c r="AW397" s="30" t="str">
        <f t="shared" ref="AW397:AW458" si="20">AW396</f>
        <v>95-70</v>
      </c>
      <c r="AX397" s="30" t="s">
        <v>1907</v>
      </c>
      <c r="AY397" s="30">
        <v>0</v>
      </c>
      <c r="AZ397" s="30">
        <v>0</v>
      </c>
    </row>
    <row r="398" spans="1:52" ht="31.2" x14ac:dyDescent="0.3">
      <c r="A398" s="103">
        <v>388</v>
      </c>
      <c r="B398" s="30" t="s">
        <v>1046</v>
      </c>
      <c r="C398" s="30" t="s">
        <v>1899</v>
      </c>
      <c r="D398" s="105" t="s">
        <v>1900</v>
      </c>
      <c r="E398" s="108" t="s">
        <v>1901</v>
      </c>
      <c r="F398" s="30" t="s">
        <v>1902</v>
      </c>
      <c r="G398" s="26" t="s">
        <v>145</v>
      </c>
      <c r="H398" s="24" t="s">
        <v>146</v>
      </c>
      <c r="I398" s="25">
        <v>0</v>
      </c>
      <c r="J398" s="24" t="s">
        <v>1903</v>
      </c>
      <c r="K398" s="24">
        <v>32</v>
      </c>
      <c r="L398" s="24">
        <v>5</v>
      </c>
      <c r="M398" s="24" t="str">
        <f t="shared" si="18"/>
        <v>95-70</v>
      </c>
      <c r="N398" s="24" t="s">
        <v>529</v>
      </c>
      <c r="O398" s="24" t="s">
        <v>529</v>
      </c>
      <c r="P398" s="24">
        <v>0</v>
      </c>
      <c r="Q398" s="102">
        <v>0</v>
      </c>
      <c r="R398" s="30" t="s">
        <v>1905</v>
      </c>
      <c r="S398" s="24">
        <v>0</v>
      </c>
      <c r="T398" s="24"/>
      <c r="U398" s="94">
        <v>189.69</v>
      </c>
      <c r="V398" s="94">
        <v>164.76</v>
      </c>
      <c r="W398" s="106">
        <v>46.8</v>
      </c>
      <c r="X398" s="107" t="s">
        <v>1906</v>
      </c>
      <c r="Y398" s="106">
        <v>32.17</v>
      </c>
      <c r="Z398" s="107" t="s">
        <v>1906</v>
      </c>
      <c r="AA398" s="106">
        <v>46.63</v>
      </c>
      <c r="AB398" s="107" t="s">
        <v>1906</v>
      </c>
      <c r="AC398" s="106">
        <v>31.52</v>
      </c>
      <c r="AD398" s="107" t="s">
        <v>1906</v>
      </c>
      <c r="AE398" s="106">
        <v>8.39</v>
      </c>
      <c r="AF398" s="107" t="s">
        <v>1906</v>
      </c>
      <c r="AG398" s="106">
        <v>0</v>
      </c>
      <c r="AH398" s="107" t="s">
        <v>1906</v>
      </c>
      <c r="AI398" s="106">
        <v>0</v>
      </c>
      <c r="AJ398" s="107" t="s">
        <v>1906</v>
      </c>
      <c r="AK398" s="106">
        <v>0</v>
      </c>
      <c r="AL398" s="107" t="s">
        <v>1906</v>
      </c>
      <c r="AM398" s="106">
        <v>0</v>
      </c>
      <c r="AN398" s="107" t="s">
        <v>1906</v>
      </c>
      <c r="AO398" s="106">
        <v>16.579999999999998</v>
      </c>
      <c r="AP398" s="107" t="s">
        <v>1906</v>
      </c>
      <c r="AQ398" s="106">
        <v>22.34</v>
      </c>
      <c r="AR398" s="106" t="s">
        <v>1906</v>
      </c>
      <c r="AS398" s="106">
        <v>32.159999999999997</v>
      </c>
      <c r="AT398" s="107" t="s">
        <v>1906</v>
      </c>
      <c r="AU398" s="106">
        <f t="shared" si="19"/>
        <v>236.58999999999997</v>
      </c>
      <c r="AV398" s="25">
        <v>8.6999999999999994E-2</v>
      </c>
      <c r="AW398" s="30" t="str">
        <f t="shared" si="20"/>
        <v>95-70</v>
      </c>
      <c r="AX398" s="30" t="s">
        <v>1907</v>
      </c>
      <c r="AY398" s="30">
        <v>0</v>
      </c>
      <c r="AZ398" s="30">
        <v>0</v>
      </c>
    </row>
    <row r="399" spans="1:52" ht="31.2" x14ac:dyDescent="0.3">
      <c r="A399" s="103">
        <v>389</v>
      </c>
      <c r="B399" s="30" t="s">
        <v>1047</v>
      </c>
      <c r="C399" s="30" t="s">
        <v>1899</v>
      </c>
      <c r="D399" s="105" t="s">
        <v>1900</v>
      </c>
      <c r="E399" s="108" t="s">
        <v>1901</v>
      </c>
      <c r="F399" s="30" t="s">
        <v>1902</v>
      </c>
      <c r="G399" s="26" t="s">
        <v>145</v>
      </c>
      <c r="H399" s="24" t="s">
        <v>146</v>
      </c>
      <c r="I399" s="25">
        <v>0</v>
      </c>
      <c r="J399" s="24" t="s">
        <v>1903</v>
      </c>
      <c r="K399" s="24">
        <v>32</v>
      </c>
      <c r="L399" s="24">
        <v>5</v>
      </c>
      <c r="M399" s="24" t="str">
        <f t="shared" si="18"/>
        <v>95-70</v>
      </c>
      <c r="N399" s="24" t="s">
        <v>529</v>
      </c>
      <c r="O399" s="24" t="s">
        <v>529</v>
      </c>
      <c r="P399" s="24">
        <v>0</v>
      </c>
      <c r="Q399" s="102">
        <v>0</v>
      </c>
      <c r="R399" s="30" t="s">
        <v>1905</v>
      </c>
      <c r="S399" s="24">
        <v>0</v>
      </c>
      <c r="T399" s="24"/>
      <c r="U399" s="94">
        <v>252.91</v>
      </c>
      <c r="V399" s="94">
        <v>280.02</v>
      </c>
      <c r="W399" s="106">
        <v>22.5</v>
      </c>
      <c r="X399" s="107" t="s">
        <v>1906</v>
      </c>
      <c r="Y399" s="106">
        <v>22.5</v>
      </c>
      <c r="Z399" s="107" t="s">
        <v>1906</v>
      </c>
      <c r="AA399" s="106">
        <v>22.5</v>
      </c>
      <c r="AB399" s="107" t="s">
        <v>1906</v>
      </c>
      <c r="AC399" s="106">
        <v>22.5</v>
      </c>
      <c r="AD399" s="107" t="s">
        <v>1906</v>
      </c>
      <c r="AE399" s="106">
        <v>7.26</v>
      </c>
      <c r="AF399" s="107" t="s">
        <v>1906</v>
      </c>
      <c r="AG399" s="106">
        <v>0</v>
      </c>
      <c r="AH399" s="107" t="s">
        <v>1906</v>
      </c>
      <c r="AI399" s="106">
        <v>0</v>
      </c>
      <c r="AJ399" s="107" t="s">
        <v>1906</v>
      </c>
      <c r="AK399" s="106">
        <v>0</v>
      </c>
      <c r="AL399" s="107" t="s">
        <v>1906</v>
      </c>
      <c r="AM399" s="106">
        <v>4.3600000000000003</v>
      </c>
      <c r="AN399" s="107" t="s">
        <v>1906</v>
      </c>
      <c r="AO399" s="106">
        <v>21.78</v>
      </c>
      <c r="AP399" s="107" t="s">
        <v>1906</v>
      </c>
      <c r="AQ399" s="106">
        <v>21.78</v>
      </c>
      <c r="AR399" s="106" t="s">
        <v>1906</v>
      </c>
      <c r="AS399" s="106">
        <v>21.78</v>
      </c>
      <c r="AT399" s="107" t="s">
        <v>1906</v>
      </c>
      <c r="AU399" s="106">
        <f t="shared" si="19"/>
        <v>166.96</v>
      </c>
      <c r="AV399" s="25">
        <v>0.11600000000000001</v>
      </c>
      <c r="AW399" s="30" t="str">
        <f t="shared" si="20"/>
        <v>95-70</v>
      </c>
      <c r="AX399" s="30" t="s">
        <v>1907</v>
      </c>
      <c r="AY399" s="30">
        <v>0</v>
      </c>
      <c r="AZ399" s="30">
        <v>0</v>
      </c>
    </row>
    <row r="400" spans="1:52" ht="31.2" x14ac:dyDescent="0.3">
      <c r="A400" s="103">
        <v>390</v>
      </c>
      <c r="B400" s="30" t="s">
        <v>1048</v>
      </c>
      <c r="C400" s="30" t="s">
        <v>1899</v>
      </c>
      <c r="D400" s="105" t="s">
        <v>1900</v>
      </c>
      <c r="E400" s="108" t="s">
        <v>1901</v>
      </c>
      <c r="F400" s="30" t="s">
        <v>1902</v>
      </c>
      <c r="G400" s="26" t="s">
        <v>145</v>
      </c>
      <c r="H400" s="24" t="s">
        <v>146</v>
      </c>
      <c r="I400" s="25">
        <v>0</v>
      </c>
      <c r="J400" s="24" t="s">
        <v>1903</v>
      </c>
      <c r="K400" s="24">
        <v>32</v>
      </c>
      <c r="L400" s="24">
        <v>5</v>
      </c>
      <c r="M400" s="24" t="str">
        <f t="shared" si="18"/>
        <v>95-70</v>
      </c>
      <c r="N400" s="24" t="s">
        <v>529</v>
      </c>
      <c r="O400" s="24" t="s">
        <v>529</v>
      </c>
      <c r="P400" s="24">
        <v>0</v>
      </c>
      <c r="Q400" s="102">
        <v>0</v>
      </c>
      <c r="R400" s="30" t="s">
        <v>1905</v>
      </c>
      <c r="S400" s="24">
        <v>0</v>
      </c>
      <c r="T400" s="24"/>
      <c r="U400" s="94">
        <v>294.60999999999996</v>
      </c>
      <c r="V400" s="94">
        <v>302.10999999999996</v>
      </c>
      <c r="W400" s="106">
        <v>38.24</v>
      </c>
      <c r="X400" s="107" t="s">
        <v>1906</v>
      </c>
      <c r="Y400" s="106">
        <v>38.24</v>
      </c>
      <c r="Z400" s="107" t="s">
        <v>1906</v>
      </c>
      <c r="AA400" s="106">
        <v>38.24</v>
      </c>
      <c r="AB400" s="107" t="s">
        <v>1906</v>
      </c>
      <c r="AC400" s="106">
        <v>38.24</v>
      </c>
      <c r="AD400" s="107" t="s">
        <v>1906</v>
      </c>
      <c r="AE400" s="106">
        <v>12.34</v>
      </c>
      <c r="AF400" s="107" t="s">
        <v>1906</v>
      </c>
      <c r="AG400" s="106">
        <v>0</v>
      </c>
      <c r="AH400" s="107" t="s">
        <v>1906</v>
      </c>
      <c r="AI400" s="106">
        <v>0</v>
      </c>
      <c r="AJ400" s="107" t="s">
        <v>1906</v>
      </c>
      <c r="AK400" s="106">
        <v>0</v>
      </c>
      <c r="AL400" s="107" t="s">
        <v>1906</v>
      </c>
      <c r="AM400" s="106">
        <v>7.28</v>
      </c>
      <c r="AN400" s="107" t="s">
        <v>1906</v>
      </c>
      <c r="AO400" s="106">
        <v>36.39</v>
      </c>
      <c r="AP400" s="107" t="s">
        <v>1906</v>
      </c>
      <c r="AQ400" s="106">
        <v>36.39</v>
      </c>
      <c r="AR400" s="106" t="s">
        <v>1906</v>
      </c>
      <c r="AS400" s="106">
        <v>36.39</v>
      </c>
      <c r="AT400" s="107" t="s">
        <v>1906</v>
      </c>
      <c r="AU400" s="106">
        <f t="shared" si="19"/>
        <v>281.75</v>
      </c>
      <c r="AV400" s="25">
        <v>0.1353</v>
      </c>
      <c r="AW400" s="30" t="str">
        <f t="shared" si="20"/>
        <v>95-70</v>
      </c>
      <c r="AX400" s="30" t="s">
        <v>1907</v>
      </c>
      <c r="AY400" s="30">
        <v>0</v>
      </c>
      <c r="AZ400" s="30">
        <v>0</v>
      </c>
    </row>
    <row r="401" spans="1:52" ht="31.2" x14ac:dyDescent="0.3">
      <c r="A401" s="103">
        <v>391</v>
      </c>
      <c r="B401" s="30" t="s">
        <v>1050</v>
      </c>
      <c r="C401" s="30" t="s">
        <v>1899</v>
      </c>
      <c r="D401" s="105" t="s">
        <v>1900</v>
      </c>
      <c r="E401" s="108" t="s">
        <v>1901</v>
      </c>
      <c r="F401" s="30" t="s">
        <v>1902</v>
      </c>
      <c r="G401" s="26" t="s">
        <v>145</v>
      </c>
      <c r="H401" s="24" t="s">
        <v>146</v>
      </c>
      <c r="I401" s="25">
        <v>1</v>
      </c>
      <c r="J401" s="24" t="s">
        <v>1903</v>
      </c>
      <c r="K401" s="24">
        <v>20</v>
      </c>
      <c r="L401" s="24">
        <v>5</v>
      </c>
      <c r="M401" s="24" t="str">
        <f t="shared" si="18"/>
        <v>95-70</v>
      </c>
      <c r="N401" s="24" t="s">
        <v>529</v>
      </c>
      <c r="O401" s="24" t="s">
        <v>529</v>
      </c>
      <c r="P401" s="24">
        <v>1</v>
      </c>
      <c r="Q401" s="102">
        <v>0</v>
      </c>
      <c r="R401" s="30" t="s">
        <v>1905</v>
      </c>
      <c r="S401" s="24">
        <v>0</v>
      </c>
      <c r="T401" s="24"/>
      <c r="U401" s="94">
        <v>174.92</v>
      </c>
      <c r="V401" s="94">
        <v>182.69</v>
      </c>
      <c r="W401" s="106">
        <v>41.440000000000005</v>
      </c>
      <c r="X401" s="107" t="s">
        <v>208</v>
      </c>
      <c r="Y401" s="106">
        <v>41.440000000000005</v>
      </c>
      <c r="Z401" s="107" t="s">
        <v>208</v>
      </c>
      <c r="AA401" s="106">
        <v>41.440000000000005</v>
      </c>
      <c r="AB401" s="107" t="s">
        <v>208</v>
      </c>
      <c r="AC401" s="106">
        <v>41.440000000000005</v>
      </c>
      <c r="AD401" s="107" t="s">
        <v>208</v>
      </c>
      <c r="AE401" s="106">
        <v>12.030000000000001</v>
      </c>
      <c r="AF401" s="107" t="s">
        <v>208</v>
      </c>
      <c r="AG401" s="106">
        <v>0</v>
      </c>
      <c r="AH401" s="107" t="s">
        <v>208</v>
      </c>
      <c r="AI401" s="106">
        <v>0</v>
      </c>
      <c r="AJ401" s="107" t="s">
        <v>208</v>
      </c>
      <c r="AK401" s="106">
        <v>0</v>
      </c>
      <c r="AL401" s="107" t="s">
        <v>208</v>
      </c>
      <c r="AM401" s="106">
        <v>0</v>
      </c>
      <c r="AN401" s="107" t="s">
        <v>208</v>
      </c>
      <c r="AO401" s="106">
        <v>40.06</v>
      </c>
      <c r="AP401" s="107" t="s">
        <v>208</v>
      </c>
      <c r="AQ401" s="106">
        <v>40.06</v>
      </c>
      <c r="AR401" s="106" t="s">
        <v>208</v>
      </c>
      <c r="AS401" s="106">
        <v>40.06</v>
      </c>
      <c r="AT401" s="107" t="s">
        <v>208</v>
      </c>
      <c r="AU401" s="106">
        <f t="shared" si="19"/>
        <v>297.97000000000003</v>
      </c>
      <c r="AV401" s="25">
        <v>7.4200000000000002E-2</v>
      </c>
      <c r="AW401" s="30" t="str">
        <f t="shared" si="20"/>
        <v>95-70</v>
      </c>
      <c r="AX401" s="30" t="s">
        <v>1907</v>
      </c>
      <c r="AY401" s="30">
        <v>0</v>
      </c>
      <c r="AZ401" s="30">
        <v>0</v>
      </c>
    </row>
    <row r="402" spans="1:52" ht="31.2" x14ac:dyDescent="0.3">
      <c r="A402" s="103">
        <v>392</v>
      </c>
      <c r="B402" s="30" t="s">
        <v>1051</v>
      </c>
      <c r="C402" s="30" t="s">
        <v>1899</v>
      </c>
      <c r="D402" s="105" t="s">
        <v>1900</v>
      </c>
      <c r="E402" s="108" t="s">
        <v>1901</v>
      </c>
      <c r="F402" s="30" t="s">
        <v>1902</v>
      </c>
      <c r="G402" s="26" t="s">
        <v>145</v>
      </c>
      <c r="H402" s="24" t="s">
        <v>146</v>
      </c>
      <c r="I402" s="25">
        <v>1</v>
      </c>
      <c r="J402" s="24" t="s">
        <v>1903</v>
      </c>
      <c r="K402" s="24">
        <v>20</v>
      </c>
      <c r="L402" s="24">
        <v>5</v>
      </c>
      <c r="M402" s="24" t="str">
        <f t="shared" si="18"/>
        <v>95-70</v>
      </c>
      <c r="N402" s="24" t="s">
        <v>529</v>
      </c>
      <c r="O402" s="24" t="s">
        <v>529</v>
      </c>
      <c r="P402" s="24">
        <v>1</v>
      </c>
      <c r="Q402" s="102">
        <v>0</v>
      </c>
      <c r="R402" s="30" t="s">
        <v>1905</v>
      </c>
      <c r="S402" s="24">
        <v>0</v>
      </c>
      <c r="T402" s="24"/>
      <c r="U402" s="94">
        <v>107.49999999999999</v>
      </c>
      <c r="V402" s="94">
        <v>160.01999999999998</v>
      </c>
      <c r="W402" s="106">
        <v>39.130000000000003</v>
      </c>
      <c r="X402" s="107" t="s">
        <v>208</v>
      </c>
      <c r="Y402" s="106">
        <v>22.77</v>
      </c>
      <c r="Z402" s="107" t="s">
        <v>208</v>
      </c>
      <c r="AA402" s="106">
        <v>33.869999999999997</v>
      </c>
      <c r="AB402" s="107" t="s">
        <v>208</v>
      </c>
      <c r="AC402" s="106">
        <v>17.259999999999998</v>
      </c>
      <c r="AD402" s="107" t="s">
        <v>208</v>
      </c>
      <c r="AE402" s="106">
        <v>6.2299999999999995</v>
      </c>
      <c r="AF402" s="107" t="s">
        <v>208</v>
      </c>
      <c r="AG402" s="106">
        <v>0</v>
      </c>
      <c r="AH402" s="107" t="s">
        <v>208</v>
      </c>
      <c r="AI402" s="106">
        <v>0</v>
      </c>
      <c r="AJ402" s="107" t="s">
        <v>208</v>
      </c>
      <c r="AK402" s="106">
        <v>0</v>
      </c>
      <c r="AL402" s="107" t="s">
        <v>208</v>
      </c>
      <c r="AM402" s="106">
        <v>0</v>
      </c>
      <c r="AN402" s="107" t="s">
        <v>208</v>
      </c>
      <c r="AO402" s="106">
        <v>21.77</v>
      </c>
      <c r="AP402" s="107" t="s">
        <v>208</v>
      </c>
      <c r="AQ402" s="106">
        <v>11.219999999999999</v>
      </c>
      <c r="AR402" s="106" t="s">
        <v>208</v>
      </c>
      <c r="AS402" s="106">
        <v>22.88</v>
      </c>
      <c r="AT402" s="107" t="s">
        <v>208</v>
      </c>
      <c r="AU402" s="106">
        <f t="shared" si="19"/>
        <v>175.13</v>
      </c>
      <c r="AV402" s="25">
        <v>4.2000000000000003E-2</v>
      </c>
      <c r="AW402" s="30" t="str">
        <f t="shared" si="20"/>
        <v>95-70</v>
      </c>
      <c r="AX402" s="30" t="s">
        <v>1907</v>
      </c>
      <c r="AY402" s="30">
        <v>0</v>
      </c>
      <c r="AZ402" s="30">
        <v>0</v>
      </c>
    </row>
    <row r="403" spans="1:52" ht="31.2" x14ac:dyDescent="0.3">
      <c r="A403" s="103">
        <v>393</v>
      </c>
      <c r="B403" s="30" t="s">
        <v>1053</v>
      </c>
      <c r="C403" s="30" t="s">
        <v>1899</v>
      </c>
      <c r="D403" s="105" t="s">
        <v>1900</v>
      </c>
      <c r="E403" s="108" t="s">
        <v>1901</v>
      </c>
      <c r="F403" s="30" t="s">
        <v>1902</v>
      </c>
      <c r="G403" s="26" t="s">
        <v>145</v>
      </c>
      <c r="H403" s="24" t="s">
        <v>146</v>
      </c>
      <c r="I403" s="25">
        <v>1</v>
      </c>
      <c r="J403" s="24" t="s">
        <v>1903</v>
      </c>
      <c r="K403" s="24">
        <v>50</v>
      </c>
      <c r="L403" s="24">
        <v>5</v>
      </c>
      <c r="M403" s="24" t="str">
        <f t="shared" si="18"/>
        <v>95-70</v>
      </c>
      <c r="N403" s="24" t="s">
        <v>529</v>
      </c>
      <c r="O403" s="24" t="s">
        <v>529</v>
      </c>
      <c r="P403" s="24">
        <v>1</v>
      </c>
      <c r="Q403" s="102">
        <v>0</v>
      </c>
      <c r="R403" s="30" t="s">
        <v>1905</v>
      </c>
      <c r="S403" s="24">
        <v>0</v>
      </c>
      <c r="T403" s="24"/>
      <c r="U403" s="94">
        <v>586.94999999999982</v>
      </c>
      <c r="V403" s="94">
        <v>230.51000000000002</v>
      </c>
      <c r="W403" s="106">
        <v>33.549999999999997</v>
      </c>
      <c r="X403" s="107" t="s">
        <v>1906</v>
      </c>
      <c r="Y403" s="106">
        <v>33.14</v>
      </c>
      <c r="Z403" s="107" t="s">
        <v>1906</v>
      </c>
      <c r="AA403" s="106">
        <v>33.14</v>
      </c>
      <c r="AB403" s="107" t="s">
        <v>1906</v>
      </c>
      <c r="AC403" s="106">
        <v>33.14</v>
      </c>
      <c r="AD403" s="107" t="s">
        <v>1906</v>
      </c>
      <c r="AE403" s="106">
        <v>9.620000000000001</v>
      </c>
      <c r="AF403" s="107" t="s">
        <v>1906</v>
      </c>
      <c r="AG403" s="106">
        <v>0</v>
      </c>
      <c r="AH403" s="107" t="s">
        <v>1906</v>
      </c>
      <c r="AI403" s="106">
        <v>0</v>
      </c>
      <c r="AJ403" s="107" t="s">
        <v>1906</v>
      </c>
      <c r="AK403" s="106">
        <v>0</v>
      </c>
      <c r="AL403" s="107" t="s">
        <v>1906</v>
      </c>
      <c r="AM403" s="106">
        <v>7.23</v>
      </c>
      <c r="AN403" s="107" t="s">
        <v>1906</v>
      </c>
      <c r="AO403" s="106">
        <v>30.99</v>
      </c>
      <c r="AP403" s="107" t="s">
        <v>1906</v>
      </c>
      <c r="AQ403" s="106">
        <v>30.99</v>
      </c>
      <c r="AR403" s="106" t="s">
        <v>1906</v>
      </c>
      <c r="AS403" s="106">
        <v>30.99</v>
      </c>
      <c r="AT403" s="107" t="s">
        <v>1906</v>
      </c>
      <c r="AU403" s="106">
        <f t="shared" si="19"/>
        <v>242.79000000000002</v>
      </c>
      <c r="AV403" s="25">
        <v>0.25590000000000002</v>
      </c>
      <c r="AW403" s="30" t="str">
        <f t="shared" si="20"/>
        <v>95-70</v>
      </c>
      <c r="AX403" s="30" t="s">
        <v>1907</v>
      </c>
      <c r="AY403" s="30">
        <v>0</v>
      </c>
      <c r="AZ403" s="30">
        <v>0</v>
      </c>
    </row>
    <row r="404" spans="1:52" ht="31.2" x14ac:dyDescent="0.3">
      <c r="A404" s="103">
        <v>394</v>
      </c>
      <c r="B404" s="30" t="s">
        <v>1055</v>
      </c>
      <c r="C404" s="30" t="s">
        <v>1899</v>
      </c>
      <c r="D404" s="105" t="s">
        <v>1900</v>
      </c>
      <c r="E404" s="108" t="s">
        <v>1901</v>
      </c>
      <c r="F404" s="30" t="s">
        <v>1902</v>
      </c>
      <c r="G404" s="26" t="s">
        <v>145</v>
      </c>
      <c r="H404" s="24" t="s">
        <v>146</v>
      </c>
      <c r="I404" s="25">
        <v>0</v>
      </c>
      <c r="J404" s="24" t="s">
        <v>1903</v>
      </c>
      <c r="K404" s="24">
        <v>32</v>
      </c>
      <c r="L404" s="24">
        <v>5</v>
      </c>
      <c r="M404" s="24" t="str">
        <f t="shared" si="18"/>
        <v>95-70</v>
      </c>
      <c r="N404" s="24" t="s">
        <v>529</v>
      </c>
      <c r="O404" s="24" t="s">
        <v>529</v>
      </c>
      <c r="P404" s="24">
        <v>0</v>
      </c>
      <c r="Q404" s="102">
        <v>0</v>
      </c>
      <c r="R404" s="30" t="s">
        <v>1905</v>
      </c>
      <c r="S404" s="24">
        <v>0</v>
      </c>
      <c r="T404" s="24"/>
      <c r="U404" s="94">
        <v>111.02999999999999</v>
      </c>
      <c r="V404" s="94">
        <v>86.899999999999991</v>
      </c>
      <c r="W404" s="106">
        <v>11.92</v>
      </c>
      <c r="X404" s="107" t="s">
        <v>1906</v>
      </c>
      <c r="Y404" s="106">
        <v>11.92</v>
      </c>
      <c r="Z404" s="107" t="s">
        <v>1906</v>
      </c>
      <c r="AA404" s="106">
        <v>11.92</v>
      </c>
      <c r="AB404" s="107" t="s">
        <v>1906</v>
      </c>
      <c r="AC404" s="106">
        <v>11.92</v>
      </c>
      <c r="AD404" s="107" t="s">
        <v>1906</v>
      </c>
      <c r="AE404" s="106">
        <v>3.46</v>
      </c>
      <c r="AF404" s="107" t="s">
        <v>1906</v>
      </c>
      <c r="AG404" s="106">
        <v>0</v>
      </c>
      <c r="AH404" s="107" t="s">
        <v>1906</v>
      </c>
      <c r="AI404" s="106">
        <v>0</v>
      </c>
      <c r="AJ404" s="107" t="s">
        <v>1906</v>
      </c>
      <c r="AK404" s="106">
        <v>0</v>
      </c>
      <c r="AL404" s="107" t="s">
        <v>1906</v>
      </c>
      <c r="AM404" s="106">
        <v>2.71</v>
      </c>
      <c r="AN404" s="107" t="s">
        <v>1906</v>
      </c>
      <c r="AO404" s="106">
        <v>11.6</v>
      </c>
      <c r="AP404" s="107" t="s">
        <v>1906</v>
      </c>
      <c r="AQ404" s="106">
        <v>11.6</v>
      </c>
      <c r="AR404" s="106" t="s">
        <v>1906</v>
      </c>
      <c r="AS404" s="106">
        <v>11.6</v>
      </c>
      <c r="AT404" s="107" t="s">
        <v>1906</v>
      </c>
      <c r="AU404" s="106">
        <f t="shared" si="19"/>
        <v>88.649999999999991</v>
      </c>
      <c r="AV404" s="25">
        <v>5.0999999999999997E-2</v>
      </c>
      <c r="AW404" s="30" t="str">
        <f t="shared" si="20"/>
        <v>95-70</v>
      </c>
      <c r="AX404" s="30" t="s">
        <v>1907</v>
      </c>
      <c r="AY404" s="30">
        <v>0</v>
      </c>
      <c r="AZ404" s="30">
        <v>0</v>
      </c>
    </row>
    <row r="405" spans="1:52" ht="31.2" x14ac:dyDescent="0.3">
      <c r="A405" s="103">
        <v>395</v>
      </c>
      <c r="B405" s="30" t="s">
        <v>1056</v>
      </c>
      <c r="C405" s="30" t="s">
        <v>1899</v>
      </c>
      <c r="D405" s="105" t="s">
        <v>1900</v>
      </c>
      <c r="E405" s="108" t="s">
        <v>1901</v>
      </c>
      <c r="F405" s="30" t="s">
        <v>1902</v>
      </c>
      <c r="G405" s="26" t="s">
        <v>145</v>
      </c>
      <c r="H405" s="24" t="s">
        <v>146</v>
      </c>
      <c r="I405" s="25">
        <v>0</v>
      </c>
      <c r="J405" s="24" t="s">
        <v>1903</v>
      </c>
      <c r="K405" s="24">
        <v>32</v>
      </c>
      <c r="L405" s="24">
        <v>5</v>
      </c>
      <c r="M405" s="24" t="str">
        <f t="shared" si="18"/>
        <v>95-70</v>
      </c>
      <c r="N405" s="24" t="s">
        <v>529</v>
      </c>
      <c r="O405" s="24" t="s">
        <v>529</v>
      </c>
      <c r="P405" s="24">
        <v>0</v>
      </c>
      <c r="Q405" s="102">
        <v>0</v>
      </c>
      <c r="R405" s="30" t="s">
        <v>1905</v>
      </c>
      <c r="S405" s="24">
        <v>0</v>
      </c>
      <c r="T405" s="24"/>
      <c r="U405" s="94">
        <v>376.67</v>
      </c>
      <c r="V405" s="94">
        <v>403.08000000000004</v>
      </c>
      <c r="W405" s="106">
        <v>55.29</v>
      </c>
      <c r="X405" s="107" t="s">
        <v>1906</v>
      </c>
      <c r="Y405" s="106">
        <v>55.29</v>
      </c>
      <c r="Z405" s="107" t="s">
        <v>1906</v>
      </c>
      <c r="AA405" s="106">
        <v>55.29</v>
      </c>
      <c r="AB405" s="107" t="s">
        <v>1906</v>
      </c>
      <c r="AC405" s="106">
        <v>55.29</v>
      </c>
      <c r="AD405" s="107" t="s">
        <v>1906</v>
      </c>
      <c r="AE405" s="106">
        <v>16.05</v>
      </c>
      <c r="AF405" s="107" t="s">
        <v>1906</v>
      </c>
      <c r="AG405" s="106">
        <v>0</v>
      </c>
      <c r="AH405" s="107" t="s">
        <v>1906</v>
      </c>
      <c r="AI405" s="106">
        <v>0</v>
      </c>
      <c r="AJ405" s="107" t="s">
        <v>1906</v>
      </c>
      <c r="AK405" s="106">
        <v>0</v>
      </c>
      <c r="AL405" s="107" t="s">
        <v>1906</v>
      </c>
      <c r="AM405" s="106">
        <v>12.53</v>
      </c>
      <c r="AN405" s="107" t="s">
        <v>1906</v>
      </c>
      <c r="AO405" s="106">
        <v>53.68</v>
      </c>
      <c r="AP405" s="107" t="s">
        <v>1906</v>
      </c>
      <c r="AQ405" s="106">
        <v>53.68</v>
      </c>
      <c r="AR405" s="106" t="s">
        <v>1906</v>
      </c>
      <c r="AS405" s="106">
        <v>53.68</v>
      </c>
      <c r="AT405" s="107" t="s">
        <v>1906</v>
      </c>
      <c r="AU405" s="106">
        <f t="shared" si="19"/>
        <v>410.78000000000003</v>
      </c>
      <c r="AV405" s="25">
        <v>0.17299999999999999</v>
      </c>
      <c r="AW405" s="30" t="str">
        <f t="shared" si="20"/>
        <v>95-70</v>
      </c>
      <c r="AX405" s="30" t="s">
        <v>1907</v>
      </c>
      <c r="AY405" s="30">
        <v>0</v>
      </c>
      <c r="AZ405" s="30">
        <v>0</v>
      </c>
    </row>
    <row r="406" spans="1:52" ht="31.2" x14ac:dyDescent="0.3">
      <c r="A406" s="103">
        <v>396</v>
      </c>
      <c r="B406" s="30" t="s">
        <v>1057</v>
      </c>
      <c r="C406" s="30" t="s">
        <v>1899</v>
      </c>
      <c r="D406" s="105" t="s">
        <v>1900</v>
      </c>
      <c r="E406" s="108" t="s">
        <v>1901</v>
      </c>
      <c r="F406" s="30" t="s">
        <v>1902</v>
      </c>
      <c r="G406" s="26" t="s">
        <v>145</v>
      </c>
      <c r="H406" s="24" t="s">
        <v>146</v>
      </c>
      <c r="I406" s="25">
        <v>1</v>
      </c>
      <c r="J406" s="24" t="s">
        <v>1903</v>
      </c>
      <c r="K406" s="24">
        <v>32</v>
      </c>
      <c r="L406" s="24">
        <v>5</v>
      </c>
      <c r="M406" s="24" t="str">
        <f t="shared" si="18"/>
        <v>95-70</v>
      </c>
      <c r="N406" s="24" t="s">
        <v>529</v>
      </c>
      <c r="O406" s="24" t="s">
        <v>529</v>
      </c>
      <c r="P406" s="24">
        <v>1</v>
      </c>
      <c r="Q406" s="102">
        <v>0</v>
      </c>
      <c r="R406" s="30" t="s">
        <v>1905</v>
      </c>
      <c r="S406" s="24">
        <v>0</v>
      </c>
      <c r="T406" s="24"/>
      <c r="U406" s="94">
        <v>477.47999999999996</v>
      </c>
      <c r="V406" s="94">
        <v>242.89000000000001</v>
      </c>
      <c r="W406" s="106">
        <v>41.56</v>
      </c>
      <c r="X406" s="107" t="s">
        <v>208</v>
      </c>
      <c r="Y406" s="106">
        <v>41.85</v>
      </c>
      <c r="Z406" s="107" t="s">
        <v>208</v>
      </c>
      <c r="AA406" s="106">
        <v>45.54</v>
      </c>
      <c r="AB406" s="107" t="s">
        <v>208</v>
      </c>
      <c r="AC406" s="106">
        <v>30.9</v>
      </c>
      <c r="AD406" s="107" t="s">
        <v>208</v>
      </c>
      <c r="AE406" s="106">
        <v>9.09</v>
      </c>
      <c r="AF406" s="107" t="s">
        <v>208</v>
      </c>
      <c r="AG406" s="106">
        <v>0</v>
      </c>
      <c r="AH406" s="107" t="s">
        <v>208</v>
      </c>
      <c r="AI406" s="106">
        <v>0</v>
      </c>
      <c r="AJ406" s="107" t="s">
        <v>208</v>
      </c>
      <c r="AK406" s="106">
        <v>0</v>
      </c>
      <c r="AL406" s="107" t="s">
        <v>208</v>
      </c>
      <c r="AM406" s="106">
        <v>0</v>
      </c>
      <c r="AN406" s="107" t="s">
        <v>208</v>
      </c>
      <c r="AO406" s="106">
        <v>18.93</v>
      </c>
      <c r="AP406" s="107" t="s">
        <v>208</v>
      </c>
      <c r="AQ406" s="106">
        <v>23.49</v>
      </c>
      <c r="AR406" s="106" t="s">
        <v>208</v>
      </c>
      <c r="AS406" s="106">
        <v>33.299999999999997</v>
      </c>
      <c r="AT406" s="107" t="s">
        <v>208</v>
      </c>
      <c r="AU406" s="106">
        <f t="shared" si="19"/>
        <v>244.66000000000003</v>
      </c>
      <c r="AV406" s="25">
        <v>0.25690000000000002</v>
      </c>
      <c r="AW406" s="30" t="str">
        <f t="shared" si="20"/>
        <v>95-70</v>
      </c>
      <c r="AX406" s="30" t="s">
        <v>1907</v>
      </c>
      <c r="AY406" s="30">
        <v>0</v>
      </c>
      <c r="AZ406" s="30">
        <v>0</v>
      </c>
    </row>
    <row r="407" spans="1:52" ht="31.2" x14ac:dyDescent="0.3">
      <c r="A407" s="103">
        <v>397</v>
      </c>
      <c r="B407" s="30" t="s">
        <v>1058</v>
      </c>
      <c r="C407" s="30" t="s">
        <v>1899</v>
      </c>
      <c r="D407" s="105" t="s">
        <v>1900</v>
      </c>
      <c r="E407" s="108" t="s">
        <v>1901</v>
      </c>
      <c r="F407" s="30" t="s">
        <v>1902</v>
      </c>
      <c r="G407" s="26" t="s">
        <v>145</v>
      </c>
      <c r="H407" s="24" t="s">
        <v>146</v>
      </c>
      <c r="I407" s="25">
        <v>0</v>
      </c>
      <c r="J407" s="24" t="s">
        <v>1903</v>
      </c>
      <c r="K407" s="24">
        <v>32</v>
      </c>
      <c r="L407" s="24">
        <v>5</v>
      </c>
      <c r="M407" s="24" t="str">
        <f t="shared" si="18"/>
        <v>95-70</v>
      </c>
      <c r="N407" s="24" t="s">
        <v>529</v>
      </c>
      <c r="O407" s="24" t="s">
        <v>529</v>
      </c>
      <c r="P407" s="24">
        <v>0</v>
      </c>
      <c r="Q407" s="102">
        <v>0</v>
      </c>
      <c r="R407" s="30" t="s">
        <v>1905</v>
      </c>
      <c r="S407" s="24">
        <v>0</v>
      </c>
      <c r="T407" s="24"/>
      <c r="U407" s="94">
        <v>199.44000000000005</v>
      </c>
      <c r="V407" s="94">
        <v>200.54999999999998</v>
      </c>
      <c r="W407" s="106">
        <v>27.51</v>
      </c>
      <c r="X407" s="107" t="s">
        <v>1906</v>
      </c>
      <c r="Y407" s="106">
        <v>27.51</v>
      </c>
      <c r="Z407" s="107" t="s">
        <v>1906</v>
      </c>
      <c r="AA407" s="106">
        <v>27.51</v>
      </c>
      <c r="AB407" s="107" t="s">
        <v>1906</v>
      </c>
      <c r="AC407" s="106">
        <v>27.51</v>
      </c>
      <c r="AD407" s="107" t="s">
        <v>1906</v>
      </c>
      <c r="AE407" s="106">
        <v>7.98</v>
      </c>
      <c r="AF407" s="107" t="s">
        <v>1906</v>
      </c>
      <c r="AG407" s="106">
        <v>0</v>
      </c>
      <c r="AH407" s="107" t="s">
        <v>1906</v>
      </c>
      <c r="AI407" s="106">
        <v>0</v>
      </c>
      <c r="AJ407" s="107" t="s">
        <v>1906</v>
      </c>
      <c r="AK407" s="106">
        <v>0</v>
      </c>
      <c r="AL407" s="107" t="s">
        <v>1906</v>
      </c>
      <c r="AM407" s="106">
        <v>6.36</v>
      </c>
      <c r="AN407" s="107" t="s">
        <v>1906</v>
      </c>
      <c r="AO407" s="106">
        <v>27.26</v>
      </c>
      <c r="AP407" s="107" t="s">
        <v>1906</v>
      </c>
      <c r="AQ407" s="106">
        <v>27.26</v>
      </c>
      <c r="AR407" s="106" t="s">
        <v>1906</v>
      </c>
      <c r="AS407" s="106">
        <v>27.26</v>
      </c>
      <c r="AT407" s="107" t="s">
        <v>1906</v>
      </c>
      <c r="AU407" s="106">
        <f t="shared" si="19"/>
        <v>206.16</v>
      </c>
      <c r="AV407" s="25">
        <v>9.1600000000000001E-2</v>
      </c>
      <c r="AW407" s="30" t="str">
        <f t="shared" si="20"/>
        <v>95-70</v>
      </c>
      <c r="AX407" s="30" t="s">
        <v>1907</v>
      </c>
      <c r="AY407" s="30">
        <v>0</v>
      </c>
      <c r="AZ407" s="30">
        <v>0</v>
      </c>
    </row>
    <row r="408" spans="1:52" ht="31.2" x14ac:dyDescent="0.3">
      <c r="A408" s="103">
        <v>398</v>
      </c>
      <c r="B408" s="30" t="s">
        <v>1059</v>
      </c>
      <c r="C408" s="30" t="s">
        <v>1899</v>
      </c>
      <c r="D408" s="105" t="s">
        <v>1900</v>
      </c>
      <c r="E408" s="108" t="s">
        <v>1901</v>
      </c>
      <c r="F408" s="30" t="s">
        <v>1902</v>
      </c>
      <c r="G408" s="26" t="s">
        <v>145</v>
      </c>
      <c r="H408" s="24" t="s">
        <v>146</v>
      </c>
      <c r="I408" s="25">
        <v>0</v>
      </c>
      <c r="J408" s="24" t="s">
        <v>1903</v>
      </c>
      <c r="K408" s="24">
        <v>32</v>
      </c>
      <c r="L408" s="24">
        <v>5</v>
      </c>
      <c r="M408" s="24" t="str">
        <f t="shared" si="18"/>
        <v>95-70</v>
      </c>
      <c r="N408" s="24" t="s">
        <v>529</v>
      </c>
      <c r="O408" s="24" t="s">
        <v>529</v>
      </c>
      <c r="P408" s="24">
        <v>0</v>
      </c>
      <c r="Q408" s="102">
        <v>0</v>
      </c>
      <c r="R408" s="30" t="s">
        <v>1905</v>
      </c>
      <c r="S408" s="24">
        <v>0</v>
      </c>
      <c r="T408" s="24"/>
      <c r="U408" s="94">
        <v>283</v>
      </c>
      <c r="V408" s="94">
        <v>300.44000000000005</v>
      </c>
      <c r="W408" s="106">
        <v>41.209999999999994</v>
      </c>
      <c r="X408" s="107" t="s">
        <v>1906</v>
      </c>
      <c r="Y408" s="106">
        <v>41.209999999999994</v>
      </c>
      <c r="Z408" s="107" t="s">
        <v>1906</v>
      </c>
      <c r="AA408" s="106">
        <v>41.209999999999994</v>
      </c>
      <c r="AB408" s="107" t="s">
        <v>1906</v>
      </c>
      <c r="AC408" s="106">
        <v>41.209999999999994</v>
      </c>
      <c r="AD408" s="107" t="s">
        <v>1906</v>
      </c>
      <c r="AE408" s="106">
        <v>11.969999999999999</v>
      </c>
      <c r="AF408" s="107" t="s">
        <v>1906</v>
      </c>
      <c r="AG408" s="106">
        <v>0</v>
      </c>
      <c r="AH408" s="107" t="s">
        <v>1906</v>
      </c>
      <c r="AI408" s="106">
        <v>0</v>
      </c>
      <c r="AJ408" s="107" t="s">
        <v>1906</v>
      </c>
      <c r="AK408" s="106">
        <v>0</v>
      </c>
      <c r="AL408" s="107" t="s">
        <v>1906</v>
      </c>
      <c r="AM408" s="106">
        <v>8.93</v>
      </c>
      <c r="AN408" s="107" t="s">
        <v>1906</v>
      </c>
      <c r="AO408" s="106">
        <v>38.29</v>
      </c>
      <c r="AP408" s="107" t="s">
        <v>1906</v>
      </c>
      <c r="AQ408" s="106">
        <v>38.29</v>
      </c>
      <c r="AR408" s="106" t="s">
        <v>1906</v>
      </c>
      <c r="AS408" s="106">
        <v>38.29</v>
      </c>
      <c r="AT408" s="107" t="s">
        <v>1906</v>
      </c>
      <c r="AU408" s="106">
        <f t="shared" si="19"/>
        <v>300.61</v>
      </c>
      <c r="AV408" s="25">
        <v>0.128</v>
      </c>
      <c r="AW408" s="30" t="str">
        <f t="shared" si="20"/>
        <v>95-70</v>
      </c>
      <c r="AX408" s="30" t="s">
        <v>1907</v>
      </c>
      <c r="AY408" s="30">
        <v>0</v>
      </c>
      <c r="AZ408" s="30">
        <v>0</v>
      </c>
    </row>
    <row r="409" spans="1:52" ht="31.2" x14ac:dyDescent="0.3">
      <c r="A409" s="103">
        <v>399</v>
      </c>
      <c r="B409" s="30" t="s">
        <v>1060</v>
      </c>
      <c r="C409" s="30" t="s">
        <v>1899</v>
      </c>
      <c r="D409" s="105" t="s">
        <v>1900</v>
      </c>
      <c r="E409" s="108" t="s">
        <v>1901</v>
      </c>
      <c r="F409" s="30" t="s">
        <v>1902</v>
      </c>
      <c r="G409" s="26" t="s">
        <v>145</v>
      </c>
      <c r="H409" s="24" t="s">
        <v>146</v>
      </c>
      <c r="I409" s="25">
        <v>1</v>
      </c>
      <c r="J409" s="24" t="s">
        <v>1903</v>
      </c>
      <c r="K409" s="24">
        <v>32</v>
      </c>
      <c r="L409" s="24">
        <v>5</v>
      </c>
      <c r="M409" s="24" t="str">
        <f t="shared" si="18"/>
        <v>95-70</v>
      </c>
      <c r="N409" s="24" t="s">
        <v>529</v>
      </c>
      <c r="O409" s="24" t="s">
        <v>529</v>
      </c>
      <c r="P409" s="24">
        <v>1</v>
      </c>
      <c r="Q409" s="102">
        <v>0</v>
      </c>
      <c r="R409" s="30" t="s">
        <v>1905</v>
      </c>
      <c r="S409" s="24">
        <v>0</v>
      </c>
      <c r="T409" s="24"/>
      <c r="U409" s="94">
        <v>293.94</v>
      </c>
      <c r="V409" s="94">
        <v>254.23</v>
      </c>
      <c r="W409" s="106">
        <v>48.33</v>
      </c>
      <c r="X409" s="107" t="s">
        <v>208</v>
      </c>
      <c r="Y409" s="106">
        <v>35.1</v>
      </c>
      <c r="Z409" s="107" t="s">
        <v>208</v>
      </c>
      <c r="AA409" s="106">
        <v>53.51</v>
      </c>
      <c r="AB409" s="107" t="s">
        <v>208</v>
      </c>
      <c r="AC409" s="106">
        <v>36.28</v>
      </c>
      <c r="AD409" s="107" t="s">
        <v>208</v>
      </c>
      <c r="AE409" s="106">
        <v>9.61</v>
      </c>
      <c r="AF409" s="107" t="s">
        <v>208</v>
      </c>
      <c r="AG409" s="106">
        <v>0</v>
      </c>
      <c r="AH409" s="107" t="s">
        <v>208</v>
      </c>
      <c r="AI409" s="106">
        <v>0</v>
      </c>
      <c r="AJ409" s="107" t="s">
        <v>208</v>
      </c>
      <c r="AK409" s="106">
        <v>0</v>
      </c>
      <c r="AL409" s="107" t="s">
        <v>208</v>
      </c>
      <c r="AM409" s="106">
        <v>0</v>
      </c>
      <c r="AN409" s="107" t="s">
        <v>208</v>
      </c>
      <c r="AO409" s="106">
        <v>19.260000000000002</v>
      </c>
      <c r="AP409" s="107" t="s">
        <v>208</v>
      </c>
      <c r="AQ409" s="106">
        <v>22.09</v>
      </c>
      <c r="AR409" s="106" t="s">
        <v>208</v>
      </c>
      <c r="AS409" s="106">
        <v>32.01</v>
      </c>
      <c r="AT409" s="107" t="s">
        <v>208</v>
      </c>
      <c r="AU409" s="106">
        <f t="shared" si="19"/>
        <v>256.19</v>
      </c>
      <c r="AV409" s="25">
        <v>0.13500000000000001</v>
      </c>
      <c r="AW409" s="30" t="str">
        <f t="shared" si="20"/>
        <v>95-70</v>
      </c>
      <c r="AX409" s="30" t="s">
        <v>1907</v>
      </c>
      <c r="AY409" s="30">
        <v>0</v>
      </c>
      <c r="AZ409" s="30">
        <v>0</v>
      </c>
    </row>
    <row r="410" spans="1:52" ht="31.2" x14ac:dyDescent="0.3">
      <c r="A410" s="103">
        <v>400</v>
      </c>
      <c r="B410" s="30" t="s">
        <v>1062</v>
      </c>
      <c r="C410" s="30" t="s">
        <v>1899</v>
      </c>
      <c r="D410" s="105" t="s">
        <v>1900</v>
      </c>
      <c r="E410" s="108" t="s">
        <v>1901</v>
      </c>
      <c r="F410" s="30" t="s">
        <v>1902</v>
      </c>
      <c r="G410" s="26" t="s">
        <v>145</v>
      </c>
      <c r="H410" s="24" t="s">
        <v>146</v>
      </c>
      <c r="I410" s="25">
        <v>0</v>
      </c>
      <c r="J410" s="24" t="s">
        <v>1903</v>
      </c>
      <c r="K410" s="24">
        <v>32</v>
      </c>
      <c r="L410" s="24">
        <v>5</v>
      </c>
      <c r="M410" s="24" t="str">
        <f t="shared" si="18"/>
        <v>95-70</v>
      </c>
      <c r="N410" s="24" t="s">
        <v>529</v>
      </c>
      <c r="O410" s="24" t="s">
        <v>529</v>
      </c>
      <c r="P410" s="24">
        <v>0</v>
      </c>
      <c r="Q410" s="102">
        <v>0</v>
      </c>
      <c r="R410" s="30" t="s">
        <v>1905</v>
      </c>
      <c r="S410" s="24">
        <v>0</v>
      </c>
      <c r="T410" s="24"/>
      <c r="U410" s="94">
        <v>207.23</v>
      </c>
      <c r="V410" s="94">
        <v>71.05</v>
      </c>
      <c r="W410" s="106">
        <v>9.8500000000000014</v>
      </c>
      <c r="X410" s="107" t="s">
        <v>1906</v>
      </c>
      <c r="Y410" s="106">
        <v>9.620000000000001</v>
      </c>
      <c r="Z410" s="107" t="s">
        <v>1906</v>
      </c>
      <c r="AA410" s="106">
        <v>9.620000000000001</v>
      </c>
      <c r="AB410" s="107" t="s">
        <v>1906</v>
      </c>
      <c r="AC410" s="106">
        <v>9.620000000000001</v>
      </c>
      <c r="AD410" s="107" t="s">
        <v>1906</v>
      </c>
      <c r="AE410" s="106">
        <v>2.79</v>
      </c>
      <c r="AF410" s="107" t="s">
        <v>1906</v>
      </c>
      <c r="AG410" s="106">
        <v>0</v>
      </c>
      <c r="AH410" s="107" t="s">
        <v>1906</v>
      </c>
      <c r="AI410" s="106">
        <v>0</v>
      </c>
      <c r="AJ410" s="107" t="s">
        <v>1906</v>
      </c>
      <c r="AK410" s="106">
        <v>0</v>
      </c>
      <c r="AL410" s="107" t="s">
        <v>1906</v>
      </c>
      <c r="AM410" s="106">
        <v>2.1800000000000002</v>
      </c>
      <c r="AN410" s="107" t="s">
        <v>1906</v>
      </c>
      <c r="AO410" s="106">
        <v>9.35</v>
      </c>
      <c r="AP410" s="107" t="s">
        <v>1906</v>
      </c>
      <c r="AQ410" s="106">
        <v>9.35</v>
      </c>
      <c r="AR410" s="106" t="s">
        <v>1906</v>
      </c>
      <c r="AS410" s="106">
        <v>9.35</v>
      </c>
      <c r="AT410" s="107" t="s">
        <v>1906</v>
      </c>
      <c r="AU410" s="106">
        <f t="shared" si="19"/>
        <v>71.73</v>
      </c>
      <c r="AV410" s="25">
        <v>8.5999999999999993E-2</v>
      </c>
      <c r="AW410" s="30" t="str">
        <f t="shared" si="20"/>
        <v>95-70</v>
      </c>
      <c r="AX410" s="30" t="s">
        <v>1907</v>
      </c>
      <c r="AY410" s="30">
        <v>0</v>
      </c>
      <c r="AZ410" s="30">
        <v>0</v>
      </c>
    </row>
    <row r="411" spans="1:52" ht="31.2" x14ac:dyDescent="0.3">
      <c r="A411" s="103">
        <v>401</v>
      </c>
      <c r="B411" s="30" t="s">
        <v>1064</v>
      </c>
      <c r="C411" s="30" t="s">
        <v>1899</v>
      </c>
      <c r="D411" s="105" t="s">
        <v>1900</v>
      </c>
      <c r="E411" s="108" t="s">
        <v>1901</v>
      </c>
      <c r="F411" s="30" t="s">
        <v>1902</v>
      </c>
      <c r="G411" s="26" t="s">
        <v>145</v>
      </c>
      <c r="H411" s="24" t="s">
        <v>146</v>
      </c>
      <c r="I411" s="25">
        <v>1</v>
      </c>
      <c r="J411" s="24" t="s">
        <v>1903</v>
      </c>
      <c r="K411" s="24">
        <v>32</v>
      </c>
      <c r="L411" s="24">
        <v>5</v>
      </c>
      <c r="M411" s="24" t="str">
        <f t="shared" si="18"/>
        <v>95-70</v>
      </c>
      <c r="N411" s="24" t="s">
        <v>529</v>
      </c>
      <c r="O411" s="24" t="s">
        <v>529</v>
      </c>
      <c r="P411" s="24">
        <v>1</v>
      </c>
      <c r="Q411" s="102">
        <v>0</v>
      </c>
      <c r="R411" s="30" t="s">
        <v>1905</v>
      </c>
      <c r="S411" s="24">
        <v>0</v>
      </c>
      <c r="T411" s="24"/>
      <c r="U411" s="94">
        <v>216.36</v>
      </c>
      <c r="V411" s="94">
        <v>220.77</v>
      </c>
      <c r="W411" s="106">
        <v>30.150000000000002</v>
      </c>
      <c r="X411" s="107" t="s">
        <v>1906</v>
      </c>
      <c r="Y411" s="106">
        <v>30.150000000000002</v>
      </c>
      <c r="Z411" s="107" t="s">
        <v>1906</v>
      </c>
      <c r="AA411" s="106">
        <v>30.150000000000002</v>
      </c>
      <c r="AB411" s="107" t="s">
        <v>1906</v>
      </c>
      <c r="AC411" s="106">
        <v>30.150000000000002</v>
      </c>
      <c r="AD411" s="107" t="s">
        <v>1906</v>
      </c>
      <c r="AE411" s="106">
        <v>9.7199999999999989</v>
      </c>
      <c r="AF411" s="107" t="s">
        <v>1906</v>
      </c>
      <c r="AG411" s="106">
        <v>0</v>
      </c>
      <c r="AH411" s="107" t="s">
        <v>1906</v>
      </c>
      <c r="AI411" s="106">
        <v>0</v>
      </c>
      <c r="AJ411" s="107" t="s">
        <v>1906</v>
      </c>
      <c r="AK411" s="106">
        <v>0</v>
      </c>
      <c r="AL411" s="107" t="s">
        <v>1906</v>
      </c>
      <c r="AM411" s="106">
        <v>0</v>
      </c>
      <c r="AN411" s="107" t="s">
        <v>1906</v>
      </c>
      <c r="AO411" s="106">
        <v>29.81</v>
      </c>
      <c r="AP411" s="107" t="s">
        <v>1906</v>
      </c>
      <c r="AQ411" s="106">
        <v>29.81</v>
      </c>
      <c r="AR411" s="106" t="s">
        <v>1906</v>
      </c>
      <c r="AS411" s="106">
        <v>29.81</v>
      </c>
      <c r="AT411" s="107" t="s">
        <v>1906</v>
      </c>
      <c r="AU411" s="106">
        <f t="shared" si="19"/>
        <v>219.75</v>
      </c>
      <c r="AV411" s="25">
        <v>9.4E-2</v>
      </c>
      <c r="AW411" s="30" t="str">
        <f t="shared" si="20"/>
        <v>95-70</v>
      </c>
      <c r="AX411" s="30" t="s">
        <v>1907</v>
      </c>
      <c r="AY411" s="30">
        <v>0</v>
      </c>
      <c r="AZ411" s="30">
        <v>0</v>
      </c>
    </row>
    <row r="412" spans="1:52" ht="31.2" x14ac:dyDescent="0.3">
      <c r="A412" s="103">
        <v>402</v>
      </c>
      <c r="B412" s="30" t="s">
        <v>1065</v>
      </c>
      <c r="C412" s="30" t="s">
        <v>1899</v>
      </c>
      <c r="D412" s="105" t="s">
        <v>1900</v>
      </c>
      <c r="E412" s="108" t="s">
        <v>1901</v>
      </c>
      <c r="F412" s="30" t="s">
        <v>1902</v>
      </c>
      <c r="G412" s="26" t="s">
        <v>145</v>
      </c>
      <c r="H412" s="24" t="s">
        <v>146</v>
      </c>
      <c r="I412" s="25">
        <v>1</v>
      </c>
      <c r="J412" s="24" t="s">
        <v>1903</v>
      </c>
      <c r="K412" s="24">
        <v>32</v>
      </c>
      <c r="L412" s="24">
        <v>5</v>
      </c>
      <c r="M412" s="24" t="str">
        <f t="shared" si="18"/>
        <v>95-70</v>
      </c>
      <c r="N412" s="24" t="s">
        <v>529</v>
      </c>
      <c r="O412" s="24" t="s">
        <v>529</v>
      </c>
      <c r="P412" s="24">
        <v>1</v>
      </c>
      <c r="Q412" s="102">
        <v>0</v>
      </c>
      <c r="R412" s="30" t="s">
        <v>1905</v>
      </c>
      <c r="S412" s="24">
        <v>0</v>
      </c>
      <c r="T412" s="24"/>
      <c r="U412" s="94">
        <v>359.49999999999994</v>
      </c>
      <c r="V412" s="94">
        <v>315.86</v>
      </c>
      <c r="W412" s="106">
        <v>64.260000000000005</v>
      </c>
      <c r="X412" s="107" t="s">
        <v>208</v>
      </c>
      <c r="Y412" s="106">
        <v>41.86</v>
      </c>
      <c r="Z412" s="107" t="s">
        <v>208</v>
      </c>
      <c r="AA412" s="106">
        <v>63.16</v>
      </c>
      <c r="AB412" s="107" t="s">
        <v>208</v>
      </c>
      <c r="AC412" s="106">
        <v>41.22</v>
      </c>
      <c r="AD412" s="107" t="s">
        <v>208</v>
      </c>
      <c r="AE412" s="106">
        <v>12.37</v>
      </c>
      <c r="AF412" s="107" t="s">
        <v>208</v>
      </c>
      <c r="AG412" s="106">
        <v>0</v>
      </c>
      <c r="AH412" s="107" t="s">
        <v>208</v>
      </c>
      <c r="AI412" s="106">
        <v>0</v>
      </c>
      <c r="AJ412" s="107" t="s">
        <v>208</v>
      </c>
      <c r="AK412" s="106">
        <v>0</v>
      </c>
      <c r="AL412" s="107" t="s">
        <v>208</v>
      </c>
      <c r="AM412" s="106">
        <v>0</v>
      </c>
      <c r="AN412" s="107" t="s">
        <v>208</v>
      </c>
      <c r="AO412" s="106">
        <v>30.8</v>
      </c>
      <c r="AP412" s="107" t="s">
        <v>208</v>
      </c>
      <c r="AQ412" s="106">
        <v>36.340000000000003</v>
      </c>
      <c r="AR412" s="106" t="s">
        <v>208</v>
      </c>
      <c r="AS412" s="106">
        <v>43.07</v>
      </c>
      <c r="AT412" s="107" t="s">
        <v>208</v>
      </c>
      <c r="AU412" s="106">
        <f t="shared" si="19"/>
        <v>333.08</v>
      </c>
      <c r="AV412" s="25">
        <v>0.16489999999999999</v>
      </c>
      <c r="AW412" s="30" t="str">
        <f t="shared" si="20"/>
        <v>95-70</v>
      </c>
      <c r="AX412" s="30" t="s">
        <v>1907</v>
      </c>
      <c r="AY412" s="30">
        <v>0</v>
      </c>
      <c r="AZ412" s="30">
        <v>0</v>
      </c>
    </row>
    <row r="413" spans="1:52" ht="31.2" x14ac:dyDescent="0.3">
      <c r="A413" s="103">
        <v>403</v>
      </c>
      <c r="B413" s="30" t="s">
        <v>1066</v>
      </c>
      <c r="C413" s="30" t="s">
        <v>1899</v>
      </c>
      <c r="D413" s="105" t="s">
        <v>1900</v>
      </c>
      <c r="E413" s="108" t="s">
        <v>1901</v>
      </c>
      <c r="F413" s="30" t="s">
        <v>1902</v>
      </c>
      <c r="G413" s="26" t="s">
        <v>145</v>
      </c>
      <c r="H413" s="24" t="s">
        <v>146</v>
      </c>
      <c r="I413" s="25">
        <v>1</v>
      </c>
      <c r="J413" s="24" t="s">
        <v>1903</v>
      </c>
      <c r="K413" s="24">
        <v>32</v>
      </c>
      <c r="L413" s="24">
        <v>5</v>
      </c>
      <c r="M413" s="24" t="str">
        <f t="shared" si="18"/>
        <v>95-70</v>
      </c>
      <c r="N413" s="24" t="s">
        <v>529</v>
      </c>
      <c r="O413" s="24" t="s">
        <v>529</v>
      </c>
      <c r="P413" s="24">
        <v>1</v>
      </c>
      <c r="Q413" s="102">
        <v>0</v>
      </c>
      <c r="R413" s="30" t="s">
        <v>1905</v>
      </c>
      <c r="S413" s="24">
        <v>0</v>
      </c>
      <c r="T413" s="24"/>
      <c r="U413" s="94">
        <v>193.34</v>
      </c>
      <c r="V413" s="94">
        <v>136.17999999999998</v>
      </c>
      <c r="W413" s="106">
        <v>19.29</v>
      </c>
      <c r="X413" s="107" t="s">
        <v>208</v>
      </c>
      <c r="Y413" s="106">
        <v>19.29</v>
      </c>
      <c r="Z413" s="107" t="s">
        <v>208</v>
      </c>
      <c r="AA413" s="106">
        <v>23.16</v>
      </c>
      <c r="AB413" s="107" t="s">
        <v>208</v>
      </c>
      <c r="AC413" s="106">
        <v>20.239999999999998</v>
      </c>
      <c r="AD413" s="107" t="s">
        <v>208</v>
      </c>
      <c r="AE413" s="106">
        <v>6.24</v>
      </c>
      <c r="AF413" s="107" t="s">
        <v>208</v>
      </c>
      <c r="AG413" s="106">
        <v>0</v>
      </c>
      <c r="AH413" s="107" t="s">
        <v>208</v>
      </c>
      <c r="AI413" s="106">
        <v>0</v>
      </c>
      <c r="AJ413" s="107" t="s">
        <v>208</v>
      </c>
      <c r="AK413" s="106">
        <v>0</v>
      </c>
      <c r="AL413" s="107" t="s">
        <v>208</v>
      </c>
      <c r="AM413" s="106">
        <v>0</v>
      </c>
      <c r="AN413" s="107" t="s">
        <v>208</v>
      </c>
      <c r="AO413" s="106">
        <v>12.33</v>
      </c>
      <c r="AP413" s="107" t="s">
        <v>208</v>
      </c>
      <c r="AQ413" s="106">
        <v>14.35</v>
      </c>
      <c r="AR413" s="106" t="s">
        <v>208</v>
      </c>
      <c r="AS413" s="106">
        <v>20.48</v>
      </c>
      <c r="AT413" s="107" t="s">
        <v>208</v>
      </c>
      <c r="AU413" s="106">
        <f t="shared" si="19"/>
        <v>135.37999999999997</v>
      </c>
      <c r="AV413" s="25">
        <v>8.4000000000000005E-2</v>
      </c>
      <c r="AW413" s="30" t="str">
        <f t="shared" si="20"/>
        <v>95-70</v>
      </c>
      <c r="AX413" s="30" t="s">
        <v>1907</v>
      </c>
      <c r="AY413" s="30">
        <v>0</v>
      </c>
      <c r="AZ413" s="30">
        <v>0</v>
      </c>
    </row>
    <row r="414" spans="1:52" ht="31.2" x14ac:dyDescent="0.3">
      <c r="A414" s="103">
        <v>404</v>
      </c>
      <c r="B414" s="30" t="s">
        <v>1068</v>
      </c>
      <c r="C414" s="30" t="s">
        <v>1899</v>
      </c>
      <c r="D414" s="105" t="s">
        <v>1900</v>
      </c>
      <c r="E414" s="108" t="s">
        <v>1901</v>
      </c>
      <c r="F414" s="30" t="s">
        <v>1902</v>
      </c>
      <c r="G414" s="26" t="s">
        <v>145</v>
      </c>
      <c r="H414" s="24" t="s">
        <v>146</v>
      </c>
      <c r="I414" s="25">
        <v>1</v>
      </c>
      <c r="J414" s="24" t="s">
        <v>1903</v>
      </c>
      <c r="K414" s="24">
        <v>32</v>
      </c>
      <c r="L414" s="24">
        <v>5</v>
      </c>
      <c r="M414" s="24" t="str">
        <f t="shared" si="18"/>
        <v>95-70</v>
      </c>
      <c r="N414" s="24" t="s">
        <v>529</v>
      </c>
      <c r="O414" s="24" t="s">
        <v>529</v>
      </c>
      <c r="P414" s="24">
        <v>1</v>
      </c>
      <c r="Q414" s="102">
        <v>0</v>
      </c>
      <c r="R414" s="30" t="s">
        <v>1905</v>
      </c>
      <c r="S414" s="24">
        <v>0</v>
      </c>
      <c r="T414" s="24"/>
      <c r="U414" s="94">
        <f>353.58*0.58</f>
        <v>205.07639999999998</v>
      </c>
      <c r="V414" s="94">
        <f>606.09*0.58</f>
        <v>351.53219999999999</v>
      </c>
      <c r="W414" s="106">
        <f>82.96*0.58</f>
        <v>48.116799999999991</v>
      </c>
      <c r="X414" s="107" t="s">
        <v>1906</v>
      </c>
      <c r="Y414" s="106">
        <f>82.54*0.58</f>
        <v>47.873199999999997</v>
      </c>
      <c r="Z414" s="107" t="s">
        <v>1906</v>
      </c>
      <c r="AA414" s="106">
        <f>82.54*0.58</f>
        <v>47.873199999999997</v>
      </c>
      <c r="AB414" s="107" t="s">
        <v>1906</v>
      </c>
      <c r="AC414" s="106">
        <f>82.54*0.58</f>
        <v>47.873199999999997</v>
      </c>
      <c r="AD414" s="107" t="s">
        <v>1906</v>
      </c>
      <c r="AE414" s="106">
        <f>26.63*0.58</f>
        <v>15.445399999999998</v>
      </c>
      <c r="AF414" s="107" t="s">
        <v>1906</v>
      </c>
      <c r="AG414" s="106">
        <v>0</v>
      </c>
      <c r="AH414" s="107" t="s">
        <v>1906</v>
      </c>
      <c r="AI414" s="106">
        <v>0</v>
      </c>
      <c r="AJ414" s="107" t="s">
        <v>1906</v>
      </c>
      <c r="AK414" s="106">
        <v>0</v>
      </c>
      <c r="AL414" s="107" t="s">
        <v>1906</v>
      </c>
      <c r="AM414" s="106">
        <f>19.82*0.58</f>
        <v>11.4956</v>
      </c>
      <c r="AN414" s="107" t="s">
        <v>1906</v>
      </c>
      <c r="AO414" s="106">
        <f>84.96*0.58</f>
        <v>49.276799999999994</v>
      </c>
      <c r="AP414" s="107" t="s">
        <v>1906</v>
      </c>
      <c r="AQ414" s="106">
        <f>84.96*0.58</f>
        <v>49.276799999999994</v>
      </c>
      <c r="AR414" s="106" t="s">
        <v>1906</v>
      </c>
      <c r="AS414" s="106">
        <f>84.96*0.58</f>
        <v>49.276799999999994</v>
      </c>
      <c r="AT414" s="107" t="s">
        <v>1906</v>
      </c>
      <c r="AU414" s="106">
        <f t="shared" si="19"/>
        <v>366.50779999999992</v>
      </c>
      <c r="AV414" s="25">
        <v>0.13</v>
      </c>
      <c r="AW414" s="30" t="str">
        <f t="shared" si="20"/>
        <v>95-70</v>
      </c>
      <c r="AX414" s="30" t="s">
        <v>1907</v>
      </c>
      <c r="AY414" s="30">
        <v>0</v>
      </c>
      <c r="AZ414" s="30">
        <v>0</v>
      </c>
    </row>
    <row r="415" spans="1:52" ht="31.2" x14ac:dyDescent="0.3">
      <c r="A415" s="103">
        <v>405</v>
      </c>
      <c r="B415" s="30" t="s">
        <v>1069</v>
      </c>
      <c r="C415" s="30" t="s">
        <v>1899</v>
      </c>
      <c r="D415" s="105" t="s">
        <v>1900</v>
      </c>
      <c r="E415" s="108" t="s">
        <v>1901</v>
      </c>
      <c r="F415" s="30" t="s">
        <v>1902</v>
      </c>
      <c r="G415" s="26" t="s">
        <v>145</v>
      </c>
      <c r="H415" s="24" t="s">
        <v>146</v>
      </c>
      <c r="I415" s="25">
        <v>1</v>
      </c>
      <c r="J415" s="24" t="s">
        <v>1903</v>
      </c>
      <c r="K415" s="24">
        <v>32</v>
      </c>
      <c r="L415" s="24">
        <v>5</v>
      </c>
      <c r="M415" s="24" t="str">
        <f t="shared" si="18"/>
        <v>95-70</v>
      </c>
      <c r="N415" s="24" t="s">
        <v>529</v>
      </c>
      <c r="O415" s="24" t="s">
        <v>529</v>
      </c>
      <c r="P415" s="24">
        <v>1</v>
      </c>
      <c r="Q415" s="102">
        <v>0</v>
      </c>
      <c r="R415" s="30" t="s">
        <v>1905</v>
      </c>
      <c r="S415" s="24">
        <v>0</v>
      </c>
      <c r="T415" s="24"/>
      <c r="U415" s="94">
        <f>353.58*0.42</f>
        <v>148.50359999999998</v>
      </c>
      <c r="V415" s="94">
        <f>606.09*0.42</f>
        <v>254.55780000000001</v>
      </c>
      <c r="W415" s="106">
        <f>82.96*0.42</f>
        <v>34.843199999999996</v>
      </c>
      <c r="X415" s="107" t="s">
        <v>1906</v>
      </c>
      <c r="Y415" s="106">
        <f>82.54*0.42</f>
        <v>34.666800000000002</v>
      </c>
      <c r="Z415" s="107" t="s">
        <v>1906</v>
      </c>
      <c r="AA415" s="106">
        <f>82.54*0.42</f>
        <v>34.666800000000002</v>
      </c>
      <c r="AB415" s="107" t="s">
        <v>1906</v>
      </c>
      <c r="AC415" s="106">
        <f>82.54*0.42</f>
        <v>34.666800000000002</v>
      </c>
      <c r="AD415" s="107" t="s">
        <v>1906</v>
      </c>
      <c r="AE415" s="106">
        <f>26.63*0.42</f>
        <v>11.1846</v>
      </c>
      <c r="AF415" s="107" t="s">
        <v>1906</v>
      </c>
      <c r="AG415" s="106">
        <v>0</v>
      </c>
      <c r="AH415" s="107" t="s">
        <v>1906</v>
      </c>
      <c r="AI415" s="106">
        <v>0</v>
      </c>
      <c r="AJ415" s="107" t="s">
        <v>1906</v>
      </c>
      <c r="AK415" s="106">
        <v>0</v>
      </c>
      <c r="AL415" s="107" t="s">
        <v>1906</v>
      </c>
      <c r="AM415" s="106">
        <f>19.82*0.42</f>
        <v>8.3244000000000007</v>
      </c>
      <c r="AN415" s="107" t="s">
        <v>1906</v>
      </c>
      <c r="AO415" s="106">
        <f>84.96*0.42</f>
        <v>35.683199999999999</v>
      </c>
      <c r="AP415" s="107" t="s">
        <v>1906</v>
      </c>
      <c r="AQ415" s="106">
        <f>84.96*0.42</f>
        <v>35.683199999999999</v>
      </c>
      <c r="AR415" s="106" t="s">
        <v>1906</v>
      </c>
      <c r="AS415" s="106">
        <f>84.96*0.42</f>
        <v>35.683199999999999</v>
      </c>
      <c r="AT415" s="107" t="s">
        <v>1906</v>
      </c>
      <c r="AU415" s="106">
        <f t="shared" si="19"/>
        <v>265.40219999999999</v>
      </c>
      <c r="AV415" s="25">
        <v>0.13600000000000001</v>
      </c>
      <c r="AW415" s="30" t="str">
        <f t="shared" si="20"/>
        <v>95-70</v>
      </c>
      <c r="AX415" s="30" t="s">
        <v>1907</v>
      </c>
      <c r="AY415" s="30">
        <v>0</v>
      </c>
      <c r="AZ415" s="30">
        <v>0</v>
      </c>
    </row>
    <row r="416" spans="1:52" ht="31.2" x14ac:dyDescent="0.3">
      <c r="A416" s="103">
        <v>406</v>
      </c>
      <c r="B416" s="30" t="s">
        <v>1071</v>
      </c>
      <c r="C416" s="30" t="s">
        <v>1899</v>
      </c>
      <c r="D416" s="105" t="s">
        <v>1900</v>
      </c>
      <c r="E416" s="108" t="s">
        <v>1901</v>
      </c>
      <c r="F416" s="30" t="s">
        <v>1902</v>
      </c>
      <c r="G416" s="26" t="s">
        <v>145</v>
      </c>
      <c r="H416" s="24" t="s">
        <v>146</v>
      </c>
      <c r="I416" s="25">
        <v>0</v>
      </c>
      <c r="J416" s="24" t="s">
        <v>1903</v>
      </c>
      <c r="K416" s="24">
        <v>32</v>
      </c>
      <c r="L416" s="24">
        <v>5</v>
      </c>
      <c r="M416" s="24" t="str">
        <f t="shared" si="18"/>
        <v>95-70</v>
      </c>
      <c r="N416" s="24" t="s">
        <v>529</v>
      </c>
      <c r="O416" s="24" t="s">
        <v>529</v>
      </c>
      <c r="P416" s="24">
        <v>0</v>
      </c>
      <c r="Q416" s="102">
        <v>0</v>
      </c>
      <c r="R416" s="30" t="s">
        <v>1905</v>
      </c>
      <c r="S416" s="24">
        <v>0</v>
      </c>
      <c r="T416" s="24"/>
      <c r="U416" s="94">
        <v>330.18</v>
      </c>
      <c r="V416" s="94">
        <v>342.21</v>
      </c>
      <c r="W416" s="106">
        <v>46.940000000000005</v>
      </c>
      <c r="X416" s="107" t="s">
        <v>1906</v>
      </c>
      <c r="Y416" s="106">
        <v>46.940000000000005</v>
      </c>
      <c r="Z416" s="107" t="s">
        <v>1906</v>
      </c>
      <c r="AA416" s="106">
        <v>46.940000000000005</v>
      </c>
      <c r="AB416" s="107" t="s">
        <v>1906</v>
      </c>
      <c r="AC416" s="106">
        <v>46.940000000000005</v>
      </c>
      <c r="AD416" s="107" t="s">
        <v>1906</v>
      </c>
      <c r="AE416" s="106">
        <v>13.63</v>
      </c>
      <c r="AF416" s="107" t="s">
        <v>1906</v>
      </c>
      <c r="AG416" s="106">
        <v>0</v>
      </c>
      <c r="AH416" s="107" t="s">
        <v>1906</v>
      </c>
      <c r="AI416" s="106">
        <v>0</v>
      </c>
      <c r="AJ416" s="107" t="s">
        <v>1906</v>
      </c>
      <c r="AK416" s="106">
        <v>0</v>
      </c>
      <c r="AL416" s="107" t="s">
        <v>1906</v>
      </c>
      <c r="AM416" s="106">
        <v>10.51</v>
      </c>
      <c r="AN416" s="107" t="s">
        <v>1906</v>
      </c>
      <c r="AO416" s="106">
        <v>45.05</v>
      </c>
      <c r="AP416" s="107" t="s">
        <v>1906</v>
      </c>
      <c r="AQ416" s="106">
        <v>45.05</v>
      </c>
      <c r="AR416" s="106" t="s">
        <v>1906</v>
      </c>
      <c r="AS416" s="106">
        <v>45.05</v>
      </c>
      <c r="AT416" s="107" t="s">
        <v>1906</v>
      </c>
      <c r="AU416" s="106">
        <f t="shared" si="19"/>
        <v>347.05</v>
      </c>
      <c r="AV416" s="25">
        <v>0.14499999999999999</v>
      </c>
      <c r="AW416" s="30" t="str">
        <f t="shared" si="20"/>
        <v>95-70</v>
      </c>
      <c r="AX416" s="30" t="s">
        <v>1907</v>
      </c>
      <c r="AY416" s="30">
        <v>0</v>
      </c>
      <c r="AZ416" s="30">
        <v>0</v>
      </c>
    </row>
    <row r="417" spans="1:52" ht="31.2" x14ac:dyDescent="0.3">
      <c r="A417" s="103">
        <v>407</v>
      </c>
      <c r="B417" s="30" t="s">
        <v>1072</v>
      </c>
      <c r="C417" s="30" t="s">
        <v>1899</v>
      </c>
      <c r="D417" s="105" t="s">
        <v>1900</v>
      </c>
      <c r="E417" s="108" t="s">
        <v>1901</v>
      </c>
      <c r="F417" s="30" t="s">
        <v>1902</v>
      </c>
      <c r="G417" s="26" t="s">
        <v>145</v>
      </c>
      <c r="H417" s="24" t="s">
        <v>146</v>
      </c>
      <c r="I417" s="25">
        <v>1</v>
      </c>
      <c r="J417" s="24" t="s">
        <v>1903</v>
      </c>
      <c r="K417" s="24">
        <v>32</v>
      </c>
      <c r="L417" s="24">
        <v>5</v>
      </c>
      <c r="M417" s="24" t="str">
        <f t="shared" si="18"/>
        <v>95-70</v>
      </c>
      <c r="N417" s="24" t="s">
        <v>529</v>
      </c>
      <c r="O417" s="24" t="s">
        <v>529</v>
      </c>
      <c r="P417" s="24">
        <v>1</v>
      </c>
      <c r="Q417" s="102">
        <v>0</v>
      </c>
      <c r="R417" s="30" t="s">
        <v>1905</v>
      </c>
      <c r="S417" s="24">
        <v>0</v>
      </c>
      <c r="T417" s="24"/>
      <c r="U417" s="94">
        <v>280.09000000000003</v>
      </c>
      <c r="V417" s="94">
        <v>295.81999999999994</v>
      </c>
      <c r="W417" s="106">
        <v>57.99</v>
      </c>
      <c r="X417" s="107" t="s">
        <v>208</v>
      </c>
      <c r="Y417" s="106">
        <v>37.58</v>
      </c>
      <c r="Z417" s="107" t="s">
        <v>208</v>
      </c>
      <c r="AA417" s="106">
        <v>45.9</v>
      </c>
      <c r="AB417" s="107" t="s">
        <v>208</v>
      </c>
      <c r="AC417" s="106">
        <v>39.42</v>
      </c>
      <c r="AD417" s="107" t="s">
        <v>208</v>
      </c>
      <c r="AE417" s="106">
        <v>11.81</v>
      </c>
      <c r="AF417" s="107" t="s">
        <v>208</v>
      </c>
      <c r="AG417" s="106">
        <v>0</v>
      </c>
      <c r="AH417" s="107" t="s">
        <v>208</v>
      </c>
      <c r="AI417" s="106">
        <v>0</v>
      </c>
      <c r="AJ417" s="107" t="s">
        <v>208</v>
      </c>
      <c r="AK417" s="106">
        <v>0</v>
      </c>
      <c r="AL417" s="107" t="s">
        <v>208</v>
      </c>
      <c r="AM417" s="106">
        <v>0</v>
      </c>
      <c r="AN417" s="107" t="s">
        <v>208</v>
      </c>
      <c r="AO417" s="106">
        <v>17.350000000000001</v>
      </c>
      <c r="AP417" s="107" t="s">
        <v>208</v>
      </c>
      <c r="AQ417" s="106">
        <v>21.86</v>
      </c>
      <c r="AR417" s="106" t="s">
        <v>208</v>
      </c>
      <c r="AS417" s="106">
        <v>29.92</v>
      </c>
      <c r="AT417" s="107" t="s">
        <v>208</v>
      </c>
      <c r="AU417" s="106">
        <f t="shared" si="19"/>
        <v>261.83</v>
      </c>
      <c r="AV417" s="25">
        <v>0.123</v>
      </c>
      <c r="AW417" s="30" t="str">
        <f t="shared" si="20"/>
        <v>95-70</v>
      </c>
      <c r="AX417" s="30" t="s">
        <v>1907</v>
      </c>
      <c r="AY417" s="30">
        <v>0</v>
      </c>
      <c r="AZ417" s="30">
        <v>0</v>
      </c>
    </row>
    <row r="418" spans="1:52" ht="31.2" x14ac:dyDescent="0.3">
      <c r="A418" s="103">
        <v>408</v>
      </c>
      <c r="B418" s="30" t="s">
        <v>1073</v>
      </c>
      <c r="C418" s="30" t="s">
        <v>1899</v>
      </c>
      <c r="D418" s="105" t="s">
        <v>1900</v>
      </c>
      <c r="E418" s="108" t="s">
        <v>1901</v>
      </c>
      <c r="F418" s="30" t="s">
        <v>1902</v>
      </c>
      <c r="G418" s="26" t="s">
        <v>145</v>
      </c>
      <c r="H418" s="24" t="s">
        <v>146</v>
      </c>
      <c r="I418" s="25">
        <v>0</v>
      </c>
      <c r="J418" s="24" t="s">
        <v>1903</v>
      </c>
      <c r="K418" s="24">
        <v>32</v>
      </c>
      <c r="L418" s="24">
        <v>5</v>
      </c>
      <c r="M418" s="24" t="str">
        <f t="shared" si="18"/>
        <v>95-70</v>
      </c>
      <c r="N418" s="24" t="s">
        <v>529</v>
      </c>
      <c r="O418" s="24" t="s">
        <v>529</v>
      </c>
      <c r="P418" s="24">
        <v>0</v>
      </c>
      <c r="Q418" s="102">
        <v>0</v>
      </c>
      <c r="R418" s="30" t="s">
        <v>1905</v>
      </c>
      <c r="S418" s="24">
        <v>0</v>
      </c>
      <c r="T418" s="24"/>
      <c r="U418" s="94">
        <v>186.96999999999997</v>
      </c>
      <c r="V418" s="94">
        <v>131.81</v>
      </c>
      <c r="W418" s="106">
        <v>18.079999999999998</v>
      </c>
      <c r="X418" s="107" t="s">
        <v>1906</v>
      </c>
      <c r="Y418" s="106">
        <v>18.079999999999998</v>
      </c>
      <c r="Z418" s="107" t="s">
        <v>1906</v>
      </c>
      <c r="AA418" s="106">
        <v>18.079999999999998</v>
      </c>
      <c r="AB418" s="107" t="s">
        <v>1906</v>
      </c>
      <c r="AC418" s="106">
        <v>18.079999999999998</v>
      </c>
      <c r="AD418" s="107" t="s">
        <v>1906</v>
      </c>
      <c r="AE418" s="106">
        <v>5.25</v>
      </c>
      <c r="AF418" s="107" t="s">
        <v>1906</v>
      </c>
      <c r="AG418" s="106">
        <v>0</v>
      </c>
      <c r="AH418" s="107" t="s">
        <v>1906</v>
      </c>
      <c r="AI418" s="106">
        <v>0</v>
      </c>
      <c r="AJ418" s="107" t="s">
        <v>1906</v>
      </c>
      <c r="AK418" s="106">
        <v>0</v>
      </c>
      <c r="AL418" s="107" t="s">
        <v>1906</v>
      </c>
      <c r="AM418" s="106">
        <v>4.13</v>
      </c>
      <c r="AN418" s="107" t="s">
        <v>1906</v>
      </c>
      <c r="AO418" s="106">
        <v>17.68</v>
      </c>
      <c r="AP418" s="107" t="s">
        <v>1906</v>
      </c>
      <c r="AQ418" s="106">
        <v>17.68</v>
      </c>
      <c r="AR418" s="106" t="s">
        <v>1906</v>
      </c>
      <c r="AS418" s="106">
        <v>17.68</v>
      </c>
      <c r="AT418" s="107" t="s">
        <v>1906</v>
      </c>
      <c r="AU418" s="106">
        <f t="shared" si="19"/>
        <v>134.74</v>
      </c>
      <c r="AV418" s="25">
        <v>7.0999999999999994E-2</v>
      </c>
      <c r="AW418" s="30" t="str">
        <f t="shared" si="20"/>
        <v>95-70</v>
      </c>
      <c r="AX418" s="30" t="s">
        <v>1907</v>
      </c>
      <c r="AY418" s="30">
        <v>0</v>
      </c>
      <c r="AZ418" s="30">
        <v>0</v>
      </c>
    </row>
    <row r="419" spans="1:52" ht="31.2" x14ac:dyDescent="0.3">
      <c r="A419" s="103">
        <v>409</v>
      </c>
      <c r="B419" s="30" t="s">
        <v>1074</v>
      </c>
      <c r="C419" s="30" t="s">
        <v>1899</v>
      </c>
      <c r="D419" s="105" t="s">
        <v>1900</v>
      </c>
      <c r="E419" s="108" t="s">
        <v>1901</v>
      </c>
      <c r="F419" s="30" t="s">
        <v>1902</v>
      </c>
      <c r="G419" s="26" t="s">
        <v>145</v>
      </c>
      <c r="H419" s="24" t="s">
        <v>146</v>
      </c>
      <c r="I419" s="25">
        <v>0</v>
      </c>
      <c r="J419" s="24" t="s">
        <v>1903</v>
      </c>
      <c r="K419" s="24">
        <v>32</v>
      </c>
      <c r="L419" s="24">
        <v>5</v>
      </c>
      <c r="M419" s="24" t="str">
        <f t="shared" si="18"/>
        <v>95-70</v>
      </c>
      <c r="N419" s="24" t="s">
        <v>529</v>
      </c>
      <c r="O419" s="24" t="s">
        <v>529</v>
      </c>
      <c r="P419" s="24">
        <v>0</v>
      </c>
      <c r="Q419" s="102">
        <v>0</v>
      </c>
      <c r="R419" s="30" t="s">
        <v>1905</v>
      </c>
      <c r="S419" s="24">
        <v>0</v>
      </c>
      <c r="T419" s="24"/>
      <c r="U419" s="94">
        <v>223.16</v>
      </c>
      <c r="V419" s="94">
        <v>183.28000000000003</v>
      </c>
      <c r="W419" s="106">
        <v>25.14</v>
      </c>
      <c r="X419" s="107" t="s">
        <v>1906</v>
      </c>
      <c r="Y419" s="106">
        <v>25.14</v>
      </c>
      <c r="Z419" s="107" t="s">
        <v>1906</v>
      </c>
      <c r="AA419" s="106">
        <v>25.14</v>
      </c>
      <c r="AB419" s="107" t="s">
        <v>1906</v>
      </c>
      <c r="AC419" s="106">
        <v>25.14</v>
      </c>
      <c r="AD419" s="107" t="s">
        <v>1906</v>
      </c>
      <c r="AE419" s="106">
        <v>7.3</v>
      </c>
      <c r="AF419" s="107" t="s">
        <v>1906</v>
      </c>
      <c r="AG419" s="106">
        <v>0</v>
      </c>
      <c r="AH419" s="107" t="s">
        <v>1906</v>
      </c>
      <c r="AI419" s="106">
        <v>0</v>
      </c>
      <c r="AJ419" s="107" t="s">
        <v>1906</v>
      </c>
      <c r="AK419" s="106">
        <v>0</v>
      </c>
      <c r="AL419" s="107" t="s">
        <v>1906</v>
      </c>
      <c r="AM419" s="106">
        <v>5.84</v>
      </c>
      <c r="AN419" s="107" t="s">
        <v>1906</v>
      </c>
      <c r="AO419" s="106">
        <v>25.03</v>
      </c>
      <c r="AP419" s="107" t="s">
        <v>1906</v>
      </c>
      <c r="AQ419" s="106">
        <v>25.03</v>
      </c>
      <c r="AR419" s="106" t="s">
        <v>1906</v>
      </c>
      <c r="AS419" s="106">
        <v>25.03</v>
      </c>
      <c r="AT419" s="107" t="s">
        <v>1906</v>
      </c>
      <c r="AU419" s="106">
        <f t="shared" si="19"/>
        <v>188.79000000000002</v>
      </c>
      <c r="AV419" s="25">
        <v>1E-3</v>
      </c>
      <c r="AW419" s="30" t="str">
        <f t="shared" si="20"/>
        <v>95-70</v>
      </c>
      <c r="AX419" s="30" t="s">
        <v>1907</v>
      </c>
      <c r="AY419" s="30">
        <v>0</v>
      </c>
      <c r="AZ419" s="30">
        <v>0</v>
      </c>
    </row>
    <row r="420" spans="1:52" ht="31.2" x14ac:dyDescent="0.3">
      <c r="A420" s="103">
        <v>410</v>
      </c>
      <c r="B420" s="30" t="s">
        <v>1076</v>
      </c>
      <c r="C420" s="30" t="s">
        <v>1899</v>
      </c>
      <c r="D420" s="105" t="s">
        <v>1900</v>
      </c>
      <c r="E420" s="108" t="s">
        <v>1901</v>
      </c>
      <c r="F420" s="30" t="s">
        <v>1902</v>
      </c>
      <c r="G420" s="26" t="s">
        <v>145</v>
      </c>
      <c r="H420" s="24" t="s">
        <v>146</v>
      </c>
      <c r="I420" s="25">
        <v>1</v>
      </c>
      <c r="J420" s="24" t="s">
        <v>1903</v>
      </c>
      <c r="K420" s="24">
        <v>50</v>
      </c>
      <c r="L420" s="24">
        <v>5</v>
      </c>
      <c r="M420" s="24" t="str">
        <f t="shared" si="18"/>
        <v>95-70</v>
      </c>
      <c r="N420" s="24" t="s">
        <v>529</v>
      </c>
      <c r="O420" s="24" t="s">
        <v>529</v>
      </c>
      <c r="P420" s="24">
        <v>1</v>
      </c>
      <c r="Q420" s="102">
        <v>0</v>
      </c>
      <c r="R420" s="30" t="s">
        <v>1905</v>
      </c>
      <c r="S420" s="24">
        <v>0</v>
      </c>
      <c r="T420" s="24"/>
      <c r="U420" s="94">
        <v>617.45999999999981</v>
      </c>
      <c r="V420" s="94">
        <v>599.46</v>
      </c>
      <c r="W420" s="106">
        <v>114.65</v>
      </c>
      <c r="X420" s="107" t="s">
        <v>208</v>
      </c>
      <c r="Y420" s="106">
        <v>64.52</v>
      </c>
      <c r="Z420" s="107" t="s">
        <v>208</v>
      </c>
      <c r="AA420" s="106">
        <v>99.92</v>
      </c>
      <c r="AB420" s="107" t="s">
        <v>208</v>
      </c>
      <c r="AC420" s="106">
        <v>72.94</v>
      </c>
      <c r="AD420" s="107" t="s">
        <v>208</v>
      </c>
      <c r="AE420" s="106">
        <v>20.85</v>
      </c>
      <c r="AF420" s="107" t="s">
        <v>208</v>
      </c>
      <c r="AG420" s="106">
        <v>0</v>
      </c>
      <c r="AH420" s="107" t="s">
        <v>208</v>
      </c>
      <c r="AI420" s="106">
        <v>0</v>
      </c>
      <c r="AJ420" s="107" t="s">
        <v>208</v>
      </c>
      <c r="AK420" s="106">
        <v>0</v>
      </c>
      <c r="AL420" s="107" t="s">
        <v>208</v>
      </c>
      <c r="AM420" s="106">
        <v>0</v>
      </c>
      <c r="AN420" s="107" t="s">
        <v>208</v>
      </c>
      <c r="AO420" s="106">
        <v>32.200000000000003</v>
      </c>
      <c r="AP420" s="107" t="s">
        <v>208</v>
      </c>
      <c r="AQ420" s="106">
        <v>44.63</v>
      </c>
      <c r="AR420" s="106" t="s">
        <v>208</v>
      </c>
      <c r="AS420" s="106">
        <v>61.879999999999995</v>
      </c>
      <c r="AT420" s="107" t="s">
        <v>208</v>
      </c>
      <c r="AU420" s="106">
        <f t="shared" si="19"/>
        <v>511.59000000000003</v>
      </c>
      <c r="AV420" s="25">
        <v>0.27260000000000001</v>
      </c>
      <c r="AW420" s="30" t="str">
        <f t="shared" si="20"/>
        <v>95-70</v>
      </c>
      <c r="AX420" s="30" t="s">
        <v>1907</v>
      </c>
      <c r="AY420" s="30">
        <v>0</v>
      </c>
      <c r="AZ420" s="30">
        <v>0</v>
      </c>
    </row>
    <row r="421" spans="1:52" ht="31.2" x14ac:dyDescent="0.3">
      <c r="A421" s="103">
        <v>411</v>
      </c>
      <c r="B421" s="30" t="s">
        <v>1077</v>
      </c>
      <c r="C421" s="30" t="s">
        <v>1899</v>
      </c>
      <c r="D421" s="105" t="s">
        <v>1900</v>
      </c>
      <c r="E421" s="108" t="s">
        <v>1901</v>
      </c>
      <c r="F421" s="30" t="s">
        <v>1902</v>
      </c>
      <c r="G421" s="26" t="s">
        <v>145</v>
      </c>
      <c r="H421" s="24" t="s">
        <v>146</v>
      </c>
      <c r="I421" s="25">
        <v>0</v>
      </c>
      <c r="J421" s="24" t="s">
        <v>1903</v>
      </c>
      <c r="K421" s="24">
        <v>32</v>
      </c>
      <c r="L421" s="24">
        <v>5</v>
      </c>
      <c r="M421" s="24" t="str">
        <f t="shared" si="18"/>
        <v>95-70</v>
      </c>
      <c r="N421" s="24" t="s">
        <v>529</v>
      </c>
      <c r="O421" s="24" t="s">
        <v>529</v>
      </c>
      <c r="P421" s="24">
        <v>0</v>
      </c>
      <c r="Q421" s="102">
        <v>0</v>
      </c>
      <c r="R421" s="30" t="s">
        <v>1905</v>
      </c>
      <c r="S421" s="24">
        <v>0</v>
      </c>
      <c r="T421" s="24"/>
      <c r="U421" s="94">
        <v>210.27</v>
      </c>
      <c r="V421" s="94">
        <v>156.71</v>
      </c>
      <c r="W421" s="106">
        <v>21.5</v>
      </c>
      <c r="X421" s="107" t="s">
        <v>1906</v>
      </c>
      <c r="Y421" s="106">
        <v>21.49</v>
      </c>
      <c r="Z421" s="107" t="s">
        <v>1906</v>
      </c>
      <c r="AA421" s="106">
        <v>21.49</v>
      </c>
      <c r="AB421" s="107" t="s">
        <v>1906</v>
      </c>
      <c r="AC421" s="106">
        <v>21.49</v>
      </c>
      <c r="AD421" s="107" t="s">
        <v>1906</v>
      </c>
      <c r="AE421" s="106">
        <v>6.24</v>
      </c>
      <c r="AF421" s="107" t="s">
        <v>1906</v>
      </c>
      <c r="AG421" s="106">
        <v>0</v>
      </c>
      <c r="AH421" s="107" t="s">
        <v>1906</v>
      </c>
      <c r="AI421" s="106">
        <v>0</v>
      </c>
      <c r="AJ421" s="107" t="s">
        <v>1906</v>
      </c>
      <c r="AK421" s="106">
        <v>0</v>
      </c>
      <c r="AL421" s="107" t="s">
        <v>1906</v>
      </c>
      <c r="AM421" s="106">
        <v>4.88</v>
      </c>
      <c r="AN421" s="107" t="s">
        <v>1906</v>
      </c>
      <c r="AO421" s="106">
        <v>20.92</v>
      </c>
      <c r="AP421" s="107" t="s">
        <v>1906</v>
      </c>
      <c r="AQ421" s="106">
        <v>20.92</v>
      </c>
      <c r="AR421" s="106" t="s">
        <v>1906</v>
      </c>
      <c r="AS421" s="106">
        <v>20.92</v>
      </c>
      <c r="AT421" s="107" t="s">
        <v>1906</v>
      </c>
      <c r="AU421" s="106">
        <f t="shared" si="19"/>
        <v>159.84999999999997</v>
      </c>
      <c r="AV421" s="25">
        <v>8.3000000000000004E-2</v>
      </c>
      <c r="AW421" s="30" t="str">
        <f t="shared" si="20"/>
        <v>95-70</v>
      </c>
      <c r="AX421" s="30" t="s">
        <v>1907</v>
      </c>
      <c r="AY421" s="30">
        <v>0</v>
      </c>
      <c r="AZ421" s="30">
        <v>0</v>
      </c>
    </row>
    <row r="422" spans="1:52" ht="31.2" x14ac:dyDescent="0.3">
      <c r="A422" s="103">
        <v>412</v>
      </c>
      <c r="B422" s="30" t="s">
        <v>1078</v>
      </c>
      <c r="C422" s="30" t="s">
        <v>1899</v>
      </c>
      <c r="D422" s="105" t="s">
        <v>1900</v>
      </c>
      <c r="E422" s="108" t="s">
        <v>1901</v>
      </c>
      <c r="F422" s="30" t="s">
        <v>1902</v>
      </c>
      <c r="G422" s="26" t="s">
        <v>145</v>
      </c>
      <c r="H422" s="24" t="s">
        <v>146</v>
      </c>
      <c r="I422" s="25">
        <v>0</v>
      </c>
      <c r="J422" s="24" t="s">
        <v>1903</v>
      </c>
      <c r="K422" s="24">
        <v>32</v>
      </c>
      <c r="L422" s="24">
        <v>5</v>
      </c>
      <c r="M422" s="24" t="str">
        <f t="shared" si="18"/>
        <v>95-70</v>
      </c>
      <c r="N422" s="24" t="s">
        <v>529</v>
      </c>
      <c r="O422" s="24" t="s">
        <v>529</v>
      </c>
      <c r="P422" s="24">
        <v>0</v>
      </c>
      <c r="Q422" s="102">
        <v>0</v>
      </c>
      <c r="R422" s="30" t="s">
        <v>1905</v>
      </c>
      <c r="S422" s="24">
        <v>0</v>
      </c>
      <c r="T422" s="24"/>
      <c r="U422" s="94">
        <v>155.77000000000001</v>
      </c>
      <c r="V422" s="94">
        <v>93.309999999999988</v>
      </c>
      <c r="W422" s="106">
        <v>12.799999999999999</v>
      </c>
      <c r="X422" s="107" t="s">
        <v>1906</v>
      </c>
      <c r="Y422" s="106">
        <v>12.799999999999999</v>
      </c>
      <c r="Z422" s="107" t="s">
        <v>1906</v>
      </c>
      <c r="AA422" s="106">
        <v>12.799999999999999</v>
      </c>
      <c r="AB422" s="107" t="s">
        <v>1906</v>
      </c>
      <c r="AC422" s="106">
        <v>12.799999999999999</v>
      </c>
      <c r="AD422" s="107" t="s">
        <v>1906</v>
      </c>
      <c r="AE422" s="106">
        <v>3.71</v>
      </c>
      <c r="AF422" s="107" t="s">
        <v>1906</v>
      </c>
      <c r="AG422" s="106">
        <v>0</v>
      </c>
      <c r="AH422" s="107" t="s">
        <v>1906</v>
      </c>
      <c r="AI422" s="106">
        <v>0</v>
      </c>
      <c r="AJ422" s="107" t="s">
        <v>1906</v>
      </c>
      <c r="AK422" s="106">
        <v>0</v>
      </c>
      <c r="AL422" s="107" t="s">
        <v>1906</v>
      </c>
      <c r="AM422" s="106">
        <v>2.77</v>
      </c>
      <c r="AN422" s="107" t="s">
        <v>1906</v>
      </c>
      <c r="AO422" s="106">
        <v>11.87</v>
      </c>
      <c r="AP422" s="107" t="s">
        <v>1906</v>
      </c>
      <c r="AQ422" s="106">
        <v>11.87</v>
      </c>
      <c r="AR422" s="106" t="s">
        <v>1906</v>
      </c>
      <c r="AS422" s="106">
        <v>11.87</v>
      </c>
      <c r="AT422" s="107" t="s">
        <v>1906</v>
      </c>
      <c r="AU422" s="106">
        <f t="shared" si="19"/>
        <v>93.29</v>
      </c>
      <c r="AV422" s="25">
        <v>6.4000000000000001E-2</v>
      </c>
      <c r="AW422" s="30" t="str">
        <f t="shared" si="20"/>
        <v>95-70</v>
      </c>
      <c r="AX422" s="30" t="s">
        <v>1907</v>
      </c>
      <c r="AY422" s="30">
        <v>0</v>
      </c>
      <c r="AZ422" s="30">
        <v>0</v>
      </c>
    </row>
    <row r="423" spans="1:52" ht="31.2" x14ac:dyDescent="0.3">
      <c r="A423" s="103">
        <v>413</v>
      </c>
      <c r="B423" s="30" t="s">
        <v>1079</v>
      </c>
      <c r="C423" s="30" t="s">
        <v>1899</v>
      </c>
      <c r="D423" s="105" t="s">
        <v>1900</v>
      </c>
      <c r="E423" s="108" t="s">
        <v>1901</v>
      </c>
      <c r="F423" s="30" t="s">
        <v>1902</v>
      </c>
      <c r="G423" s="26" t="s">
        <v>145</v>
      </c>
      <c r="H423" s="24" t="s">
        <v>146</v>
      </c>
      <c r="I423" s="25">
        <v>1</v>
      </c>
      <c r="J423" s="24" t="s">
        <v>1903</v>
      </c>
      <c r="K423" s="24">
        <v>32</v>
      </c>
      <c r="L423" s="24">
        <v>5</v>
      </c>
      <c r="M423" s="24" t="str">
        <f t="shared" si="18"/>
        <v>95-70</v>
      </c>
      <c r="N423" s="24" t="s">
        <v>529</v>
      </c>
      <c r="O423" s="24" t="s">
        <v>529</v>
      </c>
      <c r="P423" s="24">
        <v>1</v>
      </c>
      <c r="Q423" s="102">
        <v>0</v>
      </c>
      <c r="R423" s="30" t="s">
        <v>1905</v>
      </c>
      <c r="S423" s="24">
        <v>0</v>
      </c>
      <c r="T423" s="24"/>
      <c r="U423" s="94">
        <v>195.81999999999996</v>
      </c>
      <c r="V423" s="94">
        <v>164.99</v>
      </c>
      <c r="W423" s="106">
        <v>22.65</v>
      </c>
      <c r="X423" s="107" t="s">
        <v>1906</v>
      </c>
      <c r="Y423" s="106">
        <v>22.65</v>
      </c>
      <c r="Z423" s="107" t="s">
        <v>1906</v>
      </c>
      <c r="AA423" s="106">
        <v>22.65</v>
      </c>
      <c r="AB423" s="107" t="s">
        <v>1906</v>
      </c>
      <c r="AC423" s="106">
        <v>22.59</v>
      </c>
      <c r="AD423" s="107" t="s">
        <v>1906</v>
      </c>
      <c r="AE423" s="106">
        <v>6.5000000000000009</v>
      </c>
      <c r="AF423" s="107" t="s">
        <v>1906</v>
      </c>
      <c r="AG423" s="106">
        <v>0</v>
      </c>
      <c r="AH423" s="107" t="s">
        <v>1906</v>
      </c>
      <c r="AI423" s="106">
        <v>0</v>
      </c>
      <c r="AJ423" s="107" t="s">
        <v>1906</v>
      </c>
      <c r="AK423" s="106">
        <v>0</v>
      </c>
      <c r="AL423" s="107" t="s">
        <v>1906</v>
      </c>
      <c r="AM423" s="106">
        <v>0</v>
      </c>
      <c r="AN423" s="107" t="s">
        <v>1906</v>
      </c>
      <c r="AO423" s="106">
        <v>22.87</v>
      </c>
      <c r="AP423" s="107" t="s">
        <v>1906</v>
      </c>
      <c r="AQ423" s="106">
        <v>22.87</v>
      </c>
      <c r="AR423" s="106" t="s">
        <v>1906</v>
      </c>
      <c r="AS423" s="106">
        <v>22.87</v>
      </c>
      <c r="AT423" s="107" t="s">
        <v>1906</v>
      </c>
      <c r="AU423" s="106">
        <f t="shared" si="19"/>
        <v>165.65</v>
      </c>
      <c r="AV423" s="25">
        <v>8.5999999999999993E-2</v>
      </c>
      <c r="AW423" s="30" t="str">
        <f t="shared" si="20"/>
        <v>95-70</v>
      </c>
      <c r="AX423" s="30" t="s">
        <v>1907</v>
      </c>
      <c r="AY423" s="30">
        <v>0</v>
      </c>
      <c r="AZ423" s="30">
        <v>0</v>
      </c>
    </row>
    <row r="424" spans="1:52" ht="31.2" x14ac:dyDescent="0.3">
      <c r="A424" s="103">
        <v>414</v>
      </c>
      <c r="B424" s="30" t="s">
        <v>1080</v>
      </c>
      <c r="C424" s="30" t="s">
        <v>1899</v>
      </c>
      <c r="D424" s="105" t="s">
        <v>1900</v>
      </c>
      <c r="E424" s="108" t="s">
        <v>1901</v>
      </c>
      <c r="F424" s="30" t="s">
        <v>1902</v>
      </c>
      <c r="G424" s="26" t="s">
        <v>145</v>
      </c>
      <c r="H424" s="24" t="s">
        <v>146</v>
      </c>
      <c r="I424" s="25">
        <v>1</v>
      </c>
      <c r="J424" s="24" t="s">
        <v>1903</v>
      </c>
      <c r="K424" s="24">
        <v>32</v>
      </c>
      <c r="L424" s="24">
        <v>5</v>
      </c>
      <c r="M424" s="24" t="str">
        <f t="shared" si="18"/>
        <v>95-70</v>
      </c>
      <c r="N424" s="24" t="s">
        <v>529</v>
      </c>
      <c r="O424" s="24" t="s">
        <v>529</v>
      </c>
      <c r="P424" s="24">
        <v>1</v>
      </c>
      <c r="Q424" s="102">
        <v>0</v>
      </c>
      <c r="R424" s="30" t="s">
        <v>1905</v>
      </c>
      <c r="S424" s="24">
        <v>0</v>
      </c>
      <c r="T424" s="24"/>
      <c r="U424" s="94">
        <v>366.35</v>
      </c>
      <c r="V424" s="94">
        <v>390.75</v>
      </c>
      <c r="W424" s="106">
        <v>75.22</v>
      </c>
      <c r="X424" s="107" t="s">
        <v>208</v>
      </c>
      <c r="Y424" s="106">
        <v>47.75</v>
      </c>
      <c r="Z424" s="107" t="s">
        <v>208</v>
      </c>
      <c r="AA424" s="106">
        <v>68.790000000000006</v>
      </c>
      <c r="AB424" s="107" t="s">
        <v>208</v>
      </c>
      <c r="AC424" s="106">
        <v>50.7</v>
      </c>
      <c r="AD424" s="107" t="s">
        <v>208</v>
      </c>
      <c r="AE424" s="106">
        <v>14.68</v>
      </c>
      <c r="AF424" s="107" t="s">
        <v>208</v>
      </c>
      <c r="AG424" s="106">
        <v>0</v>
      </c>
      <c r="AH424" s="107" t="s">
        <v>208</v>
      </c>
      <c r="AI424" s="106">
        <v>0</v>
      </c>
      <c r="AJ424" s="107" t="s">
        <v>208</v>
      </c>
      <c r="AK424" s="106">
        <v>0</v>
      </c>
      <c r="AL424" s="107" t="s">
        <v>208</v>
      </c>
      <c r="AM424" s="106">
        <v>0</v>
      </c>
      <c r="AN424" s="107" t="s">
        <v>208</v>
      </c>
      <c r="AO424" s="106">
        <v>44.64</v>
      </c>
      <c r="AP424" s="107" t="s">
        <v>208</v>
      </c>
      <c r="AQ424" s="106">
        <v>19.13</v>
      </c>
      <c r="AR424" s="106" t="s">
        <v>208</v>
      </c>
      <c r="AS424" s="106">
        <v>39.19</v>
      </c>
      <c r="AT424" s="107" t="s">
        <v>208</v>
      </c>
      <c r="AU424" s="106">
        <f t="shared" si="19"/>
        <v>360.09999999999997</v>
      </c>
      <c r="AV424" s="25">
        <v>0.16089999999999999</v>
      </c>
      <c r="AW424" s="30" t="str">
        <f t="shared" si="20"/>
        <v>95-70</v>
      </c>
      <c r="AX424" s="30" t="s">
        <v>1907</v>
      </c>
      <c r="AY424" s="30">
        <v>0</v>
      </c>
      <c r="AZ424" s="30">
        <v>0</v>
      </c>
    </row>
    <row r="425" spans="1:52" ht="31.2" x14ac:dyDescent="0.3">
      <c r="A425" s="103">
        <v>415</v>
      </c>
      <c r="B425" s="30" t="s">
        <v>1081</v>
      </c>
      <c r="C425" s="30" t="s">
        <v>1899</v>
      </c>
      <c r="D425" s="105" t="s">
        <v>1900</v>
      </c>
      <c r="E425" s="108" t="s">
        <v>1901</v>
      </c>
      <c r="F425" s="30" t="s">
        <v>1902</v>
      </c>
      <c r="G425" s="26" t="s">
        <v>145</v>
      </c>
      <c r="H425" s="24" t="s">
        <v>146</v>
      </c>
      <c r="I425" s="25">
        <v>1</v>
      </c>
      <c r="J425" s="24" t="s">
        <v>1903</v>
      </c>
      <c r="K425" s="24">
        <v>32</v>
      </c>
      <c r="L425" s="24">
        <v>5</v>
      </c>
      <c r="M425" s="24" t="str">
        <f t="shared" si="18"/>
        <v>95-70</v>
      </c>
      <c r="N425" s="24" t="s">
        <v>529</v>
      </c>
      <c r="O425" s="24" t="s">
        <v>529</v>
      </c>
      <c r="P425" s="24">
        <v>1</v>
      </c>
      <c r="Q425" s="102">
        <v>0</v>
      </c>
      <c r="R425" s="30" t="s">
        <v>1905</v>
      </c>
      <c r="S425" s="24">
        <v>0</v>
      </c>
      <c r="T425" s="24"/>
      <c r="U425" s="94">
        <v>183.51</v>
      </c>
      <c r="V425" s="94">
        <v>144.54999999999998</v>
      </c>
      <c r="W425" s="106">
        <v>19.829999999999998</v>
      </c>
      <c r="X425" s="107" t="s">
        <v>1906</v>
      </c>
      <c r="Y425" s="106">
        <v>19.829999999999998</v>
      </c>
      <c r="Z425" s="107" t="s">
        <v>1906</v>
      </c>
      <c r="AA425" s="106">
        <v>19.829999999999998</v>
      </c>
      <c r="AB425" s="107" t="s">
        <v>1906</v>
      </c>
      <c r="AC425" s="106">
        <v>19.82</v>
      </c>
      <c r="AD425" s="107" t="s">
        <v>1906</v>
      </c>
      <c r="AE425" s="106">
        <v>5.75</v>
      </c>
      <c r="AF425" s="107" t="s">
        <v>1906</v>
      </c>
      <c r="AG425" s="106">
        <v>0</v>
      </c>
      <c r="AH425" s="107" t="s">
        <v>1906</v>
      </c>
      <c r="AI425" s="106">
        <v>0</v>
      </c>
      <c r="AJ425" s="107" t="s">
        <v>1906</v>
      </c>
      <c r="AK425" s="106">
        <v>0</v>
      </c>
      <c r="AL425" s="107" t="s">
        <v>1906</v>
      </c>
      <c r="AM425" s="106">
        <v>0</v>
      </c>
      <c r="AN425" s="107" t="s">
        <v>1906</v>
      </c>
      <c r="AO425" s="106">
        <v>19.649999999999999</v>
      </c>
      <c r="AP425" s="107" t="s">
        <v>1906</v>
      </c>
      <c r="AQ425" s="106">
        <v>19.649999999999999</v>
      </c>
      <c r="AR425" s="106" t="s">
        <v>1906</v>
      </c>
      <c r="AS425" s="106">
        <v>19.649999999999999</v>
      </c>
      <c r="AT425" s="107" t="s">
        <v>1906</v>
      </c>
      <c r="AU425" s="106">
        <f t="shared" si="19"/>
        <v>144.01000000000002</v>
      </c>
      <c r="AV425" s="25">
        <v>7.3999999999999996E-2</v>
      </c>
      <c r="AW425" s="30" t="str">
        <f t="shared" si="20"/>
        <v>95-70</v>
      </c>
      <c r="AX425" s="30" t="s">
        <v>1907</v>
      </c>
      <c r="AY425" s="30">
        <v>0</v>
      </c>
      <c r="AZ425" s="30">
        <v>0</v>
      </c>
    </row>
    <row r="426" spans="1:52" ht="31.2" x14ac:dyDescent="0.3">
      <c r="A426" s="103">
        <v>416</v>
      </c>
      <c r="B426" s="30" t="s">
        <v>1083</v>
      </c>
      <c r="C426" s="30" t="s">
        <v>1899</v>
      </c>
      <c r="D426" s="105" t="s">
        <v>1900</v>
      </c>
      <c r="E426" s="108" t="s">
        <v>1901</v>
      </c>
      <c r="F426" s="30" t="s">
        <v>1902</v>
      </c>
      <c r="G426" s="26" t="s">
        <v>145</v>
      </c>
      <c r="H426" s="24" t="s">
        <v>146</v>
      </c>
      <c r="I426" s="25">
        <v>1</v>
      </c>
      <c r="J426" s="24" t="s">
        <v>1903</v>
      </c>
      <c r="K426" s="24">
        <v>40</v>
      </c>
      <c r="L426" s="24">
        <v>5</v>
      </c>
      <c r="M426" s="24" t="str">
        <f t="shared" si="18"/>
        <v>95-70</v>
      </c>
      <c r="N426" s="24" t="s">
        <v>529</v>
      </c>
      <c r="O426" s="24" t="s">
        <v>529</v>
      </c>
      <c r="P426" s="24">
        <v>1</v>
      </c>
      <c r="Q426" s="102">
        <v>0</v>
      </c>
      <c r="R426" s="30" t="s">
        <v>1905</v>
      </c>
      <c r="S426" s="24">
        <v>0</v>
      </c>
      <c r="T426" s="24"/>
      <c r="U426" s="94">
        <v>413.58</v>
      </c>
      <c r="V426" s="94">
        <v>403.56000000000006</v>
      </c>
      <c r="W426" s="106">
        <v>76.8</v>
      </c>
      <c r="X426" s="107" t="s">
        <v>208</v>
      </c>
      <c r="Y426" s="106">
        <v>49.83</v>
      </c>
      <c r="Z426" s="107" t="s">
        <v>208</v>
      </c>
      <c r="AA426" s="106">
        <v>69.12</v>
      </c>
      <c r="AB426" s="107" t="s">
        <v>208</v>
      </c>
      <c r="AC426" s="106">
        <v>48.44</v>
      </c>
      <c r="AD426" s="107" t="s">
        <v>208</v>
      </c>
      <c r="AE426" s="106">
        <v>14.15</v>
      </c>
      <c r="AF426" s="107" t="s">
        <v>208</v>
      </c>
      <c r="AG426" s="106">
        <v>0</v>
      </c>
      <c r="AH426" s="107" t="s">
        <v>208</v>
      </c>
      <c r="AI426" s="106">
        <v>0</v>
      </c>
      <c r="AJ426" s="107" t="s">
        <v>208</v>
      </c>
      <c r="AK426" s="106">
        <v>0</v>
      </c>
      <c r="AL426" s="107" t="s">
        <v>208</v>
      </c>
      <c r="AM426" s="106">
        <v>0</v>
      </c>
      <c r="AN426" s="107" t="s">
        <v>208</v>
      </c>
      <c r="AO426" s="106">
        <v>24.61</v>
      </c>
      <c r="AP426" s="107" t="s">
        <v>208</v>
      </c>
      <c r="AQ426" s="106">
        <v>28.46</v>
      </c>
      <c r="AR426" s="106" t="s">
        <v>208</v>
      </c>
      <c r="AS426" s="106">
        <v>39.909999999999997</v>
      </c>
      <c r="AT426" s="107" t="s">
        <v>208</v>
      </c>
      <c r="AU426" s="106">
        <f t="shared" si="19"/>
        <v>351.31999999999994</v>
      </c>
      <c r="AV426" s="25">
        <v>0.2001</v>
      </c>
      <c r="AW426" s="30" t="str">
        <f t="shared" si="20"/>
        <v>95-70</v>
      </c>
      <c r="AX426" s="30" t="s">
        <v>1907</v>
      </c>
      <c r="AY426" s="30">
        <v>0</v>
      </c>
      <c r="AZ426" s="30">
        <v>0</v>
      </c>
    </row>
    <row r="427" spans="1:52" ht="31.2" x14ac:dyDescent="0.3">
      <c r="A427" s="103">
        <v>417</v>
      </c>
      <c r="B427" s="30" t="s">
        <v>1084</v>
      </c>
      <c r="C427" s="30" t="s">
        <v>1899</v>
      </c>
      <c r="D427" s="105" t="s">
        <v>1900</v>
      </c>
      <c r="E427" s="108" t="s">
        <v>1901</v>
      </c>
      <c r="F427" s="30" t="s">
        <v>1902</v>
      </c>
      <c r="G427" s="26" t="s">
        <v>145</v>
      </c>
      <c r="H427" s="24" t="s">
        <v>146</v>
      </c>
      <c r="I427" s="25">
        <v>1</v>
      </c>
      <c r="J427" s="24" t="s">
        <v>1903</v>
      </c>
      <c r="K427" s="24">
        <v>32</v>
      </c>
      <c r="L427" s="24">
        <v>5</v>
      </c>
      <c r="M427" s="24" t="str">
        <f t="shared" si="18"/>
        <v>95-70</v>
      </c>
      <c r="N427" s="24" t="s">
        <v>529</v>
      </c>
      <c r="O427" s="24" t="s">
        <v>529</v>
      </c>
      <c r="P427" s="24">
        <v>1</v>
      </c>
      <c r="Q427" s="102">
        <v>0</v>
      </c>
      <c r="R427" s="30" t="s">
        <v>1905</v>
      </c>
      <c r="S427" s="24">
        <v>0</v>
      </c>
      <c r="T427" s="24"/>
      <c r="U427" s="94">
        <v>243.65000000000003</v>
      </c>
      <c r="V427" s="94">
        <v>192.32</v>
      </c>
      <c r="W427" s="106">
        <v>26.380000000000003</v>
      </c>
      <c r="X427" s="107" t="s">
        <v>1906</v>
      </c>
      <c r="Y427" s="106">
        <v>26.380000000000003</v>
      </c>
      <c r="Z427" s="107" t="s">
        <v>1906</v>
      </c>
      <c r="AA427" s="106">
        <v>26.380000000000003</v>
      </c>
      <c r="AB427" s="107" t="s">
        <v>1906</v>
      </c>
      <c r="AC427" s="106">
        <v>26.380000000000003</v>
      </c>
      <c r="AD427" s="107" t="s">
        <v>1906</v>
      </c>
      <c r="AE427" s="106">
        <v>7.66</v>
      </c>
      <c r="AF427" s="107" t="s">
        <v>1906</v>
      </c>
      <c r="AG427" s="106">
        <v>0</v>
      </c>
      <c r="AH427" s="107" t="s">
        <v>1906</v>
      </c>
      <c r="AI427" s="106">
        <v>0</v>
      </c>
      <c r="AJ427" s="107" t="s">
        <v>1906</v>
      </c>
      <c r="AK427" s="106">
        <v>0</v>
      </c>
      <c r="AL427" s="107" t="s">
        <v>1906</v>
      </c>
      <c r="AM427" s="106">
        <v>0</v>
      </c>
      <c r="AN427" s="107" t="s">
        <v>1906</v>
      </c>
      <c r="AO427" s="106">
        <v>24.93</v>
      </c>
      <c r="AP427" s="107" t="s">
        <v>1906</v>
      </c>
      <c r="AQ427" s="106">
        <v>24.93</v>
      </c>
      <c r="AR427" s="106" t="s">
        <v>1906</v>
      </c>
      <c r="AS427" s="106">
        <v>24.93</v>
      </c>
      <c r="AT427" s="107" t="s">
        <v>1906</v>
      </c>
      <c r="AU427" s="106">
        <f t="shared" si="19"/>
        <v>187.97000000000003</v>
      </c>
      <c r="AV427" s="25">
        <v>0.107</v>
      </c>
      <c r="AW427" s="30" t="str">
        <f t="shared" si="20"/>
        <v>95-70</v>
      </c>
      <c r="AX427" s="30" t="s">
        <v>1907</v>
      </c>
      <c r="AY427" s="30">
        <v>0</v>
      </c>
      <c r="AZ427" s="30">
        <v>0</v>
      </c>
    </row>
    <row r="428" spans="1:52" ht="31.2" x14ac:dyDescent="0.3">
      <c r="A428" s="103">
        <v>418</v>
      </c>
      <c r="B428" s="30" t="s">
        <v>1085</v>
      </c>
      <c r="C428" s="30" t="s">
        <v>1899</v>
      </c>
      <c r="D428" s="105" t="s">
        <v>1900</v>
      </c>
      <c r="E428" s="108" t="s">
        <v>1901</v>
      </c>
      <c r="F428" s="30" t="s">
        <v>1902</v>
      </c>
      <c r="G428" s="26" t="s">
        <v>145</v>
      </c>
      <c r="H428" s="24" t="s">
        <v>146</v>
      </c>
      <c r="I428" s="25">
        <v>1</v>
      </c>
      <c r="J428" s="24" t="s">
        <v>1903</v>
      </c>
      <c r="K428" s="24">
        <v>32</v>
      </c>
      <c r="L428" s="24">
        <v>5</v>
      </c>
      <c r="M428" s="24" t="str">
        <f t="shared" si="18"/>
        <v>95-70</v>
      </c>
      <c r="N428" s="24" t="s">
        <v>529</v>
      </c>
      <c r="O428" s="24" t="s">
        <v>529</v>
      </c>
      <c r="P428" s="24">
        <v>1</v>
      </c>
      <c r="Q428" s="102">
        <v>0</v>
      </c>
      <c r="R428" s="30" t="s">
        <v>1905</v>
      </c>
      <c r="S428" s="24">
        <v>0</v>
      </c>
      <c r="T428" s="24"/>
      <c r="U428" s="94">
        <v>527.57999999999993</v>
      </c>
      <c r="V428" s="94">
        <v>233.61999999999998</v>
      </c>
      <c r="W428" s="106">
        <v>31.35</v>
      </c>
      <c r="X428" s="107" t="s">
        <v>208</v>
      </c>
      <c r="Y428" s="106">
        <v>31.35</v>
      </c>
      <c r="Z428" s="107" t="s">
        <v>208</v>
      </c>
      <c r="AA428" s="106">
        <v>31.35</v>
      </c>
      <c r="AB428" s="107" t="s">
        <v>208</v>
      </c>
      <c r="AC428" s="106">
        <v>33.1</v>
      </c>
      <c r="AD428" s="107" t="s">
        <v>208</v>
      </c>
      <c r="AE428" s="106">
        <v>12.42</v>
      </c>
      <c r="AF428" s="107" t="s">
        <v>208</v>
      </c>
      <c r="AG428" s="106">
        <v>0</v>
      </c>
      <c r="AH428" s="107" t="s">
        <v>208</v>
      </c>
      <c r="AI428" s="106">
        <v>0</v>
      </c>
      <c r="AJ428" s="107" t="s">
        <v>208</v>
      </c>
      <c r="AK428" s="106">
        <v>0</v>
      </c>
      <c r="AL428" s="107" t="s">
        <v>208</v>
      </c>
      <c r="AM428" s="106">
        <v>0</v>
      </c>
      <c r="AN428" s="107" t="s">
        <v>208</v>
      </c>
      <c r="AO428" s="106">
        <v>33.61</v>
      </c>
      <c r="AP428" s="107" t="s">
        <v>208</v>
      </c>
      <c r="AQ428" s="106">
        <v>12.58</v>
      </c>
      <c r="AR428" s="106" t="s">
        <v>208</v>
      </c>
      <c r="AS428" s="106">
        <v>33.61</v>
      </c>
      <c r="AT428" s="107" t="s">
        <v>208</v>
      </c>
      <c r="AU428" s="106">
        <f t="shared" si="19"/>
        <v>219.37</v>
      </c>
      <c r="AV428" s="25">
        <v>0.24199999999999999</v>
      </c>
      <c r="AW428" s="30" t="str">
        <f t="shared" si="20"/>
        <v>95-70</v>
      </c>
      <c r="AX428" s="30" t="s">
        <v>1907</v>
      </c>
      <c r="AY428" s="30">
        <v>0</v>
      </c>
      <c r="AZ428" s="30">
        <v>0</v>
      </c>
    </row>
    <row r="429" spans="1:52" ht="31.2" x14ac:dyDescent="0.3">
      <c r="A429" s="103">
        <v>419</v>
      </c>
      <c r="B429" s="30" t="s">
        <v>1087</v>
      </c>
      <c r="C429" s="30" t="s">
        <v>1899</v>
      </c>
      <c r="D429" s="105" t="s">
        <v>1900</v>
      </c>
      <c r="E429" s="108" t="s">
        <v>1901</v>
      </c>
      <c r="F429" s="30" t="s">
        <v>1902</v>
      </c>
      <c r="G429" s="26" t="s">
        <v>145</v>
      </c>
      <c r="H429" s="24" t="s">
        <v>146</v>
      </c>
      <c r="I429" s="25">
        <v>1</v>
      </c>
      <c r="J429" s="24" t="s">
        <v>1903</v>
      </c>
      <c r="K429" s="24">
        <v>32</v>
      </c>
      <c r="L429" s="24">
        <v>5</v>
      </c>
      <c r="M429" s="24" t="str">
        <f t="shared" si="18"/>
        <v>95-70</v>
      </c>
      <c r="N429" s="24" t="s">
        <v>529</v>
      </c>
      <c r="O429" s="24" t="s">
        <v>529</v>
      </c>
      <c r="P429" s="24">
        <v>1</v>
      </c>
      <c r="Q429" s="102">
        <v>0</v>
      </c>
      <c r="R429" s="30" t="s">
        <v>1905</v>
      </c>
      <c r="S429" s="24">
        <v>0</v>
      </c>
      <c r="T429" s="24"/>
      <c r="U429" s="94">
        <v>289.95999999999998</v>
      </c>
      <c r="V429" s="94">
        <v>275.25</v>
      </c>
      <c r="W429" s="106">
        <v>37.590000000000003</v>
      </c>
      <c r="X429" s="107" t="s">
        <v>208</v>
      </c>
      <c r="Y429" s="106">
        <v>37.590000000000003</v>
      </c>
      <c r="Z429" s="107" t="s">
        <v>208</v>
      </c>
      <c r="AA429" s="106">
        <v>37.590000000000003</v>
      </c>
      <c r="AB429" s="107" t="s">
        <v>208</v>
      </c>
      <c r="AC429" s="106">
        <v>37.590000000000003</v>
      </c>
      <c r="AD429" s="107" t="s">
        <v>208</v>
      </c>
      <c r="AE429" s="106">
        <v>12.12</v>
      </c>
      <c r="AF429" s="107" t="s">
        <v>208</v>
      </c>
      <c r="AG429" s="106">
        <v>0</v>
      </c>
      <c r="AH429" s="107" t="s">
        <v>208</v>
      </c>
      <c r="AI429" s="106">
        <v>0</v>
      </c>
      <c r="AJ429" s="107" t="s">
        <v>208</v>
      </c>
      <c r="AK429" s="106">
        <v>0</v>
      </c>
      <c r="AL429" s="107" t="s">
        <v>208</v>
      </c>
      <c r="AM429" s="106">
        <v>0</v>
      </c>
      <c r="AN429" s="107" t="s">
        <v>208</v>
      </c>
      <c r="AO429" s="106">
        <v>36.6</v>
      </c>
      <c r="AP429" s="107" t="s">
        <v>208</v>
      </c>
      <c r="AQ429" s="106">
        <v>15.49</v>
      </c>
      <c r="AR429" s="106" t="s">
        <v>208</v>
      </c>
      <c r="AS429" s="106">
        <v>33.979999999999997</v>
      </c>
      <c r="AT429" s="107" t="s">
        <v>208</v>
      </c>
      <c r="AU429" s="106">
        <f t="shared" si="19"/>
        <v>248.55</v>
      </c>
      <c r="AV429" s="25">
        <v>0.13300000000000001</v>
      </c>
      <c r="AW429" s="30" t="str">
        <f t="shared" si="20"/>
        <v>95-70</v>
      </c>
      <c r="AX429" s="30" t="s">
        <v>1907</v>
      </c>
      <c r="AY429" s="30">
        <v>0</v>
      </c>
      <c r="AZ429" s="30">
        <v>0</v>
      </c>
    </row>
    <row r="430" spans="1:52" ht="31.2" x14ac:dyDescent="0.3">
      <c r="A430" s="103">
        <v>420</v>
      </c>
      <c r="B430" s="30" t="s">
        <v>1088</v>
      </c>
      <c r="C430" s="30" t="s">
        <v>1899</v>
      </c>
      <c r="D430" s="105" t="s">
        <v>1900</v>
      </c>
      <c r="E430" s="108" t="s">
        <v>1901</v>
      </c>
      <c r="F430" s="30" t="s">
        <v>1902</v>
      </c>
      <c r="G430" s="26" t="s">
        <v>145</v>
      </c>
      <c r="H430" s="24" t="s">
        <v>146</v>
      </c>
      <c r="I430" s="25">
        <v>1</v>
      </c>
      <c r="J430" s="24" t="s">
        <v>1903</v>
      </c>
      <c r="K430" s="24">
        <v>32</v>
      </c>
      <c r="L430" s="24">
        <v>5</v>
      </c>
      <c r="M430" s="24" t="str">
        <f t="shared" si="18"/>
        <v>95-70</v>
      </c>
      <c r="N430" s="24" t="s">
        <v>529</v>
      </c>
      <c r="O430" s="24" t="s">
        <v>529</v>
      </c>
      <c r="P430" s="24">
        <v>1</v>
      </c>
      <c r="Q430" s="102">
        <v>0</v>
      </c>
      <c r="R430" s="30" t="s">
        <v>1905</v>
      </c>
      <c r="S430" s="24">
        <v>0</v>
      </c>
      <c r="T430" s="24"/>
      <c r="U430" s="94">
        <v>328.68</v>
      </c>
      <c r="V430" s="94">
        <v>240.98999999999998</v>
      </c>
      <c r="W430" s="106">
        <v>32.909999999999997</v>
      </c>
      <c r="X430" s="107" t="s">
        <v>1906</v>
      </c>
      <c r="Y430" s="106">
        <v>32.909999999999997</v>
      </c>
      <c r="Z430" s="107" t="s">
        <v>1906</v>
      </c>
      <c r="AA430" s="106">
        <v>32.909999999999997</v>
      </c>
      <c r="AB430" s="107" t="s">
        <v>1906</v>
      </c>
      <c r="AC430" s="106">
        <v>32.909999999999997</v>
      </c>
      <c r="AD430" s="107" t="s">
        <v>1906</v>
      </c>
      <c r="AE430" s="106">
        <v>10.62</v>
      </c>
      <c r="AF430" s="107" t="s">
        <v>1906</v>
      </c>
      <c r="AG430" s="106">
        <v>0</v>
      </c>
      <c r="AH430" s="107" t="s">
        <v>1906</v>
      </c>
      <c r="AI430" s="106">
        <v>0</v>
      </c>
      <c r="AJ430" s="107" t="s">
        <v>1906</v>
      </c>
      <c r="AK430" s="106">
        <v>0</v>
      </c>
      <c r="AL430" s="107" t="s">
        <v>1906</v>
      </c>
      <c r="AM430" s="106">
        <v>7.66</v>
      </c>
      <c r="AN430" s="107" t="s">
        <v>1906</v>
      </c>
      <c r="AO430" s="106">
        <v>32.78</v>
      </c>
      <c r="AP430" s="107" t="s">
        <v>1906</v>
      </c>
      <c r="AQ430" s="106">
        <v>32.78</v>
      </c>
      <c r="AR430" s="106" t="s">
        <v>1906</v>
      </c>
      <c r="AS430" s="106">
        <v>32.78</v>
      </c>
      <c r="AT430" s="107" t="s">
        <v>1906</v>
      </c>
      <c r="AU430" s="106">
        <f t="shared" si="19"/>
        <v>248.26</v>
      </c>
      <c r="AV430" s="25">
        <v>0.13700000000000001</v>
      </c>
      <c r="AW430" s="30" t="str">
        <f t="shared" si="20"/>
        <v>95-70</v>
      </c>
      <c r="AX430" s="30" t="s">
        <v>1907</v>
      </c>
      <c r="AY430" s="30">
        <v>0</v>
      </c>
      <c r="AZ430" s="30">
        <v>0</v>
      </c>
    </row>
    <row r="431" spans="1:52" ht="31.2" x14ac:dyDescent="0.3">
      <c r="A431" s="103">
        <v>421</v>
      </c>
      <c r="B431" s="30" t="s">
        <v>1090</v>
      </c>
      <c r="C431" s="30" t="s">
        <v>1899</v>
      </c>
      <c r="D431" s="105" t="s">
        <v>1900</v>
      </c>
      <c r="E431" s="108" t="s">
        <v>1901</v>
      </c>
      <c r="F431" s="30" t="s">
        <v>1902</v>
      </c>
      <c r="G431" s="26" t="s">
        <v>145</v>
      </c>
      <c r="H431" s="24" t="s">
        <v>146</v>
      </c>
      <c r="I431" s="25">
        <v>1</v>
      </c>
      <c r="J431" s="24" t="s">
        <v>1903</v>
      </c>
      <c r="K431" s="24">
        <v>40</v>
      </c>
      <c r="L431" s="24">
        <v>5</v>
      </c>
      <c r="M431" s="24" t="str">
        <f t="shared" si="18"/>
        <v>95-70</v>
      </c>
      <c r="N431" s="24" t="s">
        <v>529</v>
      </c>
      <c r="O431" s="24" t="s">
        <v>529</v>
      </c>
      <c r="P431" s="24">
        <v>1</v>
      </c>
      <c r="Q431" s="102">
        <v>0</v>
      </c>
      <c r="R431" s="30" t="s">
        <v>1905</v>
      </c>
      <c r="S431" s="24">
        <v>0</v>
      </c>
      <c r="T431" s="24"/>
      <c r="U431" s="94">
        <f>558.11*0.92</f>
        <v>513.46120000000008</v>
      </c>
      <c r="V431" s="94">
        <f>579.65*0.92</f>
        <v>533.27800000000002</v>
      </c>
      <c r="W431" s="106">
        <f>79.51*0.92</f>
        <v>73.149200000000008</v>
      </c>
      <c r="X431" s="107" t="s">
        <v>1906</v>
      </c>
      <c r="Y431" s="106">
        <f>79.51*0.92</f>
        <v>73.149200000000008</v>
      </c>
      <c r="Z431" s="107" t="s">
        <v>1906</v>
      </c>
      <c r="AA431" s="106">
        <f>79.51*0.92</f>
        <v>73.149200000000008</v>
      </c>
      <c r="AB431" s="107" t="s">
        <v>1906</v>
      </c>
      <c r="AC431" s="106">
        <f>79.51*0.92</f>
        <v>73.149200000000008</v>
      </c>
      <c r="AD431" s="107" t="s">
        <v>1906</v>
      </c>
      <c r="AE431" s="106">
        <f>23.08*0.92</f>
        <v>21.233599999999999</v>
      </c>
      <c r="AF431" s="107" t="s">
        <v>1906</v>
      </c>
      <c r="AG431" s="106">
        <v>0</v>
      </c>
      <c r="AH431" s="107" t="s">
        <v>1906</v>
      </c>
      <c r="AI431" s="106">
        <v>0</v>
      </c>
      <c r="AJ431" s="107" t="s">
        <v>1906</v>
      </c>
      <c r="AK431" s="106">
        <v>0</v>
      </c>
      <c r="AL431" s="107" t="s">
        <v>1906</v>
      </c>
      <c r="AM431" s="106">
        <f>18.23*0.92</f>
        <v>16.771599999999999</v>
      </c>
      <c r="AN431" s="107" t="s">
        <v>1906</v>
      </c>
      <c r="AO431" s="106">
        <f>78.12*0.92</f>
        <v>71.870400000000004</v>
      </c>
      <c r="AP431" s="107" t="s">
        <v>1906</v>
      </c>
      <c r="AQ431" s="106">
        <f>78.12*0.92</f>
        <v>71.870400000000004</v>
      </c>
      <c r="AR431" s="106" t="s">
        <v>1906</v>
      </c>
      <c r="AS431" s="106">
        <f>78.12*0.92</f>
        <v>71.870400000000004</v>
      </c>
      <c r="AT431" s="107" t="s">
        <v>1906</v>
      </c>
      <c r="AU431" s="106">
        <f t="shared" si="19"/>
        <v>546.21320000000003</v>
      </c>
      <c r="AV431" s="25">
        <v>0.26029999999999998</v>
      </c>
      <c r="AW431" s="30" t="str">
        <f t="shared" si="20"/>
        <v>95-70</v>
      </c>
      <c r="AX431" s="30" t="s">
        <v>1907</v>
      </c>
      <c r="AY431" s="30">
        <v>0</v>
      </c>
      <c r="AZ431" s="30">
        <v>0</v>
      </c>
    </row>
    <row r="432" spans="1:52" ht="31.2" x14ac:dyDescent="0.3">
      <c r="A432" s="103">
        <v>422</v>
      </c>
      <c r="B432" s="30" t="s">
        <v>1091</v>
      </c>
      <c r="C432" s="30" t="s">
        <v>1899</v>
      </c>
      <c r="D432" s="105" t="s">
        <v>1900</v>
      </c>
      <c r="E432" s="108" t="s">
        <v>1901</v>
      </c>
      <c r="F432" s="30" t="s">
        <v>1902</v>
      </c>
      <c r="G432" s="26" t="s">
        <v>145</v>
      </c>
      <c r="H432" s="24" t="s">
        <v>146</v>
      </c>
      <c r="I432" s="25">
        <v>1</v>
      </c>
      <c r="J432" s="24" t="s">
        <v>1903</v>
      </c>
      <c r="K432" s="24">
        <v>32</v>
      </c>
      <c r="L432" s="24">
        <v>5</v>
      </c>
      <c r="M432" s="24" t="str">
        <f t="shared" si="18"/>
        <v>95-70</v>
      </c>
      <c r="N432" s="24" t="s">
        <v>529</v>
      </c>
      <c r="O432" s="24" t="s">
        <v>529</v>
      </c>
      <c r="P432" s="24">
        <v>1</v>
      </c>
      <c r="Q432" s="102">
        <v>0</v>
      </c>
      <c r="R432" s="30" t="s">
        <v>1905</v>
      </c>
      <c r="S432" s="24">
        <v>0</v>
      </c>
      <c r="T432" s="24"/>
      <c r="U432" s="94">
        <f>558.11*0.08</f>
        <v>44.648800000000001</v>
      </c>
      <c r="V432" s="94">
        <f>579.65*0.08</f>
        <v>46.372</v>
      </c>
      <c r="W432" s="106">
        <f>79.51*0.08</f>
        <v>6.3608000000000002</v>
      </c>
      <c r="X432" s="107" t="s">
        <v>1906</v>
      </c>
      <c r="Y432" s="106">
        <f>79.51*0.08</f>
        <v>6.3608000000000002</v>
      </c>
      <c r="Z432" s="107" t="s">
        <v>1906</v>
      </c>
      <c r="AA432" s="106">
        <f>79.51*0.08</f>
        <v>6.3608000000000002</v>
      </c>
      <c r="AB432" s="107" t="s">
        <v>1906</v>
      </c>
      <c r="AC432" s="106">
        <f>79.51*0.08</f>
        <v>6.3608000000000002</v>
      </c>
      <c r="AD432" s="107" t="s">
        <v>1906</v>
      </c>
      <c r="AE432" s="106">
        <f>23.08*0.08</f>
        <v>1.8463999999999998</v>
      </c>
      <c r="AF432" s="107" t="s">
        <v>1906</v>
      </c>
      <c r="AG432" s="106">
        <v>0</v>
      </c>
      <c r="AH432" s="107" t="s">
        <v>1906</v>
      </c>
      <c r="AI432" s="106">
        <v>0</v>
      </c>
      <c r="AJ432" s="107" t="s">
        <v>1906</v>
      </c>
      <c r="AK432" s="106">
        <v>0</v>
      </c>
      <c r="AL432" s="107" t="s">
        <v>1906</v>
      </c>
      <c r="AM432" s="106">
        <f>18.23*0.08</f>
        <v>1.4584000000000001</v>
      </c>
      <c r="AN432" s="107" t="s">
        <v>1906</v>
      </c>
      <c r="AO432" s="106">
        <f>78.12*0.08</f>
        <v>6.2496000000000009</v>
      </c>
      <c r="AP432" s="107" t="s">
        <v>1906</v>
      </c>
      <c r="AQ432" s="106">
        <f>78.12*0.08</f>
        <v>6.2496000000000009</v>
      </c>
      <c r="AR432" s="106" t="s">
        <v>1906</v>
      </c>
      <c r="AS432" s="106">
        <f>78.12*0.08</f>
        <v>6.2496000000000009</v>
      </c>
      <c r="AT432" s="107" t="s">
        <v>1906</v>
      </c>
      <c r="AU432" s="106">
        <f t="shared" si="19"/>
        <v>47.496800000000007</v>
      </c>
      <c r="AV432" s="25">
        <v>5.8999999999999997E-2</v>
      </c>
      <c r="AW432" s="30" t="str">
        <f t="shared" si="20"/>
        <v>95-70</v>
      </c>
      <c r="AX432" s="30" t="s">
        <v>1907</v>
      </c>
      <c r="AY432" s="30">
        <v>0</v>
      </c>
      <c r="AZ432" s="30">
        <v>0</v>
      </c>
    </row>
    <row r="433" spans="1:52" ht="31.2" x14ac:dyDescent="0.3">
      <c r="A433" s="103">
        <v>423</v>
      </c>
      <c r="B433" s="30" t="s">
        <v>1093</v>
      </c>
      <c r="C433" s="30" t="s">
        <v>1899</v>
      </c>
      <c r="D433" s="105" t="s">
        <v>1900</v>
      </c>
      <c r="E433" s="108" t="s">
        <v>1910</v>
      </c>
      <c r="F433" s="30" t="s">
        <v>1902</v>
      </c>
      <c r="G433" s="26" t="s">
        <v>145</v>
      </c>
      <c r="H433" s="24" t="s">
        <v>146</v>
      </c>
      <c r="I433" s="25">
        <v>1</v>
      </c>
      <c r="J433" s="24" t="s">
        <v>1903</v>
      </c>
      <c r="K433" s="24">
        <v>50.2</v>
      </c>
      <c r="L433" s="24">
        <v>5</v>
      </c>
      <c r="M433" s="24" t="str">
        <f t="shared" si="18"/>
        <v>95-70</v>
      </c>
      <c r="N433" s="24" t="s">
        <v>528</v>
      </c>
      <c r="O433" s="24" t="s">
        <v>529</v>
      </c>
      <c r="P433" s="24">
        <v>1</v>
      </c>
      <c r="Q433" s="102">
        <v>0</v>
      </c>
      <c r="R433" s="30" t="s">
        <v>1905</v>
      </c>
      <c r="S433" s="24">
        <v>0</v>
      </c>
      <c r="T433" s="24"/>
      <c r="U433" s="94">
        <v>1503.79</v>
      </c>
      <c r="V433" s="94">
        <v>1233.6800000000003</v>
      </c>
      <c r="W433" s="106">
        <v>208.19</v>
      </c>
      <c r="X433" s="107" t="s">
        <v>208</v>
      </c>
      <c r="Y433" s="106">
        <v>135.38000000000002</v>
      </c>
      <c r="Z433" s="107" t="s">
        <v>208</v>
      </c>
      <c r="AA433" s="106">
        <v>188.89</v>
      </c>
      <c r="AB433" s="107" t="s">
        <v>208</v>
      </c>
      <c r="AC433" s="106">
        <v>163.69999999999999</v>
      </c>
      <c r="AD433" s="107" t="s">
        <v>208</v>
      </c>
      <c r="AE433" s="106">
        <v>40.93</v>
      </c>
      <c r="AF433" s="107" t="s">
        <v>208</v>
      </c>
      <c r="AG433" s="106">
        <v>0</v>
      </c>
      <c r="AH433" s="107" t="s">
        <v>208</v>
      </c>
      <c r="AI433" s="106">
        <v>0</v>
      </c>
      <c r="AJ433" s="107" t="s">
        <v>208</v>
      </c>
      <c r="AK433" s="106">
        <v>0</v>
      </c>
      <c r="AL433" s="107" t="s">
        <v>208</v>
      </c>
      <c r="AM433" s="106">
        <v>0</v>
      </c>
      <c r="AN433" s="107" t="s">
        <v>208</v>
      </c>
      <c r="AO433" s="106">
        <v>54.75</v>
      </c>
      <c r="AP433" s="107" t="s">
        <v>208</v>
      </c>
      <c r="AQ433" s="106">
        <v>106.60000000000001</v>
      </c>
      <c r="AR433" s="106" t="s">
        <v>208</v>
      </c>
      <c r="AS433" s="106">
        <v>89.649999999999991</v>
      </c>
      <c r="AT433" s="107" t="s">
        <v>208</v>
      </c>
      <c r="AU433" s="106">
        <f t="shared" si="19"/>
        <v>988.09</v>
      </c>
      <c r="AV433" s="25">
        <v>0.56699999999999995</v>
      </c>
      <c r="AW433" s="30" t="str">
        <f t="shared" si="20"/>
        <v>95-70</v>
      </c>
      <c r="AX433" s="30" t="s">
        <v>1907</v>
      </c>
      <c r="AY433" s="30">
        <v>0</v>
      </c>
      <c r="AZ433" s="30">
        <v>0</v>
      </c>
    </row>
    <row r="434" spans="1:52" ht="31.2" x14ac:dyDescent="0.3">
      <c r="A434" s="103">
        <v>424</v>
      </c>
      <c r="B434" s="30" t="s">
        <v>1094</v>
      </c>
      <c r="C434" s="30" t="s">
        <v>1899</v>
      </c>
      <c r="D434" s="105" t="s">
        <v>1900</v>
      </c>
      <c r="E434" s="108" t="s">
        <v>1910</v>
      </c>
      <c r="F434" s="30" t="s">
        <v>1902</v>
      </c>
      <c r="G434" s="26" t="s">
        <v>145</v>
      </c>
      <c r="H434" s="24" t="s">
        <v>146</v>
      </c>
      <c r="I434" s="25">
        <v>1</v>
      </c>
      <c r="J434" s="24" t="s">
        <v>1903</v>
      </c>
      <c r="K434" s="24">
        <v>50.2</v>
      </c>
      <c r="L434" s="24">
        <v>5</v>
      </c>
      <c r="M434" s="24" t="str">
        <f t="shared" si="18"/>
        <v>95-70</v>
      </c>
      <c r="N434" s="24" t="s">
        <v>528</v>
      </c>
      <c r="O434" s="24" t="s">
        <v>529</v>
      </c>
      <c r="P434" s="24">
        <v>1</v>
      </c>
      <c r="Q434" s="102">
        <v>0</v>
      </c>
      <c r="R434" s="30" t="s">
        <v>1905</v>
      </c>
      <c r="S434" s="24">
        <v>0</v>
      </c>
      <c r="T434" s="24"/>
      <c r="U434" s="94">
        <v>1043.05</v>
      </c>
      <c r="V434" s="94">
        <v>1081.82</v>
      </c>
      <c r="W434" s="106">
        <v>164.53</v>
      </c>
      <c r="X434" s="107" t="s">
        <v>208</v>
      </c>
      <c r="Y434" s="106">
        <v>106.07</v>
      </c>
      <c r="Z434" s="107" t="s">
        <v>208</v>
      </c>
      <c r="AA434" s="106">
        <v>148.69</v>
      </c>
      <c r="AB434" s="107" t="s">
        <v>208</v>
      </c>
      <c r="AC434" s="106">
        <v>105.3</v>
      </c>
      <c r="AD434" s="107" t="s">
        <v>208</v>
      </c>
      <c r="AE434" s="106">
        <v>24.51</v>
      </c>
      <c r="AF434" s="107" t="s">
        <v>208</v>
      </c>
      <c r="AG434" s="106">
        <v>0</v>
      </c>
      <c r="AH434" s="107" t="s">
        <v>208</v>
      </c>
      <c r="AI434" s="106">
        <v>0</v>
      </c>
      <c r="AJ434" s="107" t="s">
        <v>208</v>
      </c>
      <c r="AK434" s="106">
        <v>0</v>
      </c>
      <c r="AL434" s="107" t="s">
        <v>208</v>
      </c>
      <c r="AM434" s="106">
        <v>0</v>
      </c>
      <c r="AN434" s="107" t="s">
        <v>208</v>
      </c>
      <c r="AO434" s="106">
        <v>64.19</v>
      </c>
      <c r="AP434" s="107" t="s">
        <v>208</v>
      </c>
      <c r="AQ434" s="106">
        <v>69.67</v>
      </c>
      <c r="AR434" s="106" t="s">
        <v>208</v>
      </c>
      <c r="AS434" s="106">
        <v>108.5</v>
      </c>
      <c r="AT434" s="107" t="s">
        <v>208</v>
      </c>
      <c r="AU434" s="106">
        <f t="shared" si="19"/>
        <v>791.45999999999992</v>
      </c>
      <c r="AV434" s="25">
        <v>0.36099999999999999</v>
      </c>
      <c r="AW434" s="30" t="str">
        <f t="shared" si="20"/>
        <v>95-70</v>
      </c>
      <c r="AX434" s="30" t="s">
        <v>1907</v>
      </c>
      <c r="AY434" s="30">
        <v>0</v>
      </c>
      <c r="AZ434" s="30">
        <v>0</v>
      </c>
    </row>
    <row r="435" spans="1:52" ht="31.2" x14ac:dyDescent="0.3">
      <c r="A435" s="103">
        <v>425</v>
      </c>
      <c r="B435" s="30" t="s">
        <v>1095</v>
      </c>
      <c r="C435" s="30" t="s">
        <v>1899</v>
      </c>
      <c r="D435" s="105" t="s">
        <v>1900</v>
      </c>
      <c r="E435" s="108" t="s">
        <v>1901</v>
      </c>
      <c r="F435" s="30" t="s">
        <v>1902</v>
      </c>
      <c r="G435" s="26" t="s">
        <v>145</v>
      </c>
      <c r="H435" s="24" t="s">
        <v>146</v>
      </c>
      <c r="I435" s="25">
        <v>1</v>
      </c>
      <c r="J435" s="24" t="s">
        <v>1903</v>
      </c>
      <c r="K435" s="24">
        <v>32</v>
      </c>
      <c r="L435" s="24">
        <v>5</v>
      </c>
      <c r="M435" s="24" t="str">
        <f t="shared" si="18"/>
        <v>95-70</v>
      </c>
      <c r="N435" s="24" t="s">
        <v>529</v>
      </c>
      <c r="O435" s="24" t="s">
        <v>529</v>
      </c>
      <c r="P435" s="24">
        <v>1</v>
      </c>
      <c r="Q435" s="102">
        <v>0</v>
      </c>
      <c r="R435" s="30" t="s">
        <v>1905</v>
      </c>
      <c r="S435" s="24">
        <v>0</v>
      </c>
      <c r="T435" s="24"/>
      <c r="U435" s="94">
        <v>272.13</v>
      </c>
      <c r="V435" s="94">
        <v>260.27000000000004</v>
      </c>
      <c r="W435" s="106">
        <v>35.860000000000007</v>
      </c>
      <c r="X435" s="107" t="s">
        <v>208</v>
      </c>
      <c r="Y435" s="106">
        <v>35.860000000000007</v>
      </c>
      <c r="Z435" s="107" t="s">
        <v>208</v>
      </c>
      <c r="AA435" s="106">
        <v>35.860000000000007</v>
      </c>
      <c r="AB435" s="107" t="s">
        <v>208</v>
      </c>
      <c r="AC435" s="106">
        <v>35.860000000000007</v>
      </c>
      <c r="AD435" s="107" t="s">
        <v>208</v>
      </c>
      <c r="AE435" s="106">
        <v>10.409999999999998</v>
      </c>
      <c r="AF435" s="107" t="s">
        <v>208</v>
      </c>
      <c r="AG435" s="106">
        <v>0</v>
      </c>
      <c r="AH435" s="107" t="s">
        <v>208</v>
      </c>
      <c r="AI435" s="106">
        <v>0</v>
      </c>
      <c r="AJ435" s="107" t="s">
        <v>208</v>
      </c>
      <c r="AK435" s="106">
        <v>0</v>
      </c>
      <c r="AL435" s="107" t="s">
        <v>208</v>
      </c>
      <c r="AM435" s="106">
        <v>0</v>
      </c>
      <c r="AN435" s="107" t="s">
        <v>208</v>
      </c>
      <c r="AO435" s="106">
        <v>37.770000000000003</v>
      </c>
      <c r="AP435" s="107" t="s">
        <v>208</v>
      </c>
      <c r="AQ435" s="106">
        <v>37.770000000000003</v>
      </c>
      <c r="AR435" s="106" t="s">
        <v>208</v>
      </c>
      <c r="AS435" s="106">
        <v>37.770000000000003</v>
      </c>
      <c r="AT435" s="107" t="s">
        <v>208</v>
      </c>
      <c r="AU435" s="106">
        <f t="shared" si="19"/>
        <v>267.16000000000003</v>
      </c>
      <c r="AV435" s="25">
        <v>0.13589999999999999</v>
      </c>
      <c r="AW435" s="30" t="str">
        <f t="shared" si="20"/>
        <v>95-70</v>
      </c>
      <c r="AX435" s="30" t="s">
        <v>1907</v>
      </c>
      <c r="AY435" s="30">
        <v>0</v>
      </c>
      <c r="AZ435" s="30">
        <v>0</v>
      </c>
    </row>
    <row r="436" spans="1:52" ht="31.2" x14ac:dyDescent="0.3">
      <c r="A436" s="103">
        <v>426</v>
      </c>
      <c r="B436" s="30" t="s">
        <v>1096</v>
      </c>
      <c r="C436" s="30" t="s">
        <v>1899</v>
      </c>
      <c r="D436" s="105" t="s">
        <v>1900</v>
      </c>
      <c r="E436" s="108" t="s">
        <v>1901</v>
      </c>
      <c r="F436" s="30" t="s">
        <v>1902</v>
      </c>
      <c r="G436" s="26" t="s">
        <v>145</v>
      </c>
      <c r="H436" s="24" t="s">
        <v>146</v>
      </c>
      <c r="I436" s="25">
        <v>1</v>
      </c>
      <c r="J436" s="24" t="s">
        <v>1903</v>
      </c>
      <c r="K436" s="24">
        <v>40</v>
      </c>
      <c r="L436" s="24">
        <v>5</v>
      </c>
      <c r="M436" s="24" t="str">
        <f t="shared" si="18"/>
        <v>95-70</v>
      </c>
      <c r="N436" s="24" t="s">
        <v>529</v>
      </c>
      <c r="O436" s="24" t="s">
        <v>529</v>
      </c>
      <c r="P436" s="24">
        <v>1</v>
      </c>
      <c r="Q436" s="102">
        <v>0</v>
      </c>
      <c r="R436" s="30" t="s">
        <v>1905</v>
      </c>
      <c r="S436" s="24">
        <v>0</v>
      </c>
      <c r="T436" s="24"/>
      <c r="U436" s="94">
        <f>402.51*0.44</f>
        <v>177.1044</v>
      </c>
      <c r="V436" s="94">
        <f>343.26*0.44</f>
        <v>151.03440000000001</v>
      </c>
      <c r="W436" s="106">
        <f>45.87*0.44</f>
        <v>20.1828</v>
      </c>
      <c r="X436" s="107" t="s">
        <v>1906</v>
      </c>
      <c r="Y436" s="106">
        <f>45.87*0.44</f>
        <v>20.1828</v>
      </c>
      <c r="Z436" s="107" t="s">
        <v>1906</v>
      </c>
      <c r="AA436" s="106">
        <f>45.87*0.44</f>
        <v>20.1828</v>
      </c>
      <c r="AB436" s="107" t="s">
        <v>1906</v>
      </c>
      <c r="AC436" s="106">
        <f>45.87*0.44</f>
        <v>20.1828</v>
      </c>
      <c r="AD436" s="107" t="s">
        <v>1906</v>
      </c>
      <c r="AE436" s="106">
        <f>13.32*0.44</f>
        <v>5.8608000000000002</v>
      </c>
      <c r="AF436" s="107" t="s">
        <v>1906</v>
      </c>
      <c r="AG436" s="106">
        <v>0</v>
      </c>
      <c r="AH436" s="107" t="s">
        <v>1906</v>
      </c>
      <c r="AI436" s="106">
        <v>0</v>
      </c>
      <c r="AJ436" s="107" t="s">
        <v>1906</v>
      </c>
      <c r="AK436" s="106">
        <v>0</v>
      </c>
      <c r="AL436" s="107" t="s">
        <v>1906</v>
      </c>
      <c r="AM436" s="106">
        <f>5.86*0.44</f>
        <v>2.5784000000000002</v>
      </c>
      <c r="AN436" s="107" t="s">
        <v>1906</v>
      </c>
      <c r="AO436" s="106">
        <f>43.87*0.44</f>
        <v>19.302799999999998</v>
      </c>
      <c r="AP436" s="107" t="s">
        <v>1906</v>
      </c>
      <c r="AQ436" s="106">
        <f>43.87*0.44</f>
        <v>19.302799999999998</v>
      </c>
      <c r="AR436" s="106" t="s">
        <v>1906</v>
      </c>
      <c r="AS436" s="106">
        <f>43.87*0.44</f>
        <v>19.302799999999998</v>
      </c>
      <c r="AT436" s="107" t="s">
        <v>1906</v>
      </c>
      <c r="AU436" s="106">
        <f t="shared" si="19"/>
        <v>147.07879999999997</v>
      </c>
      <c r="AV436" s="25">
        <v>9.1300000000000006E-2</v>
      </c>
      <c r="AW436" s="30" t="str">
        <f t="shared" si="20"/>
        <v>95-70</v>
      </c>
      <c r="AX436" s="30" t="s">
        <v>1907</v>
      </c>
      <c r="AY436" s="30">
        <v>0</v>
      </c>
      <c r="AZ436" s="30">
        <v>0</v>
      </c>
    </row>
    <row r="437" spans="1:52" ht="31.2" x14ac:dyDescent="0.3">
      <c r="A437" s="103">
        <v>427</v>
      </c>
      <c r="B437" s="30" t="s">
        <v>1097</v>
      </c>
      <c r="C437" s="30" t="s">
        <v>1899</v>
      </c>
      <c r="D437" s="105" t="s">
        <v>1900</v>
      </c>
      <c r="E437" s="108" t="s">
        <v>1901</v>
      </c>
      <c r="F437" s="30" t="s">
        <v>1902</v>
      </c>
      <c r="G437" s="26" t="s">
        <v>145</v>
      </c>
      <c r="H437" s="24" t="s">
        <v>146</v>
      </c>
      <c r="I437" s="25">
        <v>1</v>
      </c>
      <c r="J437" s="24" t="s">
        <v>1903</v>
      </c>
      <c r="K437" s="24">
        <v>32</v>
      </c>
      <c r="L437" s="24">
        <v>5</v>
      </c>
      <c r="M437" s="24" t="str">
        <f t="shared" si="18"/>
        <v>95-70</v>
      </c>
      <c r="N437" s="24" t="s">
        <v>529</v>
      </c>
      <c r="O437" s="24" t="s">
        <v>529</v>
      </c>
      <c r="P437" s="24">
        <v>1</v>
      </c>
      <c r="Q437" s="102">
        <v>0</v>
      </c>
      <c r="R437" s="30" t="s">
        <v>1905</v>
      </c>
      <c r="S437" s="24">
        <v>0</v>
      </c>
      <c r="T437" s="24"/>
      <c r="U437" s="94">
        <f>402.51*0.56</f>
        <v>225.40560000000002</v>
      </c>
      <c r="V437" s="94">
        <f>343.26*0.56</f>
        <v>192.22560000000001</v>
      </c>
      <c r="W437" s="106">
        <f>45.87*0.56</f>
        <v>25.687200000000001</v>
      </c>
      <c r="X437" s="107" t="s">
        <v>1906</v>
      </c>
      <c r="Y437" s="106">
        <f>45.87*0.56</f>
        <v>25.687200000000001</v>
      </c>
      <c r="Z437" s="107" t="s">
        <v>1906</v>
      </c>
      <c r="AA437" s="106">
        <f>45.87*0.56</f>
        <v>25.687200000000001</v>
      </c>
      <c r="AB437" s="107" t="s">
        <v>1906</v>
      </c>
      <c r="AC437" s="106">
        <f>45.87*0.56</f>
        <v>25.687200000000001</v>
      </c>
      <c r="AD437" s="107" t="s">
        <v>1906</v>
      </c>
      <c r="AE437" s="106">
        <f>13.32*0.56</f>
        <v>7.4592000000000009</v>
      </c>
      <c r="AF437" s="107" t="s">
        <v>1906</v>
      </c>
      <c r="AG437" s="106">
        <v>0</v>
      </c>
      <c r="AH437" s="107" t="s">
        <v>1906</v>
      </c>
      <c r="AI437" s="106">
        <v>0</v>
      </c>
      <c r="AJ437" s="107" t="s">
        <v>1906</v>
      </c>
      <c r="AK437" s="106">
        <v>0</v>
      </c>
      <c r="AL437" s="107" t="s">
        <v>1906</v>
      </c>
      <c r="AM437" s="106">
        <f>5.86*0.56</f>
        <v>3.2816000000000005</v>
      </c>
      <c r="AN437" s="107" t="s">
        <v>1906</v>
      </c>
      <c r="AO437" s="106">
        <f>43.87*0.56</f>
        <v>24.5672</v>
      </c>
      <c r="AP437" s="107" t="s">
        <v>1906</v>
      </c>
      <c r="AQ437" s="106">
        <f>43.87*0.56</f>
        <v>24.5672</v>
      </c>
      <c r="AR437" s="106" t="s">
        <v>1906</v>
      </c>
      <c r="AS437" s="106">
        <f>43.87*0.56</f>
        <v>24.5672</v>
      </c>
      <c r="AT437" s="107" t="s">
        <v>1906</v>
      </c>
      <c r="AU437" s="106">
        <f t="shared" si="19"/>
        <v>187.19120000000004</v>
      </c>
      <c r="AV437" s="25">
        <v>9.1300000000000006E-2</v>
      </c>
      <c r="AW437" s="30" t="str">
        <f t="shared" si="20"/>
        <v>95-70</v>
      </c>
      <c r="AX437" s="30" t="s">
        <v>1907</v>
      </c>
      <c r="AY437" s="30">
        <v>0</v>
      </c>
      <c r="AZ437" s="30">
        <v>0</v>
      </c>
    </row>
    <row r="438" spans="1:52" ht="31.2" x14ac:dyDescent="0.3">
      <c r="A438" s="103">
        <v>428</v>
      </c>
      <c r="B438" s="30" t="s">
        <v>1099</v>
      </c>
      <c r="C438" s="30" t="s">
        <v>1899</v>
      </c>
      <c r="D438" s="105" t="s">
        <v>1900</v>
      </c>
      <c r="E438" s="108" t="s">
        <v>1901</v>
      </c>
      <c r="F438" s="30" t="s">
        <v>1902</v>
      </c>
      <c r="G438" s="26" t="s">
        <v>145</v>
      </c>
      <c r="H438" s="24" t="s">
        <v>146</v>
      </c>
      <c r="I438" s="25">
        <v>1</v>
      </c>
      <c r="J438" s="24" t="s">
        <v>1903</v>
      </c>
      <c r="K438" s="24">
        <v>50</v>
      </c>
      <c r="L438" s="24">
        <v>5</v>
      </c>
      <c r="M438" s="24" t="str">
        <f t="shared" si="18"/>
        <v>95-70</v>
      </c>
      <c r="N438" s="24" t="s">
        <v>529</v>
      </c>
      <c r="O438" s="24" t="s">
        <v>529</v>
      </c>
      <c r="P438" s="24">
        <v>1</v>
      </c>
      <c r="Q438" s="102">
        <v>0</v>
      </c>
      <c r="R438" s="30" t="s">
        <v>1905</v>
      </c>
      <c r="S438" s="24">
        <v>0</v>
      </c>
      <c r="T438" s="24"/>
      <c r="U438" s="94">
        <v>790.94999999999993</v>
      </c>
      <c r="V438" s="94">
        <v>1003.9499999999999</v>
      </c>
      <c r="W438" s="106">
        <v>202.93</v>
      </c>
      <c r="X438" s="107" t="s">
        <v>208</v>
      </c>
      <c r="Y438" s="106">
        <v>128.68</v>
      </c>
      <c r="Z438" s="107" t="s">
        <v>208</v>
      </c>
      <c r="AA438" s="106">
        <v>186.18</v>
      </c>
      <c r="AB438" s="107" t="s">
        <v>208</v>
      </c>
      <c r="AC438" s="106">
        <v>133.62</v>
      </c>
      <c r="AD438" s="107" t="s">
        <v>208</v>
      </c>
      <c r="AE438" s="106">
        <v>31.94</v>
      </c>
      <c r="AF438" s="107" t="s">
        <v>208</v>
      </c>
      <c r="AG438" s="106">
        <v>0</v>
      </c>
      <c r="AH438" s="107" t="s">
        <v>208</v>
      </c>
      <c r="AI438" s="106">
        <v>0</v>
      </c>
      <c r="AJ438" s="107" t="s">
        <v>208</v>
      </c>
      <c r="AK438" s="106">
        <v>0</v>
      </c>
      <c r="AL438" s="107" t="s">
        <v>208</v>
      </c>
      <c r="AM438" s="106">
        <v>0</v>
      </c>
      <c r="AN438" s="107" t="s">
        <v>208</v>
      </c>
      <c r="AO438" s="106">
        <v>62.71</v>
      </c>
      <c r="AP438" s="107" t="s">
        <v>208</v>
      </c>
      <c r="AQ438" s="106">
        <v>73.52</v>
      </c>
      <c r="AR438" s="106" t="s">
        <v>208</v>
      </c>
      <c r="AS438" s="106">
        <v>111.53</v>
      </c>
      <c r="AT438" s="107" t="s">
        <v>208</v>
      </c>
      <c r="AU438" s="106">
        <f t="shared" si="19"/>
        <v>931.11</v>
      </c>
      <c r="AV438" s="25">
        <v>0.39650000000000002</v>
      </c>
      <c r="AW438" s="30" t="str">
        <f t="shared" si="20"/>
        <v>95-70</v>
      </c>
      <c r="AX438" s="30" t="s">
        <v>1907</v>
      </c>
      <c r="AY438" s="30">
        <v>0</v>
      </c>
      <c r="AZ438" s="30">
        <v>0</v>
      </c>
    </row>
    <row r="439" spans="1:52" ht="31.2" x14ac:dyDescent="0.3">
      <c r="A439" s="103">
        <v>429</v>
      </c>
      <c r="B439" s="30" t="s">
        <v>1100</v>
      </c>
      <c r="C439" s="30" t="s">
        <v>1899</v>
      </c>
      <c r="D439" s="105" t="s">
        <v>1900</v>
      </c>
      <c r="E439" s="108" t="s">
        <v>1901</v>
      </c>
      <c r="F439" s="30" t="s">
        <v>1902</v>
      </c>
      <c r="G439" s="26" t="s">
        <v>145</v>
      </c>
      <c r="H439" s="24" t="s">
        <v>146</v>
      </c>
      <c r="I439" s="25">
        <v>1</v>
      </c>
      <c r="J439" s="24" t="s">
        <v>1903</v>
      </c>
      <c r="K439" s="24">
        <v>50</v>
      </c>
      <c r="L439" s="24">
        <v>5</v>
      </c>
      <c r="M439" s="24" t="str">
        <f t="shared" si="18"/>
        <v>95-70</v>
      </c>
      <c r="N439" s="24" t="s">
        <v>529</v>
      </c>
      <c r="O439" s="24" t="s">
        <v>529</v>
      </c>
      <c r="P439" s="24">
        <v>1</v>
      </c>
      <c r="Q439" s="102">
        <v>0</v>
      </c>
      <c r="R439" s="30" t="s">
        <v>1905</v>
      </c>
      <c r="S439" s="24">
        <v>0</v>
      </c>
      <c r="T439" s="24"/>
      <c r="U439" s="94">
        <v>605.97</v>
      </c>
      <c r="V439" s="94">
        <v>801.43000000000006</v>
      </c>
      <c r="W439" s="106">
        <v>167.85</v>
      </c>
      <c r="X439" s="107" t="s">
        <v>208</v>
      </c>
      <c r="Y439" s="106">
        <v>96.57</v>
      </c>
      <c r="Z439" s="107" t="s">
        <v>208</v>
      </c>
      <c r="AA439" s="106">
        <v>153.31</v>
      </c>
      <c r="AB439" s="107" t="s">
        <v>208</v>
      </c>
      <c r="AC439" s="106">
        <v>113.74</v>
      </c>
      <c r="AD439" s="107" t="s">
        <v>208</v>
      </c>
      <c r="AE439" s="106">
        <v>31.57</v>
      </c>
      <c r="AF439" s="107" t="s">
        <v>208</v>
      </c>
      <c r="AG439" s="106">
        <v>0</v>
      </c>
      <c r="AH439" s="107" t="s">
        <v>208</v>
      </c>
      <c r="AI439" s="106">
        <v>0</v>
      </c>
      <c r="AJ439" s="107" t="s">
        <v>208</v>
      </c>
      <c r="AK439" s="106">
        <v>0</v>
      </c>
      <c r="AL439" s="107" t="s">
        <v>208</v>
      </c>
      <c r="AM439" s="106">
        <v>0</v>
      </c>
      <c r="AN439" s="107" t="s">
        <v>208</v>
      </c>
      <c r="AO439" s="106">
        <v>61.09</v>
      </c>
      <c r="AP439" s="107" t="s">
        <v>208</v>
      </c>
      <c r="AQ439" s="106">
        <v>65.41</v>
      </c>
      <c r="AR439" s="106" t="s">
        <v>208</v>
      </c>
      <c r="AS439" s="106">
        <v>94.54</v>
      </c>
      <c r="AT439" s="107" t="s">
        <v>208</v>
      </c>
      <c r="AU439" s="106">
        <f t="shared" si="19"/>
        <v>784.07999999999993</v>
      </c>
      <c r="AV439" s="25">
        <v>0.30109999999999998</v>
      </c>
      <c r="AW439" s="30" t="str">
        <f t="shared" si="20"/>
        <v>95-70</v>
      </c>
      <c r="AX439" s="30" t="s">
        <v>1907</v>
      </c>
      <c r="AY439" s="30">
        <v>0</v>
      </c>
      <c r="AZ439" s="30">
        <v>0</v>
      </c>
    </row>
    <row r="440" spans="1:52" ht="31.2" x14ac:dyDescent="0.3">
      <c r="A440" s="103">
        <v>430</v>
      </c>
      <c r="B440" s="30" t="s">
        <v>1102</v>
      </c>
      <c r="C440" s="30" t="s">
        <v>1899</v>
      </c>
      <c r="D440" s="105" t="s">
        <v>1900</v>
      </c>
      <c r="E440" s="108" t="s">
        <v>1901</v>
      </c>
      <c r="F440" s="30" t="s">
        <v>1902</v>
      </c>
      <c r="G440" s="26" t="s">
        <v>145</v>
      </c>
      <c r="H440" s="24" t="s">
        <v>146</v>
      </c>
      <c r="I440" s="25">
        <v>1</v>
      </c>
      <c r="J440" s="24" t="s">
        <v>1903</v>
      </c>
      <c r="K440" s="24">
        <v>65</v>
      </c>
      <c r="L440" s="24">
        <v>5</v>
      </c>
      <c r="M440" s="24" t="str">
        <f t="shared" si="18"/>
        <v>95-70</v>
      </c>
      <c r="N440" s="24" t="s">
        <v>529</v>
      </c>
      <c r="O440" s="24" t="s">
        <v>529</v>
      </c>
      <c r="P440" s="24">
        <v>1</v>
      </c>
      <c r="Q440" s="102">
        <v>0</v>
      </c>
      <c r="R440" s="30" t="s">
        <v>1905</v>
      </c>
      <c r="S440" s="24">
        <v>0</v>
      </c>
      <c r="T440" s="24"/>
      <c r="U440" s="94">
        <v>1315.81</v>
      </c>
      <c r="V440" s="94">
        <v>1518.8</v>
      </c>
      <c r="W440" s="106">
        <v>208.33</v>
      </c>
      <c r="X440" s="107" t="s">
        <v>1906</v>
      </c>
      <c r="Y440" s="106">
        <v>208.33</v>
      </c>
      <c r="Z440" s="107" t="s">
        <v>1906</v>
      </c>
      <c r="AA440" s="106">
        <v>208.33</v>
      </c>
      <c r="AB440" s="107" t="s">
        <v>1906</v>
      </c>
      <c r="AC440" s="106">
        <v>208.33</v>
      </c>
      <c r="AD440" s="107" t="s">
        <v>1906</v>
      </c>
      <c r="AE440" s="106">
        <v>60.49</v>
      </c>
      <c r="AF440" s="107" t="s">
        <v>1906</v>
      </c>
      <c r="AG440" s="106">
        <v>0</v>
      </c>
      <c r="AH440" s="107" t="s">
        <v>1906</v>
      </c>
      <c r="AI440" s="106">
        <v>0</v>
      </c>
      <c r="AJ440" s="107" t="s">
        <v>1906</v>
      </c>
      <c r="AK440" s="106">
        <v>0</v>
      </c>
      <c r="AL440" s="107" t="s">
        <v>1906</v>
      </c>
      <c r="AM440" s="106">
        <v>48.58</v>
      </c>
      <c r="AN440" s="107" t="s">
        <v>1906</v>
      </c>
      <c r="AO440" s="106">
        <v>208.18</v>
      </c>
      <c r="AP440" s="107" t="s">
        <v>1906</v>
      </c>
      <c r="AQ440" s="106">
        <v>208.18</v>
      </c>
      <c r="AR440" s="106" t="s">
        <v>1906</v>
      </c>
      <c r="AS440" s="106">
        <v>208.18</v>
      </c>
      <c r="AT440" s="107" t="s">
        <v>1906</v>
      </c>
      <c r="AU440" s="106">
        <f t="shared" si="19"/>
        <v>1566.9300000000003</v>
      </c>
      <c r="AV440" s="25">
        <v>0.58509999999999995</v>
      </c>
      <c r="AW440" s="30" t="str">
        <f t="shared" si="20"/>
        <v>95-70</v>
      </c>
      <c r="AX440" s="30" t="s">
        <v>1907</v>
      </c>
      <c r="AY440" s="30">
        <v>0</v>
      </c>
      <c r="AZ440" s="30">
        <v>0</v>
      </c>
    </row>
    <row r="441" spans="1:52" ht="31.2" x14ac:dyDescent="0.3">
      <c r="A441" s="103">
        <v>431</v>
      </c>
      <c r="B441" s="30" t="s">
        <v>1103</v>
      </c>
      <c r="C441" s="30" t="s">
        <v>1899</v>
      </c>
      <c r="D441" s="105" t="s">
        <v>1900</v>
      </c>
      <c r="E441" s="108" t="s">
        <v>1901</v>
      </c>
      <c r="F441" s="30" t="s">
        <v>1902</v>
      </c>
      <c r="G441" s="26" t="s">
        <v>145</v>
      </c>
      <c r="H441" s="24" t="s">
        <v>146</v>
      </c>
      <c r="I441" s="25">
        <v>0</v>
      </c>
      <c r="J441" s="24" t="s">
        <v>1903</v>
      </c>
      <c r="K441" s="24">
        <v>32</v>
      </c>
      <c r="L441" s="24">
        <v>5</v>
      </c>
      <c r="M441" s="24" t="str">
        <f t="shared" si="18"/>
        <v>95-70</v>
      </c>
      <c r="N441" s="24" t="s">
        <v>529</v>
      </c>
      <c r="O441" s="24" t="s">
        <v>529</v>
      </c>
      <c r="P441" s="24">
        <v>0</v>
      </c>
      <c r="Q441" s="102">
        <v>0</v>
      </c>
      <c r="R441" s="30" t="s">
        <v>1905</v>
      </c>
      <c r="S441" s="24">
        <v>0</v>
      </c>
      <c r="T441" s="24"/>
      <c r="U441" s="94">
        <v>356.66</v>
      </c>
      <c r="V441" s="94">
        <v>287.74999999999994</v>
      </c>
      <c r="W441" s="106">
        <v>39.47</v>
      </c>
      <c r="X441" s="107" t="s">
        <v>1906</v>
      </c>
      <c r="Y441" s="106">
        <v>39.47</v>
      </c>
      <c r="Z441" s="107" t="s">
        <v>1906</v>
      </c>
      <c r="AA441" s="106">
        <v>39.47</v>
      </c>
      <c r="AB441" s="107" t="s">
        <v>1906</v>
      </c>
      <c r="AC441" s="106">
        <v>39.47</v>
      </c>
      <c r="AD441" s="107" t="s">
        <v>1906</v>
      </c>
      <c r="AE441" s="106">
        <v>11.46</v>
      </c>
      <c r="AF441" s="107" t="s">
        <v>1906</v>
      </c>
      <c r="AG441" s="106">
        <v>0</v>
      </c>
      <c r="AH441" s="107" t="s">
        <v>1906</v>
      </c>
      <c r="AI441" s="106">
        <v>0</v>
      </c>
      <c r="AJ441" s="107" t="s">
        <v>1906</v>
      </c>
      <c r="AK441" s="106">
        <v>0</v>
      </c>
      <c r="AL441" s="107" t="s">
        <v>1906</v>
      </c>
      <c r="AM441" s="106">
        <v>9.35</v>
      </c>
      <c r="AN441" s="107" t="s">
        <v>1906</v>
      </c>
      <c r="AO441" s="106">
        <v>40.090000000000003</v>
      </c>
      <c r="AP441" s="107" t="s">
        <v>1906</v>
      </c>
      <c r="AQ441" s="106">
        <v>40.090000000000003</v>
      </c>
      <c r="AR441" s="106" t="s">
        <v>1906</v>
      </c>
      <c r="AS441" s="106">
        <v>40.090000000000003</v>
      </c>
      <c r="AT441" s="107" t="s">
        <v>1906</v>
      </c>
      <c r="AU441" s="106">
        <f t="shared" si="19"/>
        <v>298.96000000000004</v>
      </c>
      <c r="AV441" s="25">
        <v>0.14899999999999999</v>
      </c>
      <c r="AW441" s="30" t="str">
        <f t="shared" si="20"/>
        <v>95-70</v>
      </c>
      <c r="AX441" s="30" t="s">
        <v>1907</v>
      </c>
      <c r="AY441" s="30">
        <v>0</v>
      </c>
      <c r="AZ441" s="30">
        <v>0</v>
      </c>
    </row>
    <row r="442" spans="1:52" ht="31.2" x14ac:dyDescent="0.3">
      <c r="A442" s="103">
        <v>432</v>
      </c>
      <c r="B442" s="30" t="s">
        <v>1105</v>
      </c>
      <c r="C442" s="30" t="s">
        <v>1899</v>
      </c>
      <c r="D442" s="105" t="s">
        <v>1900</v>
      </c>
      <c r="E442" s="108" t="s">
        <v>1901</v>
      </c>
      <c r="F442" s="30" t="s">
        <v>1902</v>
      </c>
      <c r="G442" s="26" t="s">
        <v>145</v>
      </c>
      <c r="H442" s="24" t="s">
        <v>146</v>
      </c>
      <c r="I442" s="25">
        <v>0</v>
      </c>
      <c r="J442" s="24" t="s">
        <v>1903</v>
      </c>
      <c r="K442" s="24">
        <v>32</v>
      </c>
      <c r="L442" s="24">
        <v>5</v>
      </c>
      <c r="M442" s="24" t="str">
        <f t="shared" si="18"/>
        <v>95-70</v>
      </c>
      <c r="N442" s="24" t="s">
        <v>529</v>
      </c>
      <c r="O442" s="24" t="s">
        <v>529</v>
      </c>
      <c r="P442" s="24">
        <v>0</v>
      </c>
      <c r="Q442" s="102">
        <v>0</v>
      </c>
      <c r="R442" s="30" t="s">
        <v>1905</v>
      </c>
      <c r="S442" s="24">
        <v>0</v>
      </c>
      <c r="T442" s="24"/>
      <c r="U442" s="94">
        <v>357.30000000000007</v>
      </c>
      <c r="V442" s="94">
        <v>340.09999999999997</v>
      </c>
      <c r="W442" s="106">
        <v>46.65</v>
      </c>
      <c r="X442" s="107" t="s">
        <v>1906</v>
      </c>
      <c r="Y442" s="106">
        <v>46.65</v>
      </c>
      <c r="Z442" s="107" t="s">
        <v>1906</v>
      </c>
      <c r="AA442" s="106">
        <v>46.65</v>
      </c>
      <c r="AB442" s="107" t="s">
        <v>1906</v>
      </c>
      <c r="AC442" s="106">
        <v>46.65</v>
      </c>
      <c r="AD442" s="107" t="s">
        <v>1906</v>
      </c>
      <c r="AE442" s="106">
        <v>13.55</v>
      </c>
      <c r="AF442" s="107" t="s">
        <v>1906</v>
      </c>
      <c r="AG442" s="106">
        <v>0</v>
      </c>
      <c r="AH442" s="107" t="s">
        <v>1906</v>
      </c>
      <c r="AI442" s="106">
        <v>0</v>
      </c>
      <c r="AJ442" s="107" t="s">
        <v>1906</v>
      </c>
      <c r="AK442" s="106">
        <v>0</v>
      </c>
      <c r="AL442" s="107" t="s">
        <v>1906</v>
      </c>
      <c r="AM442" s="106">
        <v>9.7799999999999994</v>
      </c>
      <c r="AN442" s="107" t="s">
        <v>1906</v>
      </c>
      <c r="AO442" s="106">
        <v>41.9</v>
      </c>
      <c r="AP442" s="107" t="s">
        <v>1906</v>
      </c>
      <c r="AQ442" s="106">
        <v>41.9</v>
      </c>
      <c r="AR442" s="106" t="s">
        <v>1906</v>
      </c>
      <c r="AS442" s="106">
        <v>41.9</v>
      </c>
      <c r="AT442" s="107" t="s">
        <v>1906</v>
      </c>
      <c r="AU442" s="106">
        <f t="shared" si="19"/>
        <v>335.63</v>
      </c>
      <c r="AV442" s="25">
        <v>0.1583</v>
      </c>
      <c r="AW442" s="30" t="str">
        <f t="shared" si="20"/>
        <v>95-70</v>
      </c>
      <c r="AX442" s="30" t="s">
        <v>1907</v>
      </c>
      <c r="AY442" s="30">
        <v>0</v>
      </c>
      <c r="AZ442" s="30">
        <v>0</v>
      </c>
    </row>
    <row r="443" spans="1:52" ht="31.2" x14ac:dyDescent="0.3">
      <c r="A443" s="103">
        <v>433</v>
      </c>
      <c r="B443" s="30" t="s">
        <v>1107</v>
      </c>
      <c r="C443" s="30" t="s">
        <v>1899</v>
      </c>
      <c r="D443" s="105" t="s">
        <v>1900</v>
      </c>
      <c r="E443" s="108" t="s">
        <v>1901</v>
      </c>
      <c r="F443" s="30" t="s">
        <v>1902</v>
      </c>
      <c r="G443" s="26" t="s">
        <v>145</v>
      </c>
      <c r="H443" s="24" t="s">
        <v>146</v>
      </c>
      <c r="I443" s="25">
        <v>1</v>
      </c>
      <c r="J443" s="24" t="s">
        <v>1903</v>
      </c>
      <c r="K443" s="24">
        <v>32</v>
      </c>
      <c r="L443" s="24">
        <v>5</v>
      </c>
      <c r="M443" s="24" t="str">
        <f t="shared" si="18"/>
        <v>95-70</v>
      </c>
      <c r="N443" s="24" t="s">
        <v>529</v>
      </c>
      <c r="O443" s="24" t="s">
        <v>529</v>
      </c>
      <c r="P443" s="24">
        <v>1</v>
      </c>
      <c r="Q443" s="102">
        <v>0</v>
      </c>
      <c r="R443" s="30" t="s">
        <v>1905</v>
      </c>
      <c r="S443" s="24">
        <v>0</v>
      </c>
      <c r="T443" s="24"/>
      <c r="U443" s="94">
        <f>645.74*0.57</f>
        <v>368.0718</v>
      </c>
      <c r="V443" s="94">
        <f>579.06*0.57</f>
        <v>330.06419999999991</v>
      </c>
      <c r="W443" s="106">
        <f>79.15*0.57</f>
        <v>45.115499999999997</v>
      </c>
      <c r="X443" s="107" t="s">
        <v>1906</v>
      </c>
      <c r="Y443" s="106">
        <f>79.08*0.57</f>
        <v>45.075599999999994</v>
      </c>
      <c r="Z443" s="107" t="s">
        <v>1906</v>
      </c>
      <c r="AA443" s="106">
        <f>79.18*0.57</f>
        <v>45.132599999999996</v>
      </c>
      <c r="AB443" s="107" t="s">
        <v>1906</v>
      </c>
      <c r="AC443" s="106">
        <f>79.09*0.57</f>
        <v>45.081299999999999</v>
      </c>
      <c r="AD443" s="107" t="s">
        <v>1906</v>
      </c>
      <c r="AE443" s="106">
        <f>25.42*0.57</f>
        <v>14.4894</v>
      </c>
      <c r="AF443" s="107" t="s">
        <v>1906</v>
      </c>
      <c r="AG443" s="106">
        <v>0</v>
      </c>
      <c r="AH443" s="107" t="s">
        <v>1906</v>
      </c>
      <c r="AI443" s="106">
        <v>0</v>
      </c>
      <c r="AJ443" s="107" t="s">
        <v>1906</v>
      </c>
      <c r="AK443" s="106">
        <v>0</v>
      </c>
      <c r="AL443" s="107" t="s">
        <v>1906</v>
      </c>
      <c r="AM443" s="106">
        <f>17.9*0.57</f>
        <v>10.202999999999998</v>
      </c>
      <c r="AN443" s="107" t="s">
        <v>1906</v>
      </c>
      <c r="AO443" s="106">
        <f>76.7*0.57</f>
        <v>43.719000000000001</v>
      </c>
      <c r="AP443" s="107" t="s">
        <v>1906</v>
      </c>
      <c r="AQ443" s="106">
        <f>76.7*0.57</f>
        <v>43.719000000000001</v>
      </c>
      <c r="AR443" s="106" t="s">
        <v>1906</v>
      </c>
      <c r="AS443" s="106">
        <f>76.7*0.57</f>
        <v>43.719000000000001</v>
      </c>
      <c r="AT443" s="107" t="s">
        <v>1906</v>
      </c>
      <c r="AU443" s="106">
        <f t="shared" si="19"/>
        <v>336.25439999999998</v>
      </c>
      <c r="AV443" s="25">
        <v>0.15820000000000001</v>
      </c>
      <c r="AW443" s="30" t="str">
        <f t="shared" si="20"/>
        <v>95-70</v>
      </c>
      <c r="AX443" s="30" t="s">
        <v>1907</v>
      </c>
      <c r="AY443" s="30">
        <v>0</v>
      </c>
      <c r="AZ443" s="30">
        <v>0</v>
      </c>
    </row>
    <row r="444" spans="1:52" ht="31.2" x14ac:dyDescent="0.3">
      <c r="A444" s="103">
        <v>434</v>
      </c>
      <c r="B444" s="30" t="s">
        <v>1108</v>
      </c>
      <c r="C444" s="30" t="s">
        <v>1899</v>
      </c>
      <c r="D444" s="105" t="s">
        <v>1900</v>
      </c>
      <c r="E444" s="108" t="s">
        <v>1901</v>
      </c>
      <c r="F444" s="30" t="s">
        <v>1902</v>
      </c>
      <c r="G444" s="26" t="s">
        <v>145</v>
      </c>
      <c r="H444" s="24" t="s">
        <v>146</v>
      </c>
      <c r="I444" s="25">
        <v>1</v>
      </c>
      <c r="J444" s="24" t="s">
        <v>1903</v>
      </c>
      <c r="K444" s="24">
        <v>32</v>
      </c>
      <c r="L444" s="24">
        <v>5</v>
      </c>
      <c r="M444" s="24" t="str">
        <f t="shared" si="18"/>
        <v>95-70</v>
      </c>
      <c r="N444" s="24" t="s">
        <v>529</v>
      </c>
      <c r="O444" s="24" t="s">
        <v>529</v>
      </c>
      <c r="P444" s="24">
        <v>1</v>
      </c>
      <c r="Q444" s="102">
        <v>0</v>
      </c>
      <c r="R444" s="30" t="s">
        <v>1905</v>
      </c>
      <c r="S444" s="24">
        <v>0</v>
      </c>
      <c r="T444" s="24"/>
      <c r="U444" s="94">
        <f>645.74*0.43</f>
        <v>277.66820000000001</v>
      </c>
      <c r="V444" s="94">
        <f>579.06*0.43</f>
        <v>248.99579999999997</v>
      </c>
      <c r="W444" s="106">
        <f>79.15*0.43</f>
        <v>34.034500000000001</v>
      </c>
      <c r="X444" s="107" t="s">
        <v>1906</v>
      </c>
      <c r="Y444" s="106">
        <f>79.08*0.43</f>
        <v>34.004399999999997</v>
      </c>
      <c r="Z444" s="107" t="s">
        <v>1906</v>
      </c>
      <c r="AA444" s="106">
        <f>79.18*0.43</f>
        <v>34.047400000000003</v>
      </c>
      <c r="AB444" s="107" t="s">
        <v>1906</v>
      </c>
      <c r="AC444" s="106">
        <f>79.09*0.43</f>
        <v>34.008699999999997</v>
      </c>
      <c r="AD444" s="107" t="s">
        <v>1906</v>
      </c>
      <c r="AE444" s="106">
        <f>25.42*0.43</f>
        <v>10.9306</v>
      </c>
      <c r="AF444" s="107" t="s">
        <v>1906</v>
      </c>
      <c r="AG444" s="106">
        <v>0</v>
      </c>
      <c r="AH444" s="107" t="s">
        <v>1906</v>
      </c>
      <c r="AI444" s="106">
        <v>0</v>
      </c>
      <c r="AJ444" s="107" t="s">
        <v>1906</v>
      </c>
      <c r="AK444" s="106">
        <v>0</v>
      </c>
      <c r="AL444" s="107" t="s">
        <v>1906</v>
      </c>
      <c r="AM444" s="106">
        <f>17.9*0.43</f>
        <v>7.6969999999999992</v>
      </c>
      <c r="AN444" s="107" t="s">
        <v>1906</v>
      </c>
      <c r="AO444" s="106">
        <f>76.7*0.43</f>
        <v>32.981000000000002</v>
      </c>
      <c r="AP444" s="107" t="s">
        <v>1906</v>
      </c>
      <c r="AQ444" s="106">
        <f>76.7*0.43</f>
        <v>32.981000000000002</v>
      </c>
      <c r="AR444" s="106" t="s">
        <v>1906</v>
      </c>
      <c r="AS444" s="106">
        <f>76.7*0.43</f>
        <v>32.981000000000002</v>
      </c>
      <c r="AT444" s="107" t="s">
        <v>1906</v>
      </c>
      <c r="AU444" s="106">
        <f t="shared" si="19"/>
        <v>253.66559999999998</v>
      </c>
      <c r="AV444" s="25">
        <v>0.12640000000000001</v>
      </c>
      <c r="AW444" s="30" t="str">
        <f t="shared" si="20"/>
        <v>95-70</v>
      </c>
      <c r="AX444" s="30" t="s">
        <v>1907</v>
      </c>
      <c r="AY444" s="30">
        <v>0</v>
      </c>
      <c r="AZ444" s="30">
        <v>0</v>
      </c>
    </row>
    <row r="445" spans="1:52" ht="31.2" x14ac:dyDescent="0.3">
      <c r="A445" s="103">
        <v>435</v>
      </c>
      <c r="B445" s="30" t="s">
        <v>1109</v>
      </c>
      <c r="C445" s="30" t="s">
        <v>1899</v>
      </c>
      <c r="D445" s="105" t="s">
        <v>1900</v>
      </c>
      <c r="E445" s="108" t="s">
        <v>1901</v>
      </c>
      <c r="F445" s="30" t="s">
        <v>1902</v>
      </c>
      <c r="G445" s="26" t="s">
        <v>145</v>
      </c>
      <c r="H445" s="24" t="s">
        <v>146</v>
      </c>
      <c r="I445" s="25">
        <v>0</v>
      </c>
      <c r="J445" s="24" t="s">
        <v>1903</v>
      </c>
      <c r="K445" s="24">
        <v>32</v>
      </c>
      <c r="L445" s="24">
        <v>5</v>
      </c>
      <c r="M445" s="24" t="str">
        <f t="shared" si="18"/>
        <v>95-70</v>
      </c>
      <c r="N445" s="24" t="s">
        <v>529</v>
      </c>
      <c r="O445" s="24" t="s">
        <v>529</v>
      </c>
      <c r="P445" s="24">
        <v>0</v>
      </c>
      <c r="Q445" s="102">
        <v>0</v>
      </c>
      <c r="R445" s="30" t="s">
        <v>1905</v>
      </c>
      <c r="S445" s="24">
        <v>0</v>
      </c>
      <c r="T445" s="24"/>
      <c r="U445" s="94">
        <v>313.10999999999996</v>
      </c>
      <c r="V445" s="94">
        <v>284.92</v>
      </c>
      <c r="W445" s="106">
        <v>38.910000000000004</v>
      </c>
      <c r="X445" s="107" t="s">
        <v>1906</v>
      </c>
      <c r="Y445" s="106">
        <v>38.910000000000004</v>
      </c>
      <c r="Z445" s="107" t="s">
        <v>1906</v>
      </c>
      <c r="AA445" s="106">
        <v>38.910000000000004</v>
      </c>
      <c r="AB445" s="107" t="s">
        <v>1906</v>
      </c>
      <c r="AC445" s="106">
        <v>38.910000000000004</v>
      </c>
      <c r="AD445" s="107" t="s">
        <v>1906</v>
      </c>
      <c r="AE445" s="106">
        <v>12.55</v>
      </c>
      <c r="AF445" s="107" t="s">
        <v>1906</v>
      </c>
      <c r="AG445" s="106">
        <v>0</v>
      </c>
      <c r="AH445" s="107" t="s">
        <v>1906</v>
      </c>
      <c r="AI445" s="106">
        <v>0</v>
      </c>
      <c r="AJ445" s="107" t="s">
        <v>1906</v>
      </c>
      <c r="AK445" s="106">
        <v>0</v>
      </c>
      <c r="AL445" s="107" t="s">
        <v>1906</v>
      </c>
      <c r="AM445" s="106">
        <v>9.01</v>
      </c>
      <c r="AN445" s="107" t="s">
        <v>1906</v>
      </c>
      <c r="AO445" s="106">
        <v>38.630000000000003</v>
      </c>
      <c r="AP445" s="107" t="s">
        <v>1906</v>
      </c>
      <c r="AQ445" s="106">
        <v>38.630000000000003</v>
      </c>
      <c r="AR445" s="106" t="s">
        <v>1906</v>
      </c>
      <c r="AS445" s="106">
        <v>38.630000000000003</v>
      </c>
      <c r="AT445" s="107" t="s">
        <v>1906</v>
      </c>
      <c r="AU445" s="106">
        <f t="shared" si="19"/>
        <v>293.09000000000003</v>
      </c>
      <c r="AV445" s="25">
        <v>0.13800000000000001</v>
      </c>
      <c r="AW445" s="30" t="str">
        <f t="shared" si="20"/>
        <v>95-70</v>
      </c>
      <c r="AX445" s="30" t="s">
        <v>1907</v>
      </c>
      <c r="AY445" s="30">
        <v>0</v>
      </c>
      <c r="AZ445" s="30">
        <v>0</v>
      </c>
    </row>
    <row r="446" spans="1:52" ht="31.2" x14ac:dyDescent="0.3">
      <c r="A446" s="103">
        <v>436</v>
      </c>
      <c r="B446" s="30" t="s">
        <v>1110</v>
      </c>
      <c r="C446" s="30" t="s">
        <v>1899</v>
      </c>
      <c r="D446" s="105" t="s">
        <v>1900</v>
      </c>
      <c r="E446" s="108" t="s">
        <v>1901</v>
      </c>
      <c r="F446" s="30" t="s">
        <v>1902</v>
      </c>
      <c r="G446" s="26" t="s">
        <v>145</v>
      </c>
      <c r="H446" s="24" t="s">
        <v>146</v>
      </c>
      <c r="I446" s="25">
        <v>1</v>
      </c>
      <c r="J446" s="24" t="s">
        <v>1903</v>
      </c>
      <c r="K446" s="24">
        <v>50</v>
      </c>
      <c r="L446" s="24">
        <v>5</v>
      </c>
      <c r="M446" s="24" t="str">
        <f t="shared" si="18"/>
        <v>95-70</v>
      </c>
      <c r="N446" s="24" t="s">
        <v>529</v>
      </c>
      <c r="O446" s="24" t="s">
        <v>529</v>
      </c>
      <c r="P446" s="24">
        <v>1</v>
      </c>
      <c r="Q446" s="102">
        <v>0</v>
      </c>
      <c r="R446" s="30" t="s">
        <v>1905</v>
      </c>
      <c r="S446" s="24">
        <v>0</v>
      </c>
      <c r="T446" s="24"/>
      <c r="U446" s="94">
        <v>500.07</v>
      </c>
      <c r="V446" s="94">
        <v>497.66999999999996</v>
      </c>
      <c r="W446" s="106">
        <v>98.62</v>
      </c>
      <c r="X446" s="107" t="s">
        <v>208</v>
      </c>
      <c r="Y446" s="106">
        <v>60.98</v>
      </c>
      <c r="Z446" s="107" t="s">
        <v>208</v>
      </c>
      <c r="AA446" s="106">
        <v>88.15</v>
      </c>
      <c r="AB446" s="107" t="s">
        <v>208</v>
      </c>
      <c r="AC446" s="106">
        <v>58.9</v>
      </c>
      <c r="AD446" s="107" t="s">
        <v>208</v>
      </c>
      <c r="AE446" s="106">
        <v>20.69</v>
      </c>
      <c r="AF446" s="107" t="s">
        <v>208</v>
      </c>
      <c r="AG446" s="106">
        <v>0</v>
      </c>
      <c r="AH446" s="107" t="s">
        <v>208</v>
      </c>
      <c r="AI446" s="106">
        <v>0</v>
      </c>
      <c r="AJ446" s="107" t="s">
        <v>208</v>
      </c>
      <c r="AK446" s="106">
        <v>0</v>
      </c>
      <c r="AL446" s="107" t="s">
        <v>208</v>
      </c>
      <c r="AM446" s="106">
        <v>0</v>
      </c>
      <c r="AN446" s="107" t="s">
        <v>208</v>
      </c>
      <c r="AO446" s="106">
        <v>33.950000000000003</v>
      </c>
      <c r="AP446" s="107" t="s">
        <v>208</v>
      </c>
      <c r="AQ446" s="106">
        <v>39.229999999999997</v>
      </c>
      <c r="AR446" s="106" t="s">
        <v>208</v>
      </c>
      <c r="AS446" s="106">
        <v>60.19</v>
      </c>
      <c r="AT446" s="107" t="s">
        <v>208</v>
      </c>
      <c r="AU446" s="106">
        <f t="shared" si="19"/>
        <v>460.71</v>
      </c>
      <c r="AV446" s="25">
        <v>0.21579999999999999</v>
      </c>
      <c r="AW446" s="30" t="str">
        <f t="shared" si="20"/>
        <v>95-70</v>
      </c>
      <c r="AX446" s="30" t="s">
        <v>1907</v>
      </c>
      <c r="AY446" s="30">
        <v>0</v>
      </c>
      <c r="AZ446" s="30">
        <v>0</v>
      </c>
    </row>
    <row r="447" spans="1:52" ht="31.2" x14ac:dyDescent="0.3">
      <c r="A447" s="103">
        <v>437</v>
      </c>
      <c r="B447" s="30" t="s">
        <v>1111</v>
      </c>
      <c r="C447" s="30" t="s">
        <v>1899</v>
      </c>
      <c r="D447" s="105" t="s">
        <v>1900</v>
      </c>
      <c r="E447" s="108" t="s">
        <v>1901</v>
      </c>
      <c r="F447" s="30" t="s">
        <v>1902</v>
      </c>
      <c r="G447" s="26" t="s">
        <v>145</v>
      </c>
      <c r="H447" s="24" t="s">
        <v>146</v>
      </c>
      <c r="I447" s="25">
        <v>1</v>
      </c>
      <c r="J447" s="24" t="s">
        <v>1903</v>
      </c>
      <c r="K447" s="24">
        <v>32</v>
      </c>
      <c r="L447" s="24">
        <v>5</v>
      </c>
      <c r="M447" s="24" t="str">
        <f t="shared" si="18"/>
        <v>95-70</v>
      </c>
      <c r="N447" s="24" t="s">
        <v>529</v>
      </c>
      <c r="O447" s="24" t="s">
        <v>529</v>
      </c>
      <c r="P447" s="24">
        <v>1</v>
      </c>
      <c r="Q447" s="102">
        <v>0</v>
      </c>
      <c r="R447" s="30" t="s">
        <v>1905</v>
      </c>
      <c r="S447" s="24">
        <v>0</v>
      </c>
      <c r="T447" s="24"/>
      <c r="U447" s="94">
        <v>544.99999999999989</v>
      </c>
      <c r="V447" s="94">
        <v>598.26</v>
      </c>
      <c r="W447" s="106">
        <v>81.7</v>
      </c>
      <c r="X447" s="107" t="s">
        <v>208</v>
      </c>
      <c r="Y447" s="106">
        <v>81.7</v>
      </c>
      <c r="Z447" s="107" t="s">
        <v>208</v>
      </c>
      <c r="AA447" s="106">
        <v>81.7</v>
      </c>
      <c r="AB447" s="107" t="s">
        <v>208</v>
      </c>
      <c r="AC447" s="106">
        <v>81.7</v>
      </c>
      <c r="AD447" s="107" t="s">
        <v>208</v>
      </c>
      <c r="AE447" s="106">
        <v>26.36</v>
      </c>
      <c r="AF447" s="107" t="s">
        <v>208</v>
      </c>
      <c r="AG447" s="106">
        <v>0</v>
      </c>
      <c r="AH447" s="107" t="s">
        <v>208</v>
      </c>
      <c r="AI447" s="106">
        <v>0</v>
      </c>
      <c r="AJ447" s="107" t="s">
        <v>208</v>
      </c>
      <c r="AK447" s="106">
        <v>0</v>
      </c>
      <c r="AL447" s="107" t="s">
        <v>208</v>
      </c>
      <c r="AM447" s="106">
        <v>0</v>
      </c>
      <c r="AN447" s="107" t="s">
        <v>208</v>
      </c>
      <c r="AO447" s="106">
        <v>78.790000000000006</v>
      </c>
      <c r="AP447" s="107" t="s">
        <v>208</v>
      </c>
      <c r="AQ447" s="106">
        <v>33.04</v>
      </c>
      <c r="AR447" s="106" t="s">
        <v>208</v>
      </c>
      <c r="AS447" s="106">
        <v>78.790000000000006</v>
      </c>
      <c r="AT447" s="107" t="s">
        <v>208</v>
      </c>
      <c r="AU447" s="106">
        <f t="shared" si="19"/>
        <v>543.78000000000009</v>
      </c>
      <c r="AV447" s="25">
        <v>0.24</v>
      </c>
      <c r="AW447" s="30" t="str">
        <f t="shared" si="20"/>
        <v>95-70</v>
      </c>
      <c r="AX447" s="30" t="s">
        <v>1907</v>
      </c>
      <c r="AY447" s="30">
        <v>0</v>
      </c>
      <c r="AZ447" s="30">
        <v>0</v>
      </c>
    </row>
    <row r="448" spans="1:52" ht="31.2" x14ac:dyDescent="0.3">
      <c r="A448" s="103">
        <v>438</v>
      </c>
      <c r="B448" s="30" t="s">
        <v>1113</v>
      </c>
      <c r="C448" s="30" t="s">
        <v>1899</v>
      </c>
      <c r="D448" s="105" t="s">
        <v>1900</v>
      </c>
      <c r="E448" s="108" t="s">
        <v>1910</v>
      </c>
      <c r="F448" s="30" t="s">
        <v>1902</v>
      </c>
      <c r="G448" s="26" t="s">
        <v>145</v>
      </c>
      <c r="H448" s="24" t="s">
        <v>146</v>
      </c>
      <c r="I448" s="25">
        <v>1</v>
      </c>
      <c r="J448" s="24" t="s">
        <v>1903</v>
      </c>
      <c r="K448" s="24">
        <v>80</v>
      </c>
      <c r="L448" s="24">
        <v>5</v>
      </c>
      <c r="M448" s="24" t="str">
        <f t="shared" si="18"/>
        <v>95-70</v>
      </c>
      <c r="N448" s="24" t="s">
        <v>528</v>
      </c>
      <c r="O448" s="24" t="s">
        <v>529</v>
      </c>
      <c r="P448" s="24">
        <v>1</v>
      </c>
      <c r="Q448" s="102">
        <v>0</v>
      </c>
      <c r="R448" s="30" t="s">
        <v>1905</v>
      </c>
      <c r="S448" s="24">
        <v>0</v>
      </c>
      <c r="T448" s="24"/>
      <c r="U448" s="94">
        <v>3177.01</v>
      </c>
      <c r="V448" s="94">
        <v>2370.2100000000005</v>
      </c>
      <c r="W448" s="106">
        <v>340.66</v>
      </c>
      <c r="X448" s="107" t="s">
        <v>208</v>
      </c>
      <c r="Y448" s="106">
        <v>241.13</v>
      </c>
      <c r="Z448" s="107" t="s">
        <v>208</v>
      </c>
      <c r="AA448" s="106">
        <v>327.82</v>
      </c>
      <c r="AB448" s="107" t="s">
        <v>208</v>
      </c>
      <c r="AC448" s="106">
        <v>253.94</v>
      </c>
      <c r="AD448" s="107" t="s">
        <v>208</v>
      </c>
      <c r="AE448" s="106">
        <v>61.660000000000004</v>
      </c>
      <c r="AF448" s="107" t="s">
        <v>208</v>
      </c>
      <c r="AG448" s="106">
        <v>0</v>
      </c>
      <c r="AH448" s="107" t="s">
        <v>208</v>
      </c>
      <c r="AI448" s="106">
        <v>0</v>
      </c>
      <c r="AJ448" s="107" t="s">
        <v>208</v>
      </c>
      <c r="AK448" s="106">
        <v>0</v>
      </c>
      <c r="AL448" s="107" t="s">
        <v>208</v>
      </c>
      <c r="AM448" s="106">
        <v>0</v>
      </c>
      <c r="AN448" s="107" t="s">
        <v>208</v>
      </c>
      <c r="AO448" s="106">
        <v>116.86</v>
      </c>
      <c r="AP448" s="107" t="s">
        <v>208</v>
      </c>
      <c r="AQ448" s="106">
        <v>218.16</v>
      </c>
      <c r="AR448" s="106" t="s">
        <v>208</v>
      </c>
      <c r="AS448" s="106">
        <v>218.16</v>
      </c>
      <c r="AT448" s="107" t="s">
        <v>208</v>
      </c>
      <c r="AU448" s="106">
        <f t="shared" si="19"/>
        <v>1778.39</v>
      </c>
      <c r="AV448" s="25">
        <v>0.59389999999999998</v>
      </c>
      <c r="AW448" s="30" t="str">
        <f t="shared" si="20"/>
        <v>95-70</v>
      </c>
      <c r="AX448" s="30" t="s">
        <v>1907</v>
      </c>
      <c r="AY448" s="30">
        <v>0</v>
      </c>
      <c r="AZ448" s="30">
        <v>0</v>
      </c>
    </row>
    <row r="449" spans="1:52" ht="31.2" x14ac:dyDescent="0.3">
      <c r="A449" s="103">
        <v>439</v>
      </c>
      <c r="B449" s="30" t="s">
        <v>1115</v>
      </c>
      <c r="C449" s="30" t="s">
        <v>1899</v>
      </c>
      <c r="D449" s="105" t="s">
        <v>1900</v>
      </c>
      <c r="E449" s="108" t="s">
        <v>1901</v>
      </c>
      <c r="F449" s="30" t="s">
        <v>1902</v>
      </c>
      <c r="G449" s="26" t="s">
        <v>145</v>
      </c>
      <c r="H449" s="24" t="s">
        <v>146</v>
      </c>
      <c r="I449" s="25">
        <v>1</v>
      </c>
      <c r="J449" s="24" t="s">
        <v>1903</v>
      </c>
      <c r="K449" s="24">
        <v>50</v>
      </c>
      <c r="L449" s="24">
        <v>5</v>
      </c>
      <c r="M449" s="24" t="str">
        <f t="shared" si="18"/>
        <v>95-70</v>
      </c>
      <c r="N449" s="24" t="s">
        <v>529</v>
      </c>
      <c r="O449" s="24" t="s">
        <v>529</v>
      </c>
      <c r="P449" s="24">
        <v>1</v>
      </c>
      <c r="Q449" s="102">
        <v>0</v>
      </c>
      <c r="R449" s="30" t="s">
        <v>1905</v>
      </c>
      <c r="S449" s="24">
        <v>0</v>
      </c>
      <c r="T449" s="24"/>
      <c r="U449" s="94">
        <v>1182.1200000000001</v>
      </c>
      <c r="V449" s="94">
        <v>1485.6100000000001</v>
      </c>
      <c r="W449" s="106">
        <v>203.44</v>
      </c>
      <c r="X449" s="107" t="s">
        <v>1906</v>
      </c>
      <c r="Y449" s="106">
        <v>202.21</v>
      </c>
      <c r="Z449" s="107" t="s">
        <v>1906</v>
      </c>
      <c r="AA449" s="106">
        <v>202.21</v>
      </c>
      <c r="AB449" s="107" t="s">
        <v>1906</v>
      </c>
      <c r="AC449" s="106">
        <v>202.21</v>
      </c>
      <c r="AD449" s="107" t="s">
        <v>1906</v>
      </c>
      <c r="AE449" s="106">
        <v>65.22</v>
      </c>
      <c r="AF449" s="107" t="s">
        <v>1906</v>
      </c>
      <c r="AG449" s="106">
        <v>0</v>
      </c>
      <c r="AH449" s="107" t="s">
        <v>1906</v>
      </c>
      <c r="AI449" s="106">
        <v>0</v>
      </c>
      <c r="AJ449" s="107" t="s">
        <v>1906</v>
      </c>
      <c r="AK449" s="106">
        <v>0</v>
      </c>
      <c r="AL449" s="107" t="s">
        <v>1906</v>
      </c>
      <c r="AM449" s="106">
        <v>0</v>
      </c>
      <c r="AN449" s="107" t="s">
        <v>1906</v>
      </c>
      <c r="AO449" s="106">
        <v>197.97000000000003</v>
      </c>
      <c r="AP449" s="107" t="s">
        <v>1906</v>
      </c>
      <c r="AQ449" s="106">
        <v>197.97000000000003</v>
      </c>
      <c r="AR449" s="106" t="s">
        <v>1906</v>
      </c>
      <c r="AS449" s="106">
        <v>197.97000000000003</v>
      </c>
      <c r="AT449" s="107" t="s">
        <v>1906</v>
      </c>
      <c r="AU449" s="106">
        <f t="shared" si="19"/>
        <v>1469.2000000000003</v>
      </c>
      <c r="AV449" s="25">
        <v>0.56630000000000003</v>
      </c>
      <c r="AW449" s="30" t="str">
        <f t="shared" si="20"/>
        <v>95-70</v>
      </c>
      <c r="AX449" s="30" t="s">
        <v>1907</v>
      </c>
      <c r="AY449" s="30">
        <v>0</v>
      </c>
      <c r="AZ449" s="30">
        <v>0</v>
      </c>
    </row>
    <row r="450" spans="1:52" ht="31.2" x14ac:dyDescent="0.3">
      <c r="A450" s="103">
        <v>440</v>
      </c>
      <c r="B450" s="30" t="s">
        <v>1117</v>
      </c>
      <c r="C450" s="30" t="s">
        <v>1899</v>
      </c>
      <c r="D450" s="105" t="s">
        <v>1900</v>
      </c>
      <c r="E450" s="108" t="s">
        <v>1901</v>
      </c>
      <c r="F450" s="30" t="s">
        <v>1902</v>
      </c>
      <c r="G450" s="26" t="s">
        <v>145</v>
      </c>
      <c r="H450" s="24" t="s">
        <v>146</v>
      </c>
      <c r="I450" s="25">
        <v>2</v>
      </c>
      <c r="J450" s="24" t="s">
        <v>1903</v>
      </c>
      <c r="K450" s="24">
        <v>65</v>
      </c>
      <c r="L450" s="24">
        <v>5</v>
      </c>
      <c r="M450" s="24" t="str">
        <f t="shared" si="18"/>
        <v>95-70</v>
      </c>
      <c r="N450" s="24" t="s">
        <v>529</v>
      </c>
      <c r="O450" s="24" t="s">
        <v>529</v>
      </c>
      <c r="P450" s="24">
        <v>1</v>
      </c>
      <c r="Q450" s="102">
        <v>0</v>
      </c>
      <c r="R450" s="30" t="s">
        <v>1905</v>
      </c>
      <c r="S450" s="24">
        <v>0</v>
      </c>
      <c r="T450" s="24"/>
      <c r="U450" s="94">
        <v>1852.47</v>
      </c>
      <c r="V450" s="94">
        <v>2157.65</v>
      </c>
      <c r="W450" s="106">
        <v>295.95999999999998</v>
      </c>
      <c r="X450" s="107" t="s">
        <v>1906</v>
      </c>
      <c r="Y450" s="106">
        <v>295.95999999999998</v>
      </c>
      <c r="Z450" s="107" t="s">
        <v>1906</v>
      </c>
      <c r="AA450" s="106">
        <v>295.95999999999998</v>
      </c>
      <c r="AB450" s="107" t="s">
        <v>1906</v>
      </c>
      <c r="AC450" s="106">
        <v>295.95999999999998</v>
      </c>
      <c r="AD450" s="107" t="s">
        <v>1906</v>
      </c>
      <c r="AE450" s="106">
        <v>85.929999999999993</v>
      </c>
      <c r="AF450" s="107" t="s">
        <v>1906</v>
      </c>
      <c r="AG450" s="106">
        <v>0</v>
      </c>
      <c r="AH450" s="107" t="s">
        <v>1906</v>
      </c>
      <c r="AI450" s="106">
        <v>0</v>
      </c>
      <c r="AJ450" s="107" t="s">
        <v>1906</v>
      </c>
      <c r="AK450" s="106">
        <v>0</v>
      </c>
      <c r="AL450" s="107" t="s">
        <v>1906</v>
      </c>
      <c r="AM450" s="106">
        <v>58.57</v>
      </c>
      <c r="AN450" s="107" t="s">
        <v>1906</v>
      </c>
      <c r="AO450" s="106">
        <v>292.84000000000003</v>
      </c>
      <c r="AP450" s="107" t="s">
        <v>1906</v>
      </c>
      <c r="AQ450" s="106">
        <v>292.84000000000003</v>
      </c>
      <c r="AR450" s="106" t="s">
        <v>1906</v>
      </c>
      <c r="AS450" s="106">
        <v>292.84000000000003</v>
      </c>
      <c r="AT450" s="107" t="s">
        <v>1906</v>
      </c>
      <c r="AU450" s="106">
        <f t="shared" si="19"/>
        <v>2206.86</v>
      </c>
      <c r="AV450" s="25">
        <v>0.8448</v>
      </c>
      <c r="AW450" s="30" t="str">
        <f t="shared" si="20"/>
        <v>95-70</v>
      </c>
      <c r="AX450" s="30" t="s">
        <v>1907</v>
      </c>
      <c r="AY450" s="30">
        <v>0</v>
      </c>
      <c r="AZ450" s="30">
        <v>0</v>
      </c>
    </row>
    <row r="451" spans="1:52" ht="31.2" x14ac:dyDescent="0.3">
      <c r="A451" s="103">
        <v>441</v>
      </c>
      <c r="B451" s="30" t="s">
        <v>1118</v>
      </c>
      <c r="C451" s="30" t="s">
        <v>1899</v>
      </c>
      <c r="D451" s="105" t="s">
        <v>1900</v>
      </c>
      <c r="E451" s="108" t="s">
        <v>1901</v>
      </c>
      <c r="F451" s="30" t="s">
        <v>1902</v>
      </c>
      <c r="G451" s="26" t="s">
        <v>145</v>
      </c>
      <c r="H451" s="24" t="s">
        <v>146</v>
      </c>
      <c r="I451" s="25">
        <v>1</v>
      </c>
      <c r="J451" s="24" t="s">
        <v>1903</v>
      </c>
      <c r="K451" s="24">
        <v>50</v>
      </c>
      <c r="L451" s="24">
        <v>5</v>
      </c>
      <c r="M451" s="24" t="str">
        <f t="shared" si="18"/>
        <v>95-70</v>
      </c>
      <c r="N451" s="24" t="s">
        <v>529</v>
      </c>
      <c r="O451" s="24" t="s">
        <v>529</v>
      </c>
      <c r="P451" s="24">
        <v>1</v>
      </c>
      <c r="Q451" s="102">
        <v>0</v>
      </c>
      <c r="R451" s="30" t="s">
        <v>1905</v>
      </c>
      <c r="S451" s="24">
        <v>0</v>
      </c>
      <c r="T451" s="24"/>
      <c r="U451" s="94">
        <f>632.17*0.48</f>
        <v>303.44159999999999</v>
      </c>
      <c r="V451" s="94">
        <f>555.85*0.48</f>
        <v>266.80799999999999</v>
      </c>
      <c r="W451" s="106">
        <f>104.27*0.48</f>
        <v>50.049599999999998</v>
      </c>
      <c r="X451" s="107" t="s">
        <v>208</v>
      </c>
      <c r="Y451" s="106">
        <f>72.14*0.48</f>
        <v>34.627200000000002</v>
      </c>
      <c r="Z451" s="107" t="s">
        <v>208</v>
      </c>
      <c r="AA451" s="106">
        <f>88.23*0.48</f>
        <v>42.3504</v>
      </c>
      <c r="AB451" s="107" t="s">
        <v>208</v>
      </c>
      <c r="AC451" s="106">
        <f>71.57*0.48</f>
        <v>34.353599999999993</v>
      </c>
      <c r="AD451" s="107" t="s">
        <v>208</v>
      </c>
      <c r="AE451" s="106">
        <f>20.78*0.48</f>
        <v>9.974400000000001</v>
      </c>
      <c r="AF451" s="107" t="s">
        <v>208</v>
      </c>
      <c r="AG451" s="106">
        <v>0</v>
      </c>
      <c r="AH451" s="107" t="s">
        <v>208</v>
      </c>
      <c r="AI451" s="106">
        <v>0</v>
      </c>
      <c r="AJ451" s="107" t="s">
        <v>208</v>
      </c>
      <c r="AK451" s="106">
        <v>0</v>
      </c>
      <c r="AL451" s="107" t="s">
        <v>208</v>
      </c>
      <c r="AM451" s="106">
        <f>8.39*0.48</f>
        <v>4.0272000000000006</v>
      </c>
      <c r="AN451" s="107" t="s">
        <v>208</v>
      </c>
      <c r="AO451" s="106">
        <f>68.55*0.48</f>
        <v>32.903999999999996</v>
      </c>
      <c r="AP451" s="107" t="s">
        <v>208</v>
      </c>
      <c r="AQ451" s="106">
        <f>51.67*0.48</f>
        <v>24.801600000000001</v>
      </c>
      <c r="AR451" s="106" t="s">
        <v>208</v>
      </c>
      <c r="AS451" s="106">
        <f>67.6*0.48</f>
        <v>32.447999999999993</v>
      </c>
      <c r="AT451" s="107" t="s">
        <v>208</v>
      </c>
      <c r="AU451" s="106">
        <f t="shared" si="19"/>
        <v>265.536</v>
      </c>
      <c r="AV451" s="25">
        <v>0.1197</v>
      </c>
      <c r="AW451" s="30" t="str">
        <f t="shared" si="20"/>
        <v>95-70</v>
      </c>
      <c r="AX451" s="30" t="s">
        <v>1907</v>
      </c>
      <c r="AY451" s="30">
        <v>0</v>
      </c>
      <c r="AZ451" s="30">
        <v>0</v>
      </c>
    </row>
    <row r="452" spans="1:52" ht="31.2" x14ac:dyDescent="0.3">
      <c r="A452" s="103">
        <v>442</v>
      </c>
      <c r="B452" s="30" t="s">
        <v>1119</v>
      </c>
      <c r="C452" s="30" t="s">
        <v>1899</v>
      </c>
      <c r="D452" s="105" t="s">
        <v>1900</v>
      </c>
      <c r="E452" s="108" t="s">
        <v>1901</v>
      </c>
      <c r="F452" s="30" t="s">
        <v>1902</v>
      </c>
      <c r="G452" s="26" t="s">
        <v>145</v>
      </c>
      <c r="H452" s="24" t="s">
        <v>146</v>
      </c>
      <c r="I452" s="25">
        <v>1</v>
      </c>
      <c r="J452" s="24" t="s">
        <v>1903</v>
      </c>
      <c r="K452" s="24">
        <v>32</v>
      </c>
      <c r="L452" s="24">
        <v>5</v>
      </c>
      <c r="M452" s="24" t="str">
        <f t="shared" si="18"/>
        <v>95-70</v>
      </c>
      <c r="N452" s="24" t="s">
        <v>529</v>
      </c>
      <c r="O452" s="24" t="s">
        <v>529</v>
      </c>
      <c r="P452" s="24">
        <v>1</v>
      </c>
      <c r="Q452" s="102">
        <v>0</v>
      </c>
      <c r="R452" s="30" t="s">
        <v>1905</v>
      </c>
      <c r="S452" s="24">
        <v>0</v>
      </c>
      <c r="T452" s="24"/>
      <c r="U452" s="94">
        <f>632.17*0.52</f>
        <v>328.72839999999997</v>
      </c>
      <c r="V452" s="94">
        <f>555.85*0.52</f>
        <v>289.04200000000003</v>
      </c>
      <c r="W452" s="106">
        <f>104.27*0.52</f>
        <v>54.220399999999998</v>
      </c>
      <c r="X452" s="107" t="s">
        <v>1906</v>
      </c>
      <c r="Y452" s="106">
        <f>72.14*0.52</f>
        <v>37.512799999999999</v>
      </c>
      <c r="Z452" s="107" t="s">
        <v>1906</v>
      </c>
      <c r="AA452" s="106">
        <f>88.23*0.52</f>
        <v>45.879600000000003</v>
      </c>
      <c r="AB452" s="107" t="s">
        <v>1906</v>
      </c>
      <c r="AC452" s="106">
        <f>71.57*0.52</f>
        <v>37.2164</v>
      </c>
      <c r="AD452" s="107" t="s">
        <v>1906</v>
      </c>
      <c r="AE452" s="106">
        <f>20.78*0.52</f>
        <v>10.8056</v>
      </c>
      <c r="AF452" s="107" t="s">
        <v>1906</v>
      </c>
      <c r="AG452" s="106">
        <v>0</v>
      </c>
      <c r="AH452" s="107" t="s">
        <v>1906</v>
      </c>
      <c r="AI452" s="106">
        <v>0</v>
      </c>
      <c r="AJ452" s="107" t="s">
        <v>1906</v>
      </c>
      <c r="AK452" s="106">
        <v>0</v>
      </c>
      <c r="AL452" s="107" t="s">
        <v>1906</v>
      </c>
      <c r="AM452" s="106">
        <f>8.39*0.52</f>
        <v>4.3628</v>
      </c>
      <c r="AN452" s="107" t="s">
        <v>1906</v>
      </c>
      <c r="AO452" s="106">
        <f>68.55*0.52</f>
        <v>35.646000000000001</v>
      </c>
      <c r="AP452" s="107" t="s">
        <v>1906</v>
      </c>
      <c r="AQ452" s="106">
        <f>51.67*0.52</f>
        <v>26.868400000000001</v>
      </c>
      <c r="AR452" s="106" t="s">
        <v>1906</v>
      </c>
      <c r="AS452" s="106">
        <f>67.6*0.52</f>
        <v>35.152000000000001</v>
      </c>
      <c r="AT452" s="107" t="s">
        <v>1906</v>
      </c>
      <c r="AU452" s="106">
        <f t="shared" si="19"/>
        <v>287.66399999999999</v>
      </c>
      <c r="AV452" s="25">
        <v>0.14910000000000001</v>
      </c>
      <c r="AW452" s="30" t="str">
        <f t="shared" si="20"/>
        <v>95-70</v>
      </c>
      <c r="AX452" s="30" t="s">
        <v>1907</v>
      </c>
      <c r="AY452" s="30">
        <v>0</v>
      </c>
      <c r="AZ452" s="30">
        <v>0</v>
      </c>
    </row>
    <row r="453" spans="1:52" ht="31.2" x14ac:dyDescent="0.3">
      <c r="A453" s="103">
        <v>443</v>
      </c>
      <c r="B453" s="30" t="s">
        <v>1120</v>
      </c>
      <c r="C453" s="30" t="s">
        <v>1899</v>
      </c>
      <c r="D453" s="105" t="s">
        <v>1900</v>
      </c>
      <c r="E453" s="108" t="s">
        <v>1901</v>
      </c>
      <c r="F453" s="30" t="s">
        <v>1902</v>
      </c>
      <c r="G453" s="26" t="s">
        <v>145</v>
      </c>
      <c r="H453" s="24" t="s">
        <v>146</v>
      </c>
      <c r="I453" s="25">
        <v>1</v>
      </c>
      <c r="J453" s="24" t="s">
        <v>1903</v>
      </c>
      <c r="K453" s="24">
        <v>32</v>
      </c>
      <c r="L453" s="24">
        <v>5</v>
      </c>
      <c r="M453" s="24" t="str">
        <f t="shared" si="18"/>
        <v>95-70</v>
      </c>
      <c r="N453" s="24" t="s">
        <v>529</v>
      </c>
      <c r="O453" s="24" t="s">
        <v>529</v>
      </c>
      <c r="P453" s="24">
        <v>1</v>
      </c>
      <c r="Q453" s="102">
        <v>0</v>
      </c>
      <c r="R453" s="30" t="s">
        <v>1905</v>
      </c>
      <c r="S453" s="24">
        <v>0</v>
      </c>
      <c r="T453" s="24"/>
      <c r="U453" s="94">
        <v>445.12</v>
      </c>
      <c r="V453" s="94">
        <v>359.78000000000003</v>
      </c>
      <c r="W453" s="106">
        <v>49.35</v>
      </c>
      <c r="X453" s="107" t="s">
        <v>208</v>
      </c>
      <c r="Y453" s="106">
        <v>49.35</v>
      </c>
      <c r="Z453" s="107" t="s">
        <v>208</v>
      </c>
      <c r="AA453" s="106">
        <v>49.35</v>
      </c>
      <c r="AB453" s="107" t="s">
        <v>208</v>
      </c>
      <c r="AC453" s="106">
        <v>49.35</v>
      </c>
      <c r="AD453" s="107" t="s">
        <v>208</v>
      </c>
      <c r="AE453" s="106">
        <v>14.33</v>
      </c>
      <c r="AF453" s="107" t="s">
        <v>208</v>
      </c>
      <c r="AG453" s="106">
        <v>0</v>
      </c>
      <c r="AH453" s="107" t="s">
        <v>208</v>
      </c>
      <c r="AI453" s="106">
        <v>0</v>
      </c>
      <c r="AJ453" s="107" t="s">
        <v>208</v>
      </c>
      <c r="AK453" s="106">
        <v>0</v>
      </c>
      <c r="AL453" s="107" t="s">
        <v>208</v>
      </c>
      <c r="AM453" s="106">
        <v>0</v>
      </c>
      <c r="AN453" s="107" t="s">
        <v>208</v>
      </c>
      <c r="AO453" s="106">
        <v>45.46</v>
      </c>
      <c r="AP453" s="107" t="s">
        <v>208</v>
      </c>
      <c r="AQ453" s="106">
        <v>19.010000000000002</v>
      </c>
      <c r="AR453" s="106" t="s">
        <v>208</v>
      </c>
      <c r="AS453" s="106">
        <v>45.46</v>
      </c>
      <c r="AT453" s="107" t="s">
        <v>208</v>
      </c>
      <c r="AU453" s="106">
        <f t="shared" si="19"/>
        <v>321.65999999999997</v>
      </c>
      <c r="AV453" s="25">
        <v>0.2001</v>
      </c>
      <c r="AW453" s="30" t="str">
        <f t="shared" si="20"/>
        <v>95-70</v>
      </c>
      <c r="AX453" s="30" t="s">
        <v>1907</v>
      </c>
      <c r="AY453" s="30">
        <v>0</v>
      </c>
      <c r="AZ453" s="30">
        <v>0</v>
      </c>
    </row>
    <row r="454" spans="1:52" ht="31.2" x14ac:dyDescent="0.3">
      <c r="A454" s="103">
        <v>444</v>
      </c>
      <c r="B454" s="30" t="s">
        <v>1121</v>
      </c>
      <c r="C454" s="30" t="s">
        <v>1899</v>
      </c>
      <c r="D454" s="105" t="s">
        <v>1900</v>
      </c>
      <c r="E454" s="108" t="s">
        <v>1901</v>
      </c>
      <c r="F454" s="30" t="s">
        <v>1902</v>
      </c>
      <c r="G454" s="26" t="s">
        <v>145</v>
      </c>
      <c r="H454" s="24" t="s">
        <v>146</v>
      </c>
      <c r="I454" s="25">
        <v>2</v>
      </c>
      <c r="J454" s="24" t="s">
        <v>1903</v>
      </c>
      <c r="K454" s="24">
        <v>50.5</v>
      </c>
      <c r="L454" s="24">
        <v>5</v>
      </c>
      <c r="M454" s="24" t="str">
        <f t="shared" si="18"/>
        <v>95-70</v>
      </c>
      <c r="N454" s="24" t="s">
        <v>529</v>
      </c>
      <c r="O454" s="24" t="s">
        <v>529</v>
      </c>
      <c r="P454" s="24">
        <v>1</v>
      </c>
      <c r="Q454" s="102">
        <v>0</v>
      </c>
      <c r="R454" s="30" t="s">
        <v>1905</v>
      </c>
      <c r="S454" s="24">
        <v>0</v>
      </c>
      <c r="T454" s="24"/>
      <c r="U454" s="94">
        <v>595.44000000000005</v>
      </c>
      <c r="V454" s="94">
        <v>608.53</v>
      </c>
      <c r="W454" s="106">
        <v>128.61000000000001</v>
      </c>
      <c r="X454" s="107" t="s">
        <v>208</v>
      </c>
      <c r="Y454" s="106">
        <v>80.91</v>
      </c>
      <c r="Z454" s="107" t="s">
        <v>208</v>
      </c>
      <c r="AA454" s="106">
        <v>113.94</v>
      </c>
      <c r="AB454" s="107" t="s">
        <v>208</v>
      </c>
      <c r="AC454" s="106">
        <v>85.54</v>
      </c>
      <c r="AD454" s="107" t="s">
        <v>208</v>
      </c>
      <c r="AE454" s="106">
        <v>24.48</v>
      </c>
      <c r="AF454" s="107" t="s">
        <v>208</v>
      </c>
      <c r="AG454" s="106">
        <v>0</v>
      </c>
      <c r="AH454" s="107" t="s">
        <v>208</v>
      </c>
      <c r="AI454" s="106">
        <v>0</v>
      </c>
      <c r="AJ454" s="107" t="s">
        <v>208</v>
      </c>
      <c r="AK454" s="106">
        <v>0</v>
      </c>
      <c r="AL454" s="107" t="s">
        <v>208</v>
      </c>
      <c r="AM454" s="106">
        <v>0</v>
      </c>
      <c r="AN454" s="107" t="s">
        <v>208</v>
      </c>
      <c r="AO454" s="106">
        <v>39.47</v>
      </c>
      <c r="AP454" s="107" t="s">
        <v>208</v>
      </c>
      <c r="AQ454" s="106">
        <v>47.15</v>
      </c>
      <c r="AR454" s="106" t="s">
        <v>208</v>
      </c>
      <c r="AS454" s="106">
        <v>67.540000000000006</v>
      </c>
      <c r="AT454" s="107" t="s">
        <v>208</v>
      </c>
      <c r="AU454" s="106">
        <f t="shared" si="19"/>
        <v>587.64</v>
      </c>
      <c r="AV454" s="25">
        <v>0.4002</v>
      </c>
      <c r="AW454" s="30" t="str">
        <f t="shared" si="20"/>
        <v>95-70</v>
      </c>
      <c r="AX454" s="30" t="s">
        <v>1907</v>
      </c>
      <c r="AY454" s="30">
        <v>0</v>
      </c>
      <c r="AZ454" s="30">
        <v>0</v>
      </c>
    </row>
    <row r="455" spans="1:52" ht="31.2" x14ac:dyDescent="0.3">
      <c r="A455" s="103">
        <v>445</v>
      </c>
      <c r="B455" s="30" t="s">
        <v>1123</v>
      </c>
      <c r="C455" s="30" t="s">
        <v>1899</v>
      </c>
      <c r="D455" s="105" t="s">
        <v>1900</v>
      </c>
      <c r="E455" s="108" t="s">
        <v>1910</v>
      </c>
      <c r="F455" s="30" t="s">
        <v>1902</v>
      </c>
      <c r="G455" s="26" t="s">
        <v>145</v>
      </c>
      <c r="H455" s="24" t="s">
        <v>146</v>
      </c>
      <c r="I455" s="25">
        <v>1</v>
      </c>
      <c r="J455" s="24" t="s">
        <v>1903</v>
      </c>
      <c r="K455" s="24">
        <v>50.32</v>
      </c>
      <c r="L455" s="24">
        <v>5</v>
      </c>
      <c r="M455" s="24" t="str">
        <f t="shared" si="18"/>
        <v>95-70</v>
      </c>
      <c r="N455" s="24" t="s">
        <v>528</v>
      </c>
      <c r="O455" s="24" t="s">
        <v>529</v>
      </c>
      <c r="P455" s="24">
        <v>1</v>
      </c>
      <c r="Q455" s="102">
        <v>0</v>
      </c>
      <c r="R455" s="30" t="s">
        <v>1905</v>
      </c>
      <c r="S455" s="24">
        <v>0</v>
      </c>
      <c r="T455" s="24"/>
      <c r="U455" s="94">
        <f>4114.2*0.33</f>
        <v>1357.6859999999999</v>
      </c>
      <c r="V455" s="94">
        <f>3831.46*0.33</f>
        <v>1264.3818000000001</v>
      </c>
      <c r="W455" s="106">
        <f>435.6*0.33</f>
        <v>143.74800000000002</v>
      </c>
      <c r="X455" s="107" t="s">
        <v>208</v>
      </c>
      <c r="Y455" s="106">
        <f>352.09*0.33</f>
        <v>116.1897</v>
      </c>
      <c r="Z455" s="107" t="s">
        <v>208</v>
      </c>
      <c r="AA455" s="106">
        <f>391.98*0.33</f>
        <v>129.35340000000002</v>
      </c>
      <c r="AB455" s="107" t="s">
        <v>208</v>
      </c>
      <c r="AC455" s="106">
        <f>355.47*0.33</f>
        <v>117.30510000000001</v>
      </c>
      <c r="AD455" s="107" t="s">
        <v>208</v>
      </c>
      <c r="AE455" s="106">
        <f>101.91*0.33</f>
        <v>33.630299999999998</v>
      </c>
      <c r="AF455" s="107" t="s">
        <v>208</v>
      </c>
      <c r="AG455" s="106">
        <v>0</v>
      </c>
      <c r="AH455" s="107" t="s">
        <v>208</v>
      </c>
      <c r="AI455" s="106">
        <v>0</v>
      </c>
      <c r="AJ455" s="107" t="s">
        <v>208</v>
      </c>
      <c r="AK455" s="106">
        <v>0</v>
      </c>
      <c r="AL455" s="107" t="s">
        <v>208</v>
      </c>
      <c r="AM455" s="106">
        <v>0</v>
      </c>
      <c r="AN455" s="107" t="s">
        <v>208</v>
      </c>
      <c r="AO455" s="106">
        <f>269.13*0.33</f>
        <v>88.812899999999999</v>
      </c>
      <c r="AP455" s="107" t="s">
        <v>208</v>
      </c>
      <c r="AQ455" s="106">
        <f>326.15*0.33</f>
        <v>107.62949999999999</v>
      </c>
      <c r="AR455" s="106" t="s">
        <v>208</v>
      </c>
      <c r="AS455" s="106">
        <f>326.15*0.33</f>
        <v>107.62949999999999</v>
      </c>
      <c r="AT455" s="107" t="s">
        <v>208</v>
      </c>
      <c r="AU455" s="106">
        <f t="shared" si="19"/>
        <v>844.29840000000013</v>
      </c>
      <c r="AV455" s="25">
        <v>0.41849999999999998</v>
      </c>
      <c r="AW455" s="30" t="str">
        <f t="shared" si="20"/>
        <v>95-70</v>
      </c>
      <c r="AX455" s="30" t="s">
        <v>1907</v>
      </c>
      <c r="AY455" s="30">
        <v>0</v>
      </c>
      <c r="AZ455" s="30">
        <v>0</v>
      </c>
    </row>
    <row r="456" spans="1:52" ht="31.2" x14ac:dyDescent="0.3">
      <c r="A456" s="103">
        <v>446</v>
      </c>
      <c r="B456" s="30" t="s">
        <v>1124</v>
      </c>
      <c r="C456" s="30" t="s">
        <v>1899</v>
      </c>
      <c r="D456" s="105" t="s">
        <v>1900</v>
      </c>
      <c r="E456" s="108" t="s">
        <v>1910</v>
      </c>
      <c r="F456" s="30" t="s">
        <v>1902</v>
      </c>
      <c r="G456" s="26" t="s">
        <v>145</v>
      </c>
      <c r="H456" s="24" t="s">
        <v>146</v>
      </c>
      <c r="I456" s="25">
        <v>1</v>
      </c>
      <c r="J456" s="24" t="s">
        <v>1903</v>
      </c>
      <c r="K456" s="24">
        <v>50.32</v>
      </c>
      <c r="L456" s="24">
        <v>5</v>
      </c>
      <c r="M456" s="24" t="str">
        <f t="shared" si="18"/>
        <v>95-70</v>
      </c>
      <c r="N456" s="24" t="s">
        <v>528</v>
      </c>
      <c r="O456" s="24" t="s">
        <v>529</v>
      </c>
      <c r="P456" s="24">
        <v>1</v>
      </c>
      <c r="Q456" s="102">
        <v>0</v>
      </c>
      <c r="R456" s="30" t="s">
        <v>1905</v>
      </c>
      <c r="S456" s="24">
        <v>0</v>
      </c>
      <c r="T456" s="24"/>
      <c r="U456" s="94">
        <f>4114.2*0.33</f>
        <v>1357.6859999999999</v>
      </c>
      <c r="V456" s="94">
        <f>3831.46*0.33</f>
        <v>1264.3818000000001</v>
      </c>
      <c r="W456" s="106">
        <f>435.6*0.33</f>
        <v>143.74800000000002</v>
      </c>
      <c r="X456" s="107" t="s">
        <v>208</v>
      </c>
      <c r="Y456" s="106">
        <f>352.09*0.33</f>
        <v>116.1897</v>
      </c>
      <c r="Z456" s="107" t="s">
        <v>208</v>
      </c>
      <c r="AA456" s="106">
        <f>391.98*0.33</f>
        <v>129.35340000000002</v>
      </c>
      <c r="AB456" s="107" t="s">
        <v>208</v>
      </c>
      <c r="AC456" s="106">
        <f>355.47*0.33</f>
        <v>117.30510000000001</v>
      </c>
      <c r="AD456" s="107" t="s">
        <v>208</v>
      </c>
      <c r="AE456" s="106">
        <f>101.91*0.33</f>
        <v>33.630299999999998</v>
      </c>
      <c r="AF456" s="107" t="s">
        <v>208</v>
      </c>
      <c r="AG456" s="106">
        <v>0</v>
      </c>
      <c r="AH456" s="107" t="s">
        <v>208</v>
      </c>
      <c r="AI456" s="106">
        <v>0</v>
      </c>
      <c r="AJ456" s="107" t="s">
        <v>208</v>
      </c>
      <c r="AK456" s="106">
        <v>0</v>
      </c>
      <c r="AL456" s="107" t="s">
        <v>208</v>
      </c>
      <c r="AM456" s="106">
        <v>0</v>
      </c>
      <c r="AN456" s="107" t="s">
        <v>208</v>
      </c>
      <c r="AO456" s="106">
        <f>269.13*0.33</f>
        <v>88.812899999999999</v>
      </c>
      <c r="AP456" s="107" t="s">
        <v>208</v>
      </c>
      <c r="AQ456" s="106">
        <f>326.15*0.33</f>
        <v>107.62949999999999</v>
      </c>
      <c r="AR456" s="106" t="s">
        <v>208</v>
      </c>
      <c r="AS456" s="106">
        <f>326.15*0.33</f>
        <v>107.62949999999999</v>
      </c>
      <c r="AT456" s="107" t="s">
        <v>208</v>
      </c>
      <c r="AU456" s="106">
        <f t="shared" si="19"/>
        <v>844.29840000000013</v>
      </c>
      <c r="AV456" s="25">
        <v>0.42249999999999999</v>
      </c>
      <c r="AW456" s="30" t="str">
        <f t="shared" si="20"/>
        <v>95-70</v>
      </c>
      <c r="AX456" s="30" t="s">
        <v>1907</v>
      </c>
      <c r="AY456" s="30">
        <v>0</v>
      </c>
      <c r="AZ456" s="30">
        <v>0</v>
      </c>
    </row>
    <row r="457" spans="1:52" ht="31.2" x14ac:dyDescent="0.3">
      <c r="A457" s="103">
        <v>447</v>
      </c>
      <c r="B457" s="30" t="s">
        <v>1125</v>
      </c>
      <c r="C457" s="30" t="s">
        <v>1899</v>
      </c>
      <c r="D457" s="105" t="s">
        <v>1900</v>
      </c>
      <c r="E457" s="108" t="s">
        <v>1910</v>
      </c>
      <c r="F457" s="30" t="s">
        <v>1902</v>
      </c>
      <c r="G457" s="26" t="s">
        <v>145</v>
      </c>
      <c r="H457" s="24" t="s">
        <v>146</v>
      </c>
      <c r="I457" s="25">
        <v>1</v>
      </c>
      <c r="J457" s="24" t="s">
        <v>1903</v>
      </c>
      <c r="K457" s="24">
        <v>32.32</v>
      </c>
      <c r="L457" s="24">
        <v>5</v>
      </c>
      <c r="M457" s="24" t="str">
        <f t="shared" si="18"/>
        <v>95-70</v>
      </c>
      <c r="N457" s="24" t="s">
        <v>528</v>
      </c>
      <c r="O457" s="24" t="s">
        <v>529</v>
      </c>
      <c r="P457" s="24">
        <v>1</v>
      </c>
      <c r="Q457" s="102">
        <v>0</v>
      </c>
      <c r="R457" s="30" t="s">
        <v>1905</v>
      </c>
      <c r="S457" s="24">
        <v>0</v>
      </c>
      <c r="T457" s="24"/>
      <c r="U457" s="94">
        <f>4114.2*0.34</f>
        <v>1398.828</v>
      </c>
      <c r="V457" s="94">
        <f>3831.46*0.34</f>
        <v>1302.6964</v>
      </c>
      <c r="W457" s="106">
        <f>435.6*0.34</f>
        <v>148.10400000000001</v>
      </c>
      <c r="X457" s="107" t="s">
        <v>1906</v>
      </c>
      <c r="Y457" s="106">
        <f>352.09*0.34</f>
        <v>119.7106</v>
      </c>
      <c r="Z457" s="107" t="s">
        <v>1906</v>
      </c>
      <c r="AA457" s="106">
        <f>391.98*0.34</f>
        <v>133.2732</v>
      </c>
      <c r="AB457" s="107" t="s">
        <v>1906</v>
      </c>
      <c r="AC457" s="106">
        <f>355.47*0.34</f>
        <v>120.85980000000002</v>
      </c>
      <c r="AD457" s="107" t="s">
        <v>1906</v>
      </c>
      <c r="AE457" s="106">
        <f>101.91*0.34</f>
        <v>34.6494</v>
      </c>
      <c r="AF457" s="107" t="s">
        <v>1906</v>
      </c>
      <c r="AG457" s="106">
        <v>0</v>
      </c>
      <c r="AH457" s="107" t="s">
        <v>1906</v>
      </c>
      <c r="AI457" s="106">
        <v>0</v>
      </c>
      <c r="AJ457" s="107" t="s">
        <v>1906</v>
      </c>
      <c r="AK457" s="106">
        <v>0</v>
      </c>
      <c r="AL457" s="107" t="s">
        <v>1906</v>
      </c>
      <c r="AM457" s="106">
        <v>0</v>
      </c>
      <c r="AN457" s="107" t="s">
        <v>1906</v>
      </c>
      <c r="AO457" s="106">
        <f>269.13*0.34</f>
        <v>91.504200000000012</v>
      </c>
      <c r="AP457" s="107" t="s">
        <v>1906</v>
      </c>
      <c r="AQ457" s="106">
        <f>326.15*0.34</f>
        <v>110.89100000000001</v>
      </c>
      <c r="AR457" s="106" t="s">
        <v>1906</v>
      </c>
      <c r="AS457" s="106">
        <f>326.15*0.34</f>
        <v>110.89100000000001</v>
      </c>
      <c r="AT457" s="107" t="s">
        <v>1906</v>
      </c>
      <c r="AU457" s="106">
        <f t="shared" si="19"/>
        <v>869.88319999999999</v>
      </c>
      <c r="AV457" s="25">
        <v>0.27600000000000002</v>
      </c>
      <c r="AW457" s="30" t="str">
        <f t="shared" si="20"/>
        <v>95-70</v>
      </c>
      <c r="AX457" s="30" t="s">
        <v>1907</v>
      </c>
      <c r="AY457" s="30">
        <v>0</v>
      </c>
      <c r="AZ457" s="30">
        <v>0</v>
      </c>
    </row>
    <row r="458" spans="1:52" ht="31.2" x14ac:dyDescent="0.3">
      <c r="A458" s="103">
        <v>448</v>
      </c>
      <c r="B458" s="30" t="s">
        <v>1126</v>
      </c>
      <c r="C458" s="30" t="s">
        <v>1899</v>
      </c>
      <c r="D458" s="105" t="s">
        <v>1900</v>
      </c>
      <c r="E458" s="108" t="s">
        <v>1901</v>
      </c>
      <c r="F458" s="30" t="s">
        <v>1902</v>
      </c>
      <c r="G458" s="26" t="s">
        <v>145</v>
      </c>
      <c r="H458" s="24" t="s">
        <v>146</v>
      </c>
      <c r="I458" s="25">
        <v>1</v>
      </c>
      <c r="J458" s="24" t="s">
        <v>1903</v>
      </c>
      <c r="K458" s="24">
        <v>32</v>
      </c>
      <c r="L458" s="24">
        <v>5</v>
      </c>
      <c r="M458" s="24" t="str">
        <f t="shared" si="18"/>
        <v>95-70</v>
      </c>
      <c r="N458" s="24" t="s">
        <v>529</v>
      </c>
      <c r="O458" s="24" t="s">
        <v>529</v>
      </c>
      <c r="P458" s="24">
        <v>1</v>
      </c>
      <c r="Q458" s="102">
        <v>0</v>
      </c>
      <c r="R458" s="30" t="s">
        <v>1905</v>
      </c>
      <c r="S458" s="24">
        <v>0</v>
      </c>
      <c r="T458" s="24"/>
      <c r="U458" s="94">
        <v>0</v>
      </c>
      <c r="V458" s="94">
        <v>261.51</v>
      </c>
      <c r="W458" s="106">
        <v>35.869999999999997</v>
      </c>
      <c r="X458" s="107" t="s">
        <v>1906</v>
      </c>
      <c r="Y458" s="106">
        <v>35.869999999999997</v>
      </c>
      <c r="Z458" s="107" t="s">
        <v>1906</v>
      </c>
      <c r="AA458" s="106">
        <v>35.869999999999997</v>
      </c>
      <c r="AB458" s="107" t="s">
        <v>1906</v>
      </c>
      <c r="AC458" s="106">
        <v>35.869999999999997</v>
      </c>
      <c r="AD458" s="107" t="s">
        <v>1906</v>
      </c>
      <c r="AE458" s="106">
        <v>10.42</v>
      </c>
      <c r="AF458" s="107" t="s">
        <v>1906</v>
      </c>
      <c r="AG458" s="106">
        <v>0</v>
      </c>
      <c r="AH458" s="107" t="s">
        <v>1906</v>
      </c>
      <c r="AI458" s="106">
        <v>0</v>
      </c>
      <c r="AJ458" s="107" t="s">
        <v>1906</v>
      </c>
      <c r="AK458" s="106">
        <v>0</v>
      </c>
      <c r="AL458" s="107" t="s">
        <v>1906</v>
      </c>
      <c r="AM458" s="106">
        <v>0</v>
      </c>
      <c r="AN458" s="107" t="s">
        <v>1906</v>
      </c>
      <c r="AO458" s="106">
        <v>34.26</v>
      </c>
      <c r="AP458" s="107" t="s">
        <v>1906</v>
      </c>
      <c r="AQ458" s="106">
        <v>34.26</v>
      </c>
      <c r="AR458" s="106" t="s">
        <v>1906</v>
      </c>
      <c r="AS458" s="106">
        <v>34.26</v>
      </c>
      <c r="AT458" s="107" t="s">
        <v>1906</v>
      </c>
      <c r="AU458" s="106">
        <f t="shared" si="19"/>
        <v>256.67999999999995</v>
      </c>
      <c r="AV458" s="25">
        <v>0.1726</v>
      </c>
      <c r="AW458" s="30" t="str">
        <f t="shared" si="20"/>
        <v>95-70</v>
      </c>
      <c r="AX458" s="30" t="s">
        <v>1907</v>
      </c>
      <c r="AY458" s="30">
        <v>0</v>
      </c>
      <c r="AZ458" s="30">
        <v>0</v>
      </c>
    </row>
    <row r="459" spans="1:52" ht="31.2" x14ac:dyDescent="0.3">
      <c r="A459" s="103">
        <v>449</v>
      </c>
      <c r="B459" s="109" t="s">
        <v>524</v>
      </c>
      <c r="C459" s="30" t="s">
        <v>1899</v>
      </c>
      <c r="D459" s="110" t="s">
        <v>1900</v>
      </c>
      <c r="E459" s="110" t="s">
        <v>1917</v>
      </c>
      <c r="F459" s="30" t="s">
        <v>2703</v>
      </c>
      <c r="G459" s="26" t="s">
        <v>145</v>
      </c>
      <c r="H459" s="24" t="s">
        <v>146</v>
      </c>
      <c r="I459" s="109">
        <v>1</v>
      </c>
      <c r="J459" s="109" t="s">
        <v>1918</v>
      </c>
      <c r="K459" s="109">
        <v>89</v>
      </c>
      <c r="L459" s="109" t="s">
        <v>1919</v>
      </c>
      <c r="M459" s="109" t="s">
        <v>1904</v>
      </c>
      <c r="N459" s="109" t="s">
        <v>529</v>
      </c>
      <c r="O459" s="109" t="s">
        <v>1920</v>
      </c>
      <c r="P459" s="109" t="s">
        <v>1921</v>
      </c>
      <c r="Q459" s="102">
        <v>0</v>
      </c>
      <c r="R459" s="109" t="s">
        <v>1907</v>
      </c>
      <c r="S459" s="109" t="s">
        <v>1922</v>
      </c>
      <c r="T459" s="24"/>
      <c r="U459" s="111" t="s">
        <v>1923</v>
      </c>
      <c r="V459" s="111" t="s">
        <v>1923</v>
      </c>
      <c r="W459" s="112" t="s">
        <v>1924</v>
      </c>
      <c r="X459" s="112" t="s">
        <v>1906</v>
      </c>
      <c r="Y459" s="112" t="s">
        <v>1924</v>
      </c>
      <c r="Z459" s="112" t="s">
        <v>1906</v>
      </c>
      <c r="AA459" s="112" t="s">
        <v>1924</v>
      </c>
      <c r="AB459" s="112" t="s">
        <v>1906</v>
      </c>
      <c r="AC459" s="112">
        <v>97.73</v>
      </c>
      <c r="AD459" s="112" t="s">
        <v>1906</v>
      </c>
      <c r="AE459" s="112">
        <v>28.38</v>
      </c>
      <c r="AF459" s="112" t="s">
        <v>1906</v>
      </c>
      <c r="AG459" s="112">
        <v>0</v>
      </c>
      <c r="AH459" s="112"/>
      <c r="AI459" s="112">
        <v>0</v>
      </c>
      <c r="AJ459" s="112"/>
      <c r="AK459" s="112">
        <v>0</v>
      </c>
      <c r="AL459" s="112"/>
      <c r="AM459" s="112">
        <v>0</v>
      </c>
      <c r="AN459" s="112"/>
      <c r="AO459" s="112">
        <v>55</v>
      </c>
      <c r="AP459" s="112" t="s">
        <v>208</v>
      </c>
      <c r="AQ459" s="112">
        <v>69.900000000000006</v>
      </c>
      <c r="AR459" s="112" t="s">
        <v>208</v>
      </c>
      <c r="AS459" s="112">
        <v>100.27</v>
      </c>
      <c r="AT459" s="112" t="s">
        <v>208</v>
      </c>
      <c r="AU459" s="112">
        <f>W459+Y459+AA459+AC459+AE459+AG459+AI459+AK459+AM459+AO459+AQ459+AS459</f>
        <v>644.47</v>
      </c>
      <c r="AV459" s="111">
        <v>0.32518999999999998</v>
      </c>
      <c r="AW459" s="111" t="s">
        <v>1904</v>
      </c>
      <c r="AX459" s="30"/>
      <c r="AY459" s="30"/>
      <c r="AZ459" s="30"/>
    </row>
    <row r="460" spans="1:52" ht="31.2" x14ac:dyDescent="0.3">
      <c r="A460" s="103">
        <v>450</v>
      </c>
      <c r="B460" s="109" t="s">
        <v>532</v>
      </c>
      <c r="C460" s="30" t="s">
        <v>1899</v>
      </c>
      <c r="D460" s="110" t="s">
        <v>1900</v>
      </c>
      <c r="E460" s="110" t="s">
        <v>1917</v>
      </c>
      <c r="F460" s="30" t="s">
        <v>2703</v>
      </c>
      <c r="G460" s="26" t="s">
        <v>145</v>
      </c>
      <c r="H460" s="24" t="s">
        <v>146</v>
      </c>
      <c r="I460" s="109">
        <v>1</v>
      </c>
      <c r="J460" s="109" t="s">
        <v>1918</v>
      </c>
      <c r="K460" s="109">
        <v>89</v>
      </c>
      <c r="L460" s="109" t="s">
        <v>1919</v>
      </c>
      <c r="M460" s="109" t="s">
        <v>1904</v>
      </c>
      <c r="N460" s="109" t="s">
        <v>529</v>
      </c>
      <c r="O460" s="109" t="s">
        <v>1920</v>
      </c>
      <c r="P460" s="109" t="s">
        <v>1921</v>
      </c>
      <c r="Q460" s="102">
        <v>0</v>
      </c>
      <c r="R460" s="109" t="s">
        <v>1907</v>
      </c>
      <c r="S460" s="109" t="s">
        <v>1922</v>
      </c>
      <c r="T460" s="24"/>
      <c r="U460" s="111" t="s">
        <v>1923</v>
      </c>
      <c r="V460" s="111" t="s">
        <v>1923</v>
      </c>
      <c r="W460" s="112" t="s">
        <v>1925</v>
      </c>
      <c r="X460" s="112" t="s">
        <v>208</v>
      </c>
      <c r="Y460" s="112" t="s">
        <v>1925</v>
      </c>
      <c r="Z460" s="112" t="s">
        <v>208</v>
      </c>
      <c r="AA460" s="112" t="s">
        <v>1925</v>
      </c>
      <c r="AB460" s="112" t="s">
        <v>208</v>
      </c>
      <c r="AC460" s="112">
        <v>205.05</v>
      </c>
      <c r="AD460" s="112" t="s">
        <v>208</v>
      </c>
      <c r="AE460" s="112">
        <v>59.53</v>
      </c>
      <c r="AF460" s="112" t="s">
        <v>208</v>
      </c>
      <c r="AG460" s="112">
        <v>0</v>
      </c>
      <c r="AH460" s="112"/>
      <c r="AI460" s="112">
        <v>0</v>
      </c>
      <c r="AJ460" s="112"/>
      <c r="AK460" s="112">
        <v>0</v>
      </c>
      <c r="AL460" s="112"/>
      <c r="AM460" s="112">
        <v>0</v>
      </c>
      <c r="AN460" s="112"/>
      <c r="AO460" s="112">
        <v>194.63</v>
      </c>
      <c r="AP460" s="112" t="s">
        <v>1906</v>
      </c>
      <c r="AQ460" s="112">
        <v>194.63</v>
      </c>
      <c r="AR460" s="112" t="s">
        <v>1906</v>
      </c>
      <c r="AS460" s="112">
        <v>194.63</v>
      </c>
      <c r="AT460" s="112" t="s">
        <v>1906</v>
      </c>
      <c r="AU460" s="112">
        <f t="shared" ref="AU460:AU523" si="21">W460+Y460+AA460+AC460+AE460+AG460+AI460+AK460+AM460+AO460+AQ460+AS460</f>
        <v>1463.6200000000003</v>
      </c>
      <c r="AV460" s="111">
        <v>0.67647000000000002</v>
      </c>
      <c r="AW460" s="111" t="s">
        <v>1904</v>
      </c>
      <c r="AX460" s="30"/>
      <c r="AY460" s="30"/>
      <c r="AZ460" s="30"/>
    </row>
    <row r="461" spans="1:52" ht="31.2" x14ac:dyDescent="0.3">
      <c r="A461" s="103">
        <v>451</v>
      </c>
      <c r="B461" s="109" t="s">
        <v>534</v>
      </c>
      <c r="C461" s="30" t="s">
        <v>1899</v>
      </c>
      <c r="D461" s="110" t="s">
        <v>1900</v>
      </c>
      <c r="E461" s="110" t="s">
        <v>1917</v>
      </c>
      <c r="F461" s="30" t="s">
        <v>2703</v>
      </c>
      <c r="G461" s="26" t="s">
        <v>145</v>
      </c>
      <c r="H461" s="24" t="s">
        <v>146</v>
      </c>
      <c r="I461" s="109">
        <v>1</v>
      </c>
      <c r="J461" s="109" t="s">
        <v>1918</v>
      </c>
      <c r="K461" s="109">
        <v>100</v>
      </c>
      <c r="L461" s="109" t="s">
        <v>1919</v>
      </c>
      <c r="M461" s="109" t="s">
        <v>1904</v>
      </c>
      <c r="N461" s="109" t="s">
        <v>529</v>
      </c>
      <c r="O461" s="109" t="s">
        <v>1920</v>
      </c>
      <c r="P461" s="109" t="s">
        <v>1921</v>
      </c>
      <c r="Q461" s="102">
        <v>0</v>
      </c>
      <c r="R461" s="109" t="s">
        <v>1907</v>
      </c>
      <c r="S461" s="109" t="s">
        <v>1922</v>
      </c>
      <c r="T461" s="24"/>
      <c r="U461" s="111" t="s">
        <v>1923</v>
      </c>
      <c r="V461" s="111" t="s">
        <v>1923</v>
      </c>
      <c r="W461" s="112" t="s">
        <v>1926</v>
      </c>
      <c r="X461" s="112" t="s">
        <v>1906</v>
      </c>
      <c r="Y461" s="112" t="s">
        <v>1926</v>
      </c>
      <c r="Z461" s="112" t="s">
        <v>1906</v>
      </c>
      <c r="AA461" s="112" t="s">
        <v>1926</v>
      </c>
      <c r="AB461" s="112" t="s">
        <v>1906</v>
      </c>
      <c r="AC461" s="112">
        <v>105.53</v>
      </c>
      <c r="AD461" s="112" t="s">
        <v>1906</v>
      </c>
      <c r="AE461" s="112">
        <v>30.64</v>
      </c>
      <c r="AF461" s="112" t="s">
        <v>1906</v>
      </c>
      <c r="AG461" s="112">
        <v>0</v>
      </c>
      <c r="AH461" s="112"/>
      <c r="AI461" s="112">
        <v>0</v>
      </c>
      <c r="AJ461" s="112"/>
      <c r="AK461" s="112">
        <v>0</v>
      </c>
      <c r="AL461" s="112"/>
      <c r="AM461" s="112">
        <v>25.83</v>
      </c>
      <c r="AN461" s="112" t="s">
        <v>1906</v>
      </c>
      <c r="AO461" s="112">
        <v>110.69</v>
      </c>
      <c r="AP461" s="112" t="s">
        <v>1906</v>
      </c>
      <c r="AQ461" s="112">
        <v>110.69</v>
      </c>
      <c r="AR461" s="112" t="s">
        <v>1906</v>
      </c>
      <c r="AS461" s="112">
        <v>110.69</v>
      </c>
      <c r="AT461" s="112" t="s">
        <v>1906</v>
      </c>
      <c r="AU461" s="112">
        <f t="shared" si="21"/>
        <v>810.66000000000008</v>
      </c>
      <c r="AV461" s="111">
        <v>0.44663000000000003</v>
      </c>
      <c r="AW461" s="111" t="s">
        <v>1904</v>
      </c>
      <c r="AX461" s="30"/>
      <c r="AY461" s="30"/>
      <c r="AZ461" s="30"/>
    </row>
    <row r="462" spans="1:52" ht="31.2" x14ac:dyDescent="0.3">
      <c r="A462" s="103">
        <v>452</v>
      </c>
      <c r="B462" s="109" t="s">
        <v>537</v>
      </c>
      <c r="C462" s="30" t="s">
        <v>1899</v>
      </c>
      <c r="D462" s="110" t="s">
        <v>1900</v>
      </c>
      <c r="E462" s="110" t="s">
        <v>1917</v>
      </c>
      <c r="F462" s="30" t="s">
        <v>2703</v>
      </c>
      <c r="G462" s="26" t="s">
        <v>145</v>
      </c>
      <c r="H462" s="24" t="s">
        <v>146</v>
      </c>
      <c r="I462" s="109">
        <v>0</v>
      </c>
      <c r="J462" s="109" t="s">
        <v>1918</v>
      </c>
      <c r="K462" s="109">
        <v>100</v>
      </c>
      <c r="L462" s="109" t="s">
        <v>1919</v>
      </c>
      <c r="M462" s="109" t="s">
        <v>1904</v>
      </c>
      <c r="N462" s="109" t="s">
        <v>529</v>
      </c>
      <c r="O462" s="109" t="s">
        <v>1920</v>
      </c>
      <c r="P462" s="109" t="s">
        <v>1920</v>
      </c>
      <c r="Q462" s="102">
        <v>0</v>
      </c>
      <c r="R462" s="109" t="s">
        <v>1907</v>
      </c>
      <c r="S462" s="109" t="s">
        <v>1922</v>
      </c>
      <c r="T462" s="24"/>
      <c r="U462" s="111" t="s">
        <v>1923</v>
      </c>
      <c r="V462" s="111" t="s">
        <v>1923</v>
      </c>
      <c r="W462" s="112" t="s">
        <v>1927</v>
      </c>
      <c r="X462" s="112" t="s">
        <v>1906</v>
      </c>
      <c r="Y462" s="112" t="s">
        <v>1927</v>
      </c>
      <c r="Z462" s="112" t="s">
        <v>1906</v>
      </c>
      <c r="AA462" s="112" t="s">
        <v>1927</v>
      </c>
      <c r="AB462" s="112" t="s">
        <v>1906</v>
      </c>
      <c r="AC462" s="112">
        <v>58.92</v>
      </c>
      <c r="AD462" s="112" t="s">
        <v>1906</v>
      </c>
      <c r="AE462" s="112">
        <v>17.11</v>
      </c>
      <c r="AF462" s="112" t="s">
        <v>1906</v>
      </c>
      <c r="AG462" s="112">
        <v>0</v>
      </c>
      <c r="AH462" s="112"/>
      <c r="AI462" s="112">
        <v>0</v>
      </c>
      <c r="AJ462" s="112"/>
      <c r="AK462" s="112">
        <v>0</v>
      </c>
      <c r="AL462" s="112"/>
      <c r="AM462" s="112">
        <v>12.86</v>
      </c>
      <c r="AN462" s="112" t="s">
        <v>1906</v>
      </c>
      <c r="AO462" s="112">
        <v>55.11</v>
      </c>
      <c r="AP462" s="112" t="s">
        <v>1906</v>
      </c>
      <c r="AQ462" s="112">
        <v>55.11</v>
      </c>
      <c r="AR462" s="112" t="s">
        <v>1906</v>
      </c>
      <c r="AS462" s="112">
        <v>55.11</v>
      </c>
      <c r="AT462" s="112" t="s">
        <v>1906</v>
      </c>
      <c r="AU462" s="112">
        <f t="shared" si="21"/>
        <v>430.98000000000008</v>
      </c>
      <c r="AV462" s="111">
        <v>0.25694</v>
      </c>
      <c r="AW462" s="111" t="s">
        <v>1904</v>
      </c>
      <c r="AX462" s="30"/>
      <c r="AY462" s="30"/>
      <c r="AZ462" s="30"/>
    </row>
    <row r="463" spans="1:52" ht="31.2" x14ac:dyDescent="0.3">
      <c r="A463" s="103">
        <v>453</v>
      </c>
      <c r="B463" s="109" t="s">
        <v>540</v>
      </c>
      <c r="C463" s="30" t="s">
        <v>1899</v>
      </c>
      <c r="D463" s="110" t="s">
        <v>1900</v>
      </c>
      <c r="E463" s="110" t="s">
        <v>1917</v>
      </c>
      <c r="F463" s="30" t="s">
        <v>2703</v>
      </c>
      <c r="G463" s="26" t="s">
        <v>145</v>
      </c>
      <c r="H463" s="24" t="s">
        <v>146</v>
      </c>
      <c r="I463" s="109">
        <v>1</v>
      </c>
      <c r="J463" s="109" t="s">
        <v>1918</v>
      </c>
      <c r="K463" s="109">
        <v>89</v>
      </c>
      <c r="L463" s="109" t="s">
        <v>1919</v>
      </c>
      <c r="M463" s="109" t="s">
        <v>1904</v>
      </c>
      <c r="N463" s="109" t="s">
        <v>529</v>
      </c>
      <c r="O463" s="109" t="s">
        <v>1920</v>
      </c>
      <c r="P463" s="109" t="s">
        <v>1921</v>
      </c>
      <c r="Q463" s="102">
        <v>0</v>
      </c>
      <c r="R463" s="109" t="s">
        <v>1907</v>
      </c>
      <c r="S463" s="109" t="s">
        <v>1922</v>
      </c>
      <c r="T463" s="24"/>
      <c r="U463" s="111" t="s">
        <v>1923</v>
      </c>
      <c r="V463" s="111" t="s">
        <v>1923</v>
      </c>
      <c r="W463" s="112" t="s">
        <v>1928</v>
      </c>
      <c r="X463" s="112" t="s">
        <v>1906</v>
      </c>
      <c r="Y463" s="112" t="s">
        <v>1928</v>
      </c>
      <c r="Z463" s="112" t="s">
        <v>1906</v>
      </c>
      <c r="AA463" s="112" t="s">
        <v>1928</v>
      </c>
      <c r="AB463" s="112" t="s">
        <v>1906</v>
      </c>
      <c r="AC463" s="112">
        <v>145.36000000000001</v>
      </c>
      <c r="AD463" s="112" t="s">
        <v>1906</v>
      </c>
      <c r="AE463" s="112">
        <v>42.2</v>
      </c>
      <c r="AF463" s="112" t="s">
        <v>1906</v>
      </c>
      <c r="AG463" s="112">
        <v>0</v>
      </c>
      <c r="AH463" s="112"/>
      <c r="AI463" s="112">
        <v>0</v>
      </c>
      <c r="AJ463" s="112"/>
      <c r="AK463" s="112">
        <v>0</v>
      </c>
      <c r="AL463" s="112"/>
      <c r="AM463" s="112">
        <v>31.22</v>
      </c>
      <c r="AN463" s="112" t="s">
        <v>1906</v>
      </c>
      <c r="AO463" s="112">
        <v>133.78</v>
      </c>
      <c r="AP463" s="112" t="s">
        <v>1906</v>
      </c>
      <c r="AQ463" s="112">
        <v>133.78</v>
      </c>
      <c r="AR463" s="112" t="s">
        <v>1906</v>
      </c>
      <c r="AS463" s="112">
        <v>133.78</v>
      </c>
      <c r="AT463" s="112" t="s">
        <v>1906</v>
      </c>
      <c r="AU463" s="112">
        <f t="shared" si="21"/>
        <v>1056.2</v>
      </c>
      <c r="AV463" s="111">
        <v>0.22888500000000001</v>
      </c>
      <c r="AW463" s="111" t="s">
        <v>1904</v>
      </c>
      <c r="AX463" s="25"/>
      <c r="AY463" s="25"/>
      <c r="AZ463" s="25"/>
    </row>
    <row r="464" spans="1:52" ht="31.2" x14ac:dyDescent="0.3">
      <c r="A464" s="103">
        <v>454</v>
      </c>
      <c r="B464" s="109" t="s">
        <v>542</v>
      </c>
      <c r="C464" s="30" t="s">
        <v>1899</v>
      </c>
      <c r="D464" s="110" t="s">
        <v>1900</v>
      </c>
      <c r="E464" s="110" t="s">
        <v>1917</v>
      </c>
      <c r="F464" s="30" t="s">
        <v>2703</v>
      </c>
      <c r="G464" s="26" t="s">
        <v>145</v>
      </c>
      <c r="H464" s="24" t="s">
        <v>146</v>
      </c>
      <c r="I464" s="109">
        <v>1</v>
      </c>
      <c r="J464" s="109" t="s">
        <v>1918</v>
      </c>
      <c r="K464" s="109">
        <v>89</v>
      </c>
      <c r="L464" s="109" t="s">
        <v>1919</v>
      </c>
      <c r="M464" s="109" t="s">
        <v>1904</v>
      </c>
      <c r="N464" s="109" t="s">
        <v>529</v>
      </c>
      <c r="O464" s="109" t="s">
        <v>1920</v>
      </c>
      <c r="P464" s="109" t="s">
        <v>1921</v>
      </c>
      <c r="Q464" s="102">
        <v>0</v>
      </c>
      <c r="R464" s="109" t="s">
        <v>1907</v>
      </c>
      <c r="S464" s="109" t="s">
        <v>1922</v>
      </c>
      <c r="T464" s="24"/>
      <c r="U464" s="111" t="s">
        <v>1923</v>
      </c>
      <c r="V464" s="111" t="s">
        <v>1923</v>
      </c>
      <c r="W464" s="112" t="s">
        <v>1929</v>
      </c>
      <c r="X464" s="112" t="s">
        <v>208</v>
      </c>
      <c r="Y464" s="112" t="s">
        <v>1930</v>
      </c>
      <c r="Z464" s="112" t="s">
        <v>208</v>
      </c>
      <c r="AA464" s="112" t="s">
        <v>1931</v>
      </c>
      <c r="AB464" s="112" t="s">
        <v>208</v>
      </c>
      <c r="AC464" s="112">
        <v>42.57</v>
      </c>
      <c r="AD464" s="112" t="s">
        <v>208</v>
      </c>
      <c r="AE464" s="112">
        <v>17.47</v>
      </c>
      <c r="AF464" s="112" t="s">
        <v>208</v>
      </c>
      <c r="AG464" s="112">
        <v>0</v>
      </c>
      <c r="AH464" s="112"/>
      <c r="AI464" s="112">
        <v>0</v>
      </c>
      <c r="AJ464" s="112"/>
      <c r="AK464" s="112">
        <v>0</v>
      </c>
      <c r="AL464" s="112"/>
      <c r="AM464" s="112">
        <v>0</v>
      </c>
      <c r="AN464" s="112"/>
      <c r="AO464" s="112">
        <v>0</v>
      </c>
      <c r="AP464" s="112" t="s">
        <v>208</v>
      </c>
      <c r="AQ464" s="112">
        <v>45.38</v>
      </c>
      <c r="AR464" s="112" t="s">
        <v>208</v>
      </c>
      <c r="AS464" s="112">
        <v>65.48</v>
      </c>
      <c r="AT464" s="112" t="s">
        <v>208</v>
      </c>
      <c r="AU464" s="112">
        <f t="shared" si="21"/>
        <v>425.25</v>
      </c>
      <c r="AV464" s="111">
        <v>0.235538</v>
      </c>
      <c r="AW464" s="111" t="s">
        <v>1904</v>
      </c>
      <c r="AX464" s="25"/>
      <c r="AY464" s="25"/>
      <c r="AZ464" s="25"/>
    </row>
    <row r="465" spans="1:52" ht="31.2" x14ac:dyDescent="0.3">
      <c r="A465" s="103">
        <v>455</v>
      </c>
      <c r="B465" s="109" t="s">
        <v>543</v>
      </c>
      <c r="C465" s="30" t="s">
        <v>1899</v>
      </c>
      <c r="D465" s="110" t="s">
        <v>1900</v>
      </c>
      <c r="E465" s="110" t="s">
        <v>1917</v>
      </c>
      <c r="F465" s="30" t="s">
        <v>2703</v>
      </c>
      <c r="G465" s="26" t="s">
        <v>145</v>
      </c>
      <c r="H465" s="24" t="s">
        <v>146</v>
      </c>
      <c r="I465" s="109">
        <v>1</v>
      </c>
      <c r="J465" s="109" t="s">
        <v>1918</v>
      </c>
      <c r="K465" s="109">
        <v>89</v>
      </c>
      <c r="L465" s="109" t="s">
        <v>1919</v>
      </c>
      <c r="M465" s="109" t="s">
        <v>1904</v>
      </c>
      <c r="N465" s="109" t="s">
        <v>529</v>
      </c>
      <c r="O465" s="109" t="s">
        <v>1920</v>
      </c>
      <c r="P465" s="109" t="s">
        <v>1921</v>
      </c>
      <c r="Q465" s="102">
        <v>0</v>
      </c>
      <c r="R465" s="109" t="s">
        <v>1907</v>
      </c>
      <c r="S465" s="109" t="s">
        <v>1922</v>
      </c>
      <c r="T465" s="24"/>
      <c r="U465" s="111" t="s">
        <v>1923</v>
      </c>
      <c r="V465" s="111" t="s">
        <v>1923</v>
      </c>
      <c r="W465" s="112" t="s">
        <v>1932</v>
      </c>
      <c r="X465" s="112" t="s">
        <v>208</v>
      </c>
      <c r="Y465" s="112" t="s">
        <v>1933</v>
      </c>
      <c r="Z465" s="112" t="s">
        <v>208</v>
      </c>
      <c r="AA465" s="112" t="s">
        <v>1934</v>
      </c>
      <c r="AB465" s="112" t="s">
        <v>208</v>
      </c>
      <c r="AC465" s="112">
        <v>53.18</v>
      </c>
      <c r="AD465" s="112" t="s">
        <v>208</v>
      </c>
      <c r="AE465" s="112">
        <v>27.63</v>
      </c>
      <c r="AF465" s="112" t="s">
        <v>208</v>
      </c>
      <c r="AG465" s="112">
        <v>0</v>
      </c>
      <c r="AH465" s="112"/>
      <c r="AI465" s="112">
        <v>0</v>
      </c>
      <c r="AJ465" s="112"/>
      <c r="AK465" s="112">
        <v>0</v>
      </c>
      <c r="AL465" s="112"/>
      <c r="AM465" s="112">
        <v>0</v>
      </c>
      <c r="AN465" s="112"/>
      <c r="AO465" s="112">
        <v>0</v>
      </c>
      <c r="AP465" s="112" t="s">
        <v>208</v>
      </c>
      <c r="AQ465" s="112">
        <v>34.119999999999997</v>
      </c>
      <c r="AR465" s="112" t="s">
        <v>208</v>
      </c>
      <c r="AS465" s="112">
        <v>70.78</v>
      </c>
      <c r="AT465" s="112" t="s">
        <v>208</v>
      </c>
      <c r="AU465" s="112">
        <f t="shared" si="21"/>
        <v>505.17999999999995</v>
      </c>
      <c r="AV465" s="111">
        <v>0.32096999999999998</v>
      </c>
      <c r="AW465" s="111" t="s">
        <v>1904</v>
      </c>
      <c r="AX465" s="25"/>
      <c r="AY465" s="25"/>
      <c r="AZ465" s="25"/>
    </row>
    <row r="466" spans="1:52" ht="31.2" x14ac:dyDescent="0.3">
      <c r="A466" s="103">
        <v>456</v>
      </c>
      <c r="B466" s="109" t="s">
        <v>1128</v>
      </c>
      <c r="C466" s="30" t="s">
        <v>1899</v>
      </c>
      <c r="D466" s="110" t="s">
        <v>1900</v>
      </c>
      <c r="E466" s="110" t="s">
        <v>1917</v>
      </c>
      <c r="F466" s="30" t="s">
        <v>2703</v>
      </c>
      <c r="G466" s="26" t="s">
        <v>145</v>
      </c>
      <c r="H466" s="24" t="s">
        <v>146</v>
      </c>
      <c r="I466" s="109">
        <v>1</v>
      </c>
      <c r="J466" s="109" t="s">
        <v>1918</v>
      </c>
      <c r="K466" s="109">
        <v>100</v>
      </c>
      <c r="L466" s="109" t="s">
        <v>1919</v>
      </c>
      <c r="M466" s="109" t="s">
        <v>1904</v>
      </c>
      <c r="N466" s="109" t="s">
        <v>529</v>
      </c>
      <c r="O466" s="109" t="s">
        <v>1920</v>
      </c>
      <c r="P466" s="109" t="s">
        <v>1921</v>
      </c>
      <c r="Q466" s="102">
        <v>0</v>
      </c>
      <c r="R466" s="109" t="s">
        <v>1907</v>
      </c>
      <c r="S466" s="109" t="s">
        <v>1922</v>
      </c>
      <c r="T466" s="24"/>
      <c r="U466" s="111" t="s">
        <v>1923</v>
      </c>
      <c r="V466" s="111" t="s">
        <v>1923</v>
      </c>
      <c r="W466" s="112" t="s">
        <v>1935</v>
      </c>
      <c r="X466" s="112" t="s">
        <v>1906</v>
      </c>
      <c r="Y466" s="112" t="s">
        <v>1936</v>
      </c>
      <c r="Z466" s="112" t="s">
        <v>1906</v>
      </c>
      <c r="AA466" s="112" t="s">
        <v>1937</v>
      </c>
      <c r="AB466" s="112" t="s">
        <v>1906</v>
      </c>
      <c r="AC466" s="112">
        <v>61.74</v>
      </c>
      <c r="AD466" s="112" t="s">
        <v>1906</v>
      </c>
      <c r="AE466" s="112">
        <v>16.61</v>
      </c>
      <c r="AF466" s="112" t="s">
        <v>1906</v>
      </c>
      <c r="AG466" s="112">
        <v>0</v>
      </c>
      <c r="AH466" s="112"/>
      <c r="AI466" s="112">
        <v>0</v>
      </c>
      <c r="AJ466" s="112"/>
      <c r="AK466" s="112">
        <v>0</v>
      </c>
      <c r="AL466" s="112"/>
      <c r="AM466" s="112">
        <v>0</v>
      </c>
      <c r="AN466" s="112"/>
      <c r="AO466" s="112">
        <v>44.05</v>
      </c>
      <c r="AP466" s="112" t="s">
        <v>208</v>
      </c>
      <c r="AQ466" s="112">
        <v>52.62</v>
      </c>
      <c r="AR466" s="112" t="s">
        <v>208</v>
      </c>
      <c r="AS466" s="112">
        <v>72.48</v>
      </c>
      <c r="AT466" s="112" t="s">
        <v>208</v>
      </c>
      <c r="AU466" s="112">
        <f t="shared" si="21"/>
        <v>624.12</v>
      </c>
      <c r="AV466" s="111">
        <v>0.30009999999999998</v>
      </c>
      <c r="AW466" s="111" t="s">
        <v>1904</v>
      </c>
      <c r="AX466" s="25"/>
      <c r="AY466" s="25"/>
      <c r="AZ466" s="25"/>
    </row>
    <row r="467" spans="1:52" ht="31.2" x14ac:dyDescent="0.3">
      <c r="A467" s="103">
        <v>457</v>
      </c>
      <c r="B467" s="109" t="s">
        <v>1130</v>
      </c>
      <c r="C467" s="30" t="s">
        <v>1899</v>
      </c>
      <c r="D467" s="110" t="s">
        <v>1900</v>
      </c>
      <c r="E467" s="110" t="s">
        <v>1917</v>
      </c>
      <c r="F467" s="30" t="s">
        <v>2703</v>
      </c>
      <c r="G467" s="26" t="s">
        <v>145</v>
      </c>
      <c r="H467" s="24" t="s">
        <v>146</v>
      </c>
      <c r="I467" s="109">
        <v>0</v>
      </c>
      <c r="J467" s="109" t="s">
        <v>1918</v>
      </c>
      <c r="K467" s="109">
        <v>89</v>
      </c>
      <c r="L467" s="109" t="s">
        <v>1919</v>
      </c>
      <c r="M467" s="109" t="s">
        <v>1904</v>
      </c>
      <c r="N467" s="109" t="s">
        <v>529</v>
      </c>
      <c r="O467" s="109" t="s">
        <v>1920</v>
      </c>
      <c r="P467" s="109" t="s">
        <v>1920</v>
      </c>
      <c r="Q467" s="102">
        <v>0</v>
      </c>
      <c r="R467" s="109" t="s">
        <v>1907</v>
      </c>
      <c r="S467" s="109" t="s">
        <v>1922</v>
      </c>
      <c r="T467" s="24"/>
      <c r="U467" s="111" t="s">
        <v>1923</v>
      </c>
      <c r="V467" s="111" t="s">
        <v>1923</v>
      </c>
      <c r="W467" s="112" t="s">
        <v>1938</v>
      </c>
      <c r="X467" s="112" t="s">
        <v>1906</v>
      </c>
      <c r="Y467" s="112" t="s">
        <v>1938</v>
      </c>
      <c r="Z467" s="112" t="s">
        <v>1906</v>
      </c>
      <c r="AA467" s="112" t="s">
        <v>1938</v>
      </c>
      <c r="AB467" s="112" t="s">
        <v>1906</v>
      </c>
      <c r="AC467" s="112">
        <v>38.729999999999997</v>
      </c>
      <c r="AD467" s="112" t="s">
        <v>1906</v>
      </c>
      <c r="AE467" s="112">
        <v>11.24</v>
      </c>
      <c r="AF467" s="112" t="s">
        <v>1906</v>
      </c>
      <c r="AG467" s="112">
        <v>0</v>
      </c>
      <c r="AH467" s="112"/>
      <c r="AI467" s="112">
        <v>0</v>
      </c>
      <c r="AJ467" s="112"/>
      <c r="AK467" s="112">
        <v>0</v>
      </c>
      <c r="AL467" s="112"/>
      <c r="AM467" s="112">
        <v>8.85</v>
      </c>
      <c r="AN467" s="112" t="s">
        <v>1906</v>
      </c>
      <c r="AO467" s="112">
        <v>37.94</v>
      </c>
      <c r="AP467" s="112" t="s">
        <v>1906</v>
      </c>
      <c r="AQ467" s="112">
        <v>37.94</v>
      </c>
      <c r="AR467" s="112" t="s">
        <v>1906</v>
      </c>
      <c r="AS467" s="112">
        <v>37.94</v>
      </c>
      <c r="AT467" s="112" t="s">
        <v>1906</v>
      </c>
      <c r="AU467" s="112">
        <f t="shared" si="21"/>
        <v>288.83</v>
      </c>
      <c r="AV467" s="111">
        <v>0.11842999999999999</v>
      </c>
      <c r="AW467" s="111" t="s">
        <v>1904</v>
      </c>
      <c r="AX467" s="25"/>
      <c r="AY467" s="25"/>
      <c r="AZ467" s="25"/>
    </row>
    <row r="468" spans="1:52" ht="31.2" x14ac:dyDescent="0.3">
      <c r="A468" s="103">
        <v>458</v>
      </c>
      <c r="B468" s="109" t="s">
        <v>1133</v>
      </c>
      <c r="C468" s="30" t="s">
        <v>1899</v>
      </c>
      <c r="D468" s="110" t="s">
        <v>1900</v>
      </c>
      <c r="E468" s="110" t="s">
        <v>1917</v>
      </c>
      <c r="F468" s="30" t="s">
        <v>2703</v>
      </c>
      <c r="G468" s="26" t="s">
        <v>145</v>
      </c>
      <c r="H468" s="24" t="s">
        <v>146</v>
      </c>
      <c r="I468" s="109">
        <v>1</v>
      </c>
      <c r="J468" s="109" t="s">
        <v>1918</v>
      </c>
      <c r="K468" s="109">
        <v>50</v>
      </c>
      <c r="L468" s="109" t="s">
        <v>1919</v>
      </c>
      <c r="M468" s="109" t="s">
        <v>1904</v>
      </c>
      <c r="N468" s="109" t="s">
        <v>529</v>
      </c>
      <c r="O468" s="109" t="s">
        <v>1920</v>
      </c>
      <c r="P468" s="109" t="s">
        <v>1921</v>
      </c>
      <c r="Q468" s="102">
        <v>0</v>
      </c>
      <c r="R468" s="109" t="s">
        <v>1907</v>
      </c>
      <c r="S468" s="109" t="s">
        <v>1922</v>
      </c>
      <c r="T468" s="24"/>
      <c r="U468" s="111" t="s">
        <v>1923</v>
      </c>
      <c r="V468" s="111" t="s">
        <v>1923</v>
      </c>
      <c r="W468" s="112" t="s">
        <v>1939</v>
      </c>
      <c r="X468" s="112" t="s">
        <v>208</v>
      </c>
      <c r="Y468" s="112" t="s">
        <v>1940</v>
      </c>
      <c r="Z468" s="112" t="s">
        <v>208</v>
      </c>
      <c r="AA468" s="112" t="s">
        <v>1941</v>
      </c>
      <c r="AB468" s="112" t="s">
        <v>208</v>
      </c>
      <c r="AC468" s="112">
        <v>27.03</v>
      </c>
      <c r="AD468" s="112" t="s">
        <v>208</v>
      </c>
      <c r="AE468" s="112">
        <v>7.84</v>
      </c>
      <c r="AF468" s="112" t="s">
        <v>208</v>
      </c>
      <c r="AG468" s="112">
        <v>0</v>
      </c>
      <c r="AH468" s="112"/>
      <c r="AI468" s="112">
        <v>0</v>
      </c>
      <c r="AJ468" s="112"/>
      <c r="AK468" s="112">
        <v>0</v>
      </c>
      <c r="AL468" s="112"/>
      <c r="AM468" s="112">
        <v>0</v>
      </c>
      <c r="AN468" s="112"/>
      <c r="AO468" s="112">
        <v>27.38</v>
      </c>
      <c r="AP468" s="112" t="s">
        <v>1906</v>
      </c>
      <c r="AQ468" s="112">
        <v>27.38</v>
      </c>
      <c r="AR468" s="112" t="s">
        <v>1906</v>
      </c>
      <c r="AS468" s="112">
        <v>27.38</v>
      </c>
      <c r="AT468" s="112" t="s">
        <v>1906</v>
      </c>
      <c r="AU468" s="112">
        <f t="shared" si="21"/>
        <v>248.35</v>
      </c>
      <c r="AV468" s="111">
        <v>0.10137</v>
      </c>
      <c r="AW468" s="111" t="s">
        <v>1904</v>
      </c>
      <c r="AX468" s="25"/>
      <c r="AY468" s="25"/>
      <c r="AZ468" s="25"/>
    </row>
    <row r="469" spans="1:52" ht="31.2" x14ac:dyDescent="0.3">
      <c r="A469" s="103">
        <v>459</v>
      </c>
      <c r="B469" s="109" t="s">
        <v>1135</v>
      </c>
      <c r="C469" s="30" t="s">
        <v>1899</v>
      </c>
      <c r="D469" s="110" t="s">
        <v>1900</v>
      </c>
      <c r="E469" s="110" t="s">
        <v>1917</v>
      </c>
      <c r="F469" s="30" t="s">
        <v>2703</v>
      </c>
      <c r="G469" s="26" t="s">
        <v>145</v>
      </c>
      <c r="H469" s="24" t="s">
        <v>146</v>
      </c>
      <c r="I469" s="109">
        <v>1</v>
      </c>
      <c r="J469" s="109" t="s">
        <v>1918</v>
      </c>
      <c r="K469" s="109">
        <v>89</v>
      </c>
      <c r="L469" s="109" t="s">
        <v>1919</v>
      </c>
      <c r="M469" s="109" t="s">
        <v>1904</v>
      </c>
      <c r="N469" s="109" t="s">
        <v>529</v>
      </c>
      <c r="O469" s="109" t="s">
        <v>1920</v>
      </c>
      <c r="P469" s="109" t="s">
        <v>1921</v>
      </c>
      <c r="Q469" s="102">
        <v>0</v>
      </c>
      <c r="R469" s="109" t="s">
        <v>1907</v>
      </c>
      <c r="S469" s="109" t="s">
        <v>1922</v>
      </c>
      <c r="T469" s="24"/>
      <c r="U469" s="111" t="s">
        <v>1923</v>
      </c>
      <c r="V469" s="111" t="s">
        <v>1923</v>
      </c>
      <c r="W469" s="112" t="s">
        <v>1942</v>
      </c>
      <c r="X469" s="112" t="s">
        <v>208</v>
      </c>
      <c r="Y469" s="112" t="s">
        <v>1943</v>
      </c>
      <c r="Z469" s="112" t="s">
        <v>208</v>
      </c>
      <c r="AA469" s="112" t="s">
        <v>1944</v>
      </c>
      <c r="AB469" s="112" t="s">
        <v>208</v>
      </c>
      <c r="AC469" s="112">
        <v>38.47</v>
      </c>
      <c r="AD469" s="112" t="s">
        <v>208</v>
      </c>
      <c r="AE469" s="112">
        <v>18.09</v>
      </c>
      <c r="AF469" s="112" t="s">
        <v>208</v>
      </c>
      <c r="AG469" s="112">
        <v>0</v>
      </c>
      <c r="AH469" s="112"/>
      <c r="AI469" s="112">
        <v>0</v>
      </c>
      <c r="AJ469" s="112"/>
      <c r="AK469" s="112">
        <v>0</v>
      </c>
      <c r="AL469" s="112"/>
      <c r="AM469" s="112">
        <v>0</v>
      </c>
      <c r="AN469" s="112"/>
      <c r="AO469" s="112">
        <v>30.06</v>
      </c>
      <c r="AP469" s="112" t="s">
        <v>208</v>
      </c>
      <c r="AQ469" s="112">
        <v>43.48</v>
      </c>
      <c r="AR469" s="112" t="s">
        <v>208</v>
      </c>
      <c r="AS469" s="112">
        <v>65.92</v>
      </c>
      <c r="AT469" s="112" t="s">
        <v>208</v>
      </c>
      <c r="AU469" s="112">
        <f t="shared" si="21"/>
        <v>476.00000000000006</v>
      </c>
      <c r="AV469" s="111">
        <v>0.26596999999999998</v>
      </c>
      <c r="AW469" s="111" t="s">
        <v>1904</v>
      </c>
      <c r="AX469" s="25"/>
      <c r="AY469" s="25"/>
      <c r="AZ469" s="25"/>
    </row>
    <row r="470" spans="1:52" ht="31.2" x14ac:dyDescent="0.3">
      <c r="A470" s="103">
        <v>460</v>
      </c>
      <c r="B470" s="109" t="s">
        <v>1137</v>
      </c>
      <c r="C470" s="30" t="s">
        <v>1899</v>
      </c>
      <c r="D470" s="110" t="s">
        <v>1900</v>
      </c>
      <c r="E470" s="110" t="s">
        <v>1917</v>
      </c>
      <c r="F470" s="30" t="s">
        <v>2703</v>
      </c>
      <c r="G470" s="26" t="s">
        <v>145</v>
      </c>
      <c r="H470" s="24" t="s">
        <v>146</v>
      </c>
      <c r="I470" s="109">
        <v>1</v>
      </c>
      <c r="J470" s="109" t="s">
        <v>1918</v>
      </c>
      <c r="K470" s="109">
        <v>89</v>
      </c>
      <c r="L470" s="109" t="s">
        <v>1919</v>
      </c>
      <c r="M470" s="109" t="s">
        <v>1904</v>
      </c>
      <c r="N470" s="109" t="s">
        <v>529</v>
      </c>
      <c r="O470" s="109" t="s">
        <v>1920</v>
      </c>
      <c r="P470" s="109" t="s">
        <v>1921</v>
      </c>
      <c r="Q470" s="102">
        <v>0</v>
      </c>
      <c r="R470" s="109" t="s">
        <v>1907</v>
      </c>
      <c r="S470" s="109" t="s">
        <v>1922</v>
      </c>
      <c r="T470" s="24"/>
      <c r="U470" s="111" t="s">
        <v>1923</v>
      </c>
      <c r="V470" s="111" t="s">
        <v>1923</v>
      </c>
      <c r="W470" s="112" t="s">
        <v>1945</v>
      </c>
      <c r="X470" s="112" t="s">
        <v>1906</v>
      </c>
      <c r="Y470" s="112" t="s">
        <v>1946</v>
      </c>
      <c r="Z470" s="112" t="s">
        <v>1906</v>
      </c>
      <c r="AA470" s="112" t="s">
        <v>1945</v>
      </c>
      <c r="AB470" s="112" t="s">
        <v>1906</v>
      </c>
      <c r="AC470" s="112">
        <v>49.47</v>
      </c>
      <c r="AD470" s="112" t="s">
        <v>1906</v>
      </c>
      <c r="AE470" s="112">
        <v>25.23</v>
      </c>
      <c r="AF470" s="112" t="s">
        <v>1906</v>
      </c>
      <c r="AG470" s="112">
        <v>0</v>
      </c>
      <c r="AH470" s="112"/>
      <c r="AI470" s="112">
        <v>0</v>
      </c>
      <c r="AJ470" s="112"/>
      <c r="AK470" s="112">
        <v>0</v>
      </c>
      <c r="AL470" s="112"/>
      <c r="AM470" s="112">
        <v>0</v>
      </c>
      <c r="AN470" s="112"/>
      <c r="AO470" s="112">
        <v>47.08</v>
      </c>
      <c r="AP470" s="112" t="s">
        <v>208</v>
      </c>
      <c r="AQ470" s="112">
        <v>51.73</v>
      </c>
      <c r="AR470" s="112" t="s">
        <v>208</v>
      </c>
      <c r="AS470" s="112">
        <v>60.49</v>
      </c>
      <c r="AT470" s="112" t="s">
        <v>208</v>
      </c>
      <c r="AU470" s="112">
        <f t="shared" si="21"/>
        <v>548.25</v>
      </c>
      <c r="AV470" s="111">
        <v>0.31524999999999997</v>
      </c>
      <c r="AW470" s="111" t="s">
        <v>1904</v>
      </c>
      <c r="AX470" s="25"/>
      <c r="AY470" s="25"/>
      <c r="AZ470" s="25"/>
    </row>
    <row r="471" spans="1:52" ht="31.2" x14ac:dyDescent="0.3">
      <c r="A471" s="103">
        <v>461</v>
      </c>
      <c r="B471" s="109" t="s">
        <v>1139</v>
      </c>
      <c r="C471" s="30" t="s">
        <v>1899</v>
      </c>
      <c r="D471" s="110" t="s">
        <v>1900</v>
      </c>
      <c r="E471" s="110" t="s">
        <v>1917</v>
      </c>
      <c r="F471" s="30" t="s">
        <v>2703</v>
      </c>
      <c r="G471" s="26" t="s">
        <v>145</v>
      </c>
      <c r="H471" s="24" t="s">
        <v>146</v>
      </c>
      <c r="I471" s="109">
        <v>0</v>
      </c>
      <c r="J471" s="109" t="s">
        <v>1918</v>
      </c>
      <c r="K471" s="109">
        <v>76</v>
      </c>
      <c r="L471" s="109" t="s">
        <v>1919</v>
      </c>
      <c r="M471" s="109" t="s">
        <v>1904</v>
      </c>
      <c r="N471" s="109" t="s">
        <v>529</v>
      </c>
      <c r="O471" s="109" t="s">
        <v>1920</v>
      </c>
      <c r="P471" s="109" t="s">
        <v>1920</v>
      </c>
      <c r="Q471" s="102">
        <v>0</v>
      </c>
      <c r="R471" s="109" t="s">
        <v>1907</v>
      </c>
      <c r="S471" s="109" t="s">
        <v>1922</v>
      </c>
      <c r="T471" s="24"/>
      <c r="U471" s="111" t="s">
        <v>1923</v>
      </c>
      <c r="V471" s="111" t="s">
        <v>1923</v>
      </c>
      <c r="W471" s="112" t="s">
        <v>1947</v>
      </c>
      <c r="X471" s="112" t="s">
        <v>1906</v>
      </c>
      <c r="Y471" s="112" t="s">
        <v>1947</v>
      </c>
      <c r="Z471" s="112" t="s">
        <v>1906</v>
      </c>
      <c r="AA471" s="112" t="s">
        <v>1947</v>
      </c>
      <c r="AB471" s="112" t="s">
        <v>1906</v>
      </c>
      <c r="AC471" s="112">
        <v>49.41</v>
      </c>
      <c r="AD471" s="112" t="s">
        <v>1906</v>
      </c>
      <c r="AE471" s="112">
        <v>14.35</v>
      </c>
      <c r="AF471" s="112" t="s">
        <v>1906</v>
      </c>
      <c r="AG471" s="112">
        <v>0</v>
      </c>
      <c r="AH471" s="112"/>
      <c r="AI471" s="112">
        <v>0</v>
      </c>
      <c r="AJ471" s="112"/>
      <c r="AK471" s="112">
        <v>0</v>
      </c>
      <c r="AL471" s="112"/>
      <c r="AM471" s="112">
        <v>11.85</v>
      </c>
      <c r="AN471" s="112" t="s">
        <v>1906</v>
      </c>
      <c r="AO471" s="112">
        <v>50.78</v>
      </c>
      <c r="AP471" s="112" t="s">
        <v>1906</v>
      </c>
      <c r="AQ471" s="112">
        <v>50.78</v>
      </c>
      <c r="AR471" s="112" t="s">
        <v>1906</v>
      </c>
      <c r="AS471" s="112">
        <v>50.78</v>
      </c>
      <c r="AT471" s="112" t="s">
        <v>1906</v>
      </c>
      <c r="AU471" s="112">
        <f t="shared" si="21"/>
        <v>376.17999999999995</v>
      </c>
      <c r="AV471" s="111">
        <v>0.13449</v>
      </c>
      <c r="AW471" s="111" t="s">
        <v>1904</v>
      </c>
      <c r="AX471" s="25"/>
      <c r="AY471" s="25"/>
      <c r="AZ471" s="25"/>
    </row>
    <row r="472" spans="1:52" ht="31.2" x14ac:dyDescent="0.3">
      <c r="A472" s="103">
        <v>462</v>
      </c>
      <c r="B472" s="109" t="s">
        <v>1141</v>
      </c>
      <c r="C472" s="30" t="s">
        <v>1899</v>
      </c>
      <c r="D472" s="110" t="s">
        <v>1900</v>
      </c>
      <c r="E472" s="110" t="s">
        <v>1917</v>
      </c>
      <c r="F472" s="30" t="s">
        <v>2703</v>
      </c>
      <c r="G472" s="26" t="s">
        <v>145</v>
      </c>
      <c r="H472" s="24" t="s">
        <v>146</v>
      </c>
      <c r="I472" s="109">
        <v>0</v>
      </c>
      <c r="J472" s="109" t="s">
        <v>1918</v>
      </c>
      <c r="K472" s="109">
        <v>50</v>
      </c>
      <c r="L472" s="109" t="s">
        <v>1919</v>
      </c>
      <c r="M472" s="109" t="s">
        <v>1904</v>
      </c>
      <c r="N472" s="109" t="s">
        <v>529</v>
      </c>
      <c r="O472" s="109" t="s">
        <v>1920</v>
      </c>
      <c r="P472" s="109" t="s">
        <v>1920</v>
      </c>
      <c r="Q472" s="102">
        <v>0</v>
      </c>
      <c r="R472" s="109" t="s">
        <v>1907</v>
      </c>
      <c r="S472" s="109" t="s">
        <v>1922</v>
      </c>
      <c r="T472" s="24"/>
      <c r="U472" s="111" t="s">
        <v>1923</v>
      </c>
      <c r="V472" s="111" t="s">
        <v>1923</v>
      </c>
      <c r="W472" s="112" t="s">
        <v>1948</v>
      </c>
      <c r="X472" s="112" t="s">
        <v>1906</v>
      </c>
      <c r="Y472" s="112" t="s">
        <v>1948</v>
      </c>
      <c r="Z472" s="112" t="s">
        <v>1906</v>
      </c>
      <c r="AA472" s="112" t="s">
        <v>1948</v>
      </c>
      <c r="AB472" s="112" t="s">
        <v>1906</v>
      </c>
      <c r="AC472" s="112">
        <v>40.81</v>
      </c>
      <c r="AD472" s="112" t="s">
        <v>1906</v>
      </c>
      <c r="AE472" s="112">
        <v>11.85</v>
      </c>
      <c r="AF472" s="112" t="s">
        <v>1906</v>
      </c>
      <c r="AG472" s="112">
        <v>0</v>
      </c>
      <c r="AH472" s="112"/>
      <c r="AI472" s="112">
        <v>0</v>
      </c>
      <c r="AJ472" s="112"/>
      <c r="AK472" s="112">
        <v>0</v>
      </c>
      <c r="AL472" s="112"/>
      <c r="AM472" s="112">
        <v>9.24</v>
      </c>
      <c r="AN472" s="112" t="s">
        <v>1906</v>
      </c>
      <c r="AO472" s="112">
        <v>39.590000000000003</v>
      </c>
      <c r="AP472" s="112" t="s">
        <v>1906</v>
      </c>
      <c r="AQ472" s="112">
        <v>39.590000000000003</v>
      </c>
      <c r="AR472" s="112" t="s">
        <v>1906</v>
      </c>
      <c r="AS472" s="112">
        <v>39.590000000000003</v>
      </c>
      <c r="AT472" s="112" t="s">
        <v>1906</v>
      </c>
      <c r="AU472" s="112">
        <f t="shared" si="21"/>
        <v>303.10000000000002</v>
      </c>
      <c r="AV472" s="111">
        <v>0.16961999999999999</v>
      </c>
      <c r="AW472" s="111" t="s">
        <v>1904</v>
      </c>
      <c r="AX472" s="25"/>
      <c r="AY472" s="25"/>
      <c r="AZ472" s="25"/>
    </row>
    <row r="473" spans="1:52" ht="31.2" x14ac:dyDescent="0.3">
      <c r="A473" s="103">
        <v>463</v>
      </c>
      <c r="B473" s="109" t="s">
        <v>1142</v>
      </c>
      <c r="C473" s="30" t="s">
        <v>1899</v>
      </c>
      <c r="D473" s="110" t="s">
        <v>1900</v>
      </c>
      <c r="E473" s="110" t="s">
        <v>1917</v>
      </c>
      <c r="F473" s="30" t="s">
        <v>2703</v>
      </c>
      <c r="G473" s="26" t="s">
        <v>145</v>
      </c>
      <c r="H473" s="24" t="s">
        <v>146</v>
      </c>
      <c r="I473" s="109">
        <v>0</v>
      </c>
      <c r="J473" s="109" t="s">
        <v>1918</v>
      </c>
      <c r="K473" s="109">
        <v>50</v>
      </c>
      <c r="L473" s="109" t="s">
        <v>1919</v>
      </c>
      <c r="M473" s="109" t="s">
        <v>1904</v>
      </c>
      <c r="N473" s="109" t="s">
        <v>529</v>
      </c>
      <c r="O473" s="109" t="s">
        <v>1920</v>
      </c>
      <c r="P473" s="109" t="s">
        <v>1920</v>
      </c>
      <c r="Q473" s="102">
        <v>0</v>
      </c>
      <c r="R473" s="109" t="s">
        <v>1907</v>
      </c>
      <c r="S473" s="109" t="s">
        <v>1922</v>
      </c>
      <c r="T473" s="24"/>
      <c r="U473" s="111" t="s">
        <v>1923</v>
      </c>
      <c r="V473" s="111" t="s">
        <v>1923</v>
      </c>
      <c r="W473" s="112" t="s">
        <v>1948</v>
      </c>
      <c r="X473" s="112" t="s">
        <v>1906</v>
      </c>
      <c r="Y473" s="112" t="s">
        <v>1948</v>
      </c>
      <c r="Z473" s="112" t="s">
        <v>1906</v>
      </c>
      <c r="AA473" s="112" t="s">
        <v>1948</v>
      </c>
      <c r="AB473" s="112" t="s">
        <v>1906</v>
      </c>
      <c r="AC473" s="112">
        <v>40.81</v>
      </c>
      <c r="AD473" s="112" t="s">
        <v>1906</v>
      </c>
      <c r="AE473" s="112">
        <v>11.85</v>
      </c>
      <c r="AF473" s="112" t="s">
        <v>1906</v>
      </c>
      <c r="AG473" s="112">
        <v>0</v>
      </c>
      <c r="AH473" s="112"/>
      <c r="AI473" s="112">
        <v>0</v>
      </c>
      <c r="AJ473" s="112"/>
      <c r="AK473" s="112">
        <v>0</v>
      </c>
      <c r="AL473" s="112"/>
      <c r="AM473" s="112">
        <v>9.24</v>
      </c>
      <c r="AN473" s="112" t="s">
        <v>1906</v>
      </c>
      <c r="AO473" s="112">
        <v>39.590000000000003</v>
      </c>
      <c r="AP473" s="112" t="s">
        <v>1906</v>
      </c>
      <c r="AQ473" s="112">
        <v>39.590000000000003</v>
      </c>
      <c r="AR473" s="112" t="s">
        <v>1906</v>
      </c>
      <c r="AS473" s="112">
        <v>39.590000000000003</v>
      </c>
      <c r="AT473" s="112" t="s">
        <v>1906</v>
      </c>
      <c r="AU473" s="112">
        <f t="shared" si="21"/>
        <v>303.10000000000002</v>
      </c>
      <c r="AV473" s="111">
        <v>0.16961999999999999</v>
      </c>
      <c r="AW473" s="111" t="s">
        <v>1904</v>
      </c>
      <c r="AX473" s="25"/>
      <c r="AY473" s="25"/>
      <c r="AZ473" s="25"/>
    </row>
    <row r="474" spans="1:52" ht="31.2" x14ac:dyDescent="0.3">
      <c r="A474" s="103">
        <v>464</v>
      </c>
      <c r="B474" s="109" t="s">
        <v>1143</v>
      </c>
      <c r="C474" s="30" t="s">
        <v>1899</v>
      </c>
      <c r="D474" s="110" t="s">
        <v>1900</v>
      </c>
      <c r="E474" s="110" t="s">
        <v>1917</v>
      </c>
      <c r="F474" s="30" t="s">
        <v>2703</v>
      </c>
      <c r="G474" s="26" t="s">
        <v>145</v>
      </c>
      <c r="H474" s="24" t="s">
        <v>146</v>
      </c>
      <c r="I474" s="109">
        <v>0</v>
      </c>
      <c r="J474" s="109" t="s">
        <v>1918</v>
      </c>
      <c r="K474" s="109">
        <v>50</v>
      </c>
      <c r="L474" s="109" t="s">
        <v>1919</v>
      </c>
      <c r="M474" s="109" t="s">
        <v>1904</v>
      </c>
      <c r="N474" s="109" t="s">
        <v>529</v>
      </c>
      <c r="O474" s="109" t="s">
        <v>1920</v>
      </c>
      <c r="P474" s="109" t="s">
        <v>1920</v>
      </c>
      <c r="Q474" s="102">
        <v>0</v>
      </c>
      <c r="R474" s="109" t="s">
        <v>1907</v>
      </c>
      <c r="S474" s="109" t="s">
        <v>1922</v>
      </c>
      <c r="T474" s="24"/>
      <c r="U474" s="111" t="s">
        <v>1923</v>
      </c>
      <c r="V474" s="111" t="s">
        <v>1923</v>
      </c>
      <c r="W474" s="112" t="s">
        <v>1948</v>
      </c>
      <c r="X474" s="112" t="s">
        <v>1906</v>
      </c>
      <c r="Y474" s="112" t="s">
        <v>1948</v>
      </c>
      <c r="Z474" s="112" t="s">
        <v>1906</v>
      </c>
      <c r="AA474" s="112" t="s">
        <v>1948</v>
      </c>
      <c r="AB474" s="112" t="s">
        <v>1906</v>
      </c>
      <c r="AC474" s="112">
        <v>40.81</v>
      </c>
      <c r="AD474" s="112" t="s">
        <v>1906</v>
      </c>
      <c r="AE474" s="112">
        <v>11.85</v>
      </c>
      <c r="AF474" s="112" t="s">
        <v>1906</v>
      </c>
      <c r="AG474" s="112">
        <v>0</v>
      </c>
      <c r="AH474" s="112"/>
      <c r="AI474" s="112">
        <v>0</v>
      </c>
      <c r="AJ474" s="112"/>
      <c r="AK474" s="112">
        <v>0</v>
      </c>
      <c r="AL474" s="112"/>
      <c r="AM474" s="112">
        <v>9.24</v>
      </c>
      <c r="AN474" s="112" t="s">
        <v>1906</v>
      </c>
      <c r="AO474" s="112">
        <v>39.590000000000003</v>
      </c>
      <c r="AP474" s="112" t="s">
        <v>1906</v>
      </c>
      <c r="AQ474" s="112">
        <v>39.590000000000003</v>
      </c>
      <c r="AR474" s="112" t="s">
        <v>1906</v>
      </c>
      <c r="AS474" s="112">
        <v>39.590000000000003</v>
      </c>
      <c r="AT474" s="112" t="s">
        <v>1906</v>
      </c>
      <c r="AU474" s="112">
        <f t="shared" si="21"/>
        <v>303.10000000000002</v>
      </c>
      <c r="AV474" s="111">
        <v>0.16961999999999999</v>
      </c>
      <c r="AW474" s="111" t="s">
        <v>1904</v>
      </c>
      <c r="AX474" s="25"/>
      <c r="AY474" s="25"/>
      <c r="AZ474" s="25"/>
    </row>
    <row r="475" spans="1:52" ht="31.2" x14ac:dyDescent="0.3">
      <c r="A475" s="103">
        <v>465</v>
      </c>
      <c r="B475" s="109" t="s">
        <v>1144</v>
      </c>
      <c r="C475" s="30" t="s">
        <v>1899</v>
      </c>
      <c r="D475" s="110" t="s">
        <v>1900</v>
      </c>
      <c r="E475" s="110" t="s">
        <v>1917</v>
      </c>
      <c r="F475" s="30" t="s">
        <v>2703</v>
      </c>
      <c r="G475" s="26" t="s">
        <v>145</v>
      </c>
      <c r="H475" s="24" t="s">
        <v>146</v>
      </c>
      <c r="I475" s="109">
        <v>0</v>
      </c>
      <c r="J475" s="109" t="s">
        <v>1918</v>
      </c>
      <c r="K475" s="109">
        <v>76</v>
      </c>
      <c r="L475" s="109" t="s">
        <v>1919</v>
      </c>
      <c r="M475" s="109" t="s">
        <v>1904</v>
      </c>
      <c r="N475" s="109" t="s">
        <v>529</v>
      </c>
      <c r="O475" s="109" t="s">
        <v>1920</v>
      </c>
      <c r="P475" s="109" t="s">
        <v>1920</v>
      </c>
      <c r="Q475" s="102">
        <v>0</v>
      </c>
      <c r="R475" s="109" t="s">
        <v>1907</v>
      </c>
      <c r="S475" s="109" t="s">
        <v>1922</v>
      </c>
      <c r="T475" s="24"/>
      <c r="U475" s="111" t="s">
        <v>1923</v>
      </c>
      <c r="V475" s="111" t="s">
        <v>1923</v>
      </c>
      <c r="W475" s="112" t="s">
        <v>1949</v>
      </c>
      <c r="X475" s="112" t="s">
        <v>1906</v>
      </c>
      <c r="Y475" s="112" t="s">
        <v>1949</v>
      </c>
      <c r="Z475" s="112" t="s">
        <v>1906</v>
      </c>
      <c r="AA475" s="112" t="s">
        <v>1949</v>
      </c>
      <c r="AB475" s="112" t="s">
        <v>1906</v>
      </c>
      <c r="AC475" s="112">
        <v>40.5</v>
      </c>
      <c r="AD475" s="112" t="s">
        <v>1906</v>
      </c>
      <c r="AE475" s="112">
        <v>11.76</v>
      </c>
      <c r="AF475" s="112" t="s">
        <v>1906</v>
      </c>
      <c r="AG475" s="112">
        <v>0</v>
      </c>
      <c r="AH475" s="112"/>
      <c r="AI475" s="112">
        <v>0</v>
      </c>
      <c r="AJ475" s="112"/>
      <c r="AK475" s="112">
        <v>0</v>
      </c>
      <c r="AL475" s="112"/>
      <c r="AM475" s="112">
        <v>8.8699999999999992</v>
      </c>
      <c r="AN475" s="112" t="s">
        <v>1906</v>
      </c>
      <c r="AO475" s="112">
        <v>38.49</v>
      </c>
      <c r="AP475" s="112" t="s">
        <v>1906</v>
      </c>
      <c r="AQ475" s="112">
        <v>38.020000000000003</v>
      </c>
      <c r="AR475" s="112" t="s">
        <v>1906</v>
      </c>
      <c r="AS475" s="112">
        <v>38.020000000000003</v>
      </c>
      <c r="AT475" s="112" t="s">
        <v>1906</v>
      </c>
      <c r="AU475" s="112">
        <f t="shared" si="21"/>
        <v>297.15999999999997</v>
      </c>
      <c r="AV475" s="111">
        <v>0.15656999999999999</v>
      </c>
      <c r="AW475" s="111" t="s">
        <v>1904</v>
      </c>
      <c r="AX475" s="25"/>
      <c r="AY475" s="25"/>
      <c r="AZ475" s="25"/>
    </row>
    <row r="476" spans="1:52" ht="31.2" x14ac:dyDescent="0.3">
      <c r="A476" s="103">
        <v>466</v>
      </c>
      <c r="B476" s="109" t="s">
        <v>1145</v>
      </c>
      <c r="C476" s="30" t="s">
        <v>1899</v>
      </c>
      <c r="D476" s="110" t="s">
        <v>1900</v>
      </c>
      <c r="E476" s="110" t="s">
        <v>1917</v>
      </c>
      <c r="F476" s="30" t="s">
        <v>2703</v>
      </c>
      <c r="G476" s="26" t="s">
        <v>145</v>
      </c>
      <c r="H476" s="24" t="s">
        <v>146</v>
      </c>
      <c r="I476" s="109">
        <v>1</v>
      </c>
      <c r="J476" s="109" t="s">
        <v>1918</v>
      </c>
      <c r="K476" s="109">
        <v>57</v>
      </c>
      <c r="L476" s="109" t="s">
        <v>1919</v>
      </c>
      <c r="M476" s="109" t="s">
        <v>1904</v>
      </c>
      <c r="N476" s="109" t="s">
        <v>529</v>
      </c>
      <c r="O476" s="109" t="s">
        <v>1920</v>
      </c>
      <c r="P476" s="109" t="s">
        <v>1921</v>
      </c>
      <c r="Q476" s="102">
        <v>0</v>
      </c>
      <c r="R476" s="109" t="s">
        <v>1907</v>
      </c>
      <c r="S476" s="109" t="s">
        <v>1922</v>
      </c>
      <c r="T476" s="24"/>
      <c r="U476" s="111" t="s">
        <v>1923</v>
      </c>
      <c r="V476" s="111" t="s">
        <v>1923</v>
      </c>
      <c r="W476" s="112" t="s">
        <v>1950</v>
      </c>
      <c r="X476" s="112" t="s">
        <v>208</v>
      </c>
      <c r="Y476" s="112" t="s">
        <v>1951</v>
      </c>
      <c r="Z476" s="112" t="s">
        <v>208</v>
      </c>
      <c r="AA476" s="112">
        <v>74</v>
      </c>
      <c r="AB476" s="112" t="s">
        <v>208</v>
      </c>
      <c r="AC476" s="112">
        <v>56.37</v>
      </c>
      <c r="AD476" s="112" t="s">
        <v>208</v>
      </c>
      <c r="AE476" s="112">
        <v>16.36</v>
      </c>
      <c r="AF476" s="112" t="s">
        <v>208</v>
      </c>
      <c r="AG476" s="112">
        <v>0</v>
      </c>
      <c r="AH476" s="112"/>
      <c r="AI476" s="112">
        <v>0</v>
      </c>
      <c r="AJ476" s="112"/>
      <c r="AK476" s="112">
        <v>0</v>
      </c>
      <c r="AL476" s="112"/>
      <c r="AM476" s="112">
        <v>0</v>
      </c>
      <c r="AN476" s="112"/>
      <c r="AO476" s="112">
        <v>55.49</v>
      </c>
      <c r="AP476" s="112" t="s">
        <v>1906</v>
      </c>
      <c r="AQ476" s="112">
        <v>55.49</v>
      </c>
      <c r="AR476" s="112" t="s">
        <v>1906</v>
      </c>
      <c r="AS476" s="112">
        <v>55.49</v>
      </c>
      <c r="AT476" s="112" t="s">
        <v>1906</v>
      </c>
      <c r="AU476" s="112">
        <f t="shared" si="21"/>
        <v>468.76000000000005</v>
      </c>
      <c r="AV476" s="111">
        <v>0.19270000000000001</v>
      </c>
      <c r="AW476" s="111" t="s">
        <v>1904</v>
      </c>
      <c r="AX476" s="25"/>
      <c r="AY476" s="25"/>
      <c r="AZ476" s="25"/>
    </row>
    <row r="477" spans="1:52" ht="31.2" x14ac:dyDescent="0.3">
      <c r="A477" s="103">
        <v>467</v>
      </c>
      <c r="B477" s="109" t="s">
        <v>1146</v>
      </c>
      <c r="C477" s="30" t="s">
        <v>1899</v>
      </c>
      <c r="D477" s="110" t="s">
        <v>1900</v>
      </c>
      <c r="E477" s="110" t="s">
        <v>1917</v>
      </c>
      <c r="F477" s="30" t="s">
        <v>2703</v>
      </c>
      <c r="G477" s="26" t="s">
        <v>145</v>
      </c>
      <c r="H477" s="24" t="s">
        <v>146</v>
      </c>
      <c r="I477" s="109">
        <v>1</v>
      </c>
      <c r="J477" s="109" t="s">
        <v>1918</v>
      </c>
      <c r="K477" s="109">
        <v>57</v>
      </c>
      <c r="L477" s="109" t="s">
        <v>1919</v>
      </c>
      <c r="M477" s="109" t="s">
        <v>1904</v>
      </c>
      <c r="N477" s="109" t="s">
        <v>529</v>
      </c>
      <c r="O477" s="109" t="s">
        <v>1920</v>
      </c>
      <c r="P477" s="109" t="s">
        <v>1921</v>
      </c>
      <c r="Q477" s="102">
        <v>0</v>
      </c>
      <c r="R477" s="109" t="s">
        <v>1907</v>
      </c>
      <c r="S477" s="109" t="s">
        <v>1922</v>
      </c>
      <c r="T477" s="24"/>
      <c r="U477" s="111" t="s">
        <v>1923</v>
      </c>
      <c r="V477" s="111" t="s">
        <v>1923</v>
      </c>
      <c r="W477" s="112" t="s">
        <v>1952</v>
      </c>
      <c r="X477" s="112" t="s">
        <v>208</v>
      </c>
      <c r="Y477" s="112" t="s">
        <v>1953</v>
      </c>
      <c r="Z477" s="112" t="s">
        <v>208</v>
      </c>
      <c r="AA477" s="112" t="s">
        <v>1954</v>
      </c>
      <c r="AB477" s="112" t="s">
        <v>208</v>
      </c>
      <c r="AC477" s="112">
        <v>37.17</v>
      </c>
      <c r="AD477" s="112" t="s">
        <v>208</v>
      </c>
      <c r="AE477" s="112">
        <v>21.11</v>
      </c>
      <c r="AF477" s="112" t="s">
        <v>208</v>
      </c>
      <c r="AG477" s="112">
        <v>0</v>
      </c>
      <c r="AH477" s="112"/>
      <c r="AI477" s="112">
        <v>0</v>
      </c>
      <c r="AJ477" s="112"/>
      <c r="AK477" s="112">
        <v>0</v>
      </c>
      <c r="AL477" s="112"/>
      <c r="AM477" s="112">
        <v>0</v>
      </c>
      <c r="AN477" s="112"/>
      <c r="AO477" s="112">
        <v>32.64</v>
      </c>
      <c r="AP477" s="112" t="s">
        <v>208</v>
      </c>
      <c r="AQ477" s="112">
        <v>42.74</v>
      </c>
      <c r="AR477" s="112" t="s">
        <v>208</v>
      </c>
      <c r="AS477" s="112">
        <v>49.44</v>
      </c>
      <c r="AT477" s="112" t="s">
        <v>208</v>
      </c>
      <c r="AU477" s="112">
        <f t="shared" si="21"/>
        <v>429.55</v>
      </c>
      <c r="AV477" s="111">
        <v>0.20674999999999999</v>
      </c>
      <c r="AW477" s="111" t="s">
        <v>1904</v>
      </c>
      <c r="AX477" s="25"/>
      <c r="AY477" s="25"/>
      <c r="AZ477" s="25"/>
    </row>
    <row r="478" spans="1:52" ht="31.2" x14ac:dyDescent="0.3">
      <c r="A478" s="103">
        <v>468</v>
      </c>
      <c r="B478" s="109" t="s">
        <v>1147</v>
      </c>
      <c r="C478" s="30" t="s">
        <v>1899</v>
      </c>
      <c r="D478" s="110" t="s">
        <v>1900</v>
      </c>
      <c r="E478" s="110" t="s">
        <v>1917</v>
      </c>
      <c r="F478" s="30" t="s">
        <v>2703</v>
      </c>
      <c r="G478" s="26" t="s">
        <v>145</v>
      </c>
      <c r="H478" s="24" t="s">
        <v>146</v>
      </c>
      <c r="I478" s="109">
        <v>0</v>
      </c>
      <c r="J478" s="109" t="s">
        <v>1918</v>
      </c>
      <c r="K478" s="109">
        <v>76</v>
      </c>
      <c r="L478" s="109" t="s">
        <v>1919</v>
      </c>
      <c r="M478" s="109" t="s">
        <v>1904</v>
      </c>
      <c r="N478" s="109" t="s">
        <v>529</v>
      </c>
      <c r="O478" s="109" t="s">
        <v>1920</v>
      </c>
      <c r="P478" s="109" t="s">
        <v>1920</v>
      </c>
      <c r="Q478" s="102">
        <v>0</v>
      </c>
      <c r="R478" s="109" t="s">
        <v>1907</v>
      </c>
      <c r="S478" s="109" t="s">
        <v>1922</v>
      </c>
      <c r="T478" s="24"/>
      <c r="U478" s="111" t="s">
        <v>1923</v>
      </c>
      <c r="V478" s="111" t="s">
        <v>1923</v>
      </c>
      <c r="W478" s="112" t="s">
        <v>1955</v>
      </c>
      <c r="X478" s="112" t="s">
        <v>1906</v>
      </c>
      <c r="Y478" s="112" t="s">
        <v>1955</v>
      </c>
      <c r="Z478" s="112" t="s">
        <v>1906</v>
      </c>
      <c r="AA478" s="112" t="s">
        <v>1955</v>
      </c>
      <c r="AB478" s="112" t="s">
        <v>1906</v>
      </c>
      <c r="AC478" s="112">
        <v>48.15</v>
      </c>
      <c r="AD478" s="112" t="s">
        <v>1906</v>
      </c>
      <c r="AE478" s="112">
        <v>13.98</v>
      </c>
      <c r="AF478" s="112" t="s">
        <v>1906</v>
      </c>
      <c r="AG478" s="112">
        <v>0</v>
      </c>
      <c r="AH478" s="112"/>
      <c r="AI478" s="112">
        <v>0</v>
      </c>
      <c r="AJ478" s="112"/>
      <c r="AK478" s="112">
        <v>0</v>
      </c>
      <c r="AL478" s="112"/>
      <c r="AM478" s="112">
        <v>9.3000000000000007</v>
      </c>
      <c r="AN478" s="112" t="s">
        <v>1906</v>
      </c>
      <c r="AO478" s="112">
        <v>46.49</v>
      </c>
      <c r="AP478" s="112" t="s">
        <v>1906</v>
      </c>
      <c r="AQ478" s="112">
        <v>46.49</v>
      </c>
      <c r="AR478" s="112" t="s">
        <v>1906</v>
      </c>
      <c r="AS478" s="112">
        <v>46.49</v>
      </c>
      <c r="AT478" s="112" t="s">
        <v>1906</v>
      </c>
      <c r="AU478" s="112">
        <f t="shared" si="21"/>
        <v>355.35</v>
      </c>
      <c r="AV478" s="111">
        <v>0.15490000000000001</v>
      </c>
      <c r="AW478" s="111" t="s">
        <v>1904</v>
      </c>
      <c r="AX478" s="25"/>
      <c r="AY478" s="25"/>
      <c r="AZ478" s="25"/>
    </row>
    <row r="479" spans="1:52" ht="31.2" x14ac:dyDescent="0.3">
      <c r="A479" s="103">
        <v>469</v>
      </c>
      <c r="B479" s="109" t="s">
        <v>1148</v>
      </c>
      <c r="C479" s="30" t="s">
        <v>1899</v>
      </c>
      <c r="D479" s="110" t="s">
        <v>1900</v>
      </c>
      <c r="E479" s="110" t="s">
        <v>1917</v>
      </c>
      <c r="F479" s="30" t="s">
        <v>2703</v>
      </c>
      <c r="G479" s="26" t="s">
        <v>145</v>
      </c>
      <c r="H479" s="24" t="s">
        <v>146</v>
      </c>
      <c r="I479" s="109">
        <v>0</v>
      </c>
      <c r="J479" s="109" t="s">
        <v>1918</v>
      </c>
      <c r="K479" s="109">
        <v>57</v>
      </c>
      <c r="L479" s="109" t="s">
        <v>1919</v>
      </c>
      <c r="M479" s="109" t="s">
        <v>1904</v>
      </c>
      <c r="N479" s="109" t="s">
        <v>529</v>
      </c>
      <c r="O479" s="109" t="s">
        <v>1920</v>
      </c>
      <c r="P479" s="109" t="s">
        <v>1920</v>
      </c>
      <c r="Q479" s="102">
        <v>0</v>
      </c>
      <c r="R479" s="109" t="s">
        <v>1907</v>
      </c>
      <c r="S479" s="109" t="s">
        <v>1922</v>
      </c>
      <c r="T479" s="24"/>
      <c r="U479" s="111" t="s">
        <v>1923</v>
      </c>
      <c r="V479" s="111" t="s">
        <v>1923</v>
      </c>
      <c r="W479" s="112" t="s">
        <v>1956</v>
      </c>
      <c r="X479" s="112" t="s">
        <v>1906</v>
      </c>
      <c r="Y479" s="112" t="s">
        <v>1956</v>
      </c>
      <c r="Z479" s="112" t="s">
        <v>1906</v>
      </c>
      <c r="AA479" s="112" t="s">
        <v>1956</v>
      </c>
      <c r="AB479" s="112" t="s">
        <v>1906</v>
      </c>
      <c r="AC479" s="112">
        <v>18.86</v>
      </c>
      <c r="AD479" s="112" t="s">
        <v>1906</v>
      </c>
      <c r="AE479" s="112">
        <v>5.47</v>
      </c>
      <c r="AF479" s="112" t="s">
        <v>1906</v>
      </c>
      <c r="AG479" s="112">
        <v>0</v>
      </c>
      <c r="AH479" s="112"/>
      <c r="AI479" s="112">
        <v>0</v>
      </c>
      <c r="AJ479" s="112"/>
      <c r="AK479" s="112">
        <v>0</v>
      </c>
      <c r="AL479" s="112"/>
      <c r="AM479" s="112">
        <v>3.45</v>
      </c>
      <c r="AN479" s="112" t="s">
        <v>1906</v>
      </c>
      <c r="AO479" s="112">
        <v>18.899999999999999</v>
      </c>
      <c r="AP479" s="112" t="s">
        <v>1906</v>
      </c>
      <c r="AQ479" s="112">
        <v>17.260000000000002</v>
      </c>
      <c r="AR479" s="112" t="s">
        <v>1906</v>
      </c>
      <c r="AS479" s="112">
        <v>17.260000000000002</v>
      </c>
      <c r="AT479" s="112" t="s">
        <v>1906</v>
      </c>
      <c r="AU479" s="112">
        <f t="shared" si="21"/>
        <v>137.78</v>
      </c>
      <c r="AV479" s="111">
        <v>0.12436</v>
      </c>
      <c r="AW479" s="111" t="s">
        <v>1904</v>
      </c>
      <c r="AX479" s="25"/>
      <c r="AY479" s="25"/>
      <c r="AZ479" s="25"/>
    </row>
    <row r="480" spans="1:52" ht="31.2" x14ac:dyDescent="0.3">
      <c r="A480" s="103">
        <v>470</v>
      </c>
      <c r="B480" s="109" t="s">
        <v>1149</v>
      </c>
      <c r="C480" s="30" t="s">
        <v>1899</v>
      </c>
      <c r="D480" s="110" t="s">
        <v>1900</v>
      </c>
      <c r="E480" s="110" t="s">
        <v>1917</v>
      </c>
      <c r="F480" s="30" t="s">
        <v>2703</v>
      </c>
      <c r="G480" s="26" t="s">
        <v>145</v>
      </c>
      <c r="H480" s="24" t="s">
        <v>146</v>
      </c>
      <c r="I480" s="109">
        <v>1</v>
      </c>
      <c r="J480" s="109" t="s">
        <v>1918</v>
      </c>
      <c r="K480" s="109">
        <v>108</v>
      </c>
      <c r="L480" s="109" t="s">
        <v>1919</v>
      </c>
      <c r="M480" s="109" t="s">
        <v>1904</v>
      </c>
      <c r="N480" s="109" t="s">
        <v>529</v>
      </c>
      <c r="O480" s="109" t="s">
        <v>1920</v>
      </c>
      <c r="P480" s="109" t="s">
        <v>1921</v>
      </c>
      <c r="Q480" s="102">
        <v>0</v>
      </c>
      <c r="R480" s="109" t="s">
        <v>1907</v>
      </c>
      <c r="S480" s="109" t="s">
        <v>1922</v>
      </c>
      <c r="T480" s="24"/>
      <c r="U480" s="111" t="s">
        <v>1923</v>
      </c>
      <c r="V480" s="111" t="s">
        <v>1923</v>
      </c>
      <c r="W480" s="112" t="s">
        <v>1957</v>
      </c>
      <c r="X480" s="112" t="s">
        <v>208</v>
      </c>
      <c r="Y480" s="112" t="s">
        <v>1958</v>
      </c>
      <c r="Z480" s="112" t="s">
        <v>208</v>
      </c>
      <c r="AA480" s="112" t="s">
        <v>1959</v>
      </c>
      <c r="AB480" s="112" t="s">
        <v>208</v>
      </c>
      <c r="AC480" s="112">
        <v>62.9</v>
      </c>
      <c r="AD480" s="112" t="s">
        <v>208</v>
      </c>
      <c r="AE480" s="112">
        <v>30.24</v>
      </c>
      <c r="AF480" s="112" t="s">
        <v>208</v>
      </c>
      <c r="AG480" s="112">
        <v>0</v>
      </c>
      <c r="AH480" s="112"/>
      <c r="AI480" s="112">
        <v>0</v>
      </c>
      <c r="AJ480" s="112"/>
      <c r="AK480" s="112">
        <v>0</v>
      </c>
      <c r="AL480" s="112"/>
      <c r="AM480" s="112">
        <v>0</v>
      </c>
      <c r="AN480" s="112"/>
      <c r="AO480" s="112">
        <v>54.38</v>
      </c>
      <c r="AP480" s="112" t="s">
        <v>208</v>
      </c>
      <c r="AQ480" s="112">
        <v>70.7</v>
      </c>
      <c r="AR480" s="112" t="s">
        <v>208</v>
      </c>
      <c r="AS480" s="112">
        <v>100.76</v>
      </c>
      <c r="AT480" s="112" t="s">
        <v>208</v>
      </c>
      <c r="AU480" s="112">
        <f t="shared" si="21"/>
        <v>692.98</v>
      </c>
      <c r="AV480" s="111">
        <v>0.34626000000000001</v>
      </c>
      <c r="AW480" s="111" t="s">
        <v>1904</v>
      </c>
      <c r="AX480" s="25"/>
      <c r="AY480" s="25"/>
      <c r="AZ480" s="25"/>
    </row>
    <row r="481" spans="1:52" ht="31.2" x14ac:dyDescent="0.3">
      <c r="A481" s="103">
        <v>471</v>
      </c>
      <c r="B481" s="109" t="s">
        <v>1150</v>
      </c>
      <c r="C481" s="30" t="s">
        <v>1899</v>
      </c>
      <c r="D481" s="110" t="s">
        <v>1900</v>
      </c>
      <c r="E481" s="110" t="s">
        <v>1917</v>
      </c>
      <c r="F481" s="30" t="s">
        <v>2703</v>
      </c>
      <c r="G481" s="26" t="s">
        <v>145</v>
      </c>
      <c r="H481" s="24" t="s">
        <v>146</v>
      </c>
      <c r="I481" s="109">
        <v>1</v>
      </c>
      <c r="J481" s="109" t="s">
        <v>1918</v>
      </c>
      <c r="K481" s="109">
        <v>76</v>
      </c>
      <c r="L481" s="109" t="s">
        <v>1919</v>
      </c>
      <c r="M481" s="109" t="s">
        <v>1904</v>
      </c>
      <c r="N481" s="109" t="s">
        <v>529</v>
      </c>
      <c r="O481" s="109" t="s">
        <v>1920</v>
      </c>
      <c r="P481" s="109" t="s">
        <v>1921</v>
      </c>
      <c r="Q481" s="102">
        <v>0</v>
      </c>
      <c r="R481" s="109" t="s">
        <v>1907</v>
      </c>
      <c r="S481" s="109" t="s">
        <v>1922</v>
      </c>
      <c r="T481" s="24"/>
      <c r="U481" s="111" t="s">
        <v>1923</v>
      </c>
      <c r="V481" s="111" t="s">
        <v>1923</v>
      </c>
      <c r="W481" s="112" t="s">
        <v>1960</v>
      </c>
      <c r="X481" s="112" t="s">
        <v>208</v>
      </c>
      <c r="Y481" s="112" t="s">
        <v>1961</v>
      </c>
      <c r="Z481" s="112" t="s">
        <v>208</v>
      </c>
      <c r="AA481" s="112" t="s">
        <v>1962</v>
      </c>
      <c r="AB481" s="112" t="s">
        <v>208</v>
      </c>
      <c r="AC481" s="112">
        <v>18.09</v>
      </c>
      <c r="AD481" s="112" t="s">
        <v>208</v>
      </c>
      <c r="AE481" s="112">
        <v>8.85</v>
      </c>
      <c r="AF481" s="112" t="s">
        <v>208</v>
      </c>
      <c r="AG481" s="112">
        <v>0</v>
      </c>
      <c r="AH481" s="112"/>
      <c r="AI481" s="112">
        <v>0</v>
      </c>
      <c r="AJ481" s="112"/>
      <c r="AK481" s="112">
        <v>0</v>
      </c>
      <c r="AL481" s="112"/>
      <c r="AM481" s="112">
        <v>0</v>
      </c>
      <c r="AN481" s="112"/>
      <c r="AO481" s="112">
        <v>17.420000000000002</v>
      </c>
      <c r="AP481" s="112" t="s">
        <v>208</v>
      </c>
      <c r="AQ481" s="112">
        <v>9.5399999999999991</v>
      </c>
      <c r="AR481" s="112" t="s">
        <v>208</v>
      </c>
      <c r="AS481" s="112">
        <v>18.45</v>
      </c>
      <c r="AT481" s="112" t="s">
        <v>208</v>
      </c>
      <c r="AU481" s="112">
        <f t="shared" si="21"/>
        <v>159.78</v>
      </c>
      <c r="AV481" s="111">
        <v>0.14673</v>
      </c>
      <c r="AW481" s="111" t="s">
        <v>1904</v>
      </c>
      <c r="AX481" s="25"/>
      <c r="AY481" s="25"/>
      <c r="AZ481" s="25"/>
    </row>
    <row r="482" spans="1:52" ht="31.2" x14ac:dyDescent="0.3">
      <c r="A482" s="103">
        <v>472</v>
      </c>
      <c r="B482" s="109" t="s">
        <v>1152</v>
      </c>
      <c r="C482" s="30" t="s">
        <v>1899</v>
      </c>
      <c r="D482" s="110" t="s">
        <v>1900</v>
      </c>
      <c r="E482" s="110" t="s">
        <v>1917</v>
      </c>
      <c r="F482" s="30" t="s">
        <v>2703</v>
      </c>
      <c r="G482" s="26" t="s">
        <v>145</v>
      </c>
      <c r="H482" s="24" t="s">
        <v>146</v>
      </c>
      <c r="I482" s="109">
        <v>2</v>
      </c>
      <c r="J482" s="109" t="s">
        <v>1918</v>
      </c>
      <c r="K482" s="109">
        <v>76</v>
      </c>
      <c r="L482" s="109" t="s">
        <v>1919</v>
      </c>
      <c r="M482" s="109" t="s">
        <v>1904</v>
      </c>
      <c r="N482" s="109" t="s">
        <v>529</v>
      </c>
      <c r="O482" s="109" t="s">
        <v>1920</v>
      </c>
      <c r="P482" s="109" t="s">
        <v>1921</v>
      </c>
      <c r="Q482" s="102">
        <v>0</v>
      </c>
      <c r="R482" s="109" t="s">
        <v>1907</v>
      </c>
      <c r="S482" s="109" t="s">
        <v>1922</v>
      </c>
      <c r="T482" s="24"/>
      <c r="U482" s="111" t="s">
        <v>1923</v>
      </c>
      <c r="V482" s="111" t="s">
        <v>1923</v>
      </c>
      <c r="W482" s="112" t="s">
        <v>1963</v>
      </c>
      <c r="X482" s="112" t="s">
        <v>1906</v>
      </c>
      <c r="Y482" s="112" t="s">
        <v>1964</v>
      </c>
      <c r="Z482" s="112" t="s">
        <v>1906</v>
      </c>
      <c r="AA482" s="112" t="s">
        <v>1964</v>
      </c>
      <c r="AB482" s="112" t="s">
        <v>1906</v>
      </c>
      <c r="AC482" s="112">
        <v>109.67</v>
      </c>
      <c r="AD482" s="112" t="s">
        <v>1906</v>
      </c>
      <c r="AE482" s="112">
        <v>31.84</v>
      </c>
      <c r="AF482" s="112" t="s">
        <v>1906</v>
      </c>
      <c r="AG482" s="112">
        <v>0</v>
      </c>
      <c r="AH482" s="112"/>
      <c r="AI482" s="112">
        <v>0</v>
      </c>
      <c r="AJ482" s="112"/>
      <c r="AK482" s="112">
        <v>0</v>
      </c>
      <c r="AL482" s="112"/>
      <c r="AM482" s="112">
        <v>21.03</v>
      </c>
      <c r="AN482" s="112" t="s">
        <v>1906</v>
      </c>
      <c r="AO482" s="112">
        <v>106.99</v>
      </c>
      <c r="AP482" s="112" t="s">
        <v>1906</v>
      </c>
      <c r="AQ482" s="112">
        <v>105.13</v>
      </c>
      <c r="AR482" s="112" t="s">
        <v>1906</v>
      </c>
      <c r="AS482" s="112">
        <v>105.13</v>
      </c>
      <c r="AT482" s="112" t="s">
        <v>1906</v>
      </c>
      <c r="AU482" s="112">
        <f t="shared" si="21"/>
        <v>809.73</v>
      </c>
      <c r="AV482" s="111">
        <v>0.37446000000000002</v>
      </c>
      <c r="AW482" s="111" t="s">
        <v>1904</v>
      </c>
      <c r="AX482" s="25"/>
      <c r="AY482" s="25"/>
      <c r="AZ482" s="25"/>
    </row>
    <row r="483" spans="1:52" ht="31.2" x14ac:dyDescent="0.3">
      <c r="A483" s="103">
        <v>473</v>
      </c>
      <c r="B483" s="109" t="s">
        <v>1154</v>
      </c>
      <c r="C483" s="109" t="s">
        <v>1965</v>
      </c>
      <c r="D483" s="110" t="s">
        <v>1900</v>
      </c>
      <c r="E483" s="110" t="s">
        <v>1917</v>
      </c>
      <c r="F483" s="30" t="s">
        <v>2703</v>
      </c>
      <c r="G483" s="26" t="s">
        <v>145</v>
      </c>
      <c r="H483" s="24" t="s">
        <v>146</v>
      </c>
      <c r="I483" s="109">
        <v>0</v>
      </c>
      <c r="J483" s="109" t="s">
        <v>1918</v>
      </c>
      <c r="K483" s="109"/>
      <c r="L483" s="109" t="s">
        <v>1919</v>
      </c>
      <c r="M483" s="109" t="s">
        <v>1904</v>
      </c>
      <c r="N483" s="109" t="s">
        <v>529</v>
      </c>
      <c r="O483" s="109" t="s">
        <v>1920</v>
      </c>
      <c r="P483" s="109" t="s">
        <v>1920</v>
      </c>
      <c r="Q483" s="102">
        <v>0</v>
      </c>
      <c r="R483" s="109" t="s">
        <v>1907</v>
      </c>
      <c r="S483" s="109" t="s">
        <v>1922</v>
      </c>
      <c r="T483" s="24"/>
      <c r="U483" s="111" t="s">
        <v>1923</v>
      </c>
      <c r="V483" s="111" t="s">
        <v>1923</v>
      </c>
      <c r="W483" s="112">
        <v>53.12</v>
      </c>
      <c r="X483" s="112" t="s">
        <v>1906</v>
      </c>
      <c r="Y483" s="112">
        <v>52.04</v>
      </c>
      <c r="Z483" s="112" t="s">
        <v>1906</v>
      </c>
      <c r="AA483" s="112">
        <v>52.81</v>
      </c>
      <c r="AB483" s="112" t="s">
        <v>1906</v>
      </c>
      <c r="AC483" s="112">
        <v>52.04</v>
      </c>
      <c r="AD483" s="112" t="s">
        <v>1906</v>
      </c>
      <c r="AE483" s="112">
        <v>52.04</v>
      </c>
      <c r="AF483" s="112" t="s">
        <v>1906</v>
      </c>
      <c r="AG483" s="112">
        <v>0</v>
      </c>
      <c r="AH483" s="112"/>
      <c r="AI483" s="112">
        <v>0</v>
      </c>
      <c r="AJ483" s="112"/>
      <c r="AK483" s="112">
        <v>0</v>
      </c>
      <c r="AL483" s="112"/>
      <c r="AM483" s="112">
        <v>0</v>
      </c>
      <c r="AN483" s="112"/>
      <c r="AO483" s="112">
        <v>52.04</v>
      </c>
      <c r="AP483" s="112" t="s">
        <v>1906</v>
      </c>
      <c r="AQ483" s="112">
        <v>52.81</v>
      </c>
      <c r="AR483" s="112" t="s">
        <v>1906</v>
      </c>
      <c r="AS483" s="112">
        <v>52.81</v>
      </c>
      <c r="AT483" s="112" t="s">
        <v>1906</v>
      </c>
      <c r="AU483" s="112">
        <f t="shared" si="21"/>
        <v>419.71000000000004</v>
      </c>
      <c r="AV483" s="111">
        <v>0.17865</v>
      </c>
      <c r="AW483" s="111" t="s">
        <v>1904</v>
      </c>
      <c r="AX483" s="25"/>
      <c r="AY483" s="25"/>
      <c r="AZ483" s="25"/>
    </row>
    <row r="484" spans="1:52" ht="31.2" x14ac:dyDescent="0.3">
      <c r="A484" s="103">
        <v>474</v>
      </c>
      <c r="B484" s="109" t="s">
        <v>1156</v>
      </c>
      <c r="C484" s="30" t="s">
        <v>1899</v>
      </c>
      <c r="D484" s="110" t="s">
        <v>1900</v>
      </c>
      <c r="E484" s="110" t="s">
        <v>1917</v>
      </c>
      <c r="F484" s="30" t="s">
        <v>2703</v>
      </c>
      <c r="G484" s="95" t="s">
        <v>145</v>
      </c>
      <c r="H484" s="96" t="s">
        <v>146</v>
      </c>
      <c r="I484" s="109">
        <v>1</v>
      </c>
      <c r="J484" s="109" t="s">
        <v>1918</v>
      </c>
      <c r="K484" s="109">
        <v>108</v>
      </c>
      <c r="L484" s="109" t="s">
        <v>1919</v>
      </c>
      <c r="M484" s="109" t="s">
        <v>1904</v>
      </c>
      <c r="N484" s="109" t="s">
        <v>529</v>
      </c>
      <c r="O484" s="109" t="s">
        <v>1920</v>
      </c>
      <c r="P484" s="109" t="s">
        <v>1921</v>
      </c>
      <c r="Q484" s="102">
        <v>0</v>
      </c>
      <c r="R484" s="109" t="s">
        <v>1907</v>
      </c>
      <c r="S484" s="109" t="s">
        <v>1922</v>
      </c>
      <c r="T484" s="96"/>
      <c r="U484" s="111" t="s">
        <v>1923</v>
      </c>
      <c r="V484" s="111" t="s">
        <v>1923</v>
      </c>
      <c r="W484" s="112" t="s">
        <v>1966</v>
      </c>
      <c r="X484" s="112" t="s">
        <v>1906</v>
      </c>
      <c r="Y484" s="112" t="s">
        <v>1966</v>
      </c>
      <c r="Z484" s="112" t="s">
        <v>1906</v>
      </c>
      <c r="AA484" s="112" t="s">
        <v>1966</v>
      </c>
      <c r="AB484" s="112" t="s">
        <v>1906</v>
      </c>
      <c r="AC484" s="112">
        <v>75.22</v>
      </c>
      <c r="AD484" s="112" t="s">
        <v>1906</v>
      </c>
      <c r="AE484" s="112">
        <v>21.84</v>
      </c>
      <c r="AF484" s="112" t="s">
        <v>1906</v>
      </c>
      <c r="AG484" s="112">
        <v>0</v>
      </c>
      <c r="AH484" s="112"/>
      <c r="AI484" s="112">
        <v>0</v>
      </c>
      <c r="AJ484" s="112"/>
      <c r="AK484" s="112">
        <v>0</v>
      </c>
      <c r="AL484" s="112"/>
      <c r="AM484" s="112">
        <v>17.010000000000002</v>
      </c>
      <c r="AN484" s="112" t="s">
        <v>1906</v>
      </c>
      <c r="AO484" s="112">
        <v>72.88</v>
      </c>
      <c r="AP484" s="112" t="s">
        <v>1906</v>
      </c>
      <c r="AQ484" s="112">
        <v>72.88</v>
      </c>
      <c r="AR484" s="112" t="s">
        <v>1906</v>
      </c>
      <c r="AS484" s="112">
        <v>72.88</v>
      </c>
      <c r="AT484" s="112" t="s">
        <v>1906</v>
      </c>
      <c r="AU484" s="112">
        <f t="shared" si="21"/>
        <v>558.36999999999989</v>
      </c>
      <c r="AV484" s="111">
        <v>0.23068</v>
      </c>
      <c r="AW484" s="111" t="s">
        <v>1904</v>
      </c>
      <c r="AX484" s="113"/>
      <c r="AY484" s="113"/>
      <c r="AZ484" s="113"/>
    </row>
    <row r="485" spans="1:52" ht="31.2" x14ac:dyDescent="0.3">
      <c r="A485" s="103">
        <v>475</v>
      </c>
      <c r="B485" s="109" t="s">
        <v>1159</v>
      </c>
      <c r="C485" s="30" t="s">
        <v>1899</v>
      </c>
      <c r="D485" s="110" t="s">
        <v>1900</v>
      </c>
      <c r="E485" s="110" t="s">
        <v>1917</v>
      </c>
      <c r="F485" s="30" t="s">
        <v>2703</v>
      </c>
      <c r="G485" s="26" t="s">
        <v>145</v>
      </c>
      <c r="H485" s="24" t="s">
        <v>146</v>
      </c>
      <c r="I485" s="109">
        <v>1</v>
      </c>
      <c r="J485" s="109" t="s">
        <v>1918</v>
      </c>
      <c r="K485" s="109">
        <v>50</v>
      </c>
      <c r="L485" s="109" t="s">
        <v>1919</v>
      </c>
      <c r="M485" s="109" t="s">
        <v>1904</v>
      </c>
      <c r="N485" s="109" t="s">
        <v>529</v>
      </c>
      <c r="O485" s="109" t="s">
        <v>1920</v>
      </c>
      <c r="P485" s="109" t="s">
        <v>1921</v>
      </c>
      <c r="Q485" s="102">
        <v>0</v>
      </c>
      <c r="R485" s="109" t="s">
        <v>1907</v>
      </c>
      <c r="S485" s="109" t="s">
        <v>1922</v>
      </c>
      <c r="T485" s="25"/>
      <c r="U485" s="111" t="s">
        <v>1923</v>
      </c>
      <c r="V485" s="111" t="s">
        <v>1923</v>
      </c>
      <c r="W485" s="112" t="s">
        <v>1967</v>
      </c>
      <c r="X485" s="112" t="s">
        <v>1906</v>
      </c>
      <c r="Y485" s="112" t="s">
        <v>1968</v>
      </c>
      <c r="Z485" s="112" t="s">
        <v>1906</v>
      </c>
      <c r="AA485" s="112" t="s">
        <v>1969</v>
      </c>
      <c r="AB485" s="112" t="s">
        <v>1906</v>
      </c>
      <c r="AC485" s="112">
        <v>38.53</v>
      </c>
      <c r="AD485" s="112" t="s">
        <v>1906</v>
      </c>
      <c r="AE485" s="112">
        <v>21.47</v>
      </c>
      <c r="AF485" s="112" t="s">
        <v>1906</v>
      </c>
      <c r="AG485" s="112">
        <v>0</v>
      </c>
      <c r="AH485" s="112"/>
      <c r="AI485" s="112">
        <v>0</v>
      </c>
      <c r="AJ485" s="112"/>
      <c r="AK485" s="112">
        <v>0</v>
      </c>
      <c r="AL485" s="112"/>
      <c r="AM485" s="112">
        <v>0</v>
      </c>
      <c r="AN485" s="112"/>
      <c r="AO485" s="112">
        <v>32.89</v>
      </c>
      <c r="AP485" s="112" t="s">
        <v>208</v>
      </c>
      <c r="AQ485" s="112">
        <v>38.869999999999997</v>
      </c>
      <c r="AR485" s="112" t="s">
        <v>208</v>
      </c>
      <c r="AS485" s="112">
        <v>60.64</v>
      </c>
      <c r="AT485" s="112" t="s">
        <v>208</v>
      </c>
      <c r="AU485" s="112">
        <f t="shared" si="21"/>
        <v>442.94000000000005</v>
      </c>
      <c r="AV485" s="111">
        <v>0.26213999999999998</v>
      </c>
      <c r="AW485" s="111" t="s">
        <v>1904</v>
      </c>
      <c r="AX485" s="25"/>
      <c r="AY485" s="25"/>
      <c r="AZ485" s="25"/>
    </row>
    <row r="486" spans="1:52" ht="31.2" x14ac:dyDescent="0.3">
      <c r="A486" s="103">
        <v>476</v>
      </c>
      <c r="B486" s="109" t="s">
        <v>1160</v>
      </c>
      <c r="C486" s="30" t="s">
        <v>1899</v>
      </c>
      <c r="D486" s="110" t="s">
        <v>1900</v>
      </c>
      <c r="E486" s="110" t="s">
        <v>1917</v>
      </c>
      <c r="F486" s="30" t="s">
        <v>2703</v>
      </c>
      <c r="G486" s="26" t="s">
        <v>145</v>
      </c>
      <c r="H486" s="24" t="s">
        <v>146</v>
      </c>
      <c r="I486" s="109">
        <v>1</v>
      </c>
      <c r="J486" s="109" t="s">
        <v>1918</v>
      </c>
      <c r="K486" s="109">
        <v>50</v>
      </c>
      <c r="L486" s="109" t="s">
        <v>1919</v>
      </c>
      <c r="M486" s="109" t="s">
        <v>1904</v>
      </c>
      <c r="N486" s="109" t="s">
        <v>529</v>
      </c>
      <c r="O486" s="109" t="s">
        <v>1920</v>
      </c>
      <c r="P486" s="109" t="s">
        <v>1921</v>
      </c>
      <c r="Q486" s="102">
        <v>0</v>
      </c>
      <c r="R486" s="109" t="s">
        <v>1907</v>
      </c>
      <c r="S486" s="109" t="s">
        <v>1922</v>
      </c>
      <c r="T486" s="25"/>
      <c r="U486" s="111" t="s">
        <v>1923</v>
      </c>
      <c r="V486" s="111" t="s">
        <v>1923</v>
      </c>
      <c r="W486" s="112" t="s">
        <v>1967</v>
      </c>
      <c r="X486" s="112" t="s">
        <v>1906</v>
      </c>
      <c r="Y486" s="112" t="s">
        <v>1968</v>
      </c>
      <c r="Z486" s="112" t="s">
        <v>1906</v>
      </c>
      <c r="AA486" s="112" t="s">
        <v>1969</v>
      </c>
      <c r="AB486" s="112" t="s">
        <v>1906</v>
      </c>
      <c r="AC486" s="112">
        <v>38.53</v>
      </c>
      <c r="AD486" s="112" t="s">
        <v>1906</v>
      </c>
      <c r="AE486" s="112">
        <v>21.47</v>
      </c>
      <c r="AF486" s="112" t="s">
        <v>1906</v>
      </c>
      <c r="AG486" s="112">
        <v>0</v>
      </c>
      <c r="AH486" s="112"/>
      <c r="AI486" s="112">
        <v>0</v>
      </c>
      <c r="AJ486" s="112"/>
      <c r="AK486" s="112">
        <v>0</v>
      </c>
      <c r="AL486" s="112"/>
      <c r="AM486" s="112">
        <v>0</v>
      </c>
      <c r="AN486" s="112"/>
      <c r="AO486" s="112">
        <v>32.89</v>
      </c>
      <c r="AP486" s="112" t="s">
        <v>208</v>
      </c>
      <c r="AQ486" s="112">
        <v>38.869999999999997</v>
      </c>
      <c r="AR486" s="112" t="s">
        <v>208</v>
      </c>
      <c r="AS486" s="112">
        <v>60.64</v>
      </c>
      <c r="AT486" s="112" t="s">
        <v>208</v>
      </c>
      <c r="AU486" s="112">
        <f t="shared" si="21"/>
        <v>442.94000000000005</v>
      </c>
      <c r="AV486" s="111">
        <v>0.26213999999999998</v>
      </c>
      <c r="AW486" s="111" t="s">
        <v>1904</v>
      </c>
      <c r="AX486" s="25"/>
      <c r="AY486" s="25"/>
      <c r="AZ486" s="25"/>
    </row>
    <row r="487" spans="1:52" ht="31.2" x14ac:dyDescent="0.3">
      <c r="A487" s="103">
        <v>477</v>
      </c>
      <c r="B487" s="109" t="s">
        <v>1162</v>
      </c>
      <c r="C487" s="30" t="s">
        <v>1899</v>
      </c>
      <c r="D487" s="110" t="s">
        <v>1900</v>
      </c>
      <c r="E487" s="110" t="s">
        <v>1917</v>
      </c>
      <c r="F487" s="30" t="s">
        <v>2703</v>
      </c>
      <c r="G487" s="26" t="s">
        <v>145</v>
      </c>
      <c r="H487" s="24" t="s">
        <v>146</v>
      </c>
      <c r="I487" s="109">
        <v>1</v>
      </c>
      <c r="J487" s="109" t="s">
        <v>1918</v>
      </c>
      <c r="K487" s="109">
        <v>50</v>
      </c>
      <c r="L487" s="109" t="s">
        <v>1919</v>
      </c>
      <c r="M487" s="109" t="s">
        <v>1904</v>
      </c>
      <c r="N487" s="109" t="s">
        <v>529</v>
      </c>
      <c r="O487" s="109" t="s">
        <v>1920</v>
      </c>
      <c r="P487" s="109" t="s">
        <v>1921</v>
      </c>
      <c r="Q487" s="102">
        <v>0</v>
      </c>
      <c r="R487" s="109" t="s">
        <v>1907</v>
      </c>
      <c r="S487" s="109" t="s">
        <v>1922</v>
      </c>
      <c r="T487" s="25"/>
      <c r="U487" s="111" t="s">
        <v>1923</v>
      </c>
      <c r="V487" s="111" t="s">
        <v>1923</v>
      </c>
      <c r="W487" s="112" t="s">
        <v>1970</v>
      </c>
      <c r="X487" s="112" t="s">
        <v>1906</v>
      </c>
      <c r="Y487" s="112" t="s">
        <v>1970</v>
      </c>
      <c r="Z487" s="112" t="s">
        <v>1906</v>
      </c>
      <c r="AA487" s="112" t="s">
        <v>1970</v>
      </c>
      <c r="AB487" s="112" t="s">
        <v>1906</v>
      </c>
      <c r="AC487" s="112">
        <v>70.53</v>
      </c>
      <c r="AD487" s="112" t="s">
        <v>1906</v>
      </c>
      <c r="AE487" s="112">
        <v>20.47</v>
      </c>
      <c r="AF487" s="112" t="s">
        <v>1906</v>
      </c>
      <c r="AG487" s="112">
        <v>0</v>
      </c>
      <c r="AH487" s="112"/>
      <c r="AI487" s="112">
        <v>0</v>
      </c>
      <c r="AJ487" s="112"/>
      <c r="AK487" s="112">
        <v>0</v>
      </c>
      <c r="AL487" s="112"/>
      <c r="AM487" s="112">
        <v>0</v>
      </c>
      <c r="AN487" s="112"/>
      <c r="AO487" s="112">
        <v>72.3</v>
      </c>
      <c r="AP487" s="112" t="s">
        <v>1906</v>
      </c>
      <c r="AQ487" s="112">
        <v>71.989999999999995</v>
      </c>
      <c r="AR487" s="112" t="s">
        <v>1906</v>
      </c>
      <c r="AS487" s="112">
        <v>71.989999999999995</v>
      </c>
      <c r="AT487" s="112" t="s">
        <v>1906</v>
      </c>
      <c r="AU487" s="112">
        <f t="shared" si="21"/>
        <v>518.87</v>
      </c>
      <c r="AV487" s="111">
        <v>0.27146999999999999</v>
      </c>
      <c r="AW487" s="111" t="s">
        <v>1904</v>
      </c>
      <c r="AX487" s="25"/>
      <c r="AY487" s="25"/>
      <c r="AZ487" s="25"/>
    </row>
    <row r="488" spans="1:52" ht="31.2" x14ac:dyDescent="0.3">
      <c r="A488" s="103">
        <v>478</v>
      </c>
      <c r="B488" s="109" t="s">
        <v>1163</v>
      </c>
      <c r="C488" s="30" t="s">
        <v>1899</v>
      </c>
      <c r="D488" s="110" t="s">
        <v>1900</v>
      </c>
      <c r="E488" s="110" t="s">
        <v>1917</v>
      </c>
      <c r="F488" s="30" t="s">
        <v>2703</v>
      </c>
      <c r="G488" s="26" t="s">
        <v>145</v>
      </c>
      <c r="H488" s="24" t="s">
        <v>146</v>
      </c>
      <c r="I488" s="109">
        <v>0</v>
      </c>
      <c r="J488" s="109" t="s">
        <v>1918</v>
      </c>
      <c r="K488" s="109">
        <v>50</v>
      </c>
      <c r="L488" s="109" t="s">
        <v>1919</v>
      </c>
      <c r="M488" s="109" t="s">
        <v>1904</v>
      </c>
      <c r="N488" s="109" t="s">
        <v>529</v>
      </c>
      <c r="O488" s="109" t="s">
        <v>1920</v>
      </c>
      <c r="P488" s="109" t="s">
        <v>1920</v>
      </c>
      <c r="Q488" s="102">
        <v>0</v>
      </c>
      <c r="R488" s="109" t="s">
        <v>1907</v>
      </c>
      <c r="S488" s="109" t="s">
        <v>1922</v>
      </c>
      <c r="T488" s="25"/>
      <c r="U488" s="111" t="s">
        <v>1923</v>
      </c>
      <c r="V488" s="111" t="s">
        <v>1923</v>
      </c>
      <c r="W488" s="112" t="s">
        <v>1971</v>
      </c>
      <c r="X488" s="112" t="s">
        <v>1906</v>
      </c>
      <c r="Y488" s="112" t="s">
        <v>1971</v>
      </c>
      <c r="Z488" s="112" t="s">
        <v>1906</v>
      </c>
      <c r="AA488" s="112" t="s">
        <v>1971</v>
      </c>
      <c r="AB488" s="112" t="s">
        <v>1906</v>
      </c>
      <c r="AC488" s="112">
        <v>34.4</v>
      </c>
      <c r="AD488" s="112" t="s">
        <v>1906</v>
      </c>
      <c r="AE488" s="112">
        <v>9.99</v>
      </c>
      <c r="AF488" s="112" t="s">
        <v>1906</v>
      </c>
      <c r="AG488" s="112">
        <v>0</v>
      </c>
      <c r="AH488" s="112"/>
      <c r="AI488" s="112">
        <v>0</v>
      </c>
      <c r="AJ488" s="112"/>
      <c r="AK488" s="112">
        <v>0</v>
      </c>
      <c r="AL488" s="112"/>
      <c r="AM488" s="112">
        <v>5.4</v>
      </c>
      <c r="AN488" s="112" t="s">
        <v>1906</v>
      </c>
      <c r="AO488" s="112">
        <v>27</v>
      </c>
      <c r="AP488" s="112" t="s">
        <v>1906</v>
      </c>
      <c r="AQ488" s="112">
        <v>27</v>
      </c>
      <c r="AR488" s="112" t="s">
        <v>1906</v>
      </c>
      <c r="AS488" s="112">
        <v>27</v>
      </c>
      <c r="AT488" s="112" t="s">
        <v>1906</v>
      </c>
      <c r="AU488" s="112">
        <f t="shared" si="21"/>
        <v>233.99</v>
      </c>
      <c r="AV488" s="111">
        <v>0.10338</v>
      </c>
      <c r="AW488" s="111" t="s">
        <v>1904</v>
      </c>
      <c r="AX488" s="25"/>
      <c r="AY488" s="25"/>
      <c r="AZ488" s="25"/>
    </row>
    <row r="489" spans="1:52" ht="31.2" x14ac:dyDescent="0.3">
      <c r="A489" s="103">
        <v>479</v>
      </c>
      <c r="B489" s="109" t="s">
        <v>1165</v>
      </c>
      <c r="C489" s="30" t="s">
        <v>1899</v>
      </c>
      <c r="D489" s="110" t="s">
        <v>1900</v>
      </c>
      <c r="E489" s="110" t="s">
        <v>1917</v>
      </c>
      <c r="F489" s="30" t="s">
        <v>2703</v>
      </c>
      <c r="G489" s="26" t="s">
        <v>145</v>
      </c>
      <c r="H489" s="24" t="s">
        <v>146</v>
      </c>
      <c r="I489" s="109">
        <v>1</v>
      </c>
      <c r="J489" s="109" t="s">
        <v>1918</v>
      </c>
      <c r="K489" s="109">
        <v>50</v>
      </c>
      <c r="L489" s="109" t="s">
        <v>1919</v>
      </c>
      <c r="M489" s="109" t="s">
        <v>1904</v>
      </c>
      <c r="N489" s="109" t="s">
        <v>529</v>
      </c>
      <c r="O489" s="109" t="s">
        <v>1920</v>
      </c>
      <c r="P489" s="109" t="s">
        <v>1921</v>
      </c>
      <c r="Q489" s="102">
        <v>0</v>
      </c>
      <c r="R489" s="109" t="s">
        <v>1907</v>
      </c>
      <c r="S489" s="109" t="s">
        <v>1922</v>
      </c>
      <c r="T489" s="25"/>
      <c r="U489" s="111" t="s">
        <v>1923</v>
      </c>
      <c r="V489" s="111" t="s">
        <v>1923</v>
      </c>
      <c r="W489" s="112" t="s">
        <v>1972</v>
      </c>
      <c r="X489" s="112" t="s">
        <v>1906</v>
      </c>
      <c r="Y489" s="112" t="s">
        <v>1973</v>
      </c>
      <c r="Z489" s="112" t="s">
        <v>1906</v>
      </c>
      <c r="AA489" s="112" t="s">
        <v>1974</v>
      </c>
      <c r="AB489" s="112" t="s">
        <v>1906</v>
      </c>
      <c r="AC489" s="112">
        <v>47.73</v>
      </c>
      <c r="AD489" s="112" t="s">
        <v>1906</v>
      </c>
      <c r="AE489" s="112">
        <v>27.19</v>
      </c>
      <c r="AF489" s="112" t="s">
        <v>1906</v>
      </c>
      <c r="AG489" s="112">
        <v>0</v>
      </c>
      <c r="AH489" s="112"/>
      <c r="AI489" s="112">
        <v>0</v>
      </c>
      <c r="AJ489" s="112"/>
      <c r="AK489" s="112">
        <v>0</v>
      </c>
      <c r="AL489" s="112"/>
      <c r="AM489" s="112">
        <v>0</v>
      </c>
      <c r="AN489" s="112"/>
      <c r="AO489" s="112">
        <v>41.1</v>
      </c>
      <c r="AP489" s="112" t="s">
        <v>208</v>
      </c>
      <c r="AQ489" s="112">
        <v>49.44</v>
      </c>
      <c r="AR489" s="112" t="s">
        <v>208</v>
      </c>
      <c r="AS489" s="112">
        <v>74</v>
      </c>
      <c r="AT489" s="112" t="s">
        <v>208</v>
      </c>
      <c r="AU489" s="112">
        <f t="shared" si="21"/>
        <v>547.42000000000007</v>
      </c>
      <c r="AV489" s="111">
        <v>0.26798</v>
      </c>
      <c r="AW489" s="111" t="s">
        <v>1904</v>
      </c>
      <c r="AX489" s="25"/>
      <c r="AY489" s="25"/>
      <c r="AZ489" s="25"/>
    </row>
    <row r="490" spans="1:52" ht="31.2" x14ac:dyDescent="0.3">
      <c r="A490" s="103">
        <v>480</v>
      </c>
      <c r="B490" s="109" t="s">
        <v>1167</v>
      </c>
      <c r="C490" s="30" t="s">
        <v>1899</v>
      </c>
      <c r="D490" s="110" t="s">
        <v>1900</v>
      </c>
      <c r="E490" s="110" t="s">
        <v>1917</v>
      </c>
      <c r="F490" s="30" t="s">
        <v>2703</v>
      </c>
      <c r="G490" s="26" t="s">
        <v>145</v>
      </c>
      <c r="H490" s="24" t="s">
        <v>146</v>
      </c>
      <c r="I490" s="109">
        <v>0</v>
      </c>
      <c r="J490" s="109" t="s">
        <v>1918</v>
      </c>
      <c r="K490" s="109">
        <v>50</v>
      </c>
      <c r="L490" s="109" t="s">
        <v>1919</v>
      </c>
      <c r="M490" s="109" t="s">
        <v>1904</v>
      </c>
      <c r="N490" s="109" t="s">
        <v>529</v>
      </c>
      <c r="O490" s="109" t="s">
        <v>1920</v>
      </c>
      <c r="P490" s="109" t="s">
        <v>1920</v>
      </c>
      <c r="Q490" s="102">
        <v>0</v>
      </c>
      <c r="R490" s="109" t="s">
        <v>1907</v>
      </c>
      <c r="S490" s="109" t="s">
        <v>1922</v>
      </c>
      <c r="T490" s="25"/>
      <c r="U490" s="111" t="s">
        <v>1923</v>
      </c>
      <c r="V490" s="111" t="s">
        <v>1923</v>
      </c>
      <c r="W490" s="112" t="s">
        <v>1975</v>
      </c>
      <c r="X490" s="112" t="s">
        <v>1906</v>
      </c>
      <c r="Y490" s="112" t="s">
        <v>1975</v>
      </c>
      <c r="Z490" s="112" t="s">
        <v>1906</v>
      </c>
      <c r="AA490" s="112" t="s">
        <v>1975</v>
      </c>
      <c r="AB490" s="112" t="s">
        <v>1906</v>
      </c>
      <c r="AC490" s="112">
        <v>47.05</v>
      </c>
      <c r="AD490" s="112" t="s">
        <v>1906</v>
      </c>
      <c r="AE490" s="112">
        <v>13.66</v>
      </c>
      <c r="AF490" s="112" t="s">
        <v>1906</v>
      </c>
      <c r="AG490" s="112">
        <v>0</v>
      </c>
      <c r="AH490" s="112"/>
      <c r="AI490" s="112">
        <v>0</v>
      </c>
      <c r="AJ490" s="112"/>
      <c r="AK490" s="112">
        <v>0</v>
      </c>
      <c r="AL490" s="112"/>
      <c r="AM490" s="112">
        <v>8.6300000000000008</v>
      </c>
      <c r="AN490" s="112" t="s">
        <v>1906</v>
      </c>
      <c r="AO490" s="112">
        <v>43.16</v>
      </c>
      <c r="AP490" s="112" t="s">
        <v>1906</v>
      </c>
      <c r="AQ490" s="112">
        <v>43.16</v>
      </c>
      <c r="AR490" s="112" t="s">
        <v>1906</v>
      </c>
      <c r="AS490" s="112">
        <v>43.16</v>
      </c>
      <c r="AT490" s="112" t="s">
        <v>1906</v>
      </c>
      <c r="AU490" s="112">
        <f t="shared" si="21"/>
        <v>339.96999999999991</v>
      </c>
      <c r="AV490" s="111">
        <v>0.15557000000000001</v>
      </c>
      <c r="AW490" s="111" t="s">
        <v>1904</v>
      </c>
      <c r="AX490" s="25"/>
      <c r="AY490" s="25"/>
      <c r="AZ490" s="25"/>
    </row>
    <row r="491" spans="1:52" ht="31.2" x14ac:dyDescent="0.3">
      <c r="A491" s="103">
        <v>481</v>
      </c>
      <c r="B491" s="109" t="s">
        <v>1170</v>
      </c>
      <c r="C491" s="30" t="s">
        <v>1899</v>
      </c>
      <c r="D491" s="110" t="s">
        <v>1900</v>
      </c>
      <c r="E491" s="110" t="s">
        <v>1917</v>
      </c>
      <c r="F491" s="30" t="s">
        <v>2703</v>
      </c>
      <c r="G491" s="26" t="s">
        <v>145</v>
      </c>
      <c r="H491" s="24" t="s">
        <v>146</v>
      </c>
      <c r="I491" s="109">
        <v>1</v>
      </c>
      <c r="J491" s="109" t="s">
        <v>1918</v>
      </c>
      <c r="K491" s="109">
        <v>100</v>
      </c>
      <c r="L491" s="109" t="s">
        <v>1919</v>
      </c>
      <c r="M491" s="109" t="s">
        <v>1904</v>
      </c>
      <c r="N491" s="109" t="s">
        <v>529</v>
      </c>
      <c r="O491" s="109" t="s">
        <v>1920</v>
      </c>
      <c r="P491" s="109" t="s">
        <v>1921</v>
      </c>
      <c r="Q491" s="102">
        <v>0</v>
      </c>
      <c r="R491" s="109" t="s">
        <v>1907</v>
      </c>
      <c r="S491" s="109" t="s">
        <v>1922</v>
      </c>
      <c r="T491" s="25"/>
      <c r="U491" s="111" t="s">
        <v>1923</v>
      </c>
      <c r="V491" s="111" t="s">
        <v>1923</v>
      </c>
      <c r="W491" s="112" t="s">
        <v>1976</v>
      </c>
      <c r="X491" s="112" t="s">
        <v>208</v>
      </c>
      <c r="Y491" s="112" t="s">
        <v>1977</v>
      </c>
      <c r="Z491" s="112" t="s">
        <v>208</v>
      </c>
      <c r="AA491" s="112" t="s">
        <v>1978</v>
      </c>
      <c r="AB491" s="112" t="s">
        <v>208</v>
      </c>
      <c r="AC491" s="112">
        <v>41.61</v>
      </c>
      <c r="AD491" s="112" t="s">
        <v>208</v>
      </c>
      <c r="AE491" s="112">
        <v>23.49</v>
      </c>
      <c r="AF491" s="112" t="s">
        <v>208</v>
      </c>
      <c r="AG491" s="112">
        <v>0</v>
      </c>
      <c r="AH491" s="112"/>
      <c r="AI491" s="112">
        <v>0</v>
      </c>
      <c r="AJ491" s="112"/>
      <c r="AK491" s="112">
        <v>0</v>
      </c>
      <c r="AL491" s="112"/>
      <c r="AM491" s="112">
        <v>0</v>
      </c>
      <c r="AN491" s="112"/>
      <c r="AO491" s="112">
        <v>38.119999999999997</v>
      </c>
      <c r="AP491" s="112" t="s">
        <v>208</v>
      </c>
      <c r="AQ491" s="112">
        <v>45.52</v>
      </c>
      <c r="AR491" s="112" t="s">
        <v>208</v>
      </c>
      <c r="AS491" s="112">
        <v>60.5</v>
      </c>
      <c r="AT491" s="112" t="s">
        <v>208</v>
      </c>
      <c r="AU491" s="112">
        <f t="shared" si="21"/>
        <v>479.07000000000005</v>
      </c>
      <c r="AV491" s="111">
        <v>0.25694</v>
      </c>
      <c r="AW491" s="111" t="s">
        <v>1904</v>
      </c>
      <c r="AX491" s="25"/>
      <c r="AY491" s="25"/>
      <c r="AZ491" s="25"/>
    </row>
    <row r="492" spans="1:52" ht="31.2" x14ac:dyDescent="0.3">
      <c r="A492" s="103">
        <v>482</v>
      </c>
      <c r="B492" s="109" t="s">
        <v>1172</v>
      </c>
      <c r="C492" s="30" t="s">
        <v>1899</v>
      </c>
      <c r="D492" s="110" t="s">
        <v>1900</v>
      </c>
      <c r="E492" s="110" t="s">
        <v>1917</v>
      </c>
      <c r="F492" s="30" t="s">
        <v>2703</v>
      </c>
      <c r="G492" s="26" t="s">
        <v>145</v>
      </c>
      <c r="H492" s="24" t="s">
        <v>146</v>
      </c>
      <c r="I492" s="109">
        <v>1</v>
      </c>
      <c r="J492" s="109" t="s">
        <v>1918</v>
      </c>
      <c r="K492" s="109">
        <v>50</v>
      </c>
      <c r="L492" s="109" t="s">
        <v>1919</v>
      </c>
      <c r="M492" s="109" t="s">
        <v>1904</v>
      </c>
      <c r="N492" s="109" t="s">
        <v>529</v>
      </c>
      <c r="O492" s="109" t="s">
        <v>1920</v>
      </c>
      <c r="P492" s="109" t="s">
        <v>1921</v>
      </c>
      <c r="Q492" s="102">
        <v>0</v>
      </c>
      <c r="R492" s="109" t="s">
        <v>1907</v>
      </c>
      <c r="S492" s="109" t="s">
        <v>1922</v>
      </c>
      <c r="T492" s="25"/>
      <c r="U492" s="111" t="s">
        <v>1923</v>
      </c>
      <c r="V492" s="111" t="s">
        <v>1923</v>
      </c>
      <c r="W492" s="112" t="s">
        <v>1979</v>
      </c>
      <c r="X492" s="112" t="s">
        <v>208</v>
      </c>
      <c r="Y492" s="112" t="s">
        <v>1980</v>
      </c>
      <c r="Z492" s="112" t="s">
        <v>208</v>
      </c>
      <c r="AA492" s="112" t="s">
        <v>1981</v>
      </c>
      <c r="AB492" s="112" t="s">
        <v>208</v>
      </c>
      <c r="AC492" s="112">
        <v>34.590000000000003</v>
      </c>
      <c r="AD492" s="112" t="s">
        <v>208</v>
      </c>
      <c r="AE492" s="112">
        <v>19.89</v>
      </c>
      <c r="AF492" s="112" t="s">
        <v>208</v>
      </c>
      <c r="AG492" s="112">
        <v>0</v>
      </c>
      <c r="AH492" s="112"/>
      <c r="AI492" s="112">
        <v>0</v>
      </c>
      <c r="AJ492" s="112"/>
      <c r="AK492" s="112">
        <v>0</v>
      </c>
      <c r="AL492" s="112"/>
      <c r="AM492" s="112">
        <v>0</v>
      </c>
      <c r="AN492" s="112"/>
      <c r="AO492" s="112">
        <v>28.46</v>
      </c>
      <c r="AP492" s="112" t="s">
        <v>208</v>
      </c>
      <c r="AQ492" s="112">
        <v>36.65</v>
      </c>
      <c r="AR492" s="112" t="s">
        <v>208</v>
      </c>
      <c r="AS492" s="112">
        <v>55.61</v>
      </c>
      <c r="AT492" s="112" t="s">
        <v>208</v>
      </c>
      <c r="AU492" s="112">
        <f t="shared" si="21"/>
        <v>400.14999999999992</v>
      </c>
      <c r="AV492" s="111">
        <v>0.27310000000000001</v>
      </c>
      <c r="AW492" s="111" t="s">
        <v>1904</v>
      </c>
      <c r="AX492" s="25"/>
      <c r="AY492" s="25"/>
      <c r="AZ492" s="25"/>
    </row>
    <row r="493" spans="1:52" ht="31.2" x14ac:dyDescent="0.3">
      <c r="A493" s="103">
        <v>483</v>
      </c>
      <c r="B493" s="109" t="s">
        <v>1174</v>
      </c>
      <c r="C493" s="30" t="s">
        <v>1899</v>
      </c>
      <c r="D493" s="110" t="s">
        <v>1900</v>
      </c>
      <c r="E493" s="110" t="s">
        <v>1917</v>
      </c>
      <c r="F493" s="30" t="s">
        <v>2703</v>
      </c>
      <c r="G493" s="26" t="s">
        <v>145</v>
      </c>
      <c r="H493" s="24" t="s">
        <v>146</v>
      </c>
      <c r="I493" s="109">
        <v>0</v>
      </c>
      <c r="J493" s="109" t="s">
        <v>1918</v>
      </c>
      <c r="K493" s="109">
        <v>50</v>
      </c>
      <c r="L493" s="109" t="s">
        <v>1919</v>
      </c>
      <c r="M493" s="109" t="s">
        <v>1904</v>
      </c>
      <c r="N493" s="109" t="s">
        <v>529</v>
      </c>
      <c r="O493" s="109" t="s">
        <v>1920</v>
      </c>
      <c r="P493" s="109" t="s">
        <v>1920</v>
      </c>
      <c r="Q493" s="102">
        <v>0</v>
      </c>
      <c r="R493" s="109" t="s">
        <v>1907</v>
      </c>
      <c r="S493" s="109" t="s">
        <v>1922</v>
      </c>
      <c r="T493" s="25"/>
      <c r="U493" s="111" t="s">
        <v>1923</v>
      </c>
      <c r="V493" s="111" t="s">
        <v>1923</v>
      </c>
      <c r="W493" s="112" t="s">
        <v>1982</v>
      </c>
      <c r="X493" s="112" t="s">
        <v>1906</v>
      </c>
      <c r="Y493" s="112" t="s">
        <v>1983</v>
      </c>
      <c r="Z493" s="112" t="s">
        <v>1906</v>
      </c>
      <c r="AA493" s="112" t="s">
        <v>1983</v>
      </c>
      <c r="AB493" s="112" t="s">
        <v>1906</v>
      </c>
      <c r="AC493" s="112">
        <v>14.79</v>
      </c>
      <c r="AD493" s="112" t="s">
        <v>1906</v>
      </c>
      <c r="AE493" s="112">
        <v>4.29</v>
      </c>
      <c r="AF493" s="112" t="s">
        <v>1906</v>
      </c>
      <c r="AG493" s="112">
        <v>0</v>
      </c>
      <c r="AH493" s="112"/>
      <c r="AI493" s="112">
        <v>0</v>
      </c>
      <c r="AJ493" s="112"/>
      <c r="AK493" s="112">
        <v>0</v>
      </c>
      <c r="AL493" s="112"/>
      <c r="AM493" s="112">
        <v>3.39</v>
      </c>
      <c r="AN493" s="112" t="s">
        <v>1906</v>
      </c>
      <c r="AO493" s="112">
        <v>14.51</v>
      </c>
      <c r="AP493" s="112" t="s">
        <v>1906</v>
      </c>
      <c r="AQ493" s="112" t="e">
        <v>#N/A</v>
      </c>
      <c r="AR493" s="112" t="s">
        <v>1906</v>
      </c>
      <c r="AS493" s="112">
        <v>14.51</v>
      </c>
      <c r="AT493" s="112" t="s">
        <v>1906</v>
      </c>
      <c r="AU493" s="112" t="e">
        <f t="shared" si="21"/>
        <v>#N/A</v>
      </c>
      <c r="AV493" s="111">
        <v>7.9289999999999999E-2</v>
      </c>
      <c r="AW493" s="111" t="s">
        <v>1904</v>
      </c>
      <c r="AX493" s="25"/>
      <c r="AY493" s="25"/>
      <c r="AZ493" s="25"/>
    </row>
    <row r="494" spans="1:52" ht="31.2" x14ac:dyDescent="0.3">
      <c r="A494" s="103">
        <v>484</v>
      </c>
      <c r="B494" s="109" t="s">
        <v>1176</v>
      </c>
      <c r="C494" s="30" t="s">
        <v>1899</v>
      </c>
      <c r="D494" s="110" t="s">
        <v>1900</v>
      </c>
      <c r="E494" s="110" t="s">
        <v>1917</v>
      </c>
      <c r="F494" s="30" t="s">
        <v>2703</v>
      </c>
      <c r="G494" s="26" t="s">
        <v>145</v>
      </c>
      <c r="H494" s="24" t="s">
        <v>146</v>
      </c>
      <c r="I494" s="109">
        <v>1</v>
      </c>
      <c r="J494" s="109" t="s">
        <v>1918</v>
      </c>
      <c r="K494" s="109">
        <v>89</v>
      </c>
      <c r="L494" s="109" t="s">
        <v>1919</v>
      </c>
      <c r="M494" s="109" t="s">
        <v>1904</v>
      </c>
      <c r="N494" s="109" t="s">
        <v>529</v>
      </c>
      <c r="O494" s="109" t="s">
        <v>1920</v>
      </c>
      <c r="P494" s="109" t="s">
        <v>1921</v>
      </c>
      <c r="Q494" s="102">
        <v>0</v>
      </c>
      <c r="R494" s="109" t="s">
        <v>1907</v>
      </c>
      <c r="S494" s="109" t="s">
        <v>1922</v>
      </c>
      <c r="T494" s="25"/>
      <c r="U494" s="111" t="s">
        <v>1923</v>
      </c>
      <c r="V494" s="111" t="s">
        <v>1923</v>
      </c>
      <c r="W494" s="112" t="s">
        <v>1984</v>
      </c>
      <c r="X494" s="112" t="s">
        <v>208</v>
      </c>
      <c r="Y494" s="112" t="s">
        <v>1985</v>
      </c>
      <c r="Z494" s="112" t="s">
        <v>208</v>
      </c>
      <c r="AA494" s="112" t="s">
        <v>1986</v>
      </c>
      <c r="AB494" s="112" t="s">
        <v>208</v>
      </c>
      <c r="AC494" s="112">
        <v>37.32</v>
      </c>
      <c r="AD494" s="112" t="s">
        <v>208</v>
      </c>
      <c r="AE494" s="112">
        <v>18.13</v>
      </c>
      <c r="AF494" s="112" t="s">
        <v>208</v>
      </c>
      <c r="AG494" s="112">
        <v>0</v>
      </c>
      <c r="AH494" s="112"/>
      <c r="AI494" s="112">
        <v>0</v>
      </c>
      <c r="AJ494" s="112"/>
      <c r="AK494" s="112">
        <v>0</v>
      </c>
      <c r="AL494" s="112"/>
      <c r="AM494" s="112">
        <v>0</v>
      </c>
      <c r="AN494" s="112"/>
      <c r="AO494" s="112">
        <v>44.65</v>
      </c>
      <c r="AP494" s="112" t="s">
        <v>208</v>
      </c>
      <c r="AQ494" s="112">
        <v>3.39</v>
      </c>
      <c r="AR494" s="112" t="s">
        <v>208</v>
      </c>
      <c r="AS494" s="112">
        <v>60.08</v>
      </c>
      <c r="AT494" s="112" t="s">
        <v>208</v>
      </c>
      <c r="AU494" s="112">
        <f t="shared" si="21"/>
        <v>401.54999999999995</v>
      </c>
      <c r="AV494" s="111">
        <v>0.21177000000000001</v>
      </c>
      <c r="AW494" s="111" t="s">
        <v>1904</v>
      </c>
      <c r="AX494" s="25"/>
      <c r="AY494" s="25"/>
      <c r="AZ494" s="25"/>
    </row>
    <row r="495" spans="1:52" ht="31.2" x14ac:dyDescent="0.3">
      <c r="A495" s="103">
        <v>485</v>
      </c>
      <c r="B495" s="109" t="s">
        <v>1177</v>
      </c>
      <c r="C495" s="30" t="s">
        <v>1899</v>
      </c>
      <c r="D495" s="110" t="s">
        <v>1900</v>
      </c>
      <c r="E495" s="110" t="s">
        <v>1917</v>
      </c>
      <c r="F495" s="30" t="s">
        <v>2703</v>
      </c>
      <c r="G495" s="26" t="s">
        <v>145</v>
      </c>
      <c r="H495" s="24" t="s">
        <v>146</v>
      </c>
      <c r="I495" s="109">
        <v>1</v>
      </c>
      <c r="J495" s="109" t="s">
        <v>1918</v>
      </c>
      <c r="K495" s="109">
        <v>89</v>
      </c>
      <c r="L495" s="109" t="s">
        <v>1919</v>
      </c>
      <c r="M495" s="109" t="s">
        <v>1904</v>
      </c>
      <c r="N495" s="109" t="s">
        <v>529</v>
      </c>
      <c r="O495" s="109" t="s">
        <v>1920</v>
      </c>
      <c r="P495" s="109" t="s">
        <v>1921</v>
      </c>
      <c r="Q495" s="102">
        <v>0</v>
      </c>
      <c r="R495" s="109" t="s">
        <v>1907</v>
      </c>
      <c r="S495" s="109" t="s">
        <v>1922</v>
      </c>
      <c r="T495" s="25"/>
      <c r="U495" s="111" t="s">
        <v>1923</v>
      </c>
      <c r="V495" s="111" t="s">
        <v>1923</v>
      </c>
      <c r="W495" s="112" t="s">
        <v>1984</v>
      </c>
      <c r="X495" s="112" t="s">
        <v>208</v>
      </c>
      <c r="Y495" s="112" t="s">
        <v>1985</v>
      </c>
      <c r="Z495" s="112" t="s">
        <v>208</v>
      </c>
      <c r="AA495" s="112" t="s">
        <v>1986</v>
      </c>
      <c r="AB495" s="112" t="s">
        <v>208</v>
      </c>
      <c r="AC495" s="112">
        <v>37.32</v>
      </c>
      <c r="AD495" s="112" t="s">
        <v>208</v>
      </c>
      <c r="AE495" s="112">
        <v>18.13</v>
      </c>
      <c r="AF495" s="112" t="s">
        <v>208</v>
      </c>
      <c r="AG495" s="112">
        <v>0</v>
      </c>
      <c r="AH495" s="112"/>
      <c r="AI495" s="112">
        <v>0</v>
      </c>
      <c r="AJ495" s="112"/>
      <c r="AK495" s="112">
        <v>0</v>
      </c>
      <c r="AL495" s="112"/>
      <c r="AM495" s="112">
        <v>0</v>
      </c>
      <c r="AN495" s="112"/>
      <c r="AO495" s="112">
        <v>44.65</v>
      </c>
      <c r="AP495" s="112" t="s">
        <v>208</v>
      </c>
      <c r="AQ495" s="112">
        <v>3.39</v>
      </c>
      <c r="AR495" s="112" t="s">
        <v>208</v>
      </c>
      <c r="AS495" s="112">
        <v>60.08</v>
      </c>
      <c r="AT495" s="112" t="s">
        <v>208</v>
      </c>
      <c r="AU495" s="112">
        <f t="shared" si="21"/>
        <v>401.54999999999995</v>
      </c>
      <c r="AV495" s="111">
        <v>0.21177000000000001</v>
      </c>
      <c r="AW495" s="111" t="s">
        <v>1904</v>
      </c>
      <c r="AX495" s="25"/>
      <c r="AY495" s="25"/>
      <c r="AZ495" s="25"/>
    </row>
    <row r="496" spans="1:52" ht="31.2" x14ac:dyDescent="0.3">
      <c r="A496" s="103">
        <v>486</v>
      </c>
      <c r="B496" s="109" t="s">
        <v>1179</v>
      </c>
      <c r="C496" s="30" t="s">
        <v>1899</v>
      </c>
      <c r="D496" s="110" t="s">
        <v>1900</v>
      </c>
      <c r="E496" s="110" t="s">
        <v>1917</v>
      </c>
      <c r="F496" s="30" t="s">
        <v>2703</v>
      </c>
      <c r="G496" s="26" t="s">
        <v>145</v>
      </c>
      <c r="H496" s="24" t="s">
        <v>146</v>
      </c>
      <c r="I496" s="109">
        <v>1</v>
      </c>
      <c r="J496" s="109" t="s">
        <v>1918</v>
      </c>
      <c r="K496" s="109">
        <v>76</v>
      </c>
      <c r="L496" s="109" t="s">
        <v>1919</v>
      </c>
      <c r="M496" s="109" t="s">
        <v>1904</v>
      </c>
      <c r="N496" s="109" t="s">
        <v>529</v>
      </c>
      <c r="O496" s="109" t="s">
        <v>1920</v>
      </c>
      <c r="P496" s="109" t="s">
        <v>1921</v>
      </c>
      <c r="Q496" s="102">
        <v>0</v>
      </c>
      <c r="R496" s="109" t="s">
        <v>1907</v>
      </c>
      <c r="S496" s="109" t="s">
        <v>1922</v>
      </c>
      <c r="T496" s="25"/>
      <c r="U496" s="111" t="s">
        <v>1923</v>
      </c>
      <c r="V496" s="111" t="s">
        <v>1923</v>
      </c>
      <c r="W496" s="112" t="s">
        <v>1987</v>
      </c>
      <c r="X496" s="112" t="s">
        <v>1906</v>
      </c>
      <c r="Y496" s="112" t="s">
        <v>1988</v>
      </c>
      <c r="Z496" s="112" t="s">
        <v>1906</v>
      </c>
      <c r="AA496" s="112" t="s">
        <v>1943</v>
      </c>
      <c r="AB496" s="112" t="s">
        <v>1906</v>
      </c>
      <c r="AC496" s="112">
        <v>53.65</v>
      </c>
      <c r="AD496" s="112" t="s">
        <v>1906</v>
      </c>
      <c r="AE496" s="112">
        <v>26.02</v>
      </c>
      <c r="AF496" s="112" t="s">
        <v>1906</v>
      </c>
      <c r="AG496" s="112">
        <v>0</v>
      </c>
      <c r="AH496" s="112"/>
      <c r="AI496" s="112">
        <v>0</v>
      </c>
      <c r="AJ496" s="112"/>
      <c r="AK496" s="112">
        <v>0</v>
      </c>
      <c r="AL496" s="112"/>
      <c r="AM496" s="112">
        <v>0</v>
      </c>
      <c r="AN496" s="112"/>
      <c r="AO496" s="112">
        <v>49.03</v>
      </c>
      <c r="AP496" s="112" t="s">
        <v>208</v>
      </c>
      <c r="AQ496" s="112">
        <v>57.72</v>
      </c>
      <c r="AR496" s="112" t="s">
        <v>208</v>
      </c>
      <c r="AS496" s="112">
        <v>84.1</v>
      </c>
      <c r="AT496" s="112" t="s">
        <v>208</v>
      </c>
      <c r="AU496" s="112">
        <f t="shared" si="21"/>
        <v>569.6</v>
      </c>
      <c r="AV496" s="111">
        <v>0.25794</v>
      </c>
      <c r="AW496" s="111" t="s">
        <v>1904</v>
      </c>
      <c r="AX496" s="25"/>
      <c r="AY496" s="25"/>
      <c r="AZ496" s="25"/>
    </row>
    <row r="497" spans="1:52" ht="31.2" x14ac:dyDescent="0.3">
      <c r="A497" s="103">
        <v>487</v>
      </c>
      <c r="B497" s="109" t="s">
        <v>1180</v>
      </c>
      <c r="C497" s="30" t="s">
        <v>1899</v>
      </c>
      <c r="D497" s="110" t="s">
        <v>1900</v>
      </c>
      <c r="E497" s="110" t="s">
        <v>1917</v>
      </c>
      <c r="F497" s="30" t="s">
        <v>2703</v>
      </c>
      <c r="G497" s="26" t="s">
        <v>145</v>
      </c>
      <c r="H497" s="24" t="s">
        <v>146</v>
      </c>
      <c r="I497" s="109">
        <v>1</v>
      </c>
      <c r="J497" s="109" t="s">
        <v>1918</v>
      </c>
      <c r="K497" s="109">
        <v>76</v>
      </c>
      <c r="L497" s="109" t="s">
        <v>1919</v>
      </c>
      <c r="M497" s="109" t="s">
        <v>1904</v>
      </c>
      <c r="N497" s="109" t="s">
        <v>529</v>
      </c>
      <c r="O497" s="109" t="s">
        <v>1920</v>
      </c>
      <c r="P497" s="109" t="s">
        <v>1921</v>
      </c>
      <c r="Q497" s="102">
        <v>0</v>
      </c>
      <c r="R497" s="109" t="s">
        <v>1907</v>
      </c>
      <c r="S497" s="109" t="s">
        <v>1922</v>
      </c>
      <c r="T497" s="25"/>
      <c r="U497" s="111" t="s">
        <v>1923</v>
      </c>
      <c r="V497" s="111" t="s">
        <v>1923</v>
      </c>
      <c r="W497" s="112" t="s">
        <v>1987</v>
      </c>
      <c r="X497" s="112" t="s">
        <v>1906</v>
      </c>
      <c r="Y497" s="112" t="s">
        <v>1988</v>
      </c>
      <c r="Z497" s="112" t="s">
        <v>1906</v>
      </c>
      <c r="AA497" s="112" t="s">
        <v>1943</v>
      </c>
      <c r="AB497" s="112" t="s">
        <v>1906</v>
      </c>
      <c r="AC497" s="112">
        <v>53.65</v>
      </c>
      <c r="AD497" s="112" t="s">
        <v>1906</v>
      </c>
      <c r="AE497" s="112">
        <v>26.02</v>
      </c>
      <c r="AF497" s="112" t="s">
        <v>1906</v>
      </c>
      <c r="AG497" s="112">
        <v>0</v>
      </c>
      <c r="AH497" s="112"/>
      <c r="AI497" s="112">
        <v>0</v>
      </c>
      <c r="AJ497" s="112"/>
      <c r="AK497" s="112">
        <v>0</v>
      </c>
      <c r="AL497" s="112"/>
      <c r="AM497" s="112">
        <v>0</v>
      </c>
      <c r="AN497" s="112"/>
      <c r="AO497" s="112">
        <v>49.03</v>
      </c>
      <c r="AP497" s="112" t="s">
        <v>208</v>
      </c>
      <c r="AQ497" s="112">
        <v>57.72</v>
      </c>
      <c r="AR497" s="112" t="s">
        <v>208</v>
      </c>
      <c r="AS497" s="112">
        <v>84.1</v>
      </c>
      <c r="AT497" s="112" t="s">
        <v>208</v>
      </c>
      <c r="AU497" s="112">
        <f t="shared" si="21"/>
        <v>569.6</v>
      </c>
      <c r="AV497" s="111">
        <v>0.25794</v>
      </c>
      <c r="AW497" s="111" t="s">
        <v>1904</v>
      </c>
      <c r="AX497" s="25"/>
      <c r="AY497" s="25"/>
      <c r="AZ497" s="25"/>
    </row>
    <row r="498" spans="1:52" ht="31.2" x14ac:dyDescent="0.3">
      <c r="A498" s="103">
        <v>488</v>
      </c>
      <c r="B498" s="109" t="s">
        <v>1182</v>
      </c>
      <c r="C498" s="30" t="s">
        <v>1899</v>
      </c>
      <c r="D498" s="110" t="s">
        <v>1900</v>
      </c>
      <c r="E498" s="110" t="s">
        <v>1917</v>
      </c>
      <c r="F498" s="30" t="s">
        <v>2703</v>
      </c>
      <c r="G498" s="26" t="s">
        <v>145</v>
      </c>
      <c r="H498" s="24" t="s">
        <v>146</v>
      </c>
      <c r="I498" s="109">
        <v>0</v>
      </c>
      <c r="J498" s="109" t="s">
        <v>1918</v>
      </c>
      <c r="K498" s="109">
        <v>50</v>
      </c>
      <c r="L498" s="109" t="s">
        <v>1919</v>
      </c>
      <c r="M498" s="109" t="s">
        <v>1904</v>
      </c>
      <c r="N498" s="109" t="s">
        <v>529</v>
      </c>
      <c r="O498" s="109" t="s">
        <v>1920</v>
      </c>
      <c r="P498" s="109" t="s">
        <v>1920</v>
      </c>
      <c r="Q498" s="102">
        <v>0</v>
      </c>
      <c r="R498" s="109" t="s">
        <v>1907</v>
      </c>
      <c r="S498" s="109" t="s">
        <v>1922</v>
      </c>
      <c r="T498" s="25"/>
      <c r="U498" s="111" t="s">
        <v>1923</v>
      </c>
      <c r="V498" s="111" t="s">
        <v>1923</v>
      </c>
      <c r="W498" s="112" t="s">
        <v>1989</v>
      </c>
      <c r="X498" s="112" t="s">
        <v>1906</v>
      </c>
      <c r="Y498" s="112" t="s">
        <v>1989</v>
      </c>
      <c r="Z498" s="112" t="s">
        <v>1906</v>
      </c>
      <c r="AA498" s="112" t="s">
        <v>1989</v>
      </c>
      <c r="AB498" s="112" t="s">
        <v>1906</v>
      </c>
      <c r="AC498" s="112">
        <v>51.37</v>
      </c>
      <c r="AD498" s="112" t="s">
        <v>1906</v>
      </c>
      <c r="AE498" s="112">
        <v>14.91</v>
      </c>
      <c r="AF498" s="112" t="s">
        <v>1906</v>
      </c>
      <c r="AG498" s="112">
        <v>0</v>
      </c>
      <c r="AH498" s="112"/>
      <c r="AI498" s="112">
        <v>0</v>
      </c>
      <c r="AJ498" s="112"/>
      <c r="AK498" s="112">
        <v>0</v>
      </c>
      <c r="AL498" s="112"/>
      <c r="AM498" s="112">
        <v>11.26</v>
      </c>
      <c r="AN498" s="112" t="s">
        <v>1906</v>
      </c>
      <c r="AO498" s="112">
        <v>48.26</v>
      </c>
      <c r="AP498" s="112" t="s">
        <v>1906</v>
      </c>
      <c r="AQ498" s="112">
        <v>48.26</v>
      </c>
      <c r="AR498" s="112" t="s">
        <v>1906</v>
      </c>
      <c r="AS498" s="112">
        <v>48.26</v>
      </c>
      <c r="AT498" s="112" t="s">
        <v>1906</v>
      </c>
      <c r="AU498" s="112">
        <f t="shared" si="21"/>
        <v>376.42999999999995</v>
      </c>
      <c r="AV498" s="111">
        <v>0.18668000000000001</v>
      </c>
      <c r="AW498" s="111" t="s">
        <v>1904</v>
      </c>
      <c r="AX498" s="25"/>
      <c r="AY498" s="25"/>
      <c r="AZ498" s="25"/>
    </row>
    <row r="499" spans="1:52" ht="31.2" x14ac:dyDescent="0.3">
      <c r="A499" s="103">
        <v>489</v>
      </c>
      <c r="B499" s="109" t="s">
        <v>1183</v>
      </c>
      <c r="C499" s="30" t="s">
        <v>1899</v>
      </c>
      <c r="D499" s="110" t="s">
        <v>1900</v>
      </c>
      <c r="E499" s="110" t="s">
        <v>1917</v>
      </c>
      <c r="F499" s="30" t="s">
        <v>2703</v>
      </c>
      <c r="G499" s="26" t="s">
        <v>145</v>
      </c>
      <c r="H499" s="24" t="s">
        <v>146</v>
      </c>
      <c r="I499" s="109">
        <v>0</v>
      </c>
      <c r="J499" s="109" t="s">
        <v>1918</v>
      </c>
      <c r="K499" s="109">
        <v>50</v>
      </c>
      <c r="L499" s="109" t="s">
        <v>1919</v>
      </c>
      <c r="M499" s="109" t="s">
        <v>1904</v>
      </c>
      <c r="N499" s="109" t="s">
        <v>529</v>
      </c>
      <c r="O499" s="109" t="s">
        <v>1920</v>
      </c>
      <c r="P499" s="109" t="s">
        <v>1920</v>
      </c>
      <c r="Q499" s="102">
        <v>0</v>
      </c>
      <c r="R499" s="109" t="s">
        <v>1907</v>
      </c>
      <c r="S499" s="109" t="s">
        <v>1922</v>
      </c>
      <c r="T499" s="25"/>
      <c r="U499" s="111" t="s">
        <v>1923</v>
      </c>
      <c r="V499" s="111" t="s">
        <v>1923</v>
      </c>
      <c r="W499" s="112" t="s">
        <v>1989</v>
      </c>
      <c r="X499" s="112" t="s">
        <v>1906</v>
      </c>
      <c r="Y499" s="112" t="s">
        <v>1989</v>
      </c>
      <c r="Z499" s="112" t="s">
        <v>1906</v>
      </c>
      <c r="AA499" s="112" t="s">
        <v>1989</v>
      </c>
      <c r="AB499" s="112" t="s">
        <v>1906</v>
      </c>
      <c r="AC499" s="112">
        <v>51.37</v>
      </c>
      <c r="AD499" s="112" t="s">
        <v>1906</v>
      </c>
      <c r="AE499" s="112">
        <v>14.91</v>
      </c>
      <c r="AF499" s="112" t="s">
        <v>1906</v>
      </c>
      <c r="AG499" s="112">
        <v>0</v>
      </c>
      <c r="AH499" s="112"/>
      <c r="AI499" s="112">
        <v>0</v>
      </c>
      <c r="AJ499" s="112"/>
      <c r="AK499" s="112">
        <v>0</v>
      </c>
      <c r="AL499" s="112"/>
      <c r="AM499" s="112">
        <v>11.26</v>
      </c>
      <c r="AN499" s="112" t="s">
        <v>1906</v>
      </c>
      <c r="AO499" s="112">
        <v>48.26</v>
      </c>
      <c r="AP499" s="112" t="s">
        <v>1906</v>
      </c>
      <c r="AQ499" s="112">
        <v>48.26</v>
      </c>
      <c r="AR499" s="112" t="s">
        <v>1906</v>
      </c>
      <c r="AS499" s="112">
        <v>48.26</v>
      </c>
      <c r="AT499" s="112" t="s">
        <v>1906</v>
      </c>
      <c r="AU499" s="112">
        <f t="shared" si="21"/>
        <v>376.42999999999995</v>
      </c>
      <c r="AV499" s="111">
        <v>0.18668000000000001</v>
      </c>
      <c r="AW499" s="111" t="s">
        <v>1904</v>
      </c>
      <c r="AX499" s="25"/>
      <c r="AY499" s="25"/>
      <c r="AZ499" s="25"/>
    </row>
    <row r="500" spans="1:52" ht="31.2" x14ac:dyDescent="0.3">
      <c r="A500" s="103">
        <v>490</v>
      </c>
      <c r="B500" s="109" t="s">
        <v>1184</v>
      </c>
      <c r="C500" s="30" t="s">
        <v>1899</v>
      </c>
      <c r="D500" s="110" t="s">
        <v>1900</v>
      </c>
      <c r="E500" s="110" t="s">
        <v>1917</v>
      </c>
      <c r="F500" s="30" t="s">
        <v>2703</v>
      </c>
      <c r="G500" s="26" t="s">
        <v>145</v>
      </c>
      <c r="H500" s="24" t="s">
        <v>146</v>
      </c>
      <c r="I500" s="109">
        <v>0</v>
      </c>
      <c r="J500" s="109" t="s">
        <v>1918</v>
      </c>
      <c r="K500" s="109">
        <v>50</v>
      </c>
      <c r="L500" s="109" t="s">
        <v>1919</v>
      </c>
      <c r="M500" s="109" t="s">
        <v>1904</v>
      </c>
      <c r="N500" s="109" t="s">
        <v>529</v>
      </c>
      <c r="O500" s="109" t="s">
        <v>1920</v>
      </c>
      <c r="P500" s="109" t="s">
        <v>1920</v>
      </c>
      <c r="Q500" s="102">
        <v>0</v>
      </c>
      <c r="R500" s="109" t="s">
        <v>1907</v>
      </c>
      <c r="S500" s="109" t="s">
        <v>1922</v>
      </c>
      <c r="T500" s="25"/>
      <c r="U500" s="111" t="s">
        <v>1923</v>
      </c>
      <c r="V500" s="111" t="s">
        <v>1923</v>
      </c>
      <c r="W500" s="112" t="s">
        <v>1989</v>
      </c>
      <c r="X500" s="112" t="s">
        <v>1906</v>
      </c>
      <c r="Y500" s="112" t="s">
        <v>1989</v>
      </c>
      <c r="Z500" s="112" t="s">
        <v>1906</v>
      </c>
      <c r="AA500" s="112" t="s">
        <v>1989</v>
      </c>
      <c r="AB500" s="112" t="s">
        <v>1906</v>
      </c>
      <c r="AC500" s="112">
        <v>51.37</v>
      </c>
      <c r="AD500" s="112" t="s">
        <v>1906</v>
      </c>
      <c r="AE500" s="112">
        <v>14.91</v>
      </c>
      <c r="AF500" s="112" t="s">
        <v>1906</v>
      </c>
      <c r="AG500" s="112">
        <v>0</v>
      </c>
      <c r="AH500" s="112"/>
      <c r="AI500" s="112">
        <v>0</v>
      </c>
      <c r="AJ500" s="112"/>
      <c r="AK500" s="112">
        <v>0</v>
      </c>
      <c r="AL500" s="112"/>
      <c r="AM500" s="112">
        <v>11.26</v>
      </c>
      <c r="AN500" s="112" t="s">
        <v>1906</v>
      </c>
      <c r="AO500" s="112">
        <v>48.26</v>
      </c>
      <c r="AP500" s="112" t="s">
        <v>1906</v>
      </c>
      <c r="AQ500" s="112">
        <v>48.26</v>
      </c>
      <c r="AR500" s="112" t="s">
        <v>1906</v>
      </c>
      <c r="AS500" s="112">
        <v>48.26</v>
      </c>
      <c r="AT500" s="112" t="s">
        <v>1906</v>
      </c>
      <c r="AU500" s="112">
        <f t="shared" si="21"/>
        <v>376.42999999999995</v>
      </c>
      <c r="AV500" s="111">
        <v>0.18668000000000001</v>
      </c>
      <c r="AW500" s="111" t="s">
        <v>1904</v>
      </c>
      <c r="AX500" s="25"/>
      <c r="AY500" s="25"/>
      <c r="AZ500" s="25"/>
    </row>
    <row r="501" spans="1:52" ht="31.2" x14ac:dyDescent="0.3">
      <c r="A501" s="103">
        <v>491</v>
      </c>
      <c r="B501" s="109" t="s">
        <v>1185</v>
      </c>
      <c r="C501" s="109" t="s">
        <v>1990</v>
      </c>
      <c r="D501" s="110"/>
      <c r="E501" s="110" t="s">
        <v>1917</v>
      </c>
      <c r="F501" s="30" t="s">
        <v>2703</v>
      </c>
      <c r="G501" s="26" t="s">
        <v>145</v>
      </c>
      <c r="H501" s="24" t="s">
        <v>146</v>
      </c>
      <c r="I501" s="109">
        <v>1</v>
      </c>
      <c r="J501" s="109" t="s">
        <v>1991</v>
      </c>
      <c r="K501" s="109"/>
      <c r="L501" s="109" t="s">
        <v>1919</v>
      </c>
      <c r="M501" s="109" t="s">
        <v>1904</v>
      </c>
      <c r="N501" s="109" t="s">
        <v>528</v>
      </c>
      <c r="O501" s="109" t="s">
        <v>1920</v>
      </c>
      <c r="P501" s="109" t="s">
        <v>1921</v>
      </c>
      <c r="Q501" s="102">
        <v>0</v>
      </c>
      <c r="R501" s="109" t="s">
        <v>1907</v>
      </c>
      <c r="S501" s="109" t="s">
        <v>1922</v>
      </c>
      <c r="T501" s="25"/>
      <c r="U501" s="111" t="s">
        <v>1923</v>
      </c>
      <c r="V501" s="111" t="s">
        <v>1923</v>
      </c>
      <c r="W501" s="112">
        <v>116.848</v>
      </c>
      <c r="X501" s="112" t="s">
        <v>1906</v>
      </c>
      <c r="Y501" s="112">
        <v>105.41</v>
      </c>
      <c r="Z501" s="112" t="s">
        <v>1906</v>
      </c>
      <c r="AA501" s="112">
        <v>101.55</v>
      </c>
      <c r="AB501" s="112" t="s">
        <v>1906</v>
      </c>
      <c r="AC501" s="112">
        <v>71.527000000000001</v>
      </c>
      <c r="AD501" s="112" t="s">
        <v>1906</v>
      </c>
      <c r="AE501" s="112">
        <v>26.064</v>
      </c>
      <c r="AF501" s="112" t="s">
        <v>1906</v>
      </c>
      <c r="AG501" s="112">
        <v>16.079999999999998</v>
      </c>
      <c r="AH501" s="112" t="s">
        <v>1906</v>
      </c>
      <c r="AI501" s="112">
        <v>16.079999999999998</v>
      </c>
      <c r="AJ501" s="112" t="s">
        <v>1906</v>
      </c>
      <c r="AK501" s="112">
        <v>16.079999999999998</v>
      </c>
      <c r="AL501" s="112" t="s">
        <v>1906</v>
      </c>
      <c r="AM501" s="112">
        <v>16.079999999999998</v>
      </c>
      <c r="AN501" s="112" t="s">
        <v>1906</v>
      </c>
      <c r="AO501" s="112">
        <v>62.164999999999999</v>
      </c>
      <c r="AP501" s="112" t="s">
        <v>1906</v>
      </c>
      <c r="AQ501" s="112">
        <v>84.29</v>
      </c>
      <c r="AR501" s="112" t="s">
        <v>1906</v>
      </c>
      <c r="AS501" s="112">
        <v>105.67</v>
      </c>
      <c r="AT501" s="112" t="s">
        <v>1906</v>
      </c>
      <c r="AU501" s="112">
        <f t="shared" si="21"/>
        <v>737.84399999999982</v>
      </c>
      <c r="AV501" s="111">
        <v>0.20149880000000001</v>
      </c>
      <c r="AW501" s="111" t="s">
        <v>1904</v>
      </c>
      <c r="AX501" s="25"/>
      <c r="AY501" s="25"/>
      <c r="AZ501" s="25"/>
    </row>
    <row r="502" spans="1:52" ht="31.2" x14ac:dyDescent="0.3">
      <c r="A502" s="103">
        <v>492</v>
      </c>
      <c r="B502" s="109" t="s">
        <v>1187</v>
      </c>
      <c r="C502" s="30" t="s">
        <v>1899</v>
      </c>
      <c r="D502" s="110" t="s">
        <v>1900</v>
      </c>
      <c r="E502" s="110" t="s">
        <v>1917</v>
      </c>
      <c r="F502" s="30" t="s">
        <v>2703</v>
      </c>
      <c r="G502" s="26" t="s">
        <v>145</v>
      </c>
      <c r="H502" s="24" t="s">
        <v>146</v>
      </c>
      <c r="I502" s="109">
        <v>1</v>
      </c>
      <c r="J502" s="109" t="s">
        <v>1918</v>
      </c>
      <c r="K502" s="109">
        <v>57</v>
      </c>
      <c r="L502" s="109" t="s">
        <v>1919</v>
      </c>
      <c r="M502" s="109" t="s">
        <v>1904</v>
      </c>
      <c r="N502" s="109" t="s">
        <v>529</v>
      </c>
      <c r="O502" s="109" t="s">
        <v>1920</v>
      </c>
      <c r="P502" s="109" t="s">
        <v>1921</v>
      </c>
      <c r="Q502" s="102">
        <v>0</v>
      </c>
      <c r="R502" s="109" t="s">
        <v>1907</v>
      </c>
      <c r="S502" s="109" t="s">
        <v>1922</v>
      </c>
      <c r="T502" s="25"/>
      <c r="U502" s="111" t="s">
        <v>1923</v>
      </c>
      <c r="V502" s="111" t="s">
        <v>1923</v>
      </c>
      <c r="W502" s="112" t="s">
        <v>1992</v>
      </c>
      <c r="X502" s="112" t="s">
        <v>208</v>
      </c>
      <c r="Y502" s="112" t="s">
        <v>1992</v>
      </c>
      <c r="Z502" s="112" t="s">
        <v>208</v>
      </c>
      <c r="AA502" s="112" t="s">
        <v>1992</v>
      </c>
      <c r="AB502" s="112" t="s">
        <v>208</v>
      </c>
      <c r="AC502" s="112">
        <v>22.77</v>
      </c>
      <c r="AD502" s="112" t="s">
        <v>208</v>
      </c>
      <c r="AE502" s="112">
        <v>6.61</v>
      </c>
      <c r="AF502" s="112" t="s">
        <v>208</v>
      </c>
      <c r="AG502" s="112">
        <v>0</v>
      </c>
      <c r="AH502" s="112"/>
      <c r="AI502" s="112">
        <v>0</v>
      </c>
      <c r="AJ502" s="112"/>
      <c r="AK502" s="112">
        <v>0</v>
      </c>
      <c r="AL502" s="112"/>
      <c r="AM502" s="112">
        <v>0</v>
      </c>
      <c r="AN502" s="112"/>
      <c r="AO502" s="112">
        <v>16.239999999999998</v>
      </c>
      <c r="AP502" s="112" t="s">
        <v>1906</v>
      </c>
      <c r="AQ502" s="112">
        <v>16.239999999999998</v>
      </c>
      <c r="AR502" s="112" t="s">
        <v>1906</v>
      </c>
      <c r="AS502" s="112">
        <v>16.239999999999998</v>
      </c>
      <c r="AT502" s="112" t="s">
        <v>1906</v>
      </c>
      <c r="AU502" s="112">
        <f t="shared" si="21"/>
        <v>146.41</v>
      </c>
      <c r="AV502" s="111">
        <v>9.9360000000000004E-2</v>
      </c>
      <c r="AW502" s="111" t="s">
        <v>1904</v>
      </c>
      <c r="AX502" s="25"/>
      <c r="AY502" s="25"/>
      <c r="AZ502" s="25"/>
    </row>
    <row r="503" spans="1:52" ht="31.2" x14ac:dyDescent="0.3">
      <c r="A503" s="103">
        <v>493</v>
      </c>
      <c r="B503" s="109" t="s">
        <v>1188</v>
      </c>
      <c r="C503" s="30" t="s">
        <v>1899</v>
      </c>
      <c r="D503" s="110" t="s">
        <v>1900</v>
      </c>
      <c r="E503" s="110" t="s">
        <v>1917</v>
      </c>
      <c r="F503" s="30" t="s">
        <v>2703</v>
      </c>
      <c r="G503" s="26" t="s">
        <v>145</v>
      </c>
      <c r="H503" s="24" t="s">
        <v>146</v>
      </c>
      <c r="I503" s="109">
        <v>1</v>
      </c>
      <c r="J503" s="109" t="s">
        <v>1918</v>
      </c>
      <c r="K503" s="109">
        <v>57</v>
      </c>
      <c r="L503" s="109" t="s">
        <v>1919</v>
      </c>
      <c r="M503" s="109" t="s">
        <v>1904</v>
      </c>
      <c r="N503" s="109" t="s">
        <v>529</v>
      </c>
      <c r="O503" s="109" t="s">
        <v>1920</v>
      </c>
      <c r="P503" s="109" t="s">
        <v>1921</v>
      </c>
      <c r="Q503" s="102">
        <v>0</v>
      </c>
      <c r="R503" s="109" t="s">
        <v>1907</v>
      </c>
      <c r="S503" s="109" t="s">
        <v>1922</v>
      </c>
      <c r="T503" s="25"/>
      <c r="U503" s="111" t="s">
        <v>1923</v>
      </c>
      <c r="V503" s="111" t="s">
        <v>1923</v>
      </c>
      <c r="W503" s="112" t="s">
        <v>1992</v>
      </c>
      <c r="X503" s="112" t="s">
        <v>1906</v>
      </c>
      <c r="Y503" s="112" t="s">
        <v>1992</v>
      </c>
      <c r="Z503" s="112" t="s">
        <v>1906</v>
      </c>
      <c r="AA503" s="112" t="s">
        <v>1992</v>
      </c>
      <c r="AB503" s="112" t="s">
        <v>1906</v>
      </c>
      <c r="AC503" s="112">
        <v>22.77</v>
      </c>
      <c r="AD503" s="112" t="s">
        <v>1906</v>
      </c>
      <c r="AE503" s="112">
        <v>6.61</v>
      </c>
      <c r="AF503" s="112" t="s">
        <v>1906</v>
      </c>
      <c r="AG503" s="112">
        <v>0</v>
      </c>
      <c r="AH503" s="112"/>
      <c r="AI503" s="112">
        <v>0</v>
      </c>
      <c r="AJ503" s="112"/>
      <c r="AK503" s="112">
        <v>0</v>
      </c>
      <c r="AL503" s="112"/>
      <c r="AM503" s="112">
        <v>0</v>
      </c>
      <c r="AN503" s="112"/>
      <c r="AO503" s="112">
        <v>16.239999999999998</v>
      </c>
      <c r="AP503" s="112" t="s">
        <v>1906</v>
      </c>
      <c r="AQ503" s="112">
        <v>16.239999999999998</v>
      </c>
      <c r="AR503" s="112" t="s">
        <v>1906</v>
      </c>
      <c r="AS503" s="112">
        <v>16.239999999999998</v>
      </c>
      <c r="AT503" s="112" t="s">
        <v>1906</v>
      </c>
      <c r="AU503" s="112">
        <f t="shared" si="21"/>
        <v>146.41</v>
      </c>
      <c r="AV503" s="111">
        <v>9.9360000000000004E-2</v>
      </c>
      <c r="AW503" s="111" t="s">
        <v>1904</v>
      </c>
      <c r="AX503" s="25"/>
      <c r="AY503" s="25"/>
      <c r="AZ503" s="25"/>
    </row>
    <row r="504" spans="1:52" ht="31.2" x14ac:dyDescent="0.3">
      <c r="A504" s="103">
        <v>494</v>
      </c>
      <c r="B504" s="109" t="s">
        <v>1190</v>
      </c>
      <c r="C504" s="30" t="s">
        <v>1899</v>
      </c>
      <c r="D504" s="110" t="s">
        <v>1900</v>
      </c>
      <c r="E504" s="110" t="s">
        <v>1917</v>
      </c>
      <c r="F504" s="30" t="s">
        <v>2703</v>
      </c>
      <c r="G504" s="26" t="s">
        <v>145</v>
      </c>
      <c r="H504" s="24" t="s">
        <v>146</v>
      </c>
      <c r="I504" s="109">
        <v>1</v>
      </c>
      <c r="J504" s="109" t="s">
        <v>1918</v>
      </c>
      <c r="K504" s="109">
        <v>89</v>
      </c>
      <c r="L504" s="109" t="s">
        <v>1919</v>
      </c>
      <c r="M504" s="109" t="s">
        <v>1904</v>
      </c>
      <c r="N504" s="109" t="s">
        <v>529</v>
      </c>
      <c r="O504" s="109" t="s">
        <v>1920</v>
      </c>
      <c r="P504" s="109" t="s">
        <v>1921</v>
      </c>
      <c r="Q504" s="102">
        <v>0</v>
      </c>
      <c r="R504" s="109" t="s">
        <v>1907</v>
      </c>
      <c r="S504" s="109" t="s">
        <v>1922</v>
      </c>
      <c r="T504" s="25"/>
      <c r="U504" s="111" t="s">
        <v>1923</v>
      </c>
      <c r="V504" s="111" t="s">
        <v>1923</v>
      </c>
      <c r="W504" s="112" t="s">
        <v>1993</v>
      </c>
      <c r="X504" s="112" t="s">
        <v>1906</v>
      </c>
      <c r="Y504" s="112" t="s">
        <v>1993</v>
      </c>
      <c r="Z504" s="112" t="s">
        <v>1906</v>
      </c>
      <c r="AA504" s="112" t="s">
        <v>1993</v>
      </c>
      <c r="AB504" s="112" t="s">
        <v>1906</v>
      </c>
      <c r="AC504" s="112">
        <v>201.2</v>
      </c>
      <c r="AD504" s="112" t="s">
        <v>1906</v>
      </c>
      <c r="AE504" s="112">
        <v>58.41</v>
      </c>
      <c r="AF504" s="112" t="s">
        <v>1906</v>
      </c>
      <c r="AG504" s="112">
        <v>0</v>
      </c>
      <c r="AH504" s="112"/>
      <c r="AI504" s="112">
        <v>0</v>
      </c>
      <c r="AJ504" s="112"/>
      <c r="AK504" s="112">
        <v>0</v>
      </c>
      <c r="AL504" s="112"/>
      <c r="AM504" s="112">
        <v>47.38</v>
      </c>
      <c r="AN504" s="112" t="s">
        <v>1906</v>
      </c>
      <c r="AO504" s="112">
        <v>208.58</v>
      </c>
      <c r="AP504" s="112" t="s">
        <v>1906</v>
      </c>
      <c r="AQ504" s="112">
        <v>203.04</v>
      </c>
      <c r="AR504" s="112" t="s">
        <v>1906</v>
      </c>
      <c r="AS504" s="112">
        <v>203.04</v>
      </c>
      <c r="AT504" s="112" t="s">
        <v>1906</v>
      </c>
      <c r="AU504" s="112">
        <f t="shared" si="21"/>
        <v>1525.2499999999998</v>
      </c>
      <c r="AV504" s="111">
        <v>0.55311999999999995</v>
      </c>
      <c r="AW504" s="111" t="s">
        <v>1904</v>
      </c>
      <c r="AX504" s="25"/>
      <c r="AY504" s="25"/>
      <c r="AZ504" s="25"/>
    </row>
    <row r="505" spans="1:52" ht="31.2" x14ac:dyDescent="0.3">
      <c r="A505" s="103">
        <v>495</v>
      </c>
      <c r="B505" s="109" t="s">
        <v>1192</v>
      </c>
      <c r="C505" s="30" t="s">
        <v>1899</v>
      </c>
      <c r="D505" s="110" t="s">
        <v>1900</v>
      </c>
      <c r="E505" s="110" t="s">
        <v>1917</v>
      </c>
      <c r="F505" s="30" t="s">
        <v>2703</v>
      </c>
      <c r="G505" s="26" t="s">
        <v>145</v>
      </c>
      <c r="H505" s="24" t="s">
        <v>146</v>
      </c>
      <c r="I505" s="109">
        <v>1</v>
      </c>
      <c r="J505" s="109" t="s">
        <v>1918</v>
      </c>
      <c r="K505" s="109">
        <v>76</v>
      </c>
      <c r="L505" s="109" t="s">
        <v>1919</v>
      </c>
      <c r="M505" s="109" t="s">
        <v>1904</v>
      </c>
      <c r="N505" s="109" t="s">
        <v>529</v>
      </c>
      <c r="O505" s="109" t="s">
        <v>1920</v>
      </c>
      <c r="P505" s="109" t="s">
        <v>1921</v>
      </c>
      <c r="Q505" s="102">
        <v>0</v>
      </c>
      <c r="R505" s="109" t="s">
        <v>1907</v>
      </c>
      <c r="S505" s="109" t="s">
        <v>1922</v>
      </c>
      <c r="T505" s="25"/>
      <c r="U505" s="111" t="s">
        <v>1923</v>
      </c>
      <c r="V505" s="111" t="s">
        <v>1923</v>
      </c>
      <c r="W505" s="112" t="s">
        <v>1994</v>
      </c>
      <c r="X505" s="112" t="s">
        <v>208</v>
      </c>
      <c r="Y505" s="112" t="s">
        <v>1995</v>
      </c>
      <c r="Z505" s="112" t="s">
        <v>208</v>
      </c>
      <c r="AA505" s="112" t="s">
        <v>1996</v>
      </c>
      <c r="AB505" s="112" t="s">
        <v>208</v>
      </c>
      <c r="AC505" s="112">
        <v>69.31</v>
      </c>
      <c r="AD505" s="112" t="s">
        <v>208</v>
      </c>
      <c r="AE505" s="112">
        <v>20.13</v>
      </c>
      <c r="AF505" s="112" t="s">
        <v>208</v>
      </c>
      <c r="AG505" s="112">
        <v>0</v>
      </c>
      <c r="AH505" s="112"/>
      <c r="AI505" s="112">
        <v>0</v>
      </c>
      <c r="AJ505" s="112"/>
      <c r="AK505" s="112">
        <v>0</v>
      </c>
      <c r="AL505" s="112"/>
      <c r="AM505" s="112">
        <v>0</v>
      </c>
      <c r="AN505" s="112"/>
      <c r="AO505" s="112">
        <v>50.9</v>
      </c>
      <c r="AP505" s="112" t="s">
        <v>208</v>
      </c>
      <c r="AQ505" s="112">
        <v>45.76</v>
      </c>
      <c r="AR505" s="112" t="s">
        <v>208</v>
      </c>
      <c r="AS505" s="112">
        <v>45.76</v>
      </c>
      <c r="AT505" s="112" t="s">
        <v>208</v>
      </c>
      <c r="AU505" s="112">
        <f t="shared" si="21"/>
        <v>275.74</v>
      </c>
      <c r="AV505" s="111">
        <v>0.20363000000000001</v>
      </c>
      <c r="AW505" s="111" t="s">
        <v>1904</v>
      </c>
      <c r="AX505" s="25"/>
      <c r="AY505" s="25"/>
      <c r="AZ505" s="25"/>
    </row>
    <row r="506" spans="1:52" ht="31.2" x14ac:dyDescent="0.3">
      <c r="A506" s="103">
        <v>496</v>
      </c>
      <c r="B506" s="109" t="s">
        <v>1194</v>
      </c>
      <c r="C506" s="30" t="s">
        <v>1899</v>
      </c>
      <c r="D506" s="110" t="s">
        <v>1900</v>
      </c>
      <c r="E506" s="110" t="s">
        <v>1917</v>
      </c>
      <c r="F506" s="30" t="s">
        <v>2703</v>
      </c>
      <c r="G506" s="26" t="s">
        <v>145</v>
      </c>
      <c r="H506" s="24" t="s">
        <v>146</v>
      </c>
      <c r="I506" s="109">
        <v>1</v>
      </c>
      <c r="J506" s="109" t="s">
        <v>1918</v>
      </c>
      <c r="K506" s="109">
        <v>108</v>
      </c>
      <c r="L506" s="109" t="s">
        <v>1919</v>
      </c>
      <c r="M506" s="109" t="s">
        <v>1904</v>
      </c>
      <c r="N506" s="109" t="s">
        <v>529</v>
      </c>
      <c r="O506" s="109" t="s">
        <v>1920</v>
      </c>
      <c r="P506" s="109" t="s">
        <v>1921</v>
      </c>
      <c r="Q506" s="102">
        <v>0</v>
      </c>
      <c r="R506" s="109" t="s">
        <v>1907</v>
      </c>
      <c r="S506" s="109" t="s">
        <v>1922</v>
      </c>
      <c r="T506" s="25"/>
      <c r="U506" s="111" t="s">
        <v>1923</v>
      </c>
      <c r="V506" s="111" t="s">
        <v>1923</v>
      </c>
      <c r="W506" s="112" t="s">
        <v>1997</v>
      </c>
      <c r="X506" s="112" t="s">
        <v>1906</v>
      </c>
      <c r="Y506" s="112" t="s">
        <v>1997</v>
      </c>
      <c r="Z506" s="112" t="s">
        <v>1906</v>
      </c>
      <c r="AA506" s="112" t="s">
        <v>1997</v>
      </c>
      <c r="AB506" s="112" t="s">
        <v>1906</v>
      </c>
      <c r="AC506" s="112">
        <v>56.99</v>
      </c>
      <c r="AD506" s="112" t="s">
        <v>1906</v>
      </c>
      <c r="AE506" s="112">
        <v>16.55</v>
      </c>
      <c r="AF506" s="112" t="s">
        <v>1906</v>
      </c>
      <c r="AG506" s="112">
        <v>0</v>
      </c>
      <c r="AH506" s="112"/>
      <c r="AI506" s="112">
        <v>0</v>
      </c>
      <c r="AJ506" s="112"/>
      <c r="AK506" s="112">
        <v>0</v>
      </c>
      <c r="AL506" s="112"/>
      <c r="AM506" s="112">
        <v>12.36</v>
      </c>
      <c r="AN506" s="112" t="s">
        <v>1906</v>
      </c>
      <c r="AO506" s="112">
        <v>52.95</v>
      </c>
      <c r="AP506" s="112" t="s">
        <v>1906</v>
      </c>
      <c r="AQ506" s="112">
        <v>52.95</v>
      </c>
      <c r="AR506" s="112" t="s">
        <v>1906</v>
      </c>
      <c r="AS506" s="112">
        <v>52.95</v>
      </c>
      <c r="AT506" s="112" t="s">
        <v>1906</v>
      </c>
      <c r="AU506" s="112">
        <f t="shared" si="21"/>
        <v>415.71999999999997</v>
      </c>
      <c r="AV506" s="111">
        <v>0.79591000000000001</v>
      </c>
      <c r="AW506" s="111" t="s">
        <v>1904</v>
      </c>
      <c r="AX506" s="25"/>
      <c r="AY506" s="25"/>
      <c r="AZ506" s="25"/>
    </row>
    <row r="507" spans="1:52" ht="31.2" x14ac:dyDescent="0.3">
      <c r="A507" s="103">
        <v>497</v>
      </c>
      <c r="B507" s="109" t="s">
        <v>1197</v>
      </c>
      <c r="C507" s="30" t="s">
        <v>1899</v>
      </c>
      <c r="D507" s="110" t="s">
        <v>1900</v>
      </c>
      <c r="E507" s="110" t="s">
        <v>1917</v>
      </c>
      <c r="F507" s="30" t="s">
        <v>2703</v>
      </c>
      <c r="G507" s="26" t="s">
        <v>145</v>
      </c>
      <c r="H507" s="24" t="s">
        <v>146</v>
      </c>
      <c r="I507" s="109">
        <v>0</v>
      </c>
      <c r="J507" s="109" t="s">
        <v>1918</v>
      </c>
      <c r="K507" s="109">
        <v>57</v>
      </c>
      <c r="L507" s="109" t="s">
        <v>1919</v>
      </c>
      <c r="M507" s="109" t="s">
        <v>1904</v>
      </c>
      <c r="N507" s="109" t="s">
        <v>529</v>
      </c>
      <c r="O507" s="109" t="s">
        <v>1920</v>
      </c>
      <c r="P507" s="109" t="s">
        <v>1920</v>
      </c>
      <c r="Q507" s="102">
        <v>0</v>
      </c>
      <c r="R507" s="109" t="s">
        <v>1907</v>
      </c>
      <c r="S507" s="109" t="s">
        <v>1922</v>
      </c>
      <c r="T507" s="25"/>
      <c r="U507" s="111" t="s">
        <v>1923</v>
      </c>
      <c r="V507" s="111" t="s">
        <v>1923</v>
      </c>
      <c r="W507" s="112" t="s">
        <v>1998</v>
      </c>
      <c r="X507" s="112" t="s">
        <v>1906</v>
      </c>
      <c r="Y507" s="112" t="s">
        <v>1998</v>
      </c>
      <c r="Z507" s="112" t="s">
        <v>1906</v>
      </c>
      <c r="AA507" s="112" t="s">
        <v>1998</v>
      </c>
      <c r="AB507" s="112" t="s">
        <v>1906</v>
      </c>
      <c r="AC507" s="112">
        <v>11.58</v>
      </c>
      <c r="AD507" s="112" t="s">
        <v>1906</v>
      </c>
      <c r="AE507" s="112">
        <v>3.36</v>
      </c>
      <c r="AF507" s="112" t="s">
        <v>1906</v>
      </c>
      <c r="AG507" s="112">
        <v>0</v>
      </c>
      <c r="AH507" s="112"/>
      <c r="AI507" s="112">
        <v>0</v>
      </c>
      <c r="AJ507" s="112"/>
      <c r="AK507" s="112">
        <v>0</v>
      </c>
      <c r="AL507" s="112"/>
      <c r="AM507" s="112">
        <v>2.42</v>
      </c>
      <c r="AN507" s="112" t="s">
        <v>1906</v>
      </c>
      <c r="AO507" s="112">
        <v>10.36</v>
      </c>
      <c r="AP507" s="112" t="s">
        <v>1906</v>
      </c>
      <c r="AQ507" s="112">
        <v>10.36</v>
      </c>
      <c r="AR507" s="112" t="s">
        <v>1906</v>
      </c>
      <c r="AS507" s="112">
        <v>10.36</v>
      </c>
      <c r="AT507" s="112" t="s">
        <v>1906</v>
      </c>
      <c r="AU507" s="112">
        <f t="shared" si="21"/>
        <v>83.179999999999993</v>
      </c>
      <c r="AV507" s="111">
        <v>5.8209999999999998E-2</v>
      </c>
      <c r="AW507" s="111" t="s">
        <v>1904</v>
      </c>
      <c r="AX507" s="25"/>
      <c r="AY507" s="25"/>
      <c r="AZ507" s="25"/>
    </row>
    <row r="508" spans="1:52" ht="31.2" x14ac:dyDescent="0.3">
      <c r="A508" s="103">
        <v>498</v>
      </c>
      <c r="B508" s="109" t="s">
        <v>1198</v>
      </c>
      <c r="C508" s="30" t="s">
        <v>1899</v>
      </c>
      <c r="D508" s="110" t="s">
        <v>1900</v>
      </c>
      <c r="E508" s="110" t="s">
        <v>1917</v>
      </c>
      <c r="F508" s="30" t="s">
        <v>2703</v>
      </c>
      <c r="G508" s="26" t="s">
        <v>145</v>
      </c>
      <c r="H508" s="24" t="s">
        <v>146</v>
      </c>
      <c r="I508" s="109">
        <v>1</v>
      </c>
      <c r="J508" s="109" t="s">
        <v>1918</v>
      </c>
      <c r="K508" s="109">
        <v>57</v>
      </c>
      <c r="L508" s="109" t="s">
        <v>1919</v>
      </c>
      <c r="M508" s="109" t="s">
        <v>1904</v>
      </c>
      <c r="N508" s="109" t="s">
        <v>529</v>
      </c>
      <c r="O508" s="109" t="s">
        <v>1920</v>
      </c>
      <c r="P508" s="109" t="s">
        <v>1921</v>
      </c>
      <c r="Q508" s="102">
        <v>0</v>
      </c>
      <c r="R508" s="109" t="s">
        <v>1907</v>
      </c>
      <c r="S508" s="109" t="s">
        <v>1922</v>
      </c>
      <c r="T508" s="25"/>
      <c r="U508" s="111" t="s">
        <v>1923</v>
      </c>
      <c r="V508" s="111" t="s">
        <v>1923</v>
      </c>
      <c r="W508" s="112" t="s">
        <v>1999</v>
      </c>
      <c r="X508" s="112" t="s">
        <v>1906</v>
      </c>
      <c r="Y508" s="112" t="s">
        <v>1999</v>
      </c>
      <c r="Z508" s="112" t="s">
        <v>1906</v>
      </c>
      <c r="AA508" s="112" t="s">
        <v>1999</v>
      </c>
      <c r="AB508" s="112" t="s">
        <v>1906</v>
      </c>
      <c r="AC508" s="112">
        <v>70.12</v>
      </c>
      <c r="AD508" s="112" t="s">
        <v>1906</v>
      </c>
      <c r="AE508" s="112">
        <v>20.36</v>
      </c>
      <c r="AF508" s="112" t="s">
        <v>1906</v>
      </c>
      <c r="AG508" s="112">
        <v>0</v>
      </c>
      <c r="AH508" s="112"/>
      <c r="AI508" s="112">
        <v>0</v>
      </c>
      <c r="AJ508" s="112"/>
      <c r="AK508" s="112">
        <v>0</v>
      </c>
      <c r="AL508" s="112"/>
      <c r="AM508" s="112">
        <v>16.57</v>
      </c>
      <c r="AN508" s="112" t="s">
        <v>1906</v>
      </c>
      <c r="AO508" s="112">
        <v>71.010000000000005</v>
      </c>
      <c r="AP508" s="112" t="s">
        <v>1906</v>
      </c>
      <c r="AQ508" s="112">
        <v>71.010000000000005</v>
      </c>
      <c r="AR508" s="112" t="s">
        <v>1906</v>
      </c>
      <c r="AS508" s="112">
        <v>71.010000000000005</v>
      </c>
      <c r="AT508" s="112" t="s">
        <v>1906</v>
      </c>
      <c r="AU508" s="112">
        <f t="shared" si="21"/>
        <v>530.44000000000005</v>
      </c>
      <c r="AV508" s="111">
        <v>0.23652000000000001</v>
      </c>
      <c r="AW508" s="111" t="s">
        <v>1904</v>
      </c>
      <c r="AX508" s="25"/>
      <c r="AY508" s="25"/>
      <c r="AZ508" s="25"/>
    </row>
    <row r="509" spans="1:52" ht="31.2" x14ac:dyDescent="0.3">
      <c r="A509" s="103">
        <v>499</v>
      </c>
      <c r="B509" s="109" t="s">
        <v>1200</v>
      </c>
      <c r="C509" s="30" t="s">
        <v>1899</v>
      </c>
      <c r="D509" s="110" t="s">
        <v>1900</v>
      </c>
      <c r="E509" s="110" t="s">
        <v>1917</v>
      </c>
      <c r="F509" s="30" t="s">
        <v>2703</v>
      </c>
      <c r="G509" s="26" t="s">
        <v>145</v>
      </c>
      <c r="H509" s="24" t="s">
        <v>146</v>
      </c>
      <c r="I509" s="109">
        <v>1</v>
      </c>
      <c r="J509" s="109" t="s">
        <v>1918</v>
      </c>
      <c r="K509" s="109">
        <v>76</v>
      </c>
      <c r="L509" s="109" t="s">
        <v>1919</v>
      </c>
      <c r="M509" s="109" t="s">
        <v>1904</v>
      </c>
      <c r="N509" s="109" t="s">
        <v>529</v>
      </c>
      <c r="O509" s="109" t="s">
        <v>1920</v>
      </c>
      <c r="P509" s="109" t="s">
        <v>1921</v>
      </c>
      <c r="Q509" s="102">
        <v>0</v>
      </c>
      <c r="R509" s="109" t="s">
        <v>1907</v>
      </c>
      <c r="S509" s="109" t="s">
        <v>1922</v>
      </c>
      <c r="T509" s="25"/>
      <c r="U509" s="111" t="s">
        <v>1923</v>
      </c>
      <c r="V509" s="111" t="s">
        <v>1923</v>
      </c>
      <c r="W509" s="112" t="s">
        <v>2000</v>
      </c>
      <c r="X509" s="112" t="s">
        <v>208</v>
      </c>
      <c r="Y509" s="112" t="s">
        <v>2001</v>
      </c>
      <c r="Z509" s="112" t="s">
        <v>208</v>
      </c>
      <c r="AA509" s="112" t="s">
        <v>2002</v>
      </c>
      <c r="AB509" s="112" t="s">
        <v>208</v>
      </c>
      <c r="AC509" s="112">
        <v>36.06</v>
      </c>
      <c r="AD509" s="112" t="s">
        <v>208</v>
      </c>
      <c r="AE509" s="112">
        <v>17.440000000000001</v>
      </c>
      <c r="AF509" s="112" t="s">
        <v>208</v>
      </c>
      <c r="AG509" s="112">
        <v>0</v>
      </c>
      <c r="AH509" s="112"/>
      <c r="AI509" s="112">
        <v>0</v>
      </c>
      <c r="AJ509" s="112"/>
      <c r="AK509" s="112">
        <v>0</v>
      </c>
      <c r="AL509" s="112"/>
      <c r="AM509" s="112">
        <v>0</v>
      </c>
      <c r="AN509" s="112"/>
      <c r="AO509" s="112">
        <v>34.53</v>
      </c>
      <c r="AP509" s="112" t="s">
        <v>208</v>
      </c>
      <c r="AQ509" s="112">
        <v>40.22</v>
      </c>
      <c r="AR509" s="112" t="s">
        <v>208</v>
      </c>
      <c r="AS509" s="112">
        <v>57.32</v>
      </c>
      <c r="AT509" s="112" t="s">
        <v>208</v>
      </c>
      <c r="AU509" s="112">
        <f t="shared" si="21"/>
        <v>407.38000000000005</v>
      </c>
      <c r="AV509" s="111">
        <v>0.23596</v>
      </c>
      <c r="AW509" s="111" t="s">
        <v>1904</v>
      </c>
      <c r="AX509" s="25"/>
      <c r="AY509" s="25"/>
      <c r="AZ509" s="25"/>
    </row>
    <row r="510" spans="1:52" ht="31.2" x14ac:dyDescent="0.3">
      <c r="A510" s="103">
        <v>500</v>
      </c>
      <c r="B510" s="109" t="s">
        <v>1202</v>
      </c>
      <c r="C510" s="30" t="s">
        <v>1899</v>
      </c>
      <c r="D510" s="110" t="s">
        <v>1900</v>
      </c>
      <c r="E510" s="110" t="s">
        <v>1917</v>
      </c>
      <c r="F510" s="30" t="s">
        <v>2703</v>
      </c>
      <c r="G510" s="26" t="s">
        <v>145</v>
      </c>
      <c r="H510" s="24" t="s">
        <v>146</v>
      </c>
      <c r="I510" s="109">
        <v>0</v>
      </c>
      <c r="J510" s="109" t="s">
        <v>1918</v>
      </c>
      <c r="K510" s="109">
        <v>76</v>
      </c>
      <c r="L510" s="109" t="s">
        <v>1919</v>
      </c>
      <c r="M510" s="109" t="s">
        <v>1904</v>
      </c>
      <c r="N510" s="109" t="s">
        <v>529</v>
      </c>
      <c r="O510" s="109" t="s">
        <v>1920</v>
      </c>
      <c r="P510" s="109" t="s">
        <v>1920</v>
      </c>
      <c r="Q510" s="102">
        <v>0</v>
      </c>
      <c r="R510" s="109" t="s">
        <v>1907</v>
      </c>
      <c r="S510" s="109" t="s">
        <v>1922</v>
      </c>
      <c r="T510" s="25"/>
      <c r="U510" s="111" t="s">
        <v>1923</v>
      </c>
      <c r="V510" s="111" t="s">
        <v>1923</v>
      </c>
      <c r="W510" s="112" t="s">
        <v>2003</v>
      </c>
      <c r="X510" s="112" t="s">
        <v>1906</v>
      </c>
      <c r="Y510" s="112" t="s">
        <v>2003</v>
      </c>
      <c r="Z510" s="112" t="s">
        <v>1906</v>
      </c>
      <c r="AA510" s="112" t="s">
        <v>2003</v>
      </c>
      <c r="AB510" s="112" t="s">
        <v>1906</v>
      </c>
      <c r="AC510" s="112">
        <v>36.28</v>
      </c>
      <c r="AD510" s="112" t="s">
        <v>1906</v>
      </c>
      <c r="AE510" s="112">
        <v>10.54</v>
      </c>
      <c r="AF510" s="112" t="s">
        <v>1906</v>
      </c>
      <c r="AG510" s="112">
        <v>0</v>
      </c>
      <c r="AH510" s="112"/>
      <c r="AI510" s="112">
        <v>0</v>
      </c>
      <c r="AJ510" s="112"/>
      <c r="AK510" s="112">
        <v>0</v>
      </c>
      <c r="AL510" s="112"/>
      <c r="AM510" s="112">
        <v>7.01</v>
      </c>
      <c r="AN510" s="112" t="s">
        <v>1906</v>
      </c>
      <c r="AO510" s="112">
        <v>30.05</v>
      </c>
      <c r="AP510" s="112" t="s">
        <v>1906</v>
      </c>
      <c r="AQ510" s="112">
        <v>30.05</v>
      </c>
      <c r="AR510" s="112" t="s">
        <v>1906</v>
      </c>
      <c r="AS510" s="112">
        <v>30.05</v>
      </c>
      <c r="AT510" s="112" t="s">
        <v>1906</v>
      </c>
      <c r="AU510" s="112">
        <f t="shared" si="21"/>
        <v>252.82000000000002</v>
      </c>
      <c r="AV510" s="111">
        <v>0.11643000000000001</v>
      </c>
      <c r="AW510" s="111" t="s">
        <v>1904</v>
      </c>
      <c r="AX510" s="25"/>
      <c r="AY510" s="25"/>
      <c r="AZ510" s="25"/>
    </row>
    <row r="511" spans="1:52" ht="31.2" x14ac:dyDescent="0.3">
      <c r="A511" s="103">
        <v>501</v>
      </c>
      <c r="B511" s="109" t="s">
        <v>1203</v>
      </c>
      <c r="C511" s="30" t="s">
        <v>1899</v>
      </c>
      <c r="D511" s="110" t="s">
        <v>1900</v>
      </c>
      <c r="E511" s="110" t="s">
        <v>1917</v>
      </c>
      <c r="F511" s="30" t="s">
        <v>2703</v>
      </c>
      <c r="G511" s="26" t="s">
        <v>145</v>
      </c>
      <c r="H511" s="24" t="s">
        <v>146</v>
      </c>
      <c r="I511" s="109">
        <v>0</v>
      </c>
      <c r="J511" s="109" t="s">
        <v>1918</v>
      </c>
      <c r="K511" s="109">
        <v>76</v>
      </c>
      <c r="L511" s="109" t="s">
        <v>1919</v>
      </c>
      <c r="M511" s="109" t="s">
        <v>1904</v>
      </c>
      <c r="N511" s="109" t="s">
        <v>529</v>
      </c>
      <c r="O511" s="109" t="s">
        <v>1920</v>
      </c>
      <c r="P511" s="109" t="s">
        <v>1920</v>
      </c>
      <c r="Q511" s="102">
        <v>0</v>
      </c>
      <c r="R511" s="109" t="s">
        <v>1907</v>
      </c>
      <c r="S511" s="109" t="s">
        <v>1922</v>
      </c>
      <c r="T511" s="25"/>
      <c r="U511" s="111" t="s">
        <v>1923</v>
      </c>
      <c r="V511" s="111" t="s">
        <v>1923</v>
      </c>
      <c r="W511" s="112" t="s">
        <v>2003</v>
      </c>
      <c r="X511" s="112" t="s">
        <v>1906</v>
      </c>
      <c r="Y511" s="112" t="s">
        <v>2003</v>
      </c>
      <c r="Z511" s="112" t="s">
        <v>1906</v>
      </c>
      <c r="AA511" s="112" t="s">
        <v>2003</v>
      </c>
      <c r="AB511" s="112" t="s">
        <v>1906</v>
      </c>
      <c r="AC511" s="112">
        <v>36.28</v>
      </c>
      <c r="AD511" s="112" t="s">
        <v>1906</v>
      </c>
      <c r="AE511" s="112">
        <v>10.54</v>
      </c>
      <c r="AF511" s="112" t="s">
        <v>1906</v>
      </c>
      <c r="AG511" s="112">
        <v>0</v>
      </c>
      <c r="AH511" s="112"/>
      <c r="AI511" s="112">
        <v>0</v>
      </c>
      <c r="AJ511" s="112"/>
      <c r="AK511" s="112">
        <v>0</v>
      </c>
      <c r="AL511" s="112"/>
      <c r="AM511" s="112">
        <v>7.01</v>
      </c>
      <c r="AN511" s="112" t="s">
        <v>1906</v>
      </c>
      <c r="AO511" s="112">
        <v>30.05</v>
      </c>
      <c r="AP511" s="112" t="s">
        <v>1906</v>
      </c>
      <c r="AQ511" s="112">
        <v>30.05</v>
      </c>
      <c r="AR511" s="112" t="s">
        <v>1906</v>
      </c>
      <c r="AS511" s="112">
        <v>30.05</v>
      </c>
      <c r="AT511" s="112" t="s">
        <v>1906</v>
      </c>
      <c r="AU511" s="112">
        <f t="shared" si="21"/>
        <v>252.82000000000002</v>
      </c>
      <c r="AV511" s="111">
        <v>0.11643000000000001</v>
      </c>
      <c r="AW511" s="111" t="s">
        <v>1904</v>
      </c>
      <c r="AX511" s="25"/>
      <c r="AY511" s="25"/>
      <c r="AZ511" s="25"/>
    </row>
    <row r="512" spans="1:52" ht="31.2" x14ac:dyDescent="0.3">
      <c r="A512" s="103">
        <v>502</v>
      </c>
      <c r="B512" s="109" t="s">
        <v>1205</v>
      </c>
      <c r="C512" s="30" t="s">
        <v>1899</v>
      </c>
      <c r="D512" s="110" t="s">
        <v>1900</v>
      </c>
      <c r="E512" s="110" t="s">
        <v>1917</v>
      </c>
      <c r="F512" s="30" t="s">
        <v>2703</v>
      </c>
      <c r="G512" s="26" t="s">
        <v>145</v>
      </c>
      <c r="H512" s="24" t="s">
        <v>146</v>
      </c>
      <c r="I512" s="109">
        <v>1</v>
      </c>
      <c r="J512" s="109" t="s">
        <v>1918</v>
      </c>
      <c r="K512" s="109">
        <v>76</v>
      </c>
      <c r="L512" s="109" t="s">
        <v>1919</v>
      </c>
      <c r="M512" s="109" t="s">
        <v>1904</v>
      </c>
      <c r="N512" s="109" t="s">
        <v>529</v>
      </c>
      <c r="O512" s="109" t="s">
        <v>1920</v>
      </c>
      <c r="P512" s="109" t="s">
        <v>1921</v>
      </c>
      <c r="Q512" s="102">
        <v>0</v>
      </c>
      <c r="R512" s="109" t="s">
        <v>1907</v>
      </c>
      <c r="S512" s="109" t="s">
        <v>1922</v>
      </c>
      <c r="T512" s="25"/>
      <c r="U512" s="111" t="s">
        <v>1923</v>
      </c>
      <c r="V512" s="111" t="s">
        <v>1923</v>
      </c>
      <c r="W512" s="112" t="s">
        <v>2004</v>
      </c>
      <c r="X512" s="112" t="s">
        <v>1906</v>
      </c>
      <c r="Y512" s="112" t="s">
        <v>2005</v>
      </c>
      <c r="Z512" s="112" t="s">
        <v>1906</v>
      </c>
      <c r="AA512" s="112" t="s">
        <v>2005</v>
      </c>
      <c r="AB512" s="112" t="s">
        <v>1906</v>
      </c>
      <c r="AC512" s="112">
        <v>94.98</v>
      </c>
      <c r="AD512" s="112" t="s">
        <v>1906</v>
      </c>
      <c r="AE512" s="112">
        <v>27.57</v>
      </c>
      <c r="AF512" s="112" t="s">
        <v>1906</v>
      </c>
      <c r="AG512" s="112">
        <v>0</v>
      </c>
      <c r="AH512" s="112"/>
      <c r="AI512" s="112">
        <v>0</v>
      </c>
      <c r="AJ512" s="112"/>
      <c r="AK512" s="112">
        <v>0</v>
      </c>
      <c r="AL512" s="112"/>
      <c r="AM512" s="112">
        <v>21.49</v>
      </c>
      <c r="AN512" s="112" t="s">
        <v>1906</v>
      </c>
      <c r="AO512" s="112">
        <v>98.99</v>
      </c>
      <c r="AP512" s="112" t="s">
        <v>1906</v>
      </c>
      <c r="AQ512" s="112">
        <v>92.08</v>
      </c>
      <c r="AR512" s="112" t="s">
        <v>1906</v>
      </c>
      <c r="AS512" s="112">
        <v>92.08</v>
      </c>
      <c r="AT512" s="112" t="s">
        <v>1906</v>
      </c>
      <c r="AU512" s="112">
        <f t="shared" si="21"/>
        <v>712.69</v>
      </c>
      <c r="AV512" s="111">
        <v>0.40949000000000002</v>
      </c>
      <c r="AW512" s="111" t="s">
        <v>1904</v>
      </c>
      <c r="AX512" s="25"/>
      <c r="AY512" s="25"/>
      <c r="AZ512" s="25"/>
    </row>
    <row r="513" spans="1:52" ht="31.2" x14ac:dyDescent="0.3">
      <c r="A513" s="103">
        <v>503</v>
      </c>
      <c r="B513" s="109" t="s">
        <v>1207</v>
      </c>
      <c r="C513" s="30" t="s">
        <v>1899</v>
      </c>
      <c r="D513" s="110" t="s">
        <v>1900</v>
      </c>
      <c r="E513" s="110" t="s">
        <v>1917</v>
      </c>
      <c r="F513" s="30" t="s">
        <v>2703</v>
      </c>
      <c r="G513" s="26" t="s">
        <v>145</v>
      </c>
      <c r="H513" s="24" t="s">
        <v>146</v>
      </c>
      <c r="I513" s="109">
        <v>1</v>
      </c>
      <c r="J513" s="109" t="s">
        <v>1918</v>
      </c>
      <c r="K513" s="109">
        <v>76</v>
      </c>
      <c r="L513" s="109" t="s">
        <v>1919</v>
      </c>
      <c r="M513" s="109" t="s">
        <v>1904</v>
      </c>
      <c r="N513" s="109" t="s">
        <v>529</v>
      </c>
      <c r="O513" s="109" t="s">
        <v>1920</v>
      </c>
      <c r="P513" s="109" t="s">
        <v>1921</v>
      </c>
      <c r="Q513" s="102">
        <v>0</v>
      </c>
      <c r="R513" s="109" t="s">
        <v>1907</v>
      </c>
      <c r="S513" s="109" t="s">
        <v>1922</v>
      </c>
      <c r="T513" s="25"/>
      <c r="U513" s="111" t="s">
        <v>1923</v>
      </c>
      <c r="V513" s="111" t="s">
        <v>1923</v>
      </c>
      <c r="W513" s="112" t="s">
        <v>2006</v>
      </c>
      <c r="X513" s="112" t="s">
        <v>1906</v>
      </c>
      <c r="Y513" s="112" t="s">
        <v>2006</v>
      </c>
      <c r="Z513" s="112" t="s">
        <v>1906</v>
      </c>
      <c r="AA513" s="112" t="s">
        <v>2006</v>
      </c>
      <c r="AB513" s="112" t="s">
        <v>1906</v>
      </c>
      <c r="AC513" s="112">
        <v>89.47</v>
      </c>
      <c r="AD513" s="112" t="s">
        <v>1906</v>
      </c>
      <c r="AE513" s="112">
        <v>25.98</v>
      </c>
      <c r="AF513" s="112" t="s">
        <v>1906</v>
      </c>
      <c r="AG513" s="112">
        <v>0</v>
      </c>
      <c r="AH513" s="112"/>
      <c r="AI513" s="112">
        <v>0</v>
      </c>
      <c r="AJ513" s="112"/>
      <c r="AK513" s="112">
        <v>0</v>
      </c>
      <c r="AL513" s="112"/>
      <c r="AM513" s="112">
        <v>0</v>
      </c>
      <c r="AN513" s="112"/>
      <c r="AO513" s="112">
        <v>85.45</v>
      </c>
      <c r="AP513" s="112" t="s">
        <v>1906</v>
      </c>
      <c r="AQ513" s="112">
        <v>85.45</v>
      </c>
      <c r="AR513" s="112" t="s">
        <v>1906</v>
      </c>
      <c r="AS513" s="112">
        <v>85.45</v>
      </c>
      <c r="AT513" s="112" t="s">
        <v>1906</v>
      </c>
      <c r="AU513" s="112">
        <f t="shared" si="21"/>
        <v>640.21</v>
      </c>
      <c r="AV513" s="111">
        <v>0.28537000000000001</v>
      </c>
      <c r="AW513" s="111" t="s">
        <v>1904</v>
      </c>
      <c r="AX513" s="25"/>
      <c r="AY513" s="25"/>
      <c r="AZ513" s="25"/>
    </row>
    <row r="514" spans="1:52" ht="31.2" x14ac:dyDescent="0.3">
      <c r="A514" s="103">
        <v>504</v>
      </c>
      <c r="B514" s="109" t="s">
        <v>1209</v>
      </c>
      <c r="C514" s="30" t="s">
        <v>1899</v>
      </c>
      <c r="D514" s="110" t="s">
        <v>1900</v>
      </c>
      <c r="E514" s="110" t="s">
        <v>1917</v>
      </c>
      <c r="F514" s="30" t="s">
        <v>2703</v>
      </c>
      <c r="G514" s="26" t="s">
        <v>145</v>
      </c>
      <c r="H514" s="24" t="s">
        <v>146</v>
      </c>
      <c r="I514" s="109">
        <v>1</v>
      </c>
      <c r="J514" s="109" t="s">
        <v>1918</v>
      </c>
      <c r="K514" s="109">
        <v>76</v>
      </c>
      <c r="L514" s="109" t="s">
        <v>1919</v>
      </c>
      <c r="M514" s="109" t="s">
        <v>1904</v>
      </c>
      <c r="N514" s="109" t="s">
        <v>529</v>
      </c>
      <c r="O514" s="109" t="s">
        <v>1920</v>
      </c>
      <c r="P514" s="109" t="s">
        <v>1921</v>
      </c>
      <c r="Q514" s="102">
        <v>0</v>
      </c>
      <c r="R514" s="109" t="s">
        <v>1907</v>
      </c>
      <c r="S514" s="109" t="s">
        <v>1922</v>
      </c>
      <c r="T514" s="25"/>
      <c r="U514" s="111" t="s">
        <v>1923</v>
      </c>
      <c r="V514" s="111" t="s">
        <v>1923</v>
      </c>
      <c r="W514" s="112" t="s">
        <v>2007</v>
      </c>
      <c r="X514" s="112" t="s">
        <v>1906</v>
      </c>
      <c r="Y514" s="112" t="s">
        <v>2007</v>
      </c>
      <c r="Z514" s="112" t="s">
        <v>1906</v>
      </c>
      <c r="AA514" s="112" t="s">
        <v>2007</v>
      </c>
      <c r="AB514" s="112" t="s">
        <v>1906</v>
      </c>
      <c r="AC514" s="112">
        <v>76.91</v>
      </c>
      <c r="AD514" s="112" t="s">
        <v>1906</v>
      </c>
      <c r="AE514" s="112">
        <v>22.32</v>
      </c>
      <c r="AF514" s="112" t="s">
        <v>1906</v>
      </c>
      <c r="AG514" s="112">
        <v>0</v>
      </c>
      <c r="AH514" s="112"/>
      <c r="AI514" s="112">
        <v>0</v>
      </c>
      <c r="AJ514" s="112"/>
      <c r="AK514" s="112">
        <v>0</v>
      </c>
      <c r="AL514" s="112"/>
      <c r="AM514" s="112">
        <v>0</v>
      </c>
      <c r="AN514" s="112"/>
      <c r="AO514" s="112">
        <v>81.45</v>
      </c>
      <c r="AP514" s="112" t="s">
        <v>1906</v>
      </c>
      <c r="AQ514" s="112">
        <v>81.45</v>
      </c>
      <c r="AR514" s="112" t="s">
        <v>1906</v>
      </c>
      <c r="AS514" s="112">
        <v>81.45</v>
      </c>
      <c r="AT514" s="112" t="s">
        <v>1906</v>
      </c>
      <c r="AU514" s="112">
        <f t="shared" si="21"/>
        <v>574.30999999999995</v>
      </c>
      <c r="AV514" s="111">
        <v>0.25694</v>
      </c>
      <c r="AW514" s="111" t="s">
        <v>1904</v>
      </c>
      <c r="AX514" s="25"/>
      <c r="AY514" s="25"/>
      <c r="AZ514" s="25"/>
    </row>
    <row r="515" spans="1:52" ht="31.2" x14ac:dyDescent="0.3">
      <c r="A515" s="103">
        <v>505</v>
      </c>
      <c r="B515" s="109" t="s">
        <v>1211</v>
      </c>
      <c r="C515" s="30" t="s">
        <v>1899</v>
      </c>
      <c r="D515" s="110" t="s">
        <v>1900</v>
      </c>
      <c r="E515" s="110" t="s">
        <v>1917</v>
      </c>
      <c r="F515" s="30" t="s">
        <v>2703</v>
      </c>
      <c r="G515" s="26" t="s">
        <v>145</v>
      </c>
      <c r="H515" s="24" t="s">
        <v>146</v>
      </c>
      <c r="I515" s="109">
        <v>1</v>
      </c>
      <c r="J515" s="109" t="s">
        <v>1918</v>
      </c>
      <c r="K515" s="109">
        <v>76</v>
      </c>
      <c r="L515" s="109" t="s">
        <v>1919</v>
      </c>
      <c r="M515" s="109" t="s">
        <v>1904</v>
      </c>
      <c r="N515" s="109" t="s">
        <v>529</v>
      </c>
      <c r="O515" s="109" t="s">
        <v>1920</v>
      </c>
      <c r="P515" s="109" t="s">
        <v>1921</v>
      </c>
      <c r="Q515" s="102">
        <v>0</v>
      </c>
      <c r="R515" s="109" t="s">
        <v>1907</v>
      </c>
      <c r="S515" s="109" t="s">
        <v>1922</v>
      </c>
      <c r="T515" s="25"/>
      <c r="U515" s="111" t="s">
        <v>1923</v>
      </c>
      <c r="V515" s="111" t="s">
        <v>1923</v>
      </c>
      <c r="W515" s="112" t="s">
        <v>2008</v>
      </c>
      <c r="X515" s="112" t="s">
        <v>208</v>
      </c>
      <c r="Y515" s="112" t="s">
        <v>2008</v>
      </c>
      <c r="Z515" s="112" t="s">
        <v>208</v>
      </c>
      <c r="AA515" s="112" t="s">
        <v>2008</v>
      </c>
      <c r="AB515" s="112" t="s">
        <v>208</v>
      </c>
      <c r="AC515" s="112">
        <v>45.13</v>
      </c>
      <c r="AD515" s="112" t="s">
        <v>208</v>
      </c>
      <c r="AE515" s="112">
        <v>13.1</v>
      </c>
      <c r="AF515" s="112" t="s">
        <v>208</v>
      </c>
      <c r="AG515" s="112">
        <v>0</v>
      </c>
      <c r="AH515" s="112"/>
      <c r="AI515" s="112">
        <v>0</v>
      </c>
      <c r="AJ515" s="112"/>
      <c r="AK515" s="112">
        <v>0</v>
      </c>
      <c r="AL515" s="112"/>
      <c r="AM515" s="112">
        <v>0</v>
      </c>
      <c r="AN515" s="112"/>
      <c r="AO515" s="112">
        <v>40.22</v>
      </c>
      <c r="AP515" s="112" t="s">
        <v>1906</v>
      </c>
      <c r="AQ515" s="112">
        <v>40.22</v>
      </c>
      <c r="AR515" s="112" t="s">
        <v>1906</v>
      </c>
      <c r="AS515" s="112">
        <v>40.22</v>
      </c>
      <c r="AT515" s="112" t="s">
        <v>1906</v>
      </c>
      <c r="AU515" s="112">
        <f t="shared" si="21"/>
        <v>314.27999999999997</v>
      </c>
      <c r="AV515" s="111">
        <v>0.26738000000000001</v>
      </c>
      <c r="AW515" s="111" t="s">
        <v>1904</v>
      </c>
      <c r="AX515" s="25"/>
      <c r="AY515" s="25"/>
      <c r="AZ515" s="25"/>
    </row>
    <row r="516" spans="1:52" ht="31.2" x14ac:dyDescent="0.3">
      <c r="A516" s="103">
        <v>506</v>
      </c>
      <c r="B516" s="109" t="s">
        <v>1213</v>
      </c>
      <c r="C516" s="30" t="s">
        <v>1899</v>
      </c>
      <c r="D516" s="110" t="s">
        <v>1900</v>
      </c>
      <c r="E516" s="110" t="s">
        <v>1917</v>
      </c>
      <c r="F516" s="30" t="s">
        <v>2703</v>
      </c>
      <c r="G516" s="26" t="s">
        <v>145</v>
      </c>
      <c r="H516" s="24" t="s">
        <v>146</v>
      </c>
      <c r="I516" s="109">
        <v>0</v>
      </c>
      <c r="J516" s="109" t="s">
        <v>1918</v>
      </c>
      <c r="K516" s="109">
        <v>76</v>
      </c>
      <c r="L516" s="109" t="s">
        <v>1919</v>
      </c>
      <c r="M516" s="109" t="s">
        <v>1904</v>
      </c>
      <c r="N516" s="109" t="s">
        <v>529</v>
      </c>
      <c r="O516" s="109" t="s">
        <v>1920</v>
      </c>
      <c r="P516" s="109" t="s">
        <v>1920</v>
      </c>
      <c r="Q516" s="102">
        <v>0</v>
      </c>
      <c r="R516" s="109" t="s">
        <v>1907</v>
      </c>
      <c r="S516" s="109" t="s">
        <v>1922</v>
      </c>
      <c r="T516" s="25"/>
      <c r="U516" s="111" t="s">
        <v>1923</v>
      </c>
      <c r="V516" s="111" t="s">
        <v>1923</v>
      </c>
      <c r="W516" s="112" t="s">
        <v>2009</v>
      </c>
      <c r="X516" s="112" t="s">
        <v>1906</v>
      </c>
      <c r="Y516" s="112" t="s">
        <v>2009</v>
      </c>
      <c r="Z516" s="112" t="s">
        <v>1906</v>
      </c>
      <c r="AA516" s="112" t="s">
        <v>2009</v>
      </c>
      <c r="AB516" s="112" t="s">
        <v>1906</v>
      </c>
      <c r="AC516" s="112">
        <v>44.93</v>
      </c>
      <c r="AD516" s="112" t="s">
        <v>1906</v>
      </c>
      <c r="AE516" s="112">
        <v>13.04</v>
      </c>
      <c r="AF516" s="112" t="s">
        <v>1906</v>
      </c>
      <c r="AG516" s="112">
        <v>0</v>
      </c>
      <c r="AH516" s="112"/>
      <c r="AI516" s="112">
        <v>0</v>
      </c>
      <c r="AJ516" s="112"/>
      <c r="AK516" s="112">
        <v>0</v>
      </c>
      <c r="AL516" s="112"/>
      <c r="AM516" s="112">
        <v>8.75</v>
      </c>
      <c r="AN516" s="112" t="s">
        <v>1906</v>
      </c>
      <c r="AO516" s="112">
        <v>43.77</v>
      </c>
      <c r="AP516" s="112" t="s">
        <v>1906</v>
      </c>
      <c r="AQ516" s="112">
        <v>43.77</v>
      </c>
      <c r="AR516" s="112" t="s">
        <v>1906</v>
      </c>
      <c r="AS516" s="112">
        <v>43.77</v>
      </c>
      <c r="AT516" s="112" t="s">
        <v>1906</v>
      </c>
      <c r="AU516" s="112">
        <f t="shared" si="21"/>
        <v>332.82</v>
      </c>
      <c r="AV516" s="111">
        <v>0.1656</v>
      </c>
      <c r="AW516" s="111" t="s">
        <v>1904</v>
      </c>
      <c r="AX516" s="25"/>
      <c r="AY516" s="25"/>
      <c r="AZ516" s="25"/>
    </row>
    <row r="517" spans="1:52" ht="31.2" x14ac:dyDescent="0.3">
      <c r="A517" s="103">
        <v>507</v>
      </c>
      <c r="B517" s="109" t="s">
        <v>1214</v>
      </c>
      <c r="C517" s="30" t="s">
        <v>1899</v>
      </c>
      <c r="D517" s="110" t="s">
        <v>1900</v>
      </c>
      <c r="E517" s="110" t="s">
        <v>1917</v>
      </c>
      <c r="F517" s="30" t="s">
        <v>2703</v>
      </c>
      <c r="G517" s="26" t="s">
        <v>145</v>
      </c>
      <c r="H517" s="24" t="s">
        <v>146</v>
      </c>
      <c r="I517" s="109">
        <v>1</v>
      </c>
      <c r="J517" s="109" t="s">
        <v>1918</v>
      </c>
      <c r="K517" s="109">
        <v>100</v>
      </c>
      <c r="L517" s="109" t="s">
        <v>1919</v>
      </c>
      <c r="M517" s="109" t="s">
        <v>1904</v>
      </c>
      <c r="N517" s="109" t="s">
        <v>529</v>
      </c>
      <c r="O517" s="109" t="s">
        <v>1920</v>
      </c>
      <c r="P517" s="109" t="s">
        <v>1921</v>
      </c>
      <c r="Q517" s="102">
        <v>0</v>
      </c>
      <c r="R517" s="109" t="s">
        <v>1907</v>
      </c>
      <c r="S517" s="109" t="s">
        <v>1922</v>
      </c>
      <c r="T517" s="25"/>
      <c r="U517" s="111" t="s">
        <v>1923</v>
      </c>
      <c r="V517" s="111" t="s">
        <v>1923</v>
      </c>
      <c r="W517" s="112" t="s">
        <v>2010</v>
      </c>
      <c r="X517" s="112" t="s">
        <v>208</v>
      </c>
      <c r="Y517" s="112" t="s">
        <v>2011</v>
      </c>
      <c r="Z517" s="112" t="s">
        <v>208</v>
      </c>
      <c r="AA517" s="112" t="s">
        <v>2012</v>
      </c>
      <c r="AB517" s="112" t="s">
        <v>208</v>
      </c>
      <c r="AC517" s="112">
        <v>36.68</v>
      </c>
      <c r="AD517" s="112" t="s">
        <v>208</v>
      </c>
      <c r="AE517" s="112">
        <v>20.98</v>
      </c>
      <c r="AF517" s="112" t="s">
        <v>208</v>
      </c>
      <c r="AG517" s="112">
        <v>0</v>
      </c>
      <c r="AH517" s="112"/>
      <c r="AI517" s="112">
        <v>0</v>
      </c>
      <c r="AJ517" s="112"/>
      <c r="AK517" s="112">
        <v>0</v>
      </c>
      <c r="AL517" s="112"/>
      <c r="AM517" s="112">
        <v>0</v>
      </c>
      <c r="AN517" s="112"/>
      <c r="AO517" s="112">
        <v>27.9</v>
      </c>
      <c r="AP517" s="112" t="s">
        <v>208</v>
      </c>
      <c r="AQ517" s="112">
        <v>26.76</v>
      </c>
      <c r="AR517" s="112" t="s">
        <v>208</v>
      </c>
      <c r="AS517" s="112">
        <v>49.79</v>
      </c>
      <c r="AT517" s="112" t="s">
        <v>208</v>
      </c>
      <c r="AU517" s="112">
        <f t="shared" si="21"/>
        <v>406.65000000000003</v>
      </c>
      <c r="AV517" s="111">
        <v>9.8802000000000001E-2</v>
      </c>
      <c r="AW517" s="111" t="s">
        <v>1904</v>
      </c>
      <c r="AX517" s="25"/>
      <c r="AY517" s="25"/>
      <c r="AZ517" s="25"/>
    </row>
    <row r="518" spans="1:52" ht="31.2" x14ac:dyDescent="0.3">
      <c r="A518" s="103">
        <v>508</v>
      </c>
      <c r="B518" s="109" t="s">
        <v>1215</v>
      </c>
      <c r="C518" s="30" t="s">
        <v>1899</v>
      </c>
      <c r="D518" s="110" t="s">
        <v>1900</v>
      </c>
      <c r="E518" s="110" t="s">
        <v>1917</v>
      </c>
      <c r="F518" s="30" t="s">
        <v>2703</v>
      </c>
      <c r="G518" s="26" t="s">
        <v>145</v>
      </c>
      <c r="H518" s="24" t="s">
        <v>146</v>
      </c>
      <c r="I518" s="109">
        <v>0</v>
      </c>
      <c r="J518" s="109" t="s">
        <v>1918</v>
      </c>
      <c r="K518" s="109">
        <v>50</v>
      </c>
      <c r="L518" s="109" t="s">
        <v>1919</v>
      </c>
      <c r="M518" s="109" t="s">
        <v>1904</v>
      </c>
      <c r="N518" s="109" t="s">
        <v>529</v>
      </c>
      <c r="O518" s="109" t="s">
        <v>1920</v>
      </c>
      <c r="P518" s="109" t="s">
        <v>1920</v>
      </c>
      <c r="Q518" s="102">
        <v>0</v>
      </c>
      <c r="R518" s="109" t="s">
        <v>1907</v>
      </c>
      <c r="S518" s="109" t="s">
        <v>1922</v>
      </c>
      <c r="T518" s="25"/>
      <c r="U518" s="111" t="s">
        <v>1923</v>
      </c>
      <c r="V518" s="111" t="s">
        <v>1923</v>
      </c>
      <c r="W518" s="112" t="s">
        <v>2013</v>
      </c>
      <c r="X518" s="112" t="s">
        <v>1906</v>
      </c>
      <c r="Y518" s="112" t="s">
        <v>2013</v>
      </c>
      <c r="Z518" s="112" t="s">
        <v>1906</v>
      </c>
      <c r="AA518" s="112" t="s">
        <v>2013</v>
      </c>
      <c r="AB518" s="112" t="s">
        <v>1906</v>
      </c>
      <c r="AC518" s="112">
        <v>15.41</v>
      </c>
      <c r="AD518" s="112" t="s">
        <v>1906</v>
      </c>
      <c r="AE518" s="112">
        <v>4.4800000000000004</v>
      </c>
      <c r="AF518" s="112" t="s">
        <v>1906</v>
      </c>
      <c r="AG518" s="112">
        <v>0</v>
      </c>
      <c r="AH518" s="112"/>
      <c r="AI518" s="112">
        <v>0</v>
      </c>
      <c r="AJ518" s="112"/>
      <c r="AK518" s="112">
        <v>0</v>
      </c>
      <c r="AL518" s="112"/>
      <c r="AM518" s="112">
        <v>3.03</v>
      </c>
      <c r="AN518" s="112" t="s">
        <v>1906</v>
      </c>
      <c r="AO518" s="112">
        <v>15.13</v>
      </c>
      <c r="AP518" s="112" t="s">
        <v>1906</v>
      </c>
      <c r="AQ518" s="112">
        <v>15.13</v>
      </c>
      <c r="AR518" s="112" t="s">
        <v>1906</v>
      </c>
      <c r="AS518" s="112">
        <v>15.13</v>
      </c>
      <c r="AT518" s="112" t="s">
        <v>1906</v>
      </c>
      <c r="AU518" s="112">
        <f t="shared" si="21"/>
        <v>114.53999999999999</v>
      </c>
      <c r="AV518" s="111">
        <v>6.8250000000000005E-2</v>
      </c>
      <c r="AW518" s="111" t="s">
        <v>1904</v>
      </c>
      <c r="AX518" s="25"/>
      <c r="AY518" s="25"/>
      <c r="AZ518" s="25"/>
    </row>
    <row r="519" spans="1:52" ht="31.2" x14ac:dyDescent="0.3">
      <c r="A519" s="103">
        <v>509</v>
      </c>
      <c r="B519" s="109" t="s">
        <v>1216</v>
      </c>
      <c r="C519" s="30" t="s">
        <v>1899</v>
      </c>
      <c r="D519" s="110" t="s">
        <v>1900</v>
      </c>
      <c r="E519" s="110" t="s">
        <v>1917</v>
      </c>
      <c r="F519" s="30" t="s">
        <v>2703</v>
      </c>
      <c r="G519" s="26" t="s">
        <v>145</v>
      </c>
      <c r="H519" s="24" t="s">
        <v>146</v>
      </c>
      <c r="I519" s="109">
        <v>0</v>
      </c>
      <c r="J519" s="109" t="s">
        <v>1918</v>
      </c>
      <c r="K519" s="109">
        <v>50</v>
      </c>
      <c r="L519" s="109" t="s">
        <v>1919</v>
      </c>
      <c r="M519" s="109" t="s">
        <v>1904</v>
      </c>
      <c r="N519" s="109" t="s">
        <v>529</v>
      </c>
      <c r="O519" s="109" t="s">
        <v>1920</v>
      </c>
      <c r="P519" s="109" t="s">
        <v>1920</v>
      </c>
      <c r="Q519" s="102">
        <v>0</v>
      </c>
      <c r="R519" s="109" t="s">
        <v>1907</v>
      </c>
      <c r="S519" s="109" t="s">
        <v>1922</v>
      </c>
      <c r="T519" s="25"/>
      <c r="U519" s="111" t="s">
        <v>1923</v>
      </c>
      <c r="V519" s="111" t="s">
        <v>1923</v>
      </c>
      <c r="W519" s="112" t="s">
        <v>2014</v>
      </c>
      <c r="X519" s="112" t="s">
        <v>1906</v>
      </c>
      <c r="Y519" s="112" t="s">
        <v>2014</v>
      </c>
      <c r="Z519" s="112" t="s">
        <v>1906</v>
      </c>
      <c r="AA519" s="112" t="s">
        <v>2014</v>
      </c>
      <c r="AB519" s="112" t="s">
        <v>1906</v>
      </c>
      <c r="AC519" s="112">
        <v>83.76</v>
      </c>
      <c r="AD519" s="112" t="s">
        <v>1906</v>
      </c>
      <c r="AE519" s="112">
        <v>24.32</v>
      </c>
      <c r="AF519" s="112" t="s">
        <v>1906</v>
      </c>
      <c r="AG519" s="112">
        <v>0</v>
      </c>
      <c r="AH519" s="112"/>
      <c r="AI519" s="112">
        <v>0</v>
      </c>
      <c r="AJ519" s="112"/>
      <c r="AK519" s="112">
        <v>0</v>
      </c>
      <c r="AL519" s="112"/>
      <c r="AM519" s="112">
        <v>18.8</v>
      </c>
      <c r="AN519" s="112" t="s">
        <v>1906</v>
      </c>
      <c r="AO519" s="112">
        <v>80.569999999999993</v>
      </c>
      <c r="AP519" s="112" t="s">
        <v>1906</v>
      </c>
      <c r="AQ519" s="112">
        <v>80.569999999999993</v>
      </c>
      <c r="AR519" s="112" t="s">
        <v>1906</v>
      </c>
      <c r="AS519" s="112">
        <v>80.569999999999993</v>
      </c>
      <c r="AT519" s="112" t="s">
        <v>1906</v>
      </c>
      <c r="AU519" s="112">
        <f t="shared" si="21"/>
        <v>619.86999999999989</v>
      </c>
      <c r="AV519" s="111">
        <v>0.18769</v>
      </c>
      <c r="AW519" s="111" t="s">
        <v>1904</v>
      </c>
      <c r="AX519" s="25"/>
      <c r="AY519" s="25"/>
      <c r="AZ519" s="25"/>
    </row>
    <row r="520" spans="1:52" ht="31.2" x14ac:dyDescent="0.3">
      <c r="A520" s="103">
        <v>510</v>
      </c>
      <c r="B520" s="109" t="s">
        <v>1218</v>
      </c>
      <c r="C520" s="30" t="s">
        <v>1899</v>
      </c>
      <c r="D520" s="110" t="s">
        <v>1900</v>
      </c>
      <c r="E520" s="110" t="s">
        <v>1917</v>
      </c>
      <c r="F520" s="30" t="s">
        <v>2703</v>
      </c>
      <c r="G520" s="26" t="s">
        <v>145</v>
      </c>
      <c r="H520" s="24" t="s">
        <v>146</v>
      </c>
      <c r="I520" s="109">
        <v>2</v>
      </c>
      <c r="J520" s="109" t="s">
        <v>1918</v>
      </c>
      <c r="K520" s="109">
        <v>89</v>
      </c>
      <c r="L520" s="109" t="s">
        <v>1919</v>
      </c>
      <c r="M520" s="109" t="s">
        <v>1904</v>
      </c>
      <c r="N520" s="109" t="s">
        <v>529</v>
      </c>
      <c r="O520" s="109" t="s">
        <v>1920</v>
      </c>
      <c r="P520" s="109" t="s">
        <v>1921</v>
      </c>
      <c r="Q520" s="102">
        <v>0</v>
      </c>
      <c r="R520" s="109" t="s">
        <v>1907</v>
      </c>
      <c r="S520" s="109" t="s">
        <v>1922</v>
      </c>
      <c r="T520" s="25"/>
      <c r="U520" s="111" t="s">
        <v>1923</v>
      </c>
      <c r="V520" s="111" t="s">
        <v>1923</v>
      </c>
      <c r="W520" s="112" t="s">
        <v>2015</v>
      </c>
      <c r="X520" s="112" t="s">
        <v>1906</v>
      </c>
      <c r="Y520" s="112" t="s">
        <v>2015</v>
      </c>
      <c r="Z520" s="112" t="s">
        <v>1906</v>
      </c>
      <c r="AA520" s="112" t="s">
        <v>2015</v>
      </c>
      <c r="AB520" s="112" t="s">
        <v>1906</v>
      </c>
      <c r="AC520" s="112">
        <v>106.17</v>
      </c>
      <c r="AD520" s="112" t="s">
        <v>1906</v>
      </c>
      <c r="AE520" s="112">
        <v>30.83</v>
      </c>
      <c r="AF520" s="112" t="s">
        <v>1906</v>
      </c>
      <c r="AG520" s="112">
        <v>0</v>
      </c>
      <c r="AH520" s="112"/>
      <c r="AI520" s="112">
        <v>0</v>
      </c>
      <c r="AJ520" s="112"/>
      <c r="AK520" s="112">
        <v>0</v>
      </c>
      <c r="AL520" s="112"/>
      <c r="AM520" s="112">
        <v>25.16</v>
      </c>
      <c r="AN520" s="112" t="s">
        <v>1906</v>
      </c>
      <c r="AO520" s="112">
        <v>91.42</v>
      </c>
      <c r="AP520" s="112" t="s">
        <v>1906</v>
      </c>
      <c r="AQ520" s="112">
        <v>53.92</v>
      </c>
      <c r="AR520" s="112" t="s">
        <v>1906</v>
      </c>
      <c r="AS520" s="112">
        <v>53.92</v>
      </c>
      <c r="AT520" s="112" t="s">
        <v>1906</v>
      </c>
      <c r="AU520" s="112">
        <f t="shared" si="21"/>
        <v>679.93</v>
      </c>
      <c r="AV520" s="111">
        <v>0.40577999999999997</v>
      </c>
      <c r="AW520" s="111" t="s">
        <v>1904</v>
      </c>
      <c r="AX520" s="25"/>
      <c r="AY520" s="25"/>
      <c r="AZ520" s="25"/>
    </row>
    <row r="521" spans="1:52" ht="31.2" x14ac:dyDescent="0.3">
      <c r="A521" s="103">
        <v>511</v>
      </c>
      <c r="B521" s="109" t="s">
        <v>1219</v>
      </c>
      <c r="C521" s="30" t="s">
        <v>1899</v>
      </c>
      <c r="D521" s="110" t="s">
        <v>1900</v>
      </c>
      <c r="E521" s="110" t="s">
        <v>1917</v>
      </c>
      <c r="F521" s="30" t="s">
        <v>2703</v>
      </c>
      <c r="G521" s="26" t="s">
        <v>145</v>
      </c>
      <c r="H521" s="24" t="s">
        <v>146</v>
      </c>
      <c r="I521" s="109">
        <v>1</v>
      </c>
      <c r="J521" s="109" t="s">
        <v>1918</v>
      </c>
      <c r="K521" s="109">
        <v>100</v>
      </c>
      <c r="L521" s="109" t="s">
        <v>1919</v>
      </c>
      <c r="M521" s="109" t="s">
        <v>1904</v>
      </c>
      <c r="N521" s="109" t="s">
        <v>529</v>
      </c>
      <c r="O521" s="109" t="s">
        <v>1920</v>
      </c>
      <c r="P521" s="109" t="s">
        <v>1921</v>
      </c>
      <c r="Q521" s="102">
        <v>0</v>
      </c>
      <c r="R521" s="109" t="s">
        <v>1907</v>
      </c>
      <c r="S521" s="109" t="s">
        <v>1922</v>
      </c>
      <c r="T521" s="25"/>
      <c r="U521" s="111" t="s">
        <v>1923</v>
      </c>
      <c r="V521" s="111" t="s">
        <v>1923</v>
      </c>
      <c r="W521" s="112" t="s">
        <v>2016</v>
      </c>
      <c r="X521" s="112" t="s">
        <v>1906</v>
      </c>
      <c r="Y521" s="112" t="s">
        <v>2016</v>
      </c>
      <c r="Z521" s="112" t="s">
        <v>1906</v>
      </c>
      <c r="AA521" s="112" t="s">
        <v>2016</v>
      </c>
      <c r="AB521" s="112" t="s">
        <v>1906</v>
      </c>
      <c r="AC521" s="112">
        <v>69.47</v>
      </c>
      <c r="AD521" s="112" t="s">
        <v>1906</v>
      </c>
      <c r="AE521" s="112">
        <v>20.170000000000002</v>
      </c>
      <c r="AF521" s="112" t="s">
        <v>1906</v>
      </c>
      <c r="AG521" s="112">
        <v>0</v>
      </c>
      <c r="AH521" s="112"/>
      <c r="AI521" s="112">
        <v>0</v>
      </c>
      <c r="AJ521" s="112"/>
      <c r="AK521" s="112">
        <v>0</v>
      </c>
      <c r="AL521" s="112"/>
      <c r="AM521" s="112">
        <v>17.36</v>
      </c>
      <c r="AN521" s="112" t="s">
        <v>1906</v>
      </c>
      <c r="AO521" s="112">
        <v>39.51</v>
      </c>
      <c r="AP521" s="112" t="s">
        <v>208</v>
      </c>
      <c r="AQ521" s="112">
        <v>63.17</v>
      </c>
      <c r="AR521" s="112" t="s">
        <v>208</v>
      </c>
      <c r="AS521" s="112">
        <v>89.84</v>
      </c>
      <c r="AT521" s="112" t="s">
        <v>208</v>
      </c>
      <c r="AU521" s="112">
        <f t="shared" si="21"/>
        <v>507.93000000000006</v>
      </c>
      <c r="AV521" s="111">
        <v>0.27500000000000002</v>
      </c>
      <c r="AW521" s="111" t="s">
        <v>1904</v>
      </c>
      <c r="AX521" s="25"/>
      <c r="AY521" s="25"/>
      <c r="AZ521" s="25"/>
    </row>
    <row r="522" spans="1:52" ht="31.2" x14ac:dyDescent="0.3">
      <c r="A522" s="103">
        <v>512</v>
      </c>
      <c r="B522" s="109" t="s">
        <v>1220</v>
      </c>
      <c r="C522" s="30" t="s">
        <v>1899</v>
      </c>
      <c r="D522" s="110" t="s">
        <v>1900</v>
      </c>
      <c r="E522" s="110" t="s">
        <v>1917</v>
      </c>
      <c r="F522" s="30" t="s">
        <v>2703</v>
      </c>
      <c r="G522" s="26" t="s">
        <v>145</v>
      </c>
      <c r="H522" s="24" t="s">
        <v>146</v>
      </c>
      <c r="I522" s="109">
        <v>0</v>
      </c>
      <c r="J522" s="109" t="s">
        <v>1918</v>
      </c>
      <c r="K522" s="109">
        <v>50</v>
      </c>
      <c r="L522" s="109" t="s">
        <v>1919</v>
      </c>
      <c r="M522" s="109" t="s">
        <v>1904</v>
      </c>
      <c r="N522" s="109" t="s">
        <v>529</v>
      </c>
      <c r="O522" s="109" t="s">
        <v>1920</v>
      </c>
      <c r="P522" s="109" t="s">
        <v>1920</v>
      </c>
      <c r="Q522" s="102">
        <v>0</v>
      </c>
      <c r="R522" s="109" t="s">
        <v>1907</v>
      </c>
      <c r="S522" s="109" t="s">
        <v>1922</v>
      </c>
      <c r="T522" s="25"/>
      <c r="U522" s="111" t="s">
        <v>1923</v>
      </c>
      <c r="V522" s="111" t="s">
        <v>1923</v>
      </c>
      <c r="W522" s="112" t="s">
        <v>2017</v>
      </c>
      <c r="X522" s="112" t="s">
        <v>1906</v>
      </c>
      <c r="Y522" s="112" t="s">
        <v>2017</v>
      </c>
      <c r="Z522" s="112" t="s">
        <v>1906</v>
      </c>
      <c r="AA522" s="112" t="s">
        <v>2017</v>
      </c>
      <c r="AB522" s="112" t="s">
        <v>1906</v>
      </c>
      <c r="AC522" s="112">
        <v>9.36</v>
      </c>
      <c r="AD522" s="112" t="s">
        <v>1906</v>
      </c>
      <c r="AE522" s="112">
        <v>2.72</v>
      </c>
      <c r="AF522" s="112" t="s">
        <v>1906</v>
      </c>
      <c r="AG522" s="112">
        <v>0</v>
      </c>
      <c r="AH522" s="112"/>
      <c r="AI522" s="112">
        <v>0</v>
      </c>
      <c r="AJ522" s="112"/>
      <c r="AK522" s="112">
        <v>0</v>
      </c>
      <c r="AL522" s="112"/>
      <c r="AM522" s="112">
        <v>1.94</v>
      </c>
      <c r="AN522" s="112" t="s">
        <v>1906</v>
      </c>
      <c r="AO522" s="112">
        <v>8.32</v>
      </c>
      <c r="AP522" s="112" t="s">
        <v>1906</v>
      </c>
      <c r="AQ522" s="112">
        <v>8.32</v>
      </c>
      <c r="AR522" s="112" t="s">
        <v>1906</v>
      </c>
      <c r="AS522" s="112">
        <v>8.32</v>
      </c>
      <c r="AT522" s="112" t="s">
        <v>1906</v>
      </c>
      <c r="AU522" s="112">
        <f t="shared" si="21"/>
        <v>67.06</v>
      </c>
      <c r="AV522" s="111">
        <v>8.6319999999999994E-2</v>
      </c>
      <c r="AW522" s="111" t="s">
        <v>1904</v>
      </c>
      <c r="AX522" s="25"/>
      <c r="AY522" s="25"/>
      <c r="AZ522" s="25"/>
    </row>
    <row r="523" spans="1:52" ht="31.2" x14ac:dyDescent="0.3">
      <c r="A523" s="103">
        <v>513</v>
      </c>
      <c r="B523" s="109" t="s">
        <v>1221</v>
      </c>
      <c r="C523" s="30" t="s">
        <v>1899</v>
      </c>
      <c r="D523" s="110" t="s">
        <v>1900</v>
      </c>
      <c r="E523" s="110" t="s">
        <v>1917</v>
      </c>
      <c r="F523" s="30" t="s">
        <v>2703</v>
      </c>
      <c r="G523" s="26" t="s">
        <v>145</v>
      </c>
      <c r="H523" s="24" t="s">
        <v>146</v>
      </c>
      <c r="I523" s="109">
        <v>0</v>
      </c>
      <c r="J523" s="109" t="s">
        <v>1918</v>
      </c>
      <c r="K523" s="109">
        <v>50</v>
      </c>
      <c r="L523" s="109" t="s">
        <v>1919</v>
      </c>
      <c r="M523" s="109" t="s">
        <v>1904</v>
      </c>
      <c r="N523" s="109" t="s">
        <v>529</v>
      </c>
      <c r="O523" s="109" t="s">
        <v>1920</v>
      </c>
      <c r="P523" s="109" t="s">
        <v>1920</v>
      </c>
      <c r="Q523" s="102">
        <v>0</v>
      </c>
      <c r="R523" s="109" t="s">
        <v>1907</v>
      </c>
      <c r="S523" s="109" t="s">
        <v>1922</v>
      </c>
      <c r="T523" s="25"/>
      <c r="U523" s="111" t="s">
        <v>1923</v>
      </c>
      <c r="V523" s="111" t="s">
        <v>1923</v>
      </c>
      <c r="W523" s="112" t="s">
        <v>2017</v>
      </c>
      <c r="X523" s="112" t="s">
        <v>1906</v>
      </c>
      <c r="Y523" s="112" t="s">
        <v>2017</v>
      </c>
      <c r="Z523" s="112" t="s">
        <v>1906</v>
      </c>
      <c r="AA523" s="112" t="s">
        <v>2017</v>
      </c>
      <c r="AB523" s="112" t="s">
        <v>1906</v>
      </c>
      <c r="AC523" s="112">
        <v>9.36</v>
      </c>
      <c r="AD523" s="112" t="s">
        <v>1906</v>
      </c>
      <c r="AE523" s="112">
        <v>2.72</v>
      </c>
      <c r="AF523" s="112" t="s">
        <v>1906</v>
      </c>
      <c r="AG523" s="112">
        <v>0</v>
      </c>
      <c r="AH523" s="112"/>
      <c r="AI523" s="112">
        <v>0</v>
      </c>
      <c r="AJ523" s="112"/>
      <c r="AK523" s="112">
        <v>0</v>
      </c>
      <c r="AL523" s="112"/>
      <c r="AM523" s="112">
        <v>1.94</v>
      </c>
      <c r="AN523" s="112" t="s">
        <v>1906</v>
      </c>
      <c r="AO523" s="112">
        <v>8.32</v>
      </c>
      <c r="AP523" s="112" t="s">
        <v>1906</v>
      </c>
      <c r="AQ523" s="112">
        <v>8.32</v>
      </c>
      <c r="AR523" s="112" t="s">
        <v>1906</v>
      </c>
      <c r="AS523" s="112">
        <v>8.32</v>
      </c>
      <c r="AT523" s="112" t="s">
        <v>1906</v>
      </c>
      <c r="AU523" s="112">
        <f t="shared" si="21"/>
        <v>67.06</v>
      </c>
      <c r="AV523" s="111">
        <v>8.6319999999999994E-2</v>
      </c>
      <c r="AW523" s="111" t="s">
        <v>1904</v>
      </c>
      <c r="AX523" s="25"/>
      <c r="AY523" s="25"/>
      <c r="AZ523" s="25"/>
    </row>
    <row r="524" spans="1:52" ht="31.2" x14ac:dyDescent="0.3">
      <c r="A524" s="103">
        <v>514</v>
      </c>
      <c r="B524" s="109" t="s">
        <v>1223</v>
      </c>
      <c r="C524" s="30" t="s">
        <v>1899</v>
      </c>
      <c r="D524" s="110" t="s">
        <v>1900</v>
      </c>
      <c r="E524" s="110" t="s">
        <v>1917</v>
      </c>
      <c r="F524" s="30" t="s">
        <v>2703</v>
      </c>
      <c r="G524" s="26" t="s">
        <v>145</v>
      </c>
      <c r="H524" s="24" t="s">
        <v>146</v>
      </c>
      <c r="I524" s="109">
        <v>0</v>
      </c>
      <c r="J524" s="109" t="s">
        <v>1918</v>
      </c>
      <c r="K524" s="109">
        <v>50</v>
      </c>
      <c r="L524" s="109" t="s">
        <v>1919</v>
      </c>
      <c r="M524" s="109" t="s">
        <v>1904</v>
      </c>
      <c r="N524" s="109" t="s">
        <v>529</v>
      </c>
      <c r="O524" s="109" t="s">
        <v>1920</v>
      </c>
      <c r="P524" s="109" t="s">
        <v>1920</v>
      </c>
      <c r="Q524" s="102">
        <v>0</v>
      </c>
      <c r="R524" s="109" t="s">
        <v>1907</v>
      </c>
      <c r="S524" s="109" t="s">
        <v>1922</v>
      </c>
      <c r="T524" s="25"/>
      <c r="U524" s="111" t="s">
        <v>1923</v>
      </c>
      <c r="V524" s="111" t="s">
        <v>1923</v>
      </c>
      <c r="W524" s="112" t="s">
        <v>2018</v>
      </c>
      <c r="X524" s="112" t="s">
        <v>1906</v>
      </c>
      <c r="Y524" s="112" t="s">
        <v>2018</v>
      </c>
      <c r="Z524" s="112" t="s">
        <v>1906</v>
      </c>
      <c r="AA524" s="112" t="s">
        <v>2018</v>
      </c>
      <c r="AB524" s="112" t="s">
        <v>1906</v>
      </c>
      <c r="AC524" s="112">
        <v>17.010000000000002</v>
      </c>
      <c r="AD524" s="112" t="s">
        <v>1906</v>
      </c>
      <c r="AE524" s="112">
        <v>4.9400000000000004</v>
      </c>
      <c r="AF524" s="112" t="s">
        <v>1906</v>
      </c>
      <c r="AG524" s="112">
        <v>0</v>
      </c>
      <c r="AH524" s="112"/>
      <c r="AI524" s="112">
        <v>0</v>
      </c>
      <c r="AJ524" s="112"/>
      <c r="AK524" s="112">
        <v>0</v>
      </c>
      <c r="AL524" s="112"/>
      <c r="AM524" s="112">
        <v>3.84</v>
      </c>
      <c r="AN524" s="112" t="s">
        <v>1906</v>
      </c>
      <c r="AO524" s="112">
        <v>16.47</v>
      </c>
      <c r="AP524" s="112" t="s">
        <v>1906</v>
      </c>
      <c r="AQ524" s="112">
        <v>16.47</v>
      </c>
      <c r="AR524" s="112" t="s">
        <v>1906</v>
      </c>
      <c r="AS524" s="112">
        <v>16.47</v>
      </c>
      <c r="AT524" s="112" t="s">
        <v>1906</v>
      </c>
      <c r="AU524" s="112">
        <f t="shared" ref="AU524:AU587" si="22">W524+Y524+AA524+AC524+AE524+AG524+AI524+AK524+AM524+AO524+AQ524+AS524</f>
        <v>126.23</v>
      </c>
      <c r="AV524" s="111">
        <v>8.7319999999999995E-2</v>
      </c>
      <c r="AW524" s="111" t="s">
        <v>1904</v>
      </c>
      <c r="AX524" s="25"/>
      <c r="AY524" s="25"/>
      <c r="AZ524" s="25"/>
    </row>
    <row r="525" spans="1:52" ht="31.2" x14ac:dyDescent="0.3">
      <c r="A525" s="103">
        <v>515</v>
      </c>
      <c r="B525" s="109" t="s">
        <v>1225</v>
      </c>
      <c r="C525" s="30" t="s">
        <v>1899</v>
      </c>
      <c r="D525" s="110" t="s">
        <v>1900</v>
      </c>
      <c r="E525" s="110" t="s">
        <v>1917</v>
      </c>
      <c r="F525" s="30" t="s">
        <v>2703</v>
      </c>
      <c r="G525" s="26" t="s">
        <v>145</v>
      </c>
      <c r="H525" s="24" t="s">
        <v>146</v>
      </c>
      <c r="I525" s="109">
        <v>1</v>
      </c>
      <c r="J525" s="109" t="s">
        <v>1918</v>
      </c>
      <c r="K525" s="109">
        <v>100</v>
      </c>
      <c r="L525" s="109" t="s">
        <v>1919</v>
      </c>
      <c r="M525" s="109" t="s">
        <v>1904</v>
      </c>
      <c r="N525" s="109" t="s">
        <v>529</v>
      </c>
      <c r="O525" s="109" t="s">
        <v>1920</v>
      </c>
      <c r="P525" s="109" t="s">
        <v>1921</v>
      </c>
      <c r="Q525" s="102">
        <v>0</v>
      </c>
      <c r="R525" s="109" t="s">
        <v>1907</v>
      </c>
      <c r="S525" s="109" t="s">
        <v>1922</v>
      </c>
      <c r="T525" s="25"/>
      <c r="U525" s="111" t="s">
        <v>1923</v>
      </c>
      <c r="V525" s="111" t="s">
        <v>1923</v>
      </c>
      <c r="W525" s="112" t="s">
        <v>2019</v>
      </c>
      <c r="X525" s="112" t="s">
        <v>208</v>
      </c>
      <c r="Y525" s="112" t="s">
        <v>2020</v>
      </c>
      <c r="Z525" s="112" t="s">
        <v>208</v>
      </c>
      <c r="AA525" s="112" t="s">
        <v>2021</v>
      </c>
      <c r="AB525" s="112" t="s">
        <v>208</v>
      </c>
      <c r="AC525" s="112">
        <v>33.76</v>
      </c>
      <c r="AD525" s="112" t="s">
        <v>208</v>
      </c>
      <c r="AE525" s="112">
        <v>9.81</v>
      </c>
      <c r="AF525" s="112" t="s">
        <v>208</v>
      </c>
      <c r="AG525" s="112">
        <v>0</v>
      </c>
      <c r="AH525" s="112"/>
      <c r="AI525" s="112">
        <v>0</v>
      </c>
      <c r="AJ525" s="112"/>
      <c r="AK525" s="112">
        <v>0</v>
      </c>
      <c r="AL525" s="112"/>
      <c r="AM525" s="112">
        <v>0</v>
      </c>
      <c r="AN525" s="112"/>
      <c r="AO525" s="112">
        <v>34.11</v>
      </c>
      <c r="AP525" s="112" t="s">
        <v>1906</v>
      </c>
      <c r="AQ525" s="112">
        <v>34.11</v>
      </c>
      <c r="AR525" s="112" t="s">
        <v>1906</v>
      </c>
      <c r="AS525" s="112">
        <v>34.11</v>
      </c>
      <c r="AT525" s="112" t="s">
        <v>1906</v>
      </c>
      <c r="AU525" s="112">
        <f t="shared" si="22"/>
        <v>264.72000000000003</v>
      </c>
      <c r="AV525" s="111">
        <v>0.14051</v>
      </c>
      <c r="AW525" s="111" t="s">
        <v>1904</v>
      </c>
      <c r="AX525" s="25"/>
      <c r="AY525" s="25"/>
      <c r="AZ525" s="25"/>
    </row>
    <row r="526" spans="1:52" ht="31.2" x14ac:dyDescent="0.3">
      <c r="A526" s="103">
        <v>516</v>
      </c>
      <c r="B526" s="109" t="s">
        <v>1227</v>
      </c>
      <c r="C526" s="30" t="s">
        <v>1899</v>
      </c>
      <c r="D526" s="110" t="s">
        <v>1900</v>
      </c>
      <c r="E526" s="110" t="s">
        <v>1917</v>
      </c>
      <c r="F526" s="30" t="s">
        <v>2703</v>
      </c>
      <c r="G526" s="26" t="s">
        <v>145</v>
      </c>
      <c r="H526" s="24" t="s">
        <v>146</v>
      </c>
      <c r="I526" s="109">
        <v>0</v>
      </c>
      <c r="J526" s="109" t="s">
        <v>1918</v>
      </c>
      <c r="K526" s="109">
        <v>100</v>
      </c>
      <c r="L526" s="109" t="s">
        <v>1919</v>
      </c>
      <c r="M526" s="109" t="s">
        <v>1904</v>
      </c>
      <c r="N526" s="109" t="s">
        <v>529</v>
      </c>
      <c r="O526" s="109" t="s">
        <v>1920</v>
      </c>
      <c r="P526" s="109" t="s">
        <v>1920</v>
      </c>
      <c r="Q526" s="102">
        <v>0</v>
      </c>
      <c r="R526" s="109" t="s">
        <v>1907</v>
      </c>
      <c r="S526" s="109" t="s">
        <v>1922</v>
      </c>
      <c r="T526" s="25"/>
      <c r="U526" s="111" t="s">
        <v>1923</v>
      </c>
      <c r="V526" s="111" t="s">
        <v>1923</v>
      </c>
      <c r="W526" s="112" t="s">
        <v>2022</v>
      </c>
      <c r="X526" s="112" t="s">
        <v>1906</v>
      </c>
      <c r="Y526" s="112" t="s">
        <v>2022</v>
      </c>
      <c r="Z526" s="112" t="s">
        <v>1906</v>
      </c>
      <c r="AA526" s="112" t="s">
        <v>2022</v>
      </c>
      <c r="AB526" s="112" t="s">
        <v>1906</v>
      </c>
      <c r="AC526" s="112">
        <v>55.13</v>
      </c>
      <c r="AD526" s="112" t="s">
        <v>1906</v>
      </c>
      <c r="AE526" s="112">
        <v>16.010000000000002</v>
      </c>
      <c r="AF526" s="112" t="s">
        <v>1906</v>
      </c>
      <c r="AG526" s="112">
        <v>0</v>
      </c>
      <c r="AH526" s="112"/>
      <c r="AI526" s="112">
        <v>0</v>
      </c>
      <c r="AJ526" s="112"/>
      <c r="AK526" s="112">
        <v>0</v>
      </c>
      <c r="AL526" s="112"/>
      <c r="AM526" s="112">
        <v>12.27</v>
      </c>
      <c r="AN526" s="112" t="s">
        <v>1906</v>
      </c>
      <c r="AO526" s="112">
        <v>52.58</v>
      </c>
      <c r="AP526" s="112" t="s">
        <v>1906</v>
      </c>
      <c r="AQ526" s="112">
        <v>52.58</v>
      </c>
      <c r="AR526" s="112" t="s">
        <v>1906</v>
      </c>
      <c r="AS526" s="112">
        <v>52.58</v>
      </c>
      <c r="AT526" s="112" t="s">
        <v>1906</v>
      </c>
      <c r="AU526" s="112">
        <f t="shared" si="22"/>
        <v>406.53999999999996</v>
      </c>
      <c r="AV526" s="111">
        <v>9.3844999999999998E-2</v>
      </c>
      <c r="AW526" s="111" t="s">
        <v>1904</v>
      </c>
      <c r="AX526" s="25"/>
      <c r="AY526" s="25"/>
      <c r="AZ526" s="25"/>
    </row>
    <row r="527" spans="1:52" ht="31.2" x14ac:dyDescent="0.3">
      <c r="A527" s="103">
        <v>517</v>
      </c>
      <c r="B527" s="109" t="s">
        <v>1228</v>
      </c>
      <c r="C527" s="30" t="s">
        <v>1899</v>
      </c>
      <c r="D527" s="110" t="s">
        <v>1900</v>
      </c>
      <c r="E527" s="110" t="s">
        <v>1917</v>
      </c>
      <c r="F527" s="30" t="s">
        <v>2703</v>
      </c>
      <c r="G527" s="26" t="s">
        <v>145</v>
      </c>
      <c r="H527" s="24" t="s">
        <v>146</v>
      </c>
      <c r="I527" s="109">
        <v>0</v>
      </c>
      <c r="J527" s="109" t="s">
        <v>1918</v>
      </c>
      <c r="K527" s="109">
        <v>100</v>
      </c>
      <c r="L527" s="109" t="s">
        <v>1919</v>
      </c>
      <c r="M527" s="109" t="s">
        <v>1904</v>
      </c>
      <c r="N527" s="109" t="s">
        <v>529</v>
      </c>
      <c r="O527" s="109" t="s">
        <v>1920</v>
      </c>
      <c r="P527" s="109" t="s">
        <v>1920</v>
      </c>
      <c r="Q527" s="102">
        <v>0</v>
      </c>
      <c r="R527" s="109" t="s">
        <v>1907</v>
      </c>
      <c r="S527" s="109" t="s">
        <v>1922</v>
      </c>
      <c r="T527" s="25"/>
      <c r="U527" s="111" t="s">
        <v>1923</v>
      </c>
      <c r="V527" s="111" t="s">
        <v>1923</v>
      </c>
      <c r="W527" s="112" t="s">
        <v>2022</v>
      </c>
      <c r="X527" s="112" t="s">
        <v>1906</v>
      </c>
      <c r="Y527" s="112" t="s">
        <v>2022</v>
      </c>
      <c r="Z527" s="112" t="s">
        <v>1906</v>
      </c>
      <c r="AA527" s="112" t="s">
        <v>2022</v>
      </c>
      <c r="AB527" s="112" t="s">
        <v>1906</v>
      </c>
      <c r="AC527" s="112">
        <v>55.13</v>
      </c>
      <c r="AD527" s="112" t="s">
        <v>1906</v>
      </c>
      <c r="AE527" s="112">
        <v>16.010000000000002</v>
      </c>
      <c r="AF527" s="112" t="s">
        <v>1906</v>
      </c>
      <c r="AG527" s="112">
        <v>0</v>
      </c>
      <c r="AH527" s="112"/>
      <c r="AI527" s="112">
        <v>0</v>
      </c>
      <c r="AJ527" s="112"/>
      <c r="AK527" s="112">
        <v>0</v>
      </c>
      <c r="AL527" s="112"/>
      <c r="AM527" s="112">
        <v>12.27</v>
      </c>
      <c r="AN527" s="112" t="s">
        <v>1906</v>
      </c>
      <c r="AO527" s="112">
        <v>52.58</v>
      </c>
      <c r="AP527" s="112" t="s">
        <v>1906</v>
      </c>
      <c r="AQ527" s="112">
        <v>52.58</v>
      </c>
      <c r="AR527" s="112" t="s">
        <v>1906</v>
      </c>
      <c r="AS527" s="112">
        <v>52.58</v>
      </c>
      <c r="AT527" s="112" t="s">
        <v>1906</v>
      </c>
      <c r="AU527" s="112">
        <f t="shared" si="22"/>
        <v>406.53999999999996</v>
      </c>
      <c r="AV527" s="111">
        <v>9.3844999999999998E-2</v>
      </c>
      <c r="AW527" s="111" t="s">
        <v>1904</v>
      </c>
      <c r="AX527" s="25"/>
      <c r="AY527" s="25"/>
      <c r="AZ527" s="25"/>
    </row>
    <row r="528" spans="1:52" ht="31.2" x14ac:dyDescent="0.3">
      <c r="A528" s="103">
        <v>518</v>
      </c>
      <c r="B528" s="109" t="s">
        <v>1230</v>
      </c>
      <c r="C528" s="30" t="s">
        <v>1899</v>
      </c>
      <c r="D528" s="110" t="s">
        <v>1900</v>
      </c>
      <c r="E528" s="110" t="s">
        <v>1917</v>
      </c>
      <c r="F528" s="30" t="s">
        <v>2703</v>
      </c>
      <c r="G528" s="26" t="s">
        <v>145</v>
      </c>
      <c r="H528" s="24" t="s">
        <v>146</v>
      </c>
      <c r="I528" s="109">
        <v>1</v>
      </c>
      <c r="J528" s="109" t="s">
        <v>1918</v>
      </c>
      <c r="K528" s="109">
        <v>100</v>
      </c>
      <c r="L528" s="109" t="s">
        <v>1919</v>
      </c>
      <c r="M528" s="109" t="s">
        <v>1904</v>
      </c>
      <c r="N528" s="109" t="s">
        <v>529</v>
      </c>
      <c r="O528" s="109" t="s">
        <v>1920</v>
      </c>
      <c r="P528" s="109" t="s">
        <v>1921</v>
      </c>
      <c r="Q528" s="102">
        <v>0</v>
      </c>
      <c r="R528" s="109" t="s">
        <v>1907</v>
      </c>
      <c r="S528" s="109" t="s">
        <v>1922</v>
      </c>
      <c r="T528" s="25"/>
      <c r="U528" s="111" t="s">
        <v>1923</v>
      </c>
      <c r="V528" s="111" t="s">
        <v>1923</v>
      </c>
      <c r="W528" s="112" t="s">
        <v>2023</v>
      </c>
      <c r="X528" s="112" t="s">
        <v>1906</v>
      </c>
      <c r="Y528" s="112" t="s">
        <v>2024</v>
      </c>
      <c r="Z528" s="112" t="s">
        <v>1906</v>
      </c>
      <c r="AA528" s="112" t="s">
        <v>2025</v>
      </c>
      <c r="AB528" s="112" t="s">
        <v>1906</v>
      </c>
      <c r="AC528" s="112">
        <v>85.31</v>
      </c>
      <c r="AD528" s="112" t="s">
        <v>1906</v>
      </c>
      <c r="AE528" s="112">
        <v>43.23</v>
      </c>
      <c r="AF528" s="112" t="s">
        <v>1906</v>
      </c>
      <c r="AG528" s="112">
        <v>0</v>
      </c>
      <c r="AH528" s="112"/>
      <c r="AI528" s="112">
        <v>0</v>
      </c>
      <c r="AJ528" s="112"/>
      <c r="AK528" s="112">
        <v>0</v>
      </c>
      <c r="AL528" s="112"/>
      <c r="AM528" s="112">
        <v>0</v>
      </c>
      <c r="AN528" s="112"/>
      <c r="AO528" s="112">
        <v>78.2</v>
      </c>
      <c r="AP528" s="112" t="s">
        <v>208</v>
      </c>
      <c r="AQ528" s="112">
        <v>98.57</v>
      </c>
      <c r="AR528" s="112" t="s">
        <v>208</v>
      </c>
      <c r="AS528" s="112">
        <v>137.82</v>
      </c>
      <c r="AT528" s="112" t="s">
        <v>208</v>
      </c>
      <c r="AU528" s="112">
        <f t="shared" si="22"/>
        <v>940.8</v>
      </c>
      <c r="AV528" s="111">
        <v>0.43658999999999998</v>
      </c>
      <c r="AW528" s="111" t="s">
        <v>1904</v>
      </c>
      <c r="AX528" s="25"/>
      <c r="AY528" s="25"/>
      <c r="AZ528" s="25"/>
    </row>
    <row r="529" spans="1:52" ht="31.2" x14ac:dyDescent="0.3">
      <c r="A529" s="103">
        <v>519</v>
      </c>
      <c r="B529" s="109" t="s">
        <v>1232</v>
      </c>
      <c r="C529" s="30" t="s">
        <v>1899</v>
      </c>
      <c r="D529" s="110" t="s">
        <v>1900</v>
      </c>
      <c r="E529" s="110" t="s">
        <v>1917</v>
      </c>
      <c r="F529" s="30" t="s">
        <v>2703</v>
      </c>
      <c r="G529" s="26" t="s">
        <v>145</v>
      </c>
      <c r="H529" s="24" t="s">
        <v>146</v>
      </c>
      <c r="I529" s="109">
        <v>1</v>
      </c>
      <c r="J529" s="109" t="s">
        <v>1918</v>
      </c>
      <c r="K529" s="109">
        <v>100</v>
      </c>
      <c r="L529" s="109" t="s">
        <v>1919</v>
      </c>
      <c r="M529" s="109" t="s">
        <v>1904</v>
      </c>
      <c r="N529" s="109" t="s">
        <v>529</v>
      </c>
      <c r="O529" s="109" t="s">
        <v>1920</v>
      </c>
      <c r="P529" s="109" t="s">
        <v>1921</v>
      </c>
      <c r="Q529" s="102">
        <v>0</v>
      </c>
      <c r="R529" s="109" t="s">
        <v>1907</v>
      </c>
      <c r="S529" s="109" t="s">
        <v>1922</v>
      </c>
      <c r="T529" s="25"/>
      <c r="U529" s="111" t="s">
        <v>1923</v>
      </c>
      <c r="V529" s="111" t="s">
        <v>1923</v>
      </c>
      <c r="W529" s="112" t="s">
        <v>2026</v>
      </c>
      <c r="X529" s="112" t="s">
        <v>208</v>
      </c>
      <c r="Y529" s="112">
        <v>0</v>
      </c>
      <c r="Z529" s="112" t="s">
        <v>208</v>
      </c>
      <c r="AA529" s="112">
        <v>0</v>
      </c>
      <c r="AB529" s="112" t="s">
        <v>208</v>
      </c>
      <c r="AC529" s="112">
        <v>0</v>
      </c>
      <c r="AD529" s="112" t="s">
        <v>208</v>
      </c>
      <c r="AE529" s="112">
        <v>0</v>
      </c>
      <c r="AF529" s="112" t="s">
        <v>208</v>
      </c>
      <c r="AG529" s="112">
        <v>0</v>
      </c>
      <c r="AH529" s="112"/>
      <c r="AI529" s="112">
        <v>0</v>
      </c>
      <c r="AJ529" s="112"/>
      <c r="AK529" s="112">
        <v>0</v>
      </c>
      <c r="AL529" s="112"/>
      <c r="AM529" s="112">
        <v>0</v>
      </c>
      <c r="AN529" s="112"/>
      <c r="AO529" s="112">
        <v>39.51</v>
      </c>
      <c r="AP529" s="112" t="s">
        <v>208</v>
      </c>
      <c r="AQ529" s="112">
        <v>38.880000000000003</v>
      </c>
      <c r="AR529" s="112" t="s">
        <v>208</v>
      </c>
      <c r="AS529" s="112">
        <v>38.880000000000003</v>
      </c>
      <c r="AT529" s="112" t="s">
        <v>208</v>
      </c>
      <c r="AU529" s="112">
        <f t="shared" si="22"/>
        <v>145.13999999999999</v>
      </c>
      <c r="AV529" s="111">
        <v>0.24560999999999999</v>
      </c>
      <c r="AW529" s="111" t="s">
        <v>1904</v>
      </c>
      <c r="AX529" s="25"/>
      <c r="AY529" s="25"/>
      <c r="AZ529" s="25"/>
    </row>
    <row r="530" spans="1:52" ht="31.2" x14ac:dyDescent="0.3">
      <c r="A530" s="103">
        <v>520</v>
      </c>
      <c r="B530" s="109" t="s">
        <v>1233</v>
      </c>
      <c r="C530" s="30" t="s">
        <v>1899</v>
      </c>
      <c r="D530" s="110" t="s">
        <v>1900</v>
      </c>
      <c r="E530" s="110" t="s">
        <v>1917</v>
      </c>
      <c r="F530" s="30" t="s">
        <v>2703</v>
      </c>
      <c r="G530" s="26" t="s">
        <v>145</v>
      </c>
      <c r="H530" s="24" t="s">
        <v>146</v>
      </c>
      <c r="I530" s="109">
        <v>1</v>
      </c>
      <c r="J530" s="109" t="s">
        <v>1918</v>
      </c>
      <c r="K530" s="109">
        <v>100</v>
      </c>
      <c r="L530" s="109" t="s">
        <v>1919</v>
      </c>
      <c r="M530" s="109" t="s">
        <v>1904</v>
      </c>
      <c r="N530" s="109" t="s">
        <v>529</v>
      </c>
      <c r="O530" s="109" t="s">
        <v>1920</v>
      </c>
      <c r="P530" s="109" t="s">
        <v>1921</v>
      </c>
      <c r="Q530" s="102">
        <v>0</v>
      </c>
      <c r="R530" s="109" t="s">
        <v>1907</v>
      </c>
      <c r="S530" s="109" t="s">
        <v>1922</v>
      </c>
      <c r="T530" s="25"/>
      <c r="U530" s="111" t="s">
        <v>1923</v>
      </c>
      <c r="V530" s="111" t="s">
        <v>1923</v>
      </c>
      <c r="W530" s="112" t="s">
        <v>2026</v>
      </c>
      <c r="X530" s="112" t="s">
        <v>1906</v>
      </c>
      <c r="Y530" s="112">
        <v>0</v>
      </c>
      <c r="Z530" s="112" t="s">
        <v>1906</v>
      </c>
      <c r="AA530" s="112">
        <v>0</v>
      </c>
      <c r="AB530" s="112" t="s">
        <v>1906</v>
      </c>
      <c r="AC530" s="112">
        <v>0</v>
      </c>
      <c r="AD530" s="112" t="s">
        <v>1906</v>
      </c>
      <c r="AE530" s="112">
        <v>0</v>
      </c>
      <c r="AF530" s="112" t="s">
        <v>1906</v>
      </c>
      <c r="AG530" s="112">
        <v>0</v>
      </c>
      <c r="AH530" s="112"/>
      <c r="AI530" s="112">
        <v>0</v>
      </c>
      <c r="AJ530" s="112"/>
      <c r="AK530" s="112">
        <v>0</v>
      </c>
      <c r="AL530" s="112"/>
      <c r="AM530" s="112">
        <v>0</v>
      </c>
      <c r="AN530" s="112"/>
      <c r="AO530" s="112">
        <v>39.51</v>
      </c>
      <c r="AP530" s="112" t="s">
        <v>208</v>
      </c>
      <c r="AQ530" s="112">
        <v>38.880000000000003</v>
      </c>
      <c r="AR530" s="112" t="s">
        <v>208</v>
      </c>
      <c r="AS530" s="112">
        <v>38.880000000000003</v>
      </c>
      <c r="AT530" s="112" t="s">
        <v>208</v>
      </c>
      <c r="AU530" s="112">
        <f t="shared" si="22"/>
        <v>145.13999999999999</v>
      </c>
      <c r="AV530" s="111">
        <v>0.24560999999999999</v>
      </c>
      <c r="AW530" s="111" t="s">
        <v>1904</v>
      </c>
      <c r="AX530" s="25"/>
      <c r="AY530" s="25"/>
      <c r="AZ530" s="25"/>
    </row>
    <row r="531" spans="1:52" ht="31.2" x14ac:dyDescent="0.3">
      <c r="A531" s="103">
        <v>521</v>
      </c>
      <c r="B531" s="109" t="s">
        <v>1235</v>
      </c>
      <c r="C531" s="30" t="s">
        <v>1899</v>
      </c>
      <c r="D531" s="110" t="s">
        <v>1900</v>
      </c>
      <c r="E531" s="110" t="s">
        <v>1917</v>
      </c>
      <c r="F531" s="30" t="s">
        <v>2703</v>
      </c>
      <c r="G531" s="26" t="s">
        <v>145</v>
      </c>
      <c r="H531" s="24" t="s">
        <v>146</v>
      </c>
      <c r="I531" s="109">
        <v>1</v>
      </c>
      <c r="J531" s="109" t="s">
        <v>1918</v>
      </c>
      <c r="K531" s="109">
        <v>100</v>
      </c>
      <c r="L531" s="109" t="s">
        <v>1919</v>
      </c>
      <c r="M531" s="109" t="s">
        <v>1904</v>
      </c>
      <c r="N531" s="109" t="s">
        <v>529</v>
      </c>
      <c r="O531" s="109" t="s">
        <v>1920</v>
      </c>
      <c r="P531" s="109" t="s">
        <v>1921</v>
      </c>
      <c r="Q531" s="102">
        <v>0</v>
      </c>
      <c r="R531" s="109" t="s">
        <v>1907</v>
      </c>
      <c r="S531" s="109" t="s">
        <v>1922</v>
      </c>
      <c r="T531" s="25"/>
      <c r="U531" s="111" t="s">
        <v>1923</v>
      </c>
      <c r="V531" s="111" t="s">
        <v>1923</v>
      </c>
      <c r="W531" s="112" t="s">
        <v>2027</v>
      </c>
      <c r="X531" s="112" t="s">
        <v>1906</v>
      </c>
      <c r="Y531" s="112" t="s">
        <v>2027</v>
      </c>
      <c r="Z531" s="112" t="s">
        <v>1906</v>
      </c>
      <c r="AA531" s="112" t="s">
        <v>2027</v>
      </c>
      <c r="AB531" s="112" t="s">
        <v>1906</v>
      </c>
      <c r="AC531" s="112">
        <v>133.15</v>
      </c>
      <c r="AD531" s="112" t="s">
        <v>1906</v>
      </c>
      <c r="AE531" s="112">
        <v>38.65</v>
      </c>
      <c r="AF531" s="112" t="s">
        <v>1906</v>
      </c>
      <c r="AG531" s="112">
        <v>0</v>
      </c>
      <c r="AH531" s="112"/>
      <c r="AI531" s="112">
        <v>0</v>
      </c>
      <c r="AJ531" s="112"/>
      <c r="AK531" s="112">
        <v>0</v>
      </c>
      <c r="AL531" s="112"/>
      <c r="AM531" s="112">
        <v>30.36</v>
      </c>
      <c r="AN531" s="112" t="s">
        <v>1906</v>
      </c>
      <c r="AO531" s="112">
        <v>130.11000000000001</v>
      </c>
      <c r="AP531" s="112" t="s">
        <v>1906</v>
      </c>
      <c r="AQ531" s="112">
        <v>130.11000000000001</v>
      </c>
      <c r="AR531" s="112" t="s">
        <v>1906</v>
      </c>
      <c r="AS531" s="112">
        <v>130.11000000000001</v>
      </c>
      <c r="AT531" s="112" t="s">
        <v>1906</v>
      </c>
      <c r="AU531" s="112">
        <f t="shared" si="22"/>
        <v>991.94</v>
      </c>
      <c r="AV531" s="111">
        <v>0.42997000000000002</v>
      </c>
      <c r="AW531" s="111" t="s">
        <v>1904</v>
      </c>
      <c r="AX531" s="25"/>
      <c r="AY531" s="25"/>
      <c r="AZ531" s="25"/>
    </row>
    <row r="532" spans="1:52" ht="31.2" x14ac:dyDescent="0.3">
      <c r="A532" s="103">
        <v>522</v>
      </c>
      <c r="B532" s="109" t="s">
        <v>1237</v>
      </c>
      <c r="C532" s="30" t="s">
        <v>1899</v>
      </c>
      <c r="D532" s="110" t="s">
        <v>1900</v>
      </c>
      <c r="E532" s="110" t="s">
        <v>1917</v>
      </c>
      <c r="F532" s="30" t="s">
        <v>2703</v>
      </c>
      <c r="G532" s="26" t="s">
        <v>145</v>
      </c>
      <c r="H532" s="24" t="s">
        <v>146</v>
      </c>
      <c r="I532" s="109">
        <v>1</v>
      </c>
      <c r="J532" s="109" t="s">
        <v>1918</v>
      </c>
      <c r="K532" s="109">
        <v>89</v>
      </c>
      <c r="L532" s="109" t="s">
        <v>1919</v>
      </c>
      <c r="M532" s="109" t="s">
        <v>1904</v>
      </c>
      <c r="N532" s="109" t="s">
        <v>529</v>
      </c>
      <c r="O532" s="109" t="s">
        <v>1920</v>
      </c>
      <c r="P532" s="109" t="s">
        <v>1921</v>
      </c>
      <c r="Q532" s="102">
        <v>0</v>
      </c>
      <c r="R532" s="109" t="s">
        <v>1907</v>
      </c>
      <c r="S532" s="109" t="s">
        <v>1922</v>
      </c>
      <c r="T532" s="25"/>
      <c r="U532" s="111" t="s">
        <v>1923</v>
      </c>
      <c r="V532" s="111" t="s">
        <v>1923</v>
      </c>
      <c r="W532" s="112" t="s">
        <v>2028</v>
      </c>
      <c r="X532" s="112" t="s">
        <v>1906</v>
      </c>
      <c r="Y532" s="112" t="s">
        <v>2028</v>
      </c>
      <c r="Z532" s="112" t="s">
        <v>1906</v>
      </c>
      <c r="AA532" s="112" t="s">
        <v>2028</v>
      </c>
      <c r="AB532" s="112" t="s">
        <v>1906</v>
      </c>
      <c r="AC532" s="112">
        <v>53.14</v>
      </c>
      <c r="AD532" s="112" t="s">
        <v>1906</v>
      </c>
      <c r="AE532" s="112">
        <v>15.43</v>
      </c>
      <c r="AF532" s="112" t="s">
        <v>1906</v>
      </c>
      <c r="AG532" s="112">
        <v>0</v>
      </c>
      <c r="AH532" s="112"/>
      <c r="AI532" s="112">
        <v>0</v>
      </c>
      <c r="AJ532" s="112"/>
      <c r="AK532" s="112">
        <v>0</v>
      </c>
      <c r="AL532" s="112"/>
      <c r="AM532" s="112">
        <v>0</v>
      </c>
      <c r="AN532" s="112"/>
      <c r="AO532" s="112">
        <v>30.44</v>
      </c>
      <c r="AP532" s="112" t="s">
        <v>208</v>
      </c>
      <c r="AQ532" s="112">
        <v>35.5</v>
      </c>
      <c r="AR532" s="112" t="s">
        <v>208</v>
      </c>
      <c r="AS532" s="112">
        <v>65.67</v>
      </c>
      <c r="AT532" s="112" t="s">
        <v>208</v>
      </c>
      <c r="AU532" s="112">
        <f t="shared" si="22"/>
        <v>359.6</v>
      </c>
      <c r="AV532" s="111">
        <v>0.20374</v>
      </c>
      <c r="AW532" s="111" t="s">
        <v>1904</v>
      </c>
      <c r="AX532" s="25"/>
      <c r="AY532" s="25"/>
      <c r="AZ532" s="25"/>
    </row>
    <row r="533" spans="1:52" ht="31.2" x14ac:dyDescent="0.3">
      <c r="A533" s="103">
        <v>523</v>
      </c>
      <c r="B533" s="109" t="s">
        <v>1240</v>
      </c>
      <c r="C533" s="30" t="s">
        <v>1899</v>
      </c>
      <c r="D533" s="110" t="s">
        <v>1900</v>
      </c>
      <c r="E533" s="110" t="s">
        <v>1917</v>
      </c>
      <c r="F533" s="30" t="s">
        <v>2703</v>
      </c>
      <c r="G533" s="26" t="s">
        <v>145</v>
      </c>
      <c r="H533" s="24" t="s">
        <v>146</v>
      </c>
      <c r="I533" s="109">
        <v>2</v>
      </c>
      <c r="J533" s="109" t="s">
        <v>1918</v>
      </c>
      <c r="K533" s="109">
        <v>100</v>
      </c>
      <c r="L533" s="109" t="s">
        <v>1919</v>
      </c>
      <c r="M533" s="109" t="s">
        <v>1904</v>
      </c>
      <c r="N533" s="109" t="s">
        <v>529</v>
      </c>
      <c r="O533" s="109" t="s">
        <v>1920</v>
      </c>
      <c r="P533" s="109" t="s">
        <v>1921</v>
      </c>
      <c r="Q533" s="102">
        <v>0</v>
      </c>
      <c r="R533" s="109" t="s">
        <v>1907</v>
      </c>
      <c r="S533" s="109" t="s">
        <v>1922</v>
      </c>
      <c r="T533" s="25"/>
      <c r="U533" s="111" t="s">
        <v>1923</v>
      </c>
      <c r="V533" s="111" t="s">
        <v>1923</v>
      </c>
      <c r="W533" s="112" t="s">
        <v>2029</v>
      </c>
      <c r="X533" s="112" t="s">
        <v>1906</v>
      </c>
      <c r="Y533" s="112" t="s">
        <v>2029</v>
      </c>
      <c r="Z533" s="112" t="s">
        <v>1906</v>
      </c>
      <c r="AA533" s="112" t="s">
        <v>2029</v>
      </c>
      <c r="AB533" s="112" t="s">
        <v>1906</v>
      </c>
      <c r="AC533" s="112">
        <v>243.53</v>
      </c>
      <c r="AD533" s="112" t="s">
        <v>1906</v>
      </c>
      <c r="AE533" s="112">
        <v>70.709999999999994</v>
      </c>
      <c r="AF533" s="112" t="s">
        <v>1906</v>
      </c>
      <c r="AG533" s="112">
        <v>0</v>
      </c>
      <c r="AH533" s="112"/>
      <c r="AI533" s="112">
        <v>0</v>
      </c>
      <c r="AJ533" s="112"/>
      <c r="AK533" s="112">
        <v>0</v>
      </c>
      <c r="AL533" s="112"/>
      <c r="AM533" s="112">
        <v>56.13</v>
      </c>
      <c r="AN533" s="112" t="s">
        <v>1906</v>
      </c>
      <c r="AO533" s="112">
        <v>242.75</v>
      </c>
      <c r="AP533" s="112" t="s">
        <v>1906</v>
      </c>
      <c r="AQ533" s="112">
        <v>240.54</v>
      </c>
      <c r="AR533" s="112" t="s">
        <v>1906</v>
      </c>
      <c r="AS533" s="112">
        <v>240.54</v>
      </c>
      <c r="AT533" s="112" t="s">
        <v>1906</v>
      </c>
      <c r="AU533" s="112">
        <f t="shared" si="22"/>
        <v>1824.79</v>
      </c>
      <c r="AV533" s="111">
        <v>0.75605999999999995</v>
      </c>
      <c r="AW533" s="111" t="s">
        <v>1904</v>
      </c>
      <c r="AX533" s="25"/>
      <c r="AY533" s="25"/>
      <c r="AZ533" s="25"/>
    </row>
    <row r="534" spans="1:52" ht="31.2" x14ac:dyDescent="0.3">
      <c r="A534" s="103">
        <v>524</v>
      </c>
      <c r="B534" s="109" t="s">
        <v>1242</v>
      </c>
      <c r="C534" s="30" t="s">
        <v>1899</v>
      </c>
      <c r="D534" s="110" t="s">
        <v>1900</v>
      </c>
      <c r="E534" s="110" t="s">
        <v>1917</v>
      </c>
      <c r="F534" s="30" t="s">
        <v>2703</v>
      </c>
      <c r="G534" s="26" t="s">
        <v>145</v>
      </c>
      <c r="H534" s="24" t="s">
        <v>146</v>
      </c>
      <c r="I534" s="109">
        <v>1</v>
      </c>
      <c r="J534" s="109" t="s">
        <v>1918</v>
      </c>
      <c r="K534" s="109">
        <v>100</v>
      </c>
      <c r="L534" s="109" t="s">
        <v>1919</v>
      </c>
      <c r="M534" s="109" t="s">
        <v>1904</v>
      </c>
      <c r="N534" s="109" t="s">
        <v>529</v>
      </c>
      <c r="O534" s="109" t="s">
        <v>1920</v>
      </c>
      <c r="P534" s="109" t="s">
        <v>1921</v>
      </c>
      <c r="Q534" s="102">
        <v>0</v>
      </c>
      <c r="R534" s="109" t="s">
        <v>1907</v>
      </c>
      <c r="S534" s="109" t="s">
        <v>1922</v>
      </c>
      <c r="T534" s="25"/>
      <c r="U534" s="111" t="s">
        <v>1923</v>
      </c>
      <c r="V534" s="111" t="s">
        <v>1923</v>
      </c>
      <c r="W534" s="112" t="s">
        <v>2030</v>
      </c>
      <c r="X534" s="112" t="s">
        <v>208</v>
      </c>
      <c r="Y534" s="112" t="s">
        <v>2031</v>
      </c>
      <c r="Z534" s="112" t="s">
        <v>208</v>
      </c>
      <c r="AA534" s="112" t="s">
        <v>2032</v>
      </c>
      <c r="AB534" s="112" t="s">
        <v>208</v>
      </c>
      <c r="AC534" s="112">
        <v>60.23</v>
      </c>
      <c r="AD534" s="112" t="s">
        <v>208</v>
      </c>
      <c r="AE534" s="112">
        <v>29.23</v>
      </c>
      <c r="AF534" s="112" t="s">
        <v>208</v>
      </c>
      <c r="AG534" s="112">
        <v>0</v>
      </c>
      <c r="AH534" s="112"/>
      <c r="AI534" s="112">
        <v>0</v>
      </c>
      <c r="AJ534" s="112"/>
      <c r="AK534" s="112">
        <v>0</v>
      </c>
      <c r="AL534" s="112"/>
      <c r="AM534" s="112">
        <v>0</v>
      </c>
      <c r="AN534" s="112"/>
      <c r="AO534" s="112">
        <v>57.47</v>
      </c>
      <c r="AP534" s="112" t="s">
        <v>208</v>
      </c>
      <c r="AQ534" s="112">
        <v>67.06</v>
      </c>
      <c r="AR534" s="112" t="s">
        <v>208</v>
      </c>
      <c r="AS534" s="112">
        <v>94.92</v>
      </c>
      <c r="AT534" s="112" t="s">
        <v>208</v>
      </c>
      <c r="AU534" s="112">
        <f t="shared" si="22"/>
        <v>692.32</v>
      </c>
      <c r="AV534" s="111">
        <v>0.3488</v>
      </c>
      <c r="AW534" s="111" t="s">
        <v>1904</v>
      </c>
      <c r="AX534" s="25"/>
      <c r="AY534" s="25"/>
      <c r="AZ534" s="25"/>
    </row>
    <row r="535" spans="1:52" ht="31.2" x14ac:dyDescent="0.3">
      <c r="A535" s="103">
        <v>525</v>
      </c>
      <c r="B535" s="109" t="s">
        <v>1243</v>
      </c>
      <c r="C535" s="30" t="s">
        <v>1899</v>
      </c>
      <c r="D535" s="110" t="s">
        <v>1900</v>
      </c>
      <c r="E535" s="110" t="s">
        <v>1917</v>
      </c>
      <c r="F535" s="30" t="s">
        <v>2703</v>
      </c>
      <c r="G535" s="26" t="s">
        <v>145</v>
      </c>
      <c r="H535" s="24" t="s">
        <v>146</v>
      </c>
      <c r="I535" s="109">
        <v>0</v>
      </c>
      <c r="J535" s="109" t="s">
        <v>1918</v>
      </c>
      <c r="K535" s="109">
        <v>50</v>
      </c>
      <c r="L535" s="109" t="s">
        <v>1919</v>
      </c>
      <c r="M535" s="109" t="s">
        <v>1904</v>
      </c>
      <c r="N535" s="109" t="s">
        <v>529</v>
      </c>
      <c r="O535" s="109" t="s">
        <v>1920</v>
      </c>
      <c r="P535" s="109" t="s">
        <v>1920</v>
      </c>
      <c r="Q535" s="102">
        <v>0</v>
      </c>
      <c r="R535" s="109" t="s">
        <v>1907</v>
      </c>
      <c r="S535" s="109" t="s">
        <v>1922</v>
      </c>
      <c r="T535" s="25"/>
      <c r="U535" s="111" t="s">
        <v>1923</v>
      </c>
      <c r="V535" s="111" t="s">
        <v>1923</v>
      </c>
      <c r="W535" s="112" t="s">
        <v>2033</v>
      </c>
      <c r="X535" s="112" t="s">
        <v>1906</v>
      </c>
      <c r="Y535" s="112" t="s">
        <v>2033</v>
      </c>
      <c r="Z535" s="112" t="s">
        <v>1906</v>
      </c>
      <c r="AA535" s="112" t="s">
        <v>2033</v>
      </c>
      <c r="AB535" s="112" t="s">
        <v>1906</v>
      </c>
      <c r="AC535" s="112">
        <v>48.49</v>
      </c>
      <c r="AD535" s="112" t="s">
        <v>1906</v>
      </c>
      <c r="AE535" s="112">
        <v>14.08</v>
      </c>
      <c r="AF535" s="112" t="s">
        <v>1906</v>
      </c>
      <c r="AG535" s="112">
        <v>0</v>
      </c>
      <c r="AH535" s="112"/>
      <c r="AI535" s="112">
        <v>0</v>
      </c>
      <c r="AJ535" s="112"/>
      <c r="AK535" s="112">
        <v>0</v>
      </c>
      <c r="AL535" s="112"/>
      <c r="AM535" s="112">
        <v>11.54</v>
      </c>
      <c r="AN535" s="112" t="s">
        <v>1906</v>
      </c>
      <c r="AO535" s="112">
        <v>53.16</v>
      </c>
      <c r="AP535" s="112" t="s">
        <v>1906</v>
      </c>
      <c r="AQ535" s="112">
        <v>49.44</v>
      </c>
      <c r="AR535" s="112" t="s">
        <v>1906</v>
      </c>
      <c r="AS535" s="112">
        <v>49.44</v>
      </c>
      <c r="AT535" s="112" t="s">
        <v>1906</v>
      </c>
      <c r="AU535" s="112">
        <f t="shared" si="22"/>
        <v>371.62</v>
      </c>
      <c r="AV535" s="111">
        <v>0.15717</v>
      </c>
      <c r="AW535" s="111" t="s">
        <v>1904</v>
      </c>
      <c r="AX535" s="25"/>
      <c r="AY535" s="25"/>
      <c r="AZ535" s="25"/>
    </row>
    <row r="536" spans="1:52" ht="31.2" x14ac:dyDescent="0.3">
      <c r="A536" s="103">
        <v>526</v>
      </c>
      <c r="B536" s="109" t="s">
        <v>1244</v>
      </c>
      <c r="C536" s="30" t="s">
        <v>1899</v>
      </c>
      <c r="D536" s="110" t="s">
        <v>1900</v>
      </c>
      <c r="E536" s="110" t="s">
        <v>1917</v>
      </c>
      <c r="F536" s="30" t="s">
        <v>2703</v>
      </c>
      <c r="G536" s="26" t="s">
        <v>145</v>
      </c>
      <c r="H536" s="24" t="s">
        <v>146</v>
      </c>
      <c r="I536" s="109">
        <v>1</v>
      </c>
      <c r="J536" s="109" t="s">
        <v>1918</v>
      </c>
      <c r="K536" s="109">
        <v>50</v>
      </c>
      <c r="L536" s="109" t="s">
        <v>1919</v>
      </c>
      <c r="M536" s="109" t="s">
        <v>1904</v>
      </c>
      <c r="N536" s="109" t="s">
        <v>529</v>
      </c>
      <c r="O536" s="109" t="s">
        <v>1920</v>
      </c>
      <c r="P536" s="109" t="s">
        <v>1921</v>
      </c>
      <c r="Q536" s="102">
        <v>0</v>
      </c>
      <c r="R536" s="109" t="s">
        <v>1907</v>
      </c>
      <c r="S536" s="109" t="s">
        <v>1922</v>
      </c>
      <c r="T536" s="25"/>
      <c r="U536" s="111" t="s">
        <v>1923</v>
      </c>
      <c r="V536" s="111" t="s">
        <v>1923</v>
      </c>
      <c r="W536" s="112" t="s">
        <v>2034</v>
      </c>
      <c r="X536" s="112" t="s">
        <v>1906</v>
      </c>
      <c r="Y536" s="112" t="s">
        <v>2034</v>
      </c>
      <c r="Z536" s="112" t="s">
        <v>1906</v>
      </c>
      <c r="AA536" s="112" t="s">
        <v>2034</v>
      </c>
      <c r="AB536" s="112" t="s">
        <v>1906</v>
      </c>
      <c r="AC536" s="112">
        <v>40.82</v>
      </c>
      <c r="AD536" s="112" t="s">
        <v>1906</v>
      </c>
      <c r="AE536" s="112">
        <v>11.85</v>
      </c>
      <c r="AF536" s="112" t="s">
        <v>1906</v>
      </c>
      <c r="AG536" s="112">
        <v>0</v>
      </c>
      <c r="AH536" s="112"/>
      <c r="AI536" s="112">
        <v>0</v>
      </c>
      <c r="AJ536" s="112"/>
      <c r="AK536" s="112">
        <v>0</v>
      </c>
      <c r="AL536" s="112"/>
      <c r="AM536" s="112">
        <v>0</v>
      </c>
      <c r="AN536" s="112"/>
      <c r="AO536" s="112">
        <v>41.45</v>
      </c>
      <c r="AP536" s="112" t="s">
        <v>1906</v>
      </c>
      <c r="AQ536" s="112">
        <v>41.45</v>
      </c>
      <c r="AR536" s="112" t="s">
        <v>1906</v>
      </c>
      <c r="AS536" s="112">
        <v>41.45</v>
      </c>
      <c r="AT536" s="112" t="s">
        <v>1906</v>
      </c>
      <c r="AU536" s="112">
        <f t="shared" si="22"/>
        <v>299.47999999999996</v>
      </c>
      <c r="AV536" s="111">
        <v>0.14051</v>
      </c>
      <c r="AW536" s="111" t="s">
        <v>1904</v>
      </c>
      <c r="AX536" s="25"/>
      <c r="AY536" s="25"/>
      <c r="AZ536" s="25"/>
    </row>
    <row r="537" spans="1:52" ht="31.2" x14ac:dyDescent="0.3">
      <c r="A537" s="103">
        <v>527</v>
      </c>
      <c r="B537" s="109" t="s">
        <v>1245</v>
      </c>
      <c r="C537" s="30" t="s">
        <v>1899</v>
      </c>
      <c r="D537" s="110" t="s">
        <v>1900</v>
      </c>
      <c r="E537" s="110" t="s">
        <v>1917</v>
      </c>
      <c r="F537" s="30" t="s">
        <v>2703</v>
      </c>
      <c r="G537" s="26" t="s">
        <v>145</v>
      </c>
      <c r="H537" s="24" t="s">
        <v>146</v>
      </c>
      <c r="I537" s="109">
        <v>0</v>
      </c>
      <c r="J537" s="109" t="s">
        <v>1918</v>
      </c>
      <c r="K537" s="109">
        <v>100</v>
      </c>
      <c r="L537" s="109" t="s">
        <v>1919</v>
      </c>
      <c r="M537" s="109" t="s">
        <v>1904</v>
      </c>
      <c r="N537" s="109" t="s">
        <v>529</v>
      </c>
      <c r="O537" s="109" t="s">
        <v>1920</v>
      </c>
      <c r="P537" s="109" t="s">
        <v>1920</v>
      </c>
      <c r="Q537" s="102">
        <v>0</v>
      </c>
      <c r="R537" s="109" t="s">
        <v>1907</v>
      </c>
      <c r="S537" s="109" t="s">
        <v>1922</v>
      </c>
      <c r="T537" s="25"/>
      <c r="U537" s="111" t="s">
        <v>1923</v>
      </c>
      <c r="V537" s="111" t="s">
        <v>1923</v>
      </c>
      <c r="W537" s="112" t="s">
        <v>2035</v>
      </c>
      <c r="X537" s="112" t="s">
        <v>1906</v>
      </c>
      <c r="Y537" s="112" t="s">
        <v>2035</v>
      </c>
      <c r="Z537" s="112" t="s">
        <v>1906</v>
      </c>
      <c r="AA537" s="112" t="s">
        <v>2035</v>
      </c>
      <c r="AB537" s="112" t="s">
        <v>1906</v>
      </c>
      <c r="AC537" s="112">
        <v>24.46</v>
      </c>
      <c r="AD537" s="112" t="s">
        <v>1906</v>
      </c>
      <c r="AE537" s="112">
        <v>7.1</v>
      </c>
      <c r="AF537" s="112" t="s">
        <v>1906</v>
      </c>
      <c r="AG537" s="112">
        <v>0</v>
      </c>
      <c r="AH537" s="112"/>
      <c r="AI537" s="112">
        <v>0</v>
      </c>
      <c r="AJ537" s="112"/>
      <c r="AK537" s="112">
        <v>0</v>
      </c>
      <c r="AL537" s="112"/>
      <c r="AM537" s="112">
        <v>5.33</v>
      </c>
      <c r="AN537" s="112" t="s">
        <v>1906</v>
      </c>
      <c r="AO537" s="112">
        <v>24.17</v>
      </c>
      <c r="AP537" s="112" t="s">
        <v>1906</v>
      </c>
      <c r="AQ537" s="112">
        <v>22.86</v>
      </c>
      <c r="AR537" s="112" t="s">
        <v>1906</v>
      </c>
      <c r="AS537" s="112">
        <v>22.86</v>
      </c>
      <c r="AT537" s="112" t="s">
        <v>1906</v>
      </c>
      <c r="AU537" s="112">
        <f t="shared" si="22"/>
        <v>180.16000000000003</v>
      </c>
      <c r="AV537" s="111">
        <v>0.14693000000000001</v>
      </c>
      <c r="AW537" s="111" t="s">
        <v>1904</v>
      </c>
      <c r="AX537" s="25"/>
      <c r="AY537" s="25"/>
      <c r="AZ537" s="25"/>
    </row>
    <row r="538" spans="1:52" ht="31.2" x14ac:dyDescent="0.3">
      <c r="A538" s="103">
        <v>528</v>
      </c>
      <c r="B538" s="109" t="s">
        <v>1247</v>
      </c>
      <c r="C538" s="30" t="s">
        <v>1899</v>
      </c>
      <c r="D538" s="110" t="s">
        <v>1900</v>
      </c>
      <c r="E538" s="110" t="s">
        <v>1917</v>
      </c>
      <c r="F538" s="30" t="s">
        <v>2703</v>
      </c>
      <c r="G538" s="26" t="s">
        <v>145</v>
      </c>
      <c r="H538" s="24" t="s">
        <v>146</v>
      </c>
      <c r="I538" s="109">
        <v>1</v>
      </c>
      <c r="J538" s="109" t="s">
        <v>1918</v>
      </c>
      <c r="K538" s="109">
        <v>100</v>
      </c>
      <c r="L538" s="109" t="s">
        <v>1919</v>
      </c>
      <c r="M538" s="109" t="s">
        <v>1904</v>
      </c>
      <c r="N538" s="109" t="s">
        <v>529</v>
      </c>
      <c r="O538" s="109" t="s">
        <v>1920</v>
      </c>
      <c r="P538" s="109" t="s">
        <v>1921</v>
      </c>
      <c r="Q538" s="102">
        <v>0</v>
      </c>
      <c r="R538" s="109" t="s">
        <v>1907</v>
      </c>
      <c r="S538" s="109" t="s">
        <v>1922</v>
      </c>
      <c r="T538" s="25"/>
      <c r="U538" s="111" t="s">
        <v>1923</v>
      </c>
      <c r="V538" s="111" t="s">
        <v>1923</v>
      </c>
      <c r="W538" s="112" t="s">
        <v>2036</v>
      </c>
      <c r="X538" s="112" t="s">
        <v>1906</v>
      </c>
      <c r="Y538" s="112" t="s">
        <v>2036</v>
      </c>
      <c r="Z538" s="112" t="s">
        <v>1906</v>
      </c>
      <c r="AA538" s="112" t="s">
        <v>2036</v>
      </c>
      <c r="AB538" s="112" t="s">
        <v>1906</v>
      </c>
      <c r="AC538" s="112">
        <v>144.65</v>
      </c>
      <c r="AD538" s="112" t="s">
        <v>1906</v>
      </c>
      <c r="AE538" s="112">
        <v>42</v>
      </c>
      <c r="AF538" s="112" t="s">
        <v>1906</v>
      </c>
      <c r="AG538" s="112">
        <v>0</v>
      </c>
      <c r="AH538" s="112"/>
      <c r="AI538" s="112">
        <v>0</v>
      </c>
      <c r="AJ538" s="112"/>
      <c r="AK538" s="112">
        <v>0</v>
      </c>
      <c r="AL538" s="112"/>
      <c r="AM538" s="112">
        <v>35.909999999999997</v>
      </c>
      <c r="AN538" s="112" t="s">
        <v>1906</v>
      </c>
      <c r="AO538" s="112">
        <v>153.91</v>
      </c>
      <c r="AP538" s="112" t="s">
        <v>1906</v>
      </c>
      <c r="AQ538" s="112">
        <v>153.91</v>
      </c>
      <c r="AR538" s="112" t="s">
        <v>1906</v>
      </c>
      <c r="AS538" s="112">
        <v>153.91</v>
      </c>
      <c r="AT538" s="112" t="s">
        <v>1906</v>
      </c>
      <c r="AU538" s="112">
        <f t="shared" si="22"/>
        <v>1118.24</v>
      </c>
      <c r="AV538" s="111">
        <v>0.49722</v>
      </c>
      <c r="AW538" s="111" t="s">
        <v>1904</v>
      </c>
      <c r="AX538" s="25"/>
      <c r="AY538" s="25"/>
      <c r="AZ538" s="25"/>
    </row>
    <row r="539" spans="1:52" ht="31.2" x14ac:dyDescent="0.3">
      <c r="A539" s="103">
        <v>529</v>
      </c>
      <c r="B539" s="109" t="s">
        <v>1248</v>
      </c>
      <c r="C539" s="30" t="s">
        <v>1899</v>
      </c>
      <c r="D539" s="110" t="s">
        <v>1900</v>
      </c>
      <c r="E539" s="110" t="s">
        <v>1917</v>
      </c>
      <c r="F539" s="30" t="s">
        <v>2703</v>
      </c>
      <c r="G539" s="26" t="s">
        <v>145</v>
      </c>
      <c r="H539" s="24" t="s">
        <v>146</v>
      </c>
      <c r="I539" s="109">
        <v>0</v>
      </c>
      <c r="J539" s="109" t="s">
        <v>1918</v>
      </c>
      <c r="K539" s="109">
        <v>50</v>
      </c>
      <c r="L539" s="109" t="s">
        <v>1919</v>
      </c>
      <c r="M539" s="109" t="s">
        <v>1904</v>
      </c>
      <c r="N539" s="109" t="s">
        <v>529</v>
      </c>
      <c r="O539" s="109" t="s">
        <v>1920</v>
      </c>
      <c r="P539" s="109" t="s">
        <v>1920</v>
      </c>
      <c r="Q539" s="102">
        <v>0</v>
      </c>
      <c r="R539" s="109" t="s">
        <v>1907</v>
      </c>
      <c r="S539" s="109" t="s">
        <v>1922</v>
      </c>
      <c r="T539" s="25"/>
      <c r="U539" s="111" t="s">
        <v>1923</v>
      </c>
      <c r="V539" s="111" t="s">
        <v>1923</v>
      </c>
      <c r="W539" s="112" t="s">
        <v>2037</v>
      </c>
      <c r="X539" s="112" t="s">
        <v>1906</v>
      </c>
      <c r="Y539" s="112" t="s">
        <v>2037</v>
      </c>
      <c r="Z539" s="112" t="s">
        <v>1906</v>
      </c>
      <c r="AA539" s="112" t="s">
        <v>2037</v>
      </c>
      <c r="AB539" s="112" t="s">
        <v>1906</v>
      </c>
      <c r="AC539" s="112">
        <v>31.97</v>
      </c>
      <c r="AD539" s="112" t="s">
        <v>1906</v>
      </c>
      <c r="AE539" s="112">
        <v>9.2799999999999994</v>
      </c>
      <c r="AF539" s="112" t="s">
        <v>1906</v>
      </c>
      <c r="AG539" s="112">
        <v>0</v>
      </c>
      <c r="AH539" s="112"/>
      <c r="AI539" s="112">
        <v>0</v>
      </c>
      <c r="AJ539" s="112"/>
      <c r="AK539" s="112">
        <v>0</v>
      </c>
      <c r="AL539" s="112"/>
      <c r="AM539" s="112">
        <v>7.61</v>
      </c>
      <c r="AN539" s="112" t="s">
        <v>1906</v>
      </c>
      <c r="AO539" s="112">
        <v>32.619999999999997</v>
      </c>
      <c r="AP539" s="112" t="s">
        <v>1906</v>
      </c>
      <c r="AQ539" s="112">
        <v>32.619999999999997</v>
      </c>
      <c r="AR539" s="112" t="s">
        <v>1906</v>
      </c>
      <c r="AS539" s="112">
        <v>32.619999999999997</v>
      </c>
      <c r="AT539" s="112" t="s">
        <v>1906</v>
      </c>
      <c r="AU539" s="112">
        <f t="shared" si="22"/>
        <v>242.63000000000002</v>
      </c>
      <c r="AV539" s="111">
        <v>0.12747</v>
      </c>
      <c r="AW539" s="111" t="s">
        <v>1904</v>
      </c>
      <c r="AX539" s="25"/>
      <c r="AY539" s="25"/>
      <c r="AZ539" s="25"/>
    </row>
    <row r="540" spans="1:52" ht="31.2" x14ac:dyDescent="0.3">
      <c r="A540" s="103">
        <v>530</v>
      </c>
      <c r="B540" s="109" t="s">
        <v>1249</v>
      </c>
      <c r="C540" s="30" t="s">
        <v>1899</v>
      </c>
      <c r="D540" s="110" t="s">
        <v>1900</v>
      </c>
      <c r="E540" s="110" t="s">
        <v>1917</v>
      </c>
      <c r="F540" s="30" t="s">
        <v>2703</v>
      </c>
      <c r="G540" s="26" t="s">
        <v>145</v>
      </c>
      <c r="H540" s="24" t="s">
        <v>146</v>
      </c>
      <c r="I540" s="109">
        <v>3</v>
      </c>
      <c r="J540" s="109" t="s">
        <v>1918</v>
      </c>
      <c r="K540" s="109">
        <v>100</v>
      </c>
      <c r="L540" s="109" t="s">
        <v>1919</v>
      </c>
      <c r="M540" s="109" t="s">
        <v>1904</v>
      </c>
      <c r="N540" s="109" t="s">
        <v>529</v>
      </c>
      <c r="O540" s="109" t="s">
        <v>1920</v>
      </c>
      <c r="P540" s="109" t="s">
        <v>1921</v>
      </c>
      <c r="Q540" s="102">
        <v>0</v>
      </c>
      <c r="R540" s="109" t="s">
        <v>1907</v>
      </c>
      <c r="S540" s="109" t="s">
        <v>1922</v>
      </c>
      <c r="T540" s="25"/>
      <c r="U540" s="111" t="s">
        <v>1923</v>
      </c>
      <c r="V540" s="111" t="s">
        <v>1923</v>
      </c>
      <c r="W540" s="112" t="s">
        <v>2038</v>
      </c>
      <c r="X540" s="112" t="s">
        <v>1906</v>
      </c>
      <c r="Y540" s="112" t="s">
        <v>2038</v>
      </c>
      <c r="Z540" s="112" t="s">
        <v>1906</v>
      </c>
      <c r="AA540" s="112" t="s">
        <v>2038</v>
      </c>
      <c r="AB540" s="112" t="s">
        <v>1906</v>
      </c>
      <c r="AC540" s="112">
        <v>85.81</v>
      </c>
      <c r="AD540" s="112" t="s">
        <v>1906</v>
      </c>
      <c r="AE540" s="112">
        <v>24.91</v>
      </c>
      <c r="AF540" s="112" t="s">
        <v>1906</v>
      </c>
      <c r="AG540" s="112">
        <v>0</v>
      </c>
      <c r="AH540" s="112"/>
      <c r="AI540" s="112">
        <v>0</v>
      </c>
      <c r="AJ540" s="112"/>
      <c r="AK540" s="112">
        <v>0</v>
      </c>
      <c r="AL540" s="112"/>
      <c r="AM540" s="112">
        <v>19.93</v>
      </c>
      <c r="AN540" s="112" t="s">
        <v>1906</v>
      </c>
      <c r="AO540" s="112">
        <v>51.78</v>
      </c>
      <c r="AP540" s="112" t="s">
        <v>208</v>
      </c>
      <c r="AQ540" s="112">
        <v>10.69</v>
      </c>
      <c r="AR540" s="112" t="s">
        <v>208</v>
      </c>
      <c r="AS540" s="112">
        <v>15.59</v>
      </c>
      <c r="AT540" s="112" t="s">
        <v>208</v>
      </c>
      <c r="AU540" s="112">
        <f t="shared" si="22"/>
        <v>466.14</v>
      </c>
      <c r="AV540" s="111">
        <v>9.5009999999999997E-2</v>
      </c>
      <c r="AW540" s="111" t="s">
        <v>1904</v>
      </c>
      <c r="AX540" s="25"/>
      <c r="AY540" s="25"/>
      <c r="AZ540" s="25"/>
    </row>
    <row r="541" spans="1:52" ht="31.2" x14ac:dyDescent="0.3">
      <c r="A541" s="103">
        <v>531</v>
      </c>
      <c r="B541" s="109" t="s">
        <v>1250</v>
      </c>
      <c r="C541" s="109" t="s">
        <v>1965</v>
      </c>
      <c r="D541" s="110" t="s">
        <v>1900</v>
      </c>
      <c r="E541" s="110" t="s">
        <v>1917</v>
      </c>
      <c r="F541" s="30" t="s">
        <v>2703</v>
      </c>
      <c r="G541" s="26" t="s">
        <v>145</v>
      </c>
      <c r="H541" s="24" t="s">
        <v>146</v>
      </c>
      <c r="I541" s="109">
        <v>1</v>
      </c>
      <c r="J541" s="109" t="s">
        <v>1918</v>
      </c>
      <c r="K541" s="109">
        <v>108</v>
      </c>
      <c r="L541" s="109" t="s">
        <v>1919</v>
      </c>
      <c r="M541" s="109" t="s">
        <v>1904</v>
      </c>
      <c r="N541" s="109" t="s">
        <v>529</v>
      </c>
      <c r="O541" s="109" t="s">
        <v>1920</v>
      </c>
      <c r="P541" s="109" t="s">
        <v>1921</v>
      </c>
      <c r="Q541" s="102">
        <v>0</v>
      </c>
      <c r="R541" s="109" t="s">
        <v>1907</v>
      </c>
      <c r="S541" s="109" t="s">
        <v>1922</v>
      </c>
      <c r="T541" s="25"/>
      <c r="U541" s="111" t="s">
        <v>1923</v>
      </c>
      <c r="V541" s="111" t="s">
        <v>1923</v>
      </c>
      <c r="W541" s="112">
        <v>98.68</v>
      </c>
      <c r="X541" s="112" t="s">
        <v>1906</v>
      </c>
      <c r="Y541" s="112">
        <v>96.5</v>
      </c>
      <c r="Z541" s="112" t="s">
        <v>1906</v>
      </c>
      <c r="AA541" s="112">
        <v>98.05</v>
      </c>
      <c r="AB541" s="112" t="s">
        <v>1906</v>
      </c>
      <c r="AC541" s="112">
        <v>96.5</v>
      </c>
      <c r="AD541" s="112" t="s">
        <v>1906</v>
      </c>
      <c r="AE541" s="112">
        <v>96.5</v>
      </c>
      <c r="AF541" s="112" t="s">
        <v>1906</v>
      </c>
      <c r="AG541" s="112">
        <v>0</v>
      </c>
      <c r="AH541" s="112"/>
      <c r="AI541" s="112">
        <v>0</v>
      </c>
      <c r="AJ541" s="112"/>
      <c r="AK541" s="112">
        <v>0</v>
      </c>
      <c r="AL541" s="112"/>
      <c r="AM541" s="112">
        <v>0</v>
      </c>
      <c r="AN541" s="112"/>
      <c r="AO541" s="112">
        <v>96.5</v>
      </c>
      <c r="AP541" s="112" t="s">
        <v>1906</v>
      </c>
      <c r="AQ541" s="112">
        <v>96.05</v>
      </c>
      <c r="AR541" s="112" t="s">
        <v>1906</v>
      </c>
      <c r="AS541" s="112">
        <v>96.5</v>
      </c>
      <c r="AT541" s="112" t="s">
        <v>1906</v>
      </c>
      <c r="AU541" s="112">
        <f t="shared" si="22"/>
        <v>775.28</v>
      </c>
      <c r="AV541" s="111">
        <v>0.32618000000000003</v>
      </c>
      <c r="AW541" s="111" t="s">
        <v>1904</v>
      </c>
      <c r="AX541" s="25"/>
      <c r="AY541" s="25"/>
      <c r="AZ541" s="25"/>
    </row>
    <row r="542" spans="1:52" ht="31.2" x14ac:dyDescent="0.3">
      <c r="A542" s="103">
        <v>532</v>
      </c>
      <c r="B542" s="109" t="s">
        <v>1252</v>
      </c>
      <c r="C542" s="109" t="s">
        <v>1965</v>
      </c>
      <c r="D542" s="110" t="s">
        <v>1900</v>
      </c>
      <c r="E542" s="110" t="s">
        <v>1917</v>
      </c>
      <c r="F542" s="30" t="s">
        <v>2703</v>
      </c>
      <c r="G542" s="26" t="s">
        <v>145</v>
      </c>
      <c r="H542" s="24" t="s">
        <v>146</v>
      </c>
      <c r="I542" s="109">
        <v>0</v>
      </c>
      <c r="J542" s="109" t="s">
        <v>1918</v>
      </c>
      <c r="K542" s="109">
        <v>108</v>
      </c>
      <c r="L542" s="109" t="s">
        <v>1919</v>
      </c>
      <c r="M542" s="109" t="s">
        <v>1904</v>
      </c>
      <c r="N542" s="109" t="s">
        <v>529</v>
      </c>
      <c r="O542" s="109" t="s">
        <v>1920</v>
      </c>
      <c r="P542" s="109" t="s">
        <v>1920</v>
      </c>
      <c r="Q542" s="102">
        <v>0</v>
      </c>
      <c r="R542" s="109" t="s">
        <v>1907</v>
      </c>
      <c r="S542" s="109" t="s">
        <v>1922</v>
      </c>
      <c r="T542" s="25"/>
      <c r="U542" s="111" t="s">
        <v>1923</v>
      </c>
      <c r="V542" s="111" t="s">
        <v>1923</v>
      </c>
      <c r="W542" s="112">
        <f>AA542</f>
        <v>37.86</v>
      </c>
      <c r="X542" s="112" t="s">
        <v>1906</v>
      </c>
      <c r="Y542" s="112">
        <f>AA542</f>
        <v>37.86</v>
      </c>
      <c r="Z542" s="112" t="s">
        <v>1906</v>
      </c>
      <c r="AA542" s="112">
        <v>37.86</v>
      </c>
      <c r="AB542" s="112" t="s">
        <v>1906</v>
      </c>
      <c r="AC542" s="112">
        <v>37.86</v>
      </c>
      <c r="AD542" s="112" t="s">
        <v>1906</v>
      </c>
      <c r="AE542" s="112">
        <v>37.86</v>
      </c>
      <c r="AF542" s="112" t="s">
        <v>1906</v>
      </c>
      <c r="AG542" s="112">
        <v>0</v>
      </c>
      <c r="AH542" s="112"/>
      <c r="AI542" s="112">
        <v>0</v>
      </c>
      <c r="AJ542" s="112"/>
      <c r="AK542" s="112">
        <v>0</v>
      </c>
      <c r="AL542" s="112"/>
      <c r="AM542" s="112">
        <v>0</v>
      </c>
      <c r="AN542" s="112"/>
      <c r="AO542" s="112">
        <v>37.86</v>
      </c>
      <c r="AP542" s="112" t="s">
        <v>1906</v>
      </c>
      <c r="AQ542" s="112">
        <v>37.86</v>
      </c>
      <c r="AR542" s="112" t="s">
        <v>1906</v>
      </c>
      <c r="AS542" s="112">
        <v>37.86</v>
      </c>
      <c r="AT542" s="112" t="s">
        <v>1906</v>
      </c>
      <c r="AU542" s="112">
        <f t="shared" si="22"/>
        <v>302.88000000000005</v>
      </c>
      <c r="AV542" s="111">
        <v>0.14954000000000001</v>
      </c>
      <c r="AW542" s="111" t="s">
        <v>1904</v>
      </c>
      <c r="AX542" s="25"/>
      <c r="AY542" s="25"/>
      <c r="AZ542" s="25"/>
    </row>
    <row r="543" spans="1:52" ht="31.2" x14ac:dyDescent="0.3">
      <c r="A543" s="103">
        <v>533</v>
      </c>
      <c r="B543" s="109" t="s">
        <v>1253</v>
      </c>
      <c r="C543" s="109" t="s">
        <v>1965</v>
      </c>
      <c r="D543" s="110" t="s">
        <v>1900</v>
      </c>
      <c r="E543" s="110" t="s">
        <v>1917</v>
      </c>
      <c r="F543" s="30" t="s">
        <v>2703</v>
      </c>
      <c r="G543" s="26" t="s">
        <v>145</v>
      </c>
      <c r="H543" s="24" t="s">
        <v>146</v>
      </c>
      <c r="I543" s="109">
        <v>0</v>
      </c>
      <c r="J543" s="109" t="s">
        <v>1918</v>
      </c>
      <c r="K543" s="109">
        <v>108</v>
      </c>
      <c r="L543" s="109" t="s">
        <v>1919</v>
      </c>
      <c r="M543" s="109" t="s">
        <v>1904</v>
      </c>
      <c r="N543" s="109" t="s">
        <v>529</v>
      </c>
      <c r="O543" s="109" t="s">
        <v>1920</v>
      </c>
      <c r="P543" s="109" t="s">
        <v>1920</v>
      </c>
      <c r="Q543" s="102">
        <v>0</v>
      </c>
      <c r="R543" s="109" t="s">
        <v>1907</v>
      </c>
      <c r="S543" s="109" t="s">
        <v>1922</v>
      </c>
      <c r="T543" s="25"/>
      <c r="U543" s="111" t="s">
        <v>1923</v>
      </c>
      <c r="V543" s="111" t="s">
        <v>1923</v>
      </c>
      <c r="W543" s="112">
        <v>25.58</v>
      </c>
      <c r="X543" s="112" t="s">
        <v>1906</v>
      </c>
      <c r="Y543" s="112">
        <v>28.58</v>
      </c>
      <c r="Z543" s="112" t="s">
        <v>1906</v>
      </c>
      <c r="AA543" s="112">
        <v>28.58</v>
      </c>
      <c r="AB543" s="112" t="s">
        <v>1906</v>
      </c>
      <c r="AC543" s="112">
        <v>25.58</v>
      </c>
      <c r="AD543" s="112" t="s">
        <v>1906</v>
      </c>
      <c r="AE543" s="112">
        <v>25.58</v>
      </c>
      <c r="AF543" s="112" t="s">
        <v>1906</v>
      </c>
      <c r="AG543" s="112">
        <v>0</v>
      </c>
      <c r="AH543" s="112"/>
      <c r="AI543" s="112">
        <v>0</v>
      </c>
      <c r="AJ543" s="112"/>
      <c r="AK543" s="112">
        <v>0</v>
      </c>
      <c r="AL543" s="112"/>
      <c r="AM543" s="112">
        <v>0</v>
      </c>
      <c r="AN543" s="112"/>
      <c r="AO543" s="112">
        <v>25.58</v>
      </c>
      <c r="AP543" s="112" t="s">
        <v>1906</v>
      </c>
      <c r="AQ543" s="112">
        <v>25.58</v>
      </c>
      <c r="AR543" s="112" t="s">
        <v>1906</v>
      </c>
      <c r="AS543" s="112">
        <v>25.58</v>
      </c>
      <c r="AT543" s="112" t="s">
        <v>1906</v>
      </c>
      <c r="AU543" s="112">
        <f t="shared" si="22"/>
        <v>210.63999999999993</v>
      </c>
      <c r="AV543" s="111">
        <v>0.14954000000000001</v>
      </c>
      <c r="AW543" s="111" t="s">
        <v>1904</v>
      </c>
      <c r="AX543" s="25"/>
      <c r="AY543" s="25"/>
      <c r="AZ543" s="25"/>
    </row>
    <row r="544" spans="1:52" ht="31.2" x14ac:dyDescent="0.3">
      <c r="A544" s="103">
        <v>534</v>
      </c>
      <c r="B544" s="109" t="s">
        <v>1255</v>
      </c>
      <c r="C544" s="109" t="s">
        <v>1965</v>
      </c>
      <c r="D544" s="110" t="s">
        <v>1900</v>
      </c>
      <c r="E544" s="110" t="s">
        <v>1917</v>
      </c>
      <c r="F544" s="30" t="s">
        <v>2703</v>
      </c>
      <c r="G544" s="26" t="s">
        <v>145</v>
      </c>
      <c r="H544" s="24" t="s">
        <v>146</v>
      </c>
      <c r="I544" s="109">
        <v>1</v>
      </c>
      <c r="J544" s="109" t="s">
        <v>1918</v>
      </c>
      <c r="K544" s="109">
        <v>108</v>
      </c>
      <c r="L544" s="109" t="s">
        <v>1919</v>
      </c>
      <c r="M544" s="109" t="s">
        <v>1904</v>
      </c>
      <c r="N544" s="109" t="s">
        <v>529</v>
      </c>
      <c r="O544" s="109" t="s">
        <v>1920</v>
      </c>
      <c r="P544" s="109" t="s">
        <v>1921</v>
      </c>
      <c r="Q544" s="102">
        <v>0</v>
      </c>
      <c r="R544" s="109" t="s">
        <v>1907</v>
      </c>
      <c r="S544" s="109" t="s">
        <v>1922</v>
      </c>
      <c r="T544" s="25"/>
      <c r="U544" s="111" t="s">
        <v>1923</v>
      </c>
      <c r="V544" s="111" t="s">
        <v>1923</v>
      </c>
      <c r="W544" s="112">
        <v>78.63</v>
      </c>
      <c r="X544" s="112" t="s">
        <v>1906</v>
      </c>
      <c r="Y544" s="112">
        <v>78.63</v>
      </c>
      <c r="Z544" s="112" t="s">
        <v>1906</v>
      </c>
      <c r="AA544" s="112">
        <v>78.63</v>
      </c>
      <c r="AB544" s="112" t="s">
        <v>1906</v>
      </c>
      <c r="AC544" s="112">
        <v>78.63</v>
      </c>
      <c r="AD544" s="112" t="s">
        <v>1906</v>
      </c>
      <c r="AE544" s="112">
        <v>78.63</v>
      </c>
      <c r="AF544" s="112" t="s">
        <v>1906</v>
      </c>
      <c r="AG544" s="112">
        <v>0</v>
      </c>
      <c r="AH544" s="112"/>
      <c r="AI544" s="112">
        <v>0</v>
      </c>
      <c r="AJ544" s="112"/>
      <c r="AK544" s="112">
        <v>0</v>
      </c>
      <c r="AL544" s="112"/>
      <c r="AM544" s="112">
        <v>0</v>
      </c>
      <c r="AN544" s="112"/>
      <c r="AO544" s="112">
        <v>78.63</v>
      </c>
      <c r="AP544" s="112" t="s">
        <v>1906</v>
      </c>
      <c r="AQ544" s="112">
        <v>78.63</v>
      </c>
      <c r="AR544" s="112" t="s">
        <v>1906</v>
      </c>
      <c r="AS544" s="112">
        <v>78.63</v>
      </c>
      <c r="AT544" s="112" t="s">
        <v>1906</v>
      </c>
      <c r="AU544" s="112">
        <f t="shared" si="22"/>
        <v>629.04</v>
      </c>
      <c r="AV544" s="111">
        <v>0.17463000000000001</v>
      </c>
      <c r="AW544" s="111" t="s">
        <v>1904</v>
      </c>
      <c r="AX544" s="25"/>
      <c r="AY544" s="25"/>
      <c r="AZ544" s="25"/>
    </row>
    <row r="545" spans="1:52" ht="31.2" x14ac:dyDescent="0.3">
      <c r="A545" s="103">
        <v>535</v>
      </c>
      <c r="B545" s="109" t="s">
        <v>1256</v>
      </c>
      <c r="C545" s="109" t="s">
        <v>1965</v>
      </c>
      <c r="D545" s="110" t="s">
        <v>1900</v>
      </c>
      <c r="E545" s="110" t="s">
        <v>1917</v>
      </c>
      <c r="F545" s="30" t="s">
        <v>2703</v>
      </c>
      <c r="G545" s="26" t="s">
        <v>145</v>
      </c>
      <c r="H545" s="24" t="s">
        <v>146</v>
      </c>
      <c r="I545" s="109">
        <v>1</v>
      </c>
      <c r="J545" s="109" t="s">
        <v>1918</v>
      </c>
      <c r="K545" s="109">
        <v>108</v>
      </c>
      <c r="L545" s="109" t="s">
        <v>1919</v>
      </c>
      <c r="M545" s="109" t="s">
        <v>1904</v>
      </c>
      <c r="N545" s="109" t="s">
        <v>529</v>
      </c>
      <c r="O545" s="109" t="s">
        <v>1920</v>
      </c>
      <c r="P545" s="109" t="s">
        <v>1921</v>
      </c>
      <c r="Q545" s="102">
        <v>0</v>
      </c>
      <c r="R545" s="109" t="s">
        <v>1907</v>
      </c>
      <c r="S545" s="109" t="s">
        <v>1922</v>
      </c>
      <c r="T545" s="25"/>
      <c r="U545" s="111" t="s">
        <v>1923</v>
      </c>
      <c r="V545" s="111" t="s">
        <v>1923</v>
      </c>
      <c r="W545" s="112">
        <v>27.64</v>
      </c>
      <c r="X545" s="112" t="s">
        <v>1906</v>
      </c>
      <c r="Y545" s="112">
        <v>27.64</v>
      </c>
      <c r="Z545" s="112" t="s">
        <v>1906</v>
      </c>
      <c r="AA545" s="112">
        <v>27.64</v>
      </c>
      <c r="AB545" s="112" t="s">
        <v>1906</v>
      </c>
      <c r="AC545" s="112">
        <v>27.64</v>
      </c>
      <c r="AD545" s="112" t="s">
        <v>1906</v>
      </c>
      <c r="AE545" s="112">
        <v>27.64</v>
      </c>
      <c r="AF545" s="112" t="s">
        <v>1906</v>
      </c>
      <c r="AG545" s="112">
        <v>0</v>
      </c>
      <c r="AH545" s="112"/>
      <c r="AI545" s="112">
        <v>0</v>
      </c>
      <c r="AJ545" s="112"/>
      <c r="AK545" s="112">
        <v>0</v>
      </c>
      <c r="AL545" s="112"/>
      <c r="AM545" s="112">
        <v>0</v>
      </c>
      <c r="AN545" s="112"/>
      <c r="AO545" s="112">
        <v>27.64</v>
      </c>
      <c r="AP545" s="112" t="s">
        <v>1906</v>
      </c>
      <c r="AQ545" s="112">
        <v>27.64</v>
      </c>
      <c r="AR545" s="112" t="s">
        <v>1906</v>
      </c>
      <c r="AS545" s="112">
        <v>27.64</v>
      </c>
      <c r="AT545" s="112" t="s">
        <v>1906</v>
      </c>
      <c r="AU545" s="112">
        <f t="shared" si="22"/>
        <v>221.11999999999995</v>
      </c>
      <c r="AV545" s="111">
        <v>0.17463000000000001</v>
      </c>
      <c r="AW545" s="111" t="s">
        <v>1904</v>
      </c>
      <c r="AX545" s="25"/>
      <c r="AY545" s="25"/>
      <c r="AZ545" s="25"/>
    </row>
    <row r="546" spans="1:52" ht="31.2" x14ac:dyDescent="0.3">
      <c r="A546" s="103">
        <v>536</v>
      </c>
      <c r="B546" s="109" t="s">
        <v>1257</v>
      </c>
      <c r="C546" s="109" t="s">
        <v>1965</v>
      </c>
      <c r="D546" s="110" t="s">
        <v>1900</v>
      </c>
      <c r="E546" s="110" t="s">
        <v>1917</v>
      </c>
      <c r="F546" s="30" t="s">
        <v>2703</v>
      </c>
      <c r="G546" s="26" t="s">
        <v>145</v>
      </c>
      <c r="H546" s="24" t="s">
        <v>146</v>
      </c>
      <c r="I546" s="109">
        <v>1</v>
      </c>
      <c r="J546" s="109" t="s">
        <v>1918</v>
      </c>
      <c r="K546" s="109">
        <v>108</v>
      </c>
      <c r="L546" s="109" t="s">
        <v>1919</v>
      </c>
      <c r="M546" s="109" t="s">
        <v>1904</v>
      </c>
      <c r="N546" s="109" t="s">
        <v>529</v>
      </c>
      <c r="O546" s="109" t="s">
        <v>1920</v>
      </c>
      <c r="P546" s="109" t="s">
        <v>1921</v>
      </c>
      <c r="Q546" s="102">
        <v>0</v>
      </c>
      <c r="R546" s="109" t="s">
        <v>1907</v>
      </c>
      <c r="S546" s="109" t="s">
        <v>1922</v>
      </c>
      <c r="T546" s="25"/>
      <c r="U546" s="111" t="s">
        <v>1923</v>
      </c>
      <c r="V546" s="111" t="s">
        <v>1923</v>
      </c>
      <c r="W546" s="112">
        <v>180.46</v>
      </c>
      <c r="X546" s="112" t="s">
        <v>1906</v>
      </c>
      <c r="Y546" s="112">
        <v>175.61</v>
      </c>
      <c r="Z546" s="112" t="s">
        <v>1906</v>
      </c>
      <c r="AA546" s="112">
        <v>179.06</v>
      </c>
      <c r="AB546" s="112" t="s">
        <v>1906</v>
      </c>
      <c r="AC546" s="112">
        <v>175.61</v>
      </c>
      <c r="AD546" s="112" t="s">
        <v>1906</v>
      </c>
      <c r="AE546" s="112">
        <v>179.06</v>
      </c>
      <c r="AF546" s="112" t="s">
        <v>1906</v>
      </c>
      <c r="AG546" s="112">
        <v>0</v>
      </c>
      <c r="AH546" s="112"/>
      <c r="AI546" s="112">
        <v>0</v>
      </c>
      <c r="AJ546" s="112"/>
      <c r="AK546" s="112">
        <v>0</v>
      </c>
      <c r="AL546" s="112"/>
      <c r="AM546" s="112">
        <v>0</v>
      </c>
      <c r="AN546" s="112"/>
      <c r="AO546" s="112">
        <v>179.06</v>
      </c>
      <c r="AP546" s="112" t="s">
        <v>1906</v>
      </c>
      <c r="AQ546" s="112">
        <v>179.06</v>
      </c>
      <c r="AR546" s="112" t="s">
        <v>1906</v>
      </c>
      <c r="AS546" s="112">
        <v>179.06</v>
      </c>
      <c r="AT546" s="112" t="s">
        <v>1906</v>
      </c>
      <c r="AU546" s="112">
        <f t="shared" si="22"/>
        <v>1426.98</v>
      </c>
      <c r="AV546" s="111">
        <v>0.53237999999999996</v>
      </c>
      <c r="AW546" s="111" t="s">
        <v>1904</v>
      </c>
      <c r="AX546" s="25"/>
      <c r="AY546" s="25"/>
      <c r="AZ546" s="25"/>
    </row>
    <row r="547" spans="1:52" ht="31.2" x14ac:dyDescent="0.3">
      <c r="A547" s="103">
        <v>537</v>
      </c>
      <c r="B547" s="109" t="s">
        <v>1259</v>
      </c>
      <c r="C547" s="109" t="s">
        <v>1965</v>
      </c>
      <c r="D547" s="110" t="s">
        <v>1900</v>
      </c>
      <c r="E547" s="110" t="s">
        <v>1917</v>
      </c>
      <c r="F547" s="30" t="s">
        <v>2703</v>
      </c>
      <c r="G547" s="26" t="s">
        <v>145</v>
      </c>
      <c r="H547" s="24" t="s">
        <v>146</v>
      </c>
      <c r="I547" s="109">
        <v>1</v>
      </c>
      <c r="J547" s="109" t="s">
        <v>1918</v>
      </c>
      <c r="K547" s="109">
        <v>108</v>
      </c>
      <c r="L547" s="109" t="s">
        <v>1919</v>
      </c>
      <c r="M547" s="109" t="s">
        <v>1904</v>
      </c>
      <c r="N547" s="109" t="s">
        <v>529</v>
      </c>
      <c r="O547" s="109" t="s">
        <v>1920</v>
      </c>
      <c r="P547" s="109" t="s">
        <v>1921</v>
      </c>
      <c r="Q547" s="102">
        <v>0</v>
      </c>
      <c r="R547" s="109" t="s">
        <v>1907</v>
      </c>
      <c r="S547" s="109" t="s">
        <v>1922</v>
      </c>
      <c r="T547" s="25"/>
      <c r="U547" s="111" t="s">
        <v>1923</v>
      </c>
      <c r="V547" s="111" t="s">
        <v>1923</v>
      </c>
      <c r="W547" s="112">
        <v>67.58</v>
      </c>
      <c r="X547" s="112" t="s">
        <v>1906</v>
      </c>
      <c r="Y547" s="112">
        <v>67.58</v>
      </c>
      <c r="Z547" s="112" t="s">
        <v>1906</v>
      </c>
      <c r="AA547" s="112">
        <v>67.58</v>
      </c>
      <c r="AB547" s="112" t="s">
        <v>1906</v>
      </c>
      <c r="AC547" s="112">
        <v>67.58</v>
      </c>
      <c r="AD547" s="112" t="s">
        <v>1906</v>
      </c>
      <c r="AE547" s="112">
        <v>67.58</v>
      </c>
      <c r="AF547" s="112" t="s">
        <v>1906</v>
      </c>
      <c r="AG547" s="112">
        <v>0</v>
      </c>
      <c r="AH547" s="112"/>
      <c r="AI547" s="112">
        <v>0</v>
      </c>
      <c r="AJ547" s="112"/>
      <c r="AK547" s="112">
        <v>0</v>
      </c>
      <c r="AL547" s="112"/>
      <c r="AM547" s="112">
        <v>0</v>
      </c>
      <c r="AN547" s="112"/>
      <c r="AO547" s="112">
        <v>67.58</v>
      </c>
      <c r="AP547" s="112" t="s">
        <v>1906</v>
      </c>
      <c r="AQ547" s="112">
        <v>67.58</v>
      </c>
      <c r="AR547" s="112" t="s">
        <v>1906</v>
      </c>
      <c r="AS547" s="112">
        <v>67.58</v>
      </c>
      <c r="AT547" s="112" t="s">
        <v>1906</v>
      </c>
      <c r="AU547" s="112">
        <f t="shared" si="22"/>
        <v>540.64</v>
      </c>
      <c r="AV547" s="111">
        <v>0.24188000000000001</v>
      </c>
      <c r="AW547" s="111" t="s">
        <v>1904</v>
      </c>
      <c r="AX547" s="25"/>
      <c r="AY547" s="25"/>
      <c r="AZ547" s="25"/>
    </row>
    <row r="548" spans="1:52" ht="31.2" x14ac:dyDescent="0.3">
      <c r="A548" s="103">
        <v>538</v>
      </c>
      <c r="B548" s="109" t="s">
        <v>1260</v>
      </c>
      <c r="C548" s="109" t="s">
        <v>1965</v>
      </c>
      <c r="D548" s="110" t="s">
        <v>1900</v>
      </c>
      <c r="E548" s="110" t="s">
        <v>1917</v>
      </c>
      <c r="F548" s="30" t="s">
        <v>2703</v>
      </c>
      <c r="G548" s="26" t="s">
        <v>145</v>
      </c>
      <c r="H548" s="24" t="s">
        <v>146</v>
      </c>
      <c r="I548" s="109">
        <v>1</v>
      </c>
      <c r="J548" s="109" t="s">
        <v>1918</v>
      </c>
      <c r="K548" s="109">
        <v>50</v>
      </c>
      <c r="L548" s="109" t="s">
        <v>1919</v>
      </c>
      <c r="M548" s="109" t="s">
        <v>1904</v>
      </c>
      <c r="N548" s="109" t="s">
        <v>529</v>
      </c>
      <c r="O548" s="109" t="s">
        <v>1920</v>
      </c>
      <c r="P548" s="109" t="s">
        <v>1921</v>
      </c>
      <c r="Q548" s="102">
        <v>0</v>
      </c>
      <c r="R548" s="109" t="s">
        <v>1907</v>
      </c>
      <c r="S548" s="109" t="s">
        <v>1922</v>
      </c>
      <c r="T548" s="25"/>
      <c r="U548" s="111" t="s">
        <v>1923</v>
      </c>
      <c r="V548" s="111" t="s">
        <v>1923</v>
      </c>
      <c r="W548" s="112">
        <v>0</v>
      </c>
      <c r="X548" s="112"/>
      <c r="Y548" s="112">
        <v>0</v>
      </c>
      <c r="Z548" s="112"/>
      <c r="AA548" s="112">
        <v>0</v>
      </c>
      <c r="AB548" s="112"/>
      <c r="AC548" s="112">
        <v>0</v>
      </c>
      <c r="AD548" s="112"/>
      <c r="AE548" s="112">
        <v>0</v>
      </c>
      <c r="AF548" s="112"/>
      <c r="AG548" s="112">
        <v>0</v>
      </c>
      <c r="AH548" s="112"/>
      <c r="AI548" s="112">
        <v>0</v>
      </c>
      <c r="AJ548" s="112"/>
      <c r="AK548" s="112">
        <v>0</v>
      </c>
      <c r="AL548" s="112"/>
      <c r="AM548" s="112">
        <v>0</v>
      </c>
      <c r="AN548" s="112"/>
      <c r="AO548" s="112">
        <v>0</v>
      </c>
      <c r="AP548" s="112"/>
      <c r="AQ548" s="112">
        <v>0</v>
      </c>
      <c r="AR548" s="112"/>
      <c r="AS548" s="112">
        <v>0</v>
      </c>
      <c r="AT548" s="112"/>
      <c r="AU548" s="112">
        <v>0</v>
      </c>
      <c r="AV548" s="111">
        <v>0.24188000000000001</v>
      </c>
      <c r="AW548" s="111" t="s">
        <v>1904</v>
      </c>
      <c r="AX548" s="25"/>
      <c r="AY548" s="25"/>
      <c r="AZ548" s="25"/>
    </row>
    <row r="549" spans="1:52" ht="31.2" x14ac:dyDescent="0.3">
      <c r="A549" s="103">
        <v>539</v>
      </c>
      <c r="B549" s="109" t="s">
        <v>1262</v>
      </c>
      <c r="C549" s="109" t="s">
        <v>1965</v>
      </c>
      <c r="D549" s="110" t="s">
        <v>1900</v>
      </c>
      <c r="E549" s="110" t="s">
        <v>1917</v>
      </c>
      <c r="F549" s="30" t="s">
        <v>2703</v>
      </c>
      <c r="G549" s="26" t="s">
        <v>145</v>
      </c>
      <c r="H549" s="24" t="s">
        <v>146</v>
      </c>
      <c r="I549" s="109">
        <v>0</v>
      </c>
      <c r="J549" s="109" t="s">
        <v>1918</v>
      </c>
      <c r="K549" s="109">
        <v>100</v>
      </c>
      <c r="L549" s="109" t="s">
        <v>1919</v>
      </c>
      <c r="M549" s="109" t="s">
        <v>1904</v>
      </c>
      <c r="N549" s="109" t="s">
        <v>529</v>
      </c>
      <c r="O549" s="109" t="s">
        <v>1920</v>
      </c>
      <c r="P549" s="109" t="s">
        <v>1920</v>
      </c>
      <c r="Q549" s="102">
        <v>0</v>
      </c>
      <c r="R549" s="109" t="s">
        <v>1907</v>
      </c>
      <c r="S549" s="109" t="s">
        <v>1922</v>
      </c>
      <c r="T549" s="25"/>
      <c r="U549" s="111" t="s">
        <v>1923</v>
      </c>
      <c r="V549" s="111" t="s">
        <v>1923</v>
      </c>
      <c r="W549" s="112">
        <v>59.04</v>
      </c>
      <c r="X549" s="112" t="s">
        <v>1906</v>
      </c>
      <c r="Y549" s="112">
        <v>59.04</v>
      </c>
      <c r="Z549" s="112" t="s">
        <v>1906</v>
      </c>
      <c r="AA549" s="112">
        <v>59.04</v>
      </c>
      <c r="AB549" s="112" t="s">
        <v>1906</v>
      </c>
      <c r="AC549" s="112">
        <v>59.04</v>
      </c>
      <c r="AD549" s="112" t="s">
        <v>1906</v>
      </c>
      <c r="AE549" s="112">
        <v>59.04</v>
      </c>
      <c r="AF549" s="112" t="s">
        <v>1906</v>
      </c>
      <c r="AG549" s="112">
        <v>0</v>
      </c>
      <c r="AH549" s="112"/>
      <c r="AI549" s="112">
        <v>0</v>
      </c>
      <c r="AJ549" s="112"/>
      <c r="AK549" s="112">
        <v>0</v>
      </c>
      <c r="AL549" s="112"/>
      <c r="AM549" s="112">
        <v>0</v>
      </c>
      <c r="AN549" s="112"/>
      <c r="AO549" s="112">
        <v>59.04</v>
      </c>
      <c r="AP549" s="112" t="s">
        <v>1906</v>
      </c>
      <c r="AQ549" s="112">
        <v>59.04</v>
      </c>
      <c r="AR549" s="112" t="s">
        <v>1906</v>
      </c>
      <c r="AS549" s="112">
        <v>59.04</v>
      </c>
      <c r="AT549" s="112" t="s">
        <v>1906</v>
      </c>
      <c r="AU549" s="112">
        <f t="shared" si="22"/>
        <v>472.32000000000005</v>
      </c>
      <c r="AV549" s="111">
        <v>0.20976</v>
      </c>
      <c r="AW549" s="111" t="s">
        <v>1904</v>
      </c>
      <c r="AX549" s="25"/>
      <c r="AY549" s="25"/>
      <c r="AZ549" s="25"/>
    </row>
    <row r="550" spans="1:52" ht="31.2" x14ac:dyDescent="0.3">
      <c r="A550" s="103">
        <v>540</v>
      </c>
      <c r="B550" s="109" t="s">
        <v>1263</v>
      </c>
      <c r="C550" s="109" t="s">
        <v>1965</v>
      </c>
      <c r="D550" s="110" t="s">
        <v>1900</v>
      </c>
      <c r="E550" s="110" t="s">
        <v>1917</v>
      </c>
      <c r="F550" s="30" t="s">
        <v>2703</v>
      </c>
      <c r="G550" s="26" t="s">
        <v>145</v>
      </c>
      <c r="H550" s="24" t="s">
        <v>146</v>
      </c>
      <c r="I550" s="109">
        <v>0</v>
      </c>
      <c r="J550" s="109" t="s">
        <v>1918</v>
      </c>
      <c r="K550" s="109">
        <v>89</v>
      </c>
      <c r="L550" s="109" t="s">
        <v>1919</v>
      </c>
      <c r="M550" s="109" t="s">
        <v>1904</v>
      </c>
      <c r="N550" s="109" t="s">
        <v>529</v>
      </c>
      <c r="O550" s="109" t="s">
        <v>1920</v>
      </c>
      <c r="P550" s="109" t="s">
        <v>1920</v>
      </c>
      <c r="Q550" s="102">
        <v>0</v>
      </c>
      <c r="R550" s="109" t="s">
        <v>1907</v>
      </c>
      <c r="S550" s="109" t="s">
        <v>1922</v>
      </c>
      <c r="T550" s="25"/>
      <c r="U550" s="111" t="s">
        <v>1923</v>
      </c>
      <c r="V550" s="111" t="s">
        <v>1923</v>
      </c>
      <c r="W550" s="112">
        <v>67.41</v>
      </c>
      <c r="X550" s="112" t="s">
        <v>1906</v>
      </c>
      <c r="Y550" s="112">
        <v>62.21</v>
      </c>
      <c r="Z550" s="112" t="s">
        <v>1906</v>
      </c>
      <c r="AA550" s="112">
        <v>65.91</v>
      </c>
      <c r="AB550" s="112" t="s">
        <v>1906</v>
      </c>
      <c r="AC550" s="112">
        <v>65.91</v>
      </c>
      <c r="AD550" s="112" t="s">
        <v>1906</v>
      </c>
      <c r="AE550" s="112">
        <v>62.21</v>
      </c>
      <c r="AF550" s="112" t="s">
        <v>1906</v>
      </c>
      <c r="AG550" s="112">
        <v>0</v>
      </c>
      <c r="AH550" s="112"/>
      <c r="AI550" s="112">
        <v>0</v>
      </c>
      <c r="AJ550" s="112"/>
      <c r="AK550" s="112">
        <v>0</v>
      </c>
      <c r="AL550" s="112"/>
      <c r="AM550" s="112">
        <v>0</v>
      </c>
      <c r="AN550" s="112"/>
      <c r="AO550" s="112">
        <v>65.91</v>
      </c>
      <c r="AP550" s="112" t="s">
        <v>1906</v>
      </c>
      <c r="AQ550" s="112">
        <v>65.91</v>
      </c>
      <c r="AR550" s="112" t="s">
        <v>1906</v>
      </c>
      <c r="AS550" s="112">
        <v>65.91</v>
      </c>
      <c r="AT550" s="112" t="s">
        <v>1906</v>
      </c>
      <c r="AU550" s="112">
        <f t="shared" si="22"/>
        <v>521.37999999999988</v>
      </c>
      <c r="AV550" s="111">
        <v>0.20072999999999999</v>
      </c>
      <c r="AW550" s="111" t="s">
        <v>1904</v>
      </c>
      <c r="AX550" s="25"/>
      <c r="AY550" s="25"/>
      <c r="AZ550" s="25"/>
    </row>
    <row r="551" spans="1:52" ht="31.2" x14ac:dyDescent="0.3">
      <c r="A551" s="103">
        <v>541</v>
      </c>
      <c r="B551" s="109" t="s">
        <v>1265</v>
      </c>
      <c r="C551" s="30" t="s">
        <v>1899</v>
      </c>
      <c r="D551" s="110" t="s">
        <v>1900</v>
      </c>
      <c r="E551" s="110" t="s">
        <v>1917</v>
      </c>
      <c r="F551" s="30" t="s">
        <v>2703</v>
      </c>
      <c r="G551" s="26" t="s">
        <v>145</v>
      </c>
      <c r="H551" s="24" t="s">
        <v>146</v>
      </c>
      <c r="I551" s="109">
        <v>0</v>
      </c>
      <c r="J551" s="109" t="s">
        <v>1918</v>
      </c>
      <c r="K551" s="109">
        <v>50</v>
      </c>
      <c r="L551" s="109" t="s">
        <v>1919</v>
      </c>
      <c r="M551" s="109" t="s">
        <v>1904</v>
      </c>
      <c r="N551" s="109" t="s">
        <v>529</v>
      </c>
      <c r="O551" s="109" t="s">
        <v>1920</v>
      </c>
      <c r="P551" s="109" t="s">
        <v>1920</v>
      </c>
      <c r="Q551" s="102">
        <v>0</v>
      </c>
      <c r="R551" s="109" t="s">
        <v>1907</v>
      </c>
      <c r="S551" s="109" t="s">
        <v>1922</v>
      </c>
      <c r="T551" s="25"/>
      <c r="U551" s="111" t="s">
        <v>1923</v>
      </c>
      <c r="V551" s="111" t="s">
        <v>1923</v>
      </c>
      <c r="W551" s="112" t="s">
        <v>2039</v>
      </c>
      <c r="X551" s="112" t="s">
        <v>1906</v>
      </c>
      <c r="Y551" s="112" t="s">
        <v>2039</v>
      </c>
      <c r="Z551" s="112" t="s">
        <v>1906</v>
      </c>
      <c r="AA551" s="112" t="s">
        <v>2039</v>
      </c>
      <c r="AB551" s="112" t="s">
        <v>1906</v>
      </c>
      <c r="AC551" s="112">
        <v>14.92</v>
      </c>
      <c r="AD551" s="112" t="s">
        <v>1906</v>
      </c>
      <c r="AE551" s="112">
        <v>4.33</v>
      </c>
      <c r="AF551" s="112" t="s">
        <v>1906</v>
      </c>
      <c r="AG551" s="112">
        <v>0</v>
      </c>
      <c r="AH551" s="112"/>
      <c r="AI551" s="112">
        <v>0</v>
      </c>
      <c r="AJ551" s="112"/>
      <c r="AK551" s="112">
        <v>0</v>
      </c>
      <c r="AL551" s="112"/>
      <c r="AM551" s="112">
        <v>3.19</v>
      </c>
      <c r="AN551" s="112" t="s">
        <v>1906</v>
      </c>
      <c r="AO551" s="112">
        <v>13.65</v>
      </c>
      <c r="AP551" s="112" t="s">
        <v>1906</v>
      </c>
      <c r="AQ551" s="112">
        <v>13.65</v>
      </c>
      <c r="AR551" s="112" t="s">
        <v>1906</v>
      </c>
      <c r="AS551" s="112">
        <v>13.65</v>
      </c>
      <c r="AT551" s="112" t="s">
        <v>1906</v>
      </c>
      <c r="AU551" s="112">
        <f t="shared" si="22"/>
        <v>108.15000000000002</v>
      </c>
      <c r="AV551" s="111">
        <v>9.3340000000000006E-2</v>
      </c>
      <c r="AW551" s="111" t="s">
        <v>1904</v>
      </c>
      <c r="AX551" s="25"/>
      <c r="AY551" s="25"/>
      <c r="AZ551" s="25"/>
    </row>
    <row r="552" spans="1:52" ht="31.2" x14ac:dyDescent="0.3">
      <c r="A552" s="103">
        <v>542</v>
      </c>
      <c r="B552" s="109" t="s">
        <v>1266</v>
      </c>
      <c r="C552" s="30" t="s">
        <v>1899</v>
      </c>
      <c r="D552" s="110" t="s">
        <v>1900</v>
      </c>
      <c r="E552" s="110" t="s">
        <v>1917</v>
      </c>
      <c r="F552" s="30" t="s">
        <v>2703</v>
      </c>
      <c r="G552" s="26" t="s">
        <v>145</v>
      </c>
      <c r="H552" s="24" t="s">
        <v>146</v>
      </c>
      <c r="I552" s="109">
        <v>0</v>
      </c>
      <c r="J552" s="109" t="s">
        <v>1918</v>
      </c>
      <c r="K552" s="109">
        <v>50</v>
      </c>
      <c r="L552" s="109" t="s">
        <v>1919</v>
      </c>
      <c r="M552" s="109" t="s">
        <v>1904</v>
      </c>
      <c r="N552" s="109" t="s">
        <v>529</v>
      </c>
      <c r="O552" s="109" t="s">
        <v>1920</v>
      </c>
      <c r="P552" s="109" t="s">
        <v>1920</v>
      </c>
      <c r="Q552" s="102">
        <v>0</v>
      </c>
      <c r="R552" s="109" t="s">
        <v>1907</v>
      </c>
      <c r="S552" s="109" t="s">
        <v>1922</v>
      </c>
      <c r="T552" s="25"/>
      <c r="U552" s="111" t="s">
        <v>1923</v>
      </c>
      <c r="V552" s="111" t="s">
        <v>1923</v>
      </c>
      <c r="W552" s="112" t="s">
        <v>2039</v>
      </c>
      <c r="X552" s="112" t="s">
        <v>1906</v>
      </c>
      <c r="Y552" s="112" t="s">
        <v>2039</v>
      </c>
      <c r="Z552" s="112" t="s">
        <v>1906</v>
      </c>
      <c r="AA552" s="112" t="s">
        <v>2039</v>
      </c>
      <c r="AB552" s="112" t="s">
        <v>1906</v>
      </c>
      <c r="AC552" s="112">
        <v>14.92</v>
      </c>
      <c r="AD552" s="112" t="s">
        <v>1906</v>
      </c>
      <c r="AE552" s="112">
        <v>4.33</v>
      </c>
      <c r="AF552" s="112" t="s">
        <v>1906</v>
      </c>
      <c r="AG552" s="112">
        <v>0</v>
      </c>
      <c r="AH552" s="112"/>
      <c r="AI552" s="112">
        <v>0</v>
      </c>
      <c r="AJ552" s="112"/>
      <c r="AK552" s="112">
        <v>0</v>
      </c>
      <c r="AL552" s="112"/>
      <c r="AM552" s="112">
        <v>3.19</v>
      </c>
      <c r="AN552" s="112" t="s">
        <v>1906</v>
      </c>
      <c r="AO552" s="112">
        <v>13.65</v>
      </c>
      <c r="AP552" s="112" t="s">
        <v>1906</v>
      </c>
      <c r="AQ552" s="112">
        <v>13.65</v>
      </c>
      <c r="AR552" s="112" t="s">
        <v>1906</v>
      </c>
      <c r="AS552" s="112">
        <v>13.65</v>
      </c>
      <c r="AT552" s="112" t="s">
        <v>1906</v>
      </c>
      <c r="AU552" s="112">
        <f t="shared" si="22"/>
        <v>108.15000000000002</v>
      </c>
      <c r="AV552" s="111">
        <v>9.3340000000000006E-2</v>
      </c>
      <c r="AW552" s="111" t="s">
        <v>1904</v>
      </c>
      <c r="AX552" s="25"/>
      <c r="AY552" s="25"/>
      <c r="AZ552" s="25"/>
    </row>
    <row r="553" spans="1:52" ht="31.2" x14ac:dyDescent="0.3">
      <c r="A553" s="103">
        <v>543</v>
      </c>
      <c r="B553" s="109" t="s">
        <v>1268</v>
      </c>
      <c r="C553" s="30" t="s">
        <v>1899</v>
      </c>
      <c r="D553" s="110" t="s">
        <v>1900</v>
      </c>
      <c r="E553" s="110" t="s">
        <v>1917</v>
      </c>
      <c r="F553" s="30" t="s">
        <v>2703</v>
      </c>
      <c r="G553" s="26" t="s">
        <v>145</v>
      </c>
      <c r="H553" s="24" t="s">
        <v>146</v>
      </c>
      <c r="I553" s="109">
        <v>1</v>
      </c>
      <c r="J553" s="109" t="s">
        <v>1918</v>
      </c>
      <c r="K553" s="109">
        <v>89</v>
      </c>
      <c r="L553" s="109" t="s">
        <v>1919</v>
      </c>
      <c r="M553" s="109" t="s">
        <v>1904</v>
      </c>
      <c r="N553" s="109" t="s">
        <v>529</v>
      </c>
      <c r="O553" s="109" t="s">
        <v>1920</v>
      </c>
      <c r="P553" s="109" t="s">
        <v>1921</v>
      </c>
      <c r="Q553" s="102">
        <v>0</v>
      </c>
      <c r="R553" s="109" t="s">
        <v>1907</v>
      </c>
      <c r="S553" s="109" t="s">
        <v>1922</v>
      </c>
      <c r="T553" s="25"/>
      <c r="U553" s="111" t="s">
        <v>1923</v>
      </c>
      <c r="V553" s="111" t="s">
        <v>1923</v>
      </c>
      <c r="W553" s="112" t="s">
        <v>2040</v>
      </c>
      <c r="X553" s="112" t="s">
        <v>1906</v>
      </c>
      <c r="Y553" s="112" t="s">
        <v>2041</v>
      </c>
      <c r="Z553" s="112" t="s">
        <v>1906</v>
      </c>
      <c r="AA553" s="112" t="s">
        <v>2041</v>
      </c>
      <c r="AB553" s="112" t="s">
        <v>1906</v>
      </c>
      <c r="AC553" s="112">
        <v>136.41</v>
      </c>
      <c r="AD553" s="112" t="s">
        <v>1906</v>
      </c>
      <c r="AE553" s="112">
        <v>39.6</v>
      </c>
      <c r="AF553" s="112" t="s">
        <v>1906</v>
      </c>
      <c r="AG553" s="112">
        <v>0</v>
      </c>
      <c r="AH553" s="112"/>
      <c r="AI553" s="112">
        <v>0</v>
      </c>
      <c r="AJ553" s="112"/>
      <c r="AK553" s="112">
        <v>0</v>
      </c>
      <c r="AL553" s="112"/>
      <c r="AM553" s="112">
        <v>0</v>
      </c>
      <c r="AN553" s="112"/>
      <c r="AO553" s="112">
        <v>77.91</v>
      </c>
      <c r="AP553" s="112" t="s">
        <v>208</v>
      </c>
      <c r="AQ553" s="112">
        <v>52.92</v>
      </c>
      <c r="AR553" s="112" t="s">
        <v>208</v>
      </c>
      <c r="AS553" s="112">
        <v>75.03</v>
      </c>
      <c r="AT553" s="112" t="s">
        <v>208</v>
      </c>
      <c r="AU553" s="112">
        <f t="shared" si="22"/>
        <v>791.24999999999989</v>
      </c>
      <c r="AV553" s="111">
        <v>0.23735000000000001</v>
      </c>
      <c r="AW553" s="111" t="s">
        <v>1904</v>
      </c>
      <c r="AX553" s="25"/>
      <c r="AY553" s="25"/>
      <c r="AZ553" s="25"/>
    </row>
    <row r="554" spans="1:52" ht="31.2" x14ac:dyDescent="0.3">
      <c r="A554" s="103">
        <v>544</v>
      </c>
      <c r="B554" s="109" t="s">
        <v>1269</v>
      </c>
      <c r="C554" s="30" t="s">
        <v>1899</v>
      </c>
      <c r="D554" s="110" t="s">
        <v>1900</v>
      </c>
      <c r="E554" s="110" t="s">
        <v>1917</v>
      </c>
      <c r="F554" s="30" t="s">
        <v>2703</v>
      </c>
      <c r="G554" s="26" t="s">
        <v>145</v>
      </c>
      <c r="H554" s="24" t="s">
        <v>146</v>
      </c>
      <c r="I554" s="109">
        <v>1</v>
      </c>
      <c r="J554" s="109" t="s">
        <v>1918</v>
      </c>
      <c r="K554" s="109">
        <v>50</v>
      </c>
      <c r="L554" s="109" t="s">
        <v>1919</v>
      </c>
      <c r="M554" s="109" t="s">
        <v>1904</v>
      </c>
      <c r="N554" s="109" t="s">
        <v>529</v>
      </c>
      <c r="O554" s="109" t="s">
        <v>1920</v>
      </c>
      <c r="P554" s="109" t="s">
        <v>1921</v>
      </c>
      <c r="Q554" s="102">
        <v>0</v>
      </c>
      <c r="R554" s="109" t="s">
        <v>1907</v>
      </c>
      <c r="S554" s="109" t="s">
        <v>1922</v>
      </c>
      <c r="T554" s="25"/>
      <c r="U554" s="111" t="s">
        <v>1923</v>
      </c>
      <c r="V554" s="111" t="s">
        <v>1923</v>
      </c>
      <c r="W554" s="112" t="s">
        <v>2040</v>
      </c>
      <c r="X554" s="112" t="s">
        <v>1906</v>
      </c>
      <c r="Y554" s="112" t="s">
        <v>2041</v>
      </c>
      <c r="Z554" s="112" t="s">
        <v>1906</v>
      </c>
      <c r="AA554" s="112" t="s">
        <v>2041</v>
      </c>
      <c r="AB554" s="112" t="s">
        <v>1906</v>
      </c>
      <c r="AC554" s="112">
        <v>136.41</v>
      </c>
      <c r="AD554" s="112" t="s">
        <v>1906</v>
      </c>
      <c r="AE554" s="112">
        <v>39.6</v>
      </c>
      <c r="AF554" s="112" t="s">
        <v>1906</v>
      </c>
      <c r="AG554" s="112">
        <v>0</v>
      </c>
      <c r="AH554" s="112"/>
      <c r="AI554" s="112">
        <v>0</v>
      </c>
      <c r="AJ554" s="112"/>
      <c r="AK554" s="112">
        <v>0</v>
      </c>
      <c r="AL554" s="112"/>
      <c r="AM554" s="112">
        <v>0</v>
      </c>
      <c r="AN554" s="112"/>
      <c r="AO554" s="112">
        <v>77.91</v>
      </c>
      <c r="AP554" s="112" t="s">
        <v>208</v>
      </c>
      <c r="AQ554" s="112">
        <v>52.92</v>
      </c>
      <c r="AR554" s="112" t="s">
        <v>208</v>
      </c>
      <c r="AS554" s="112">
        <v>75.03</v>
      </c>
      <c r="AT554" s="112" t="s">
        <v>208</v>
      </c>
      <c r="AU554" s="112">
        <f t="shared" si="22"/>
        <v>791.24999999999989</v>
      </c>
      <c r="AV554" s="111">
        <v>0.23735000000000001</v>
      </c>
      <c r="AW554" s="111" t="s">
        <v>1904</v>
      </c>
      <c r="AX554" s="25"/>
      <c r="AY554" s="25"/>
      <c r="AZ554" s="25"/>
    </row>
    <row r="555" spans="1:52" ht="31.2" x14ac:dyDescent="0.3">
      <c r="A555" s="103">
        <v>545</v>
      </c>
      <c r="B555" s="109" t="s">
        <v>1270</v>
      </c>
      <c r="C555" s="30" t="s">
        <v>1899</v>
      </c>
      <c r="D555" s="110" t="s">
        <v>1900</v>
      </c>
      <c r="E555" s="110" t="s">
        <v>1917</v>
      </c>
      <c r="F555" s="30" t="s">
        <v>2703</v>
      </c>
      <c r="G555" s="26" t="s">
        <v>145</v>
      </c>
      <c r="H555" s="24" t="s">
        <v>146</v>
      </c>
      <c r="I555" s="109">
        <v>1</v>
      </c>
      <c r="J555" s="109" t="s">
        <v>1918</v>
      </c>
      <c r="K555" s="109">
        <v>50</v>
      </c>
      <c r="L555" s="109" t="s">
        <v>1919</v>
      </c>
      <c r="M555" s="109" t="s">
        <v>1904</v>
      </c>
      <c r="N555" s="109" t="s">
        <v>529</v>
      </c>
      <c r="O555" s="109" t="s">
        <v>1920</v>
      </c>
      <c r="P555" s="109" t="s">
        <v>1921</v>
      </c>
      <c r="Q555" s="102">
        <v>0</v>
      </c>
      <c r="R555" s="109" t="s">
        <v>1907</v>
      </c>
      <c r="S555" s="109" t="s">
        <v>1922</v>
      </c>
      <c r="T555" s="25"/>
      <c r="U555" s="111" t="s">
        <v>1923</v>
      </c>
      <c r="V555" s="111" t="s">
        <v>1923</v>
      </c>
      <c r="W555" s="112" t="s">
        <v>2040</v>
      </c>
      <c r="X555" s="112" t="s">
        <v>1906</v>
      </c>
      <c r="Y555" s="112" t="s">
        <v>2041</v>
      </c>
      <c r="Z555" s="112" t="s">
        <v>1906</v>
      </c>
      <c r="AA555" s="112" t="s">
        <v>2041</v>
      </c>
      <c r="AB555" s="112" t="s">
        <v>1906</v>
      </c>
      <c r="AC555" s="112">
        <v>136.41</v>
      </c>
      <c r="AD555" s="112" t="s">
        <v>1906</v>
      </c>
      <c r="AE555" s="112">
        <v>39.6</v>
      </c>
      <c r="AF555" s="112" t="s">
        <v>1906</v>
      </c>
      <c r="AG555" s="112">
        <v>0</v>
      </c>
      <c r="AH555" s="112"/>
      <c r="AI555" s="112">
        <v>0</v>
      </c>
      <c r="AJ555" s="112"/>
      <c r="AK555" s="112">
        <v>0</v>
      </c>
      <c r="AL555" s="112"/>
      <c r="AM555" s="112">
        <v>0</v>
      </c>
      <c r="AN555" s="112"/>
      <c r="AO555" s="112">
        <v>77.91</v>
      </c>
      <c r="AP555" s="112" t="s">
        <v>208</v>
      </c>
      <c r="AQ555" s="112">
        <v>52.92</v>
      </c>
      <c r="AR555" s="112" t="s">
        <v>208</v>
      </c>
      <c r="AS555" s="112">
        <v>75.03</v>
      </c>
      <c r="AT555" s="112" t="s">
        <v>208</v>
      </c>
      <c r="AU555" s="112">
        <f t="shared" si="22"/>
        <v>791.24999999999989</v>
      </c>
      <c r="AV555" s="111">
        <v>0.23735000000000001</v>
      </c>
      <c r="AW555" s="111" t="s">
        <v>1904</v>
      </c>
      <c r="AX555" s="25"/>
      <c r="AY555" s="25"/>
      <c r="AZ555" s="25"/>
    </row>
    <row r="556" spans="1:52" ht="31.2" x14ac:dyDescent="0.3">
      <c r="A556" s="103">
        <v>546</v>
      </c>
      <c r="B556" s="109" t="s">
        <v>1272</v>
      </c>
      <c r="C556" s="30" t="s">
        <v>1899</v>
      </c>
      <c r="D556" s="110" t="s">
        <v>1900</v>
      </c>
      <c r="E556" s="110" t="s">
        <v>1917</v>
      </c>
      <c r="F556" s="30" t="s">
        <v>2703</v>
      </c>
      <c r="G556" s="26" t="s">
        <v>145</v>
      </c>
      <c r="H556" s="24" t="s">
        <v>146</v>
      </c>
      <c r="I556" s="109">
        <v>1</v>
      </c>
      <c r="J556" s="109" t="s">
        <v>1918</v>
      </c>
      <c r="K556" s="109">
        <v>100</v>
      </c>
      <c r="L556" s="109" t="s">
        <v>1919</v>
      </c>
      <c r="M556" s="109" t="s">
        <v>1904</v>
      </c>
      <c r="N556" s="109" t="s">
        <v>529</v>
      </c>
      <c r="O556" s="109" t="s">
        <v>1920</v>
      </c>
      <c r="P556" s="109" t="s">
        <v>1921</v>
      </c>
      <c r="Q556" s="102">
        <v>0</v>
      </c>
      <c r="R556" s="109" t="s">
        <v>1907</v>
      </c>
      <c r="S556" s="109" t="s">
        <v>1922</v>
      </c>
      <c r="T556" s="25"/>
      <c r="U556" s="111" t="s">
        <v>1923</v>
      </c>
      <c r="V556" s="111" t="s">
        <v>1923</v>
      </c>
      <c r="W556" s="112" t="s">
        <v>2042</v>
      </c>
      <c r="X556" s="112" t="s">
        <v>1906</v>
      </c>
      <c r="Y556" s="112" t="s">
        <v>2042</v>
      </c>
      <c r="Z556" s="112" t="s">
        <v>1906</v>
      </c>
      <c r="AA556" s="112" t="s">
        <v>2042</v>
      </c>
      <c r="AB556" s="112" t="s">
        <v>1906</v>
      </c>
      <c r="AC556" s="112">
        <v>132.51</v>
      </c>
      <c r="AD556" s="112" t="s">
        <v>1906</v>
      </c>
      <c r="AE556" s="112">
        <v>38.47</v>
      </c>
      <c r="AF556" s="112" t="s">
        <v>1906</v>
      </c>
      <c r="AG556" s="112">
        <v>0</v>
      </c>
      <c r="AH556" s="112"/>
      <c r="AI556" s="112">
        <v>0</v>
      </c>
      <c r="AJ556" s="112"/>
      <c r="AK556" s="112">
        <v>0</v>
      </c>
      <c r="AL556" s="112"/>
      <c r="AM556" s="112">
        <v>0</v>
      </c>
      <c r="AN556" s="112"/>
      <c r="AO556" s="112">
        <v>66.5</v>
      </c>
      <c r="AP556" s="112" t="s">
        <v>208</v>
      </c>
      <c r="AQ556" s="112">
        <v>84.42</v>
      </c>
      <c r="AR556" s="112" t="s">
        <v>208</v>
      </c>
      <c r="AS556" s="112">
        <v>120.66</v>
      </c>
      <c r="AT556" s="112" t="s">
        <v>208</v>
      </c>
      <c r="AU556" s="112">
        <f t="shared" si="22"/>
        <v>840.08999999999992</v>
      </c>
      <c r="AV556" s="111">
        <v>0.48135</v>
      </c>
      <c r="AW556" s="111" t="s">
        <v>1904</v>
      </c>
      <c r="AX556" s="25"/>
      <c r="AY556" s="25"/>
      <c r="AZ556" s="25"/>
    </row>
    <row r="557" spans="1:52" ht="31.2" x14ac:dyDescent="0.3">
      <c r="A557" s="103">
        <v>547</v>
      </c>
      <c r="B557" s="109" t="s">
        <v>1274</v>
      </c>
      <c r="C557" s="109" t="s">
        <v>1965</v>
      </c>
      <c r="D557" s="110" t="s">
        <v>1900</v>
      </c>
      <c r="E557" s="110" t="s">
        <v>1917</v>
      </c>
      <c r="F557" s="30" t="s">
        <v>2703</v>
      </c>
      <c r="G557" s="26" t="s">
        <v>145</v>
      </c>
      <c r="H557" s="24" t="s">
        <v>146</v>
      </c>
      <c r="I557" s="109">
        <v>1</v>
      </c>
      <c r="J557" s="109" t="s">
        <v>1918</v>
      </c>
      <c r="K557" s="109">
        <v>100</v>
      </c>
      <c r="L557" s="109" t="s">
        <v>1919</v>
      </c>
      <c r="M557" s="109" t="s">
        <v>1904</v>
      </c>
      <c r="N557" s="109" t="s">
        <v>529</v>
      </c>
      <c r="O557" s="109" t="s">
        <v>1920</v>
      </c>
      <c r="P557" s="109" t="s">
        <v>1921</v>
      </c>
      <c r="Q557" s="102">
        <v>0</v>
      </c>
      <c r="R557" s="109" t="s">
        <v>1907</v>
      </c>
      <c r="S557" s="109" t="s">
        <v>1922</v>
      </c>
      <c r="T557" s="25"/>
      <c r="U557" s="111" t="s">
        <v>1923</v>
      </c>
      <c r="V557" s="111" t="s">
        <v>1923</v>
      </c>
      <c r="W557" s="112">
        <v>179.28</v>
      </c>
      <c r="X557" s="112" t="s">
        <v>1906</v>
      </c>
      <c r="Y557" s="112">
        <v>178.29</v>
      </c>
      <c r="Z557" s="112" t="s">
        <v>1906</v>
      </c>
      <c r="AA557" s="112">
        <v>178.99</v>
      </c>
      <c r="AB557" s="112" t="s">
        <v>1906</v>
      </c>
      <c r="AC557" s="112">
        <v>178.29</v>
      </c>
      <c r="AD557" s="112" t="s">
        <v>1906</v>
      </c>
      <c r="AE557" s="112">
        <v>178.29</v>
      </c>
      <c r="AF557" s="112" t="s">
        <v>1906</v>
      </c>
      <c r="AG557" s="112">
        <v>0</v>
      </c>
      <c r="AH557" s="112"/>
      <c r="AI557" s="112">
        <v>0</v>
      </c>
      <c r="AJ557" s="112"/>
      <c r="AK557" s="112">
        <v>0</v>
      </c>
      <c r="AL557" s="112"/>
      <c r="AM557" s="112">
        <v>0</v>
      </c>
      <c r="AN557" s="112"/>
      <c r="AO557" s="112">
        <v>178.29</v>
      </c>
      <c r="AP557" s="112" t="s">
        <v>1906</v>
      </c>
      <c r="AQ557" s="112">
        <v>178.29</v>
      </c>
      <c r="AR557" s="112" t="s">
        <v>1906</v>
      </c>
      <c r="AS557" s="112">
        <v>178.29</v>
      </c>
      <c r="AT557" s="112" t="s">
        <v>1906</v>
      </c>
      <c r="AU557" s="112">
        <f t="shared" si="22"/>
        <v>1428.0099999999998</v>
      </c>
      <c r="AV557" s="111">
        <v>0.56505000000000005</v>
      </c>
      <c r="AW557" s="111" t="s">
        <v>1904</v>
      </c>
      <c r="AX557" s="25"/>
      <c r="AY557" s="25"/>
      <c r="AZ557" s="25"/>
    </row>
    <row r="558" spans="1:52" ht="31.2" x14ac:dyDescent="0.3">
      <c r="A558" s="103">
        <v>548</v>
      </c>
      <c r="B558" s="109" t="s">
        <v>1275</v>
      </c>
      <c r="C558" s="109" t="s">
        <v>1965</v>
      </c>
      <c r="D558" s="110" t="s">
        <v>1900</v>
      </c>
      <c r="E558" s="110" t="s">
        <v>1917</v>
      </c>
      <c r="F558" s="30" t="s">
        <v>2703</v>
      </c>
      <c r="G558" s="26" t="s">
        <v>145</v>
      </c>
      <c r="H558" s="24" t="s">
        <v>146</v>
      </c>
      <c r="I558" s="109">
        <v>0</v>
      </c>
      <c r="J558" s="109" t="s">
        <v>1918</v>
      </c>
      <c r="K558" s="109">
        <v>100</v>
      </c>
      <c r="L558" s="109" t="s">
        <v>1919</v>
      </c>
      <c r="M558" s="109" t="s">
        <v>1904</v>
      </c>
      <c r="N558" s="109" t="s">
        <v>529</v>
      </c>
      <c r="O558" s="109" t="s">
        <v>1920</v>
      </c>
      <c r="P558" s="109" t="s">
        <v>1920</v>
      </c>
      <c r="Q558" s="102">
        <v>0</v>
      </c>
      <c r="R558" s="109" t="s">
        <v>1907</v>
      </c>
      <c r="S558" s="109" t="s">
        <v>1922</v>
      </c>
      <c r="T558" s="25"/>
      <c r="U558" s="111" t="s">
        <v>1923</v>
      </c>
      <c r="V558" s="111" t="s">
        <v>1923</v>
      </c>
      <c r="W558" s="112">
        <v>59.72</v>
      </c>
      <c r="X558" s="112" t="s">
        <v>1906</v>
      </c>
      <c r="Y558" s="112">
        <v>59.72</v>
      </c>
      <c r="Z558" s="112" t="s">
        <v>1906</v>
      </c>
      <c r="AA558" s="112">
        <v>59.72</v>
      </c>
      <c r="AB558" s="112" t="s">
        <v>1906</v>
      </c>
      <c r="AC558" s="112">
        <v>59.72</v>
      </c>
      <c r="AD558" s="112" t="s">
        <v>1906</v>
      </c>
      <c r="AE558" s="112">
        <v>59.72</v>
      </c>
      <c r="AF558" s="112" t="s">
        <v>1906</v>
      </c>
      <c r="AG558" s="112">
        <v>0</v>
      </c>
      <c r="AH558" s="112"/>
      <c r="AI558" s="112">
        <v>0</v>
      </c>
      <c r="AJ558" s="112"/>
      <c r="AK558" s="112">
        <v>0</v>
      </c>
      <c r="AL558" s="112"/>
      <c r="AM558" s="112">
        <v>0</v>
      </c>
      <c r="AN558" s="112"/>
      <c r="AO558" s="112">
        <v>59.72</v>
      </c>
      <c r="AP558" s="112" t="s">
        <v>1906</v>
      </c>
      <c r="AQ558" s="112">
        <v>59.72</v>
      </c>
      <c r="AR558" s="112" t="s">
        <v>1906</v>
      </c>
      <c r="AS558" s="112">
        <v>59.72</v>
      </c>
      <c r="AT558" s="112" t="s">
        <v>1906</v>
      </c>
      <c r="AU558" s="112">
        <f t="shared" si="22"/>
        <v>477.7600000000001</v>
      </c>
      <c r="AV558" s="111">
        <v>0.18065000000000001</v>
      </c>
      <c r="AW558" s="111" t="s">
        <v>1904</v>
      </c>
      <c r="AX558" s="25"/>
      <c r="AY558" s="25"/>
      <c r="AZ558" s="25"/>
    </row>
    <row r="559" spans="1:52" ht="31.2" x14ac:dyDescent="0.3">
      <c r="A559" s="103">
        <v>549</v>
      </c>
      <c r="B559" s="109" t="s">
        <v>1277</v>
      </c>
      <c r="C559" s="109" t="s">
        <v>1965</v>
      </c>
      <c r="D559" s="110" t="s">
        <v>1900</v>
      </c>
      <c r="E559" s="110" t="s">
        <v>1917</v>
      </c>
      <c r="F559" s="30" t="s">
        <v>2703</v>
      </c>
      <c r="G559" s="26" t="s">
        <v>145</v>
      </c>
      <c r="H559" s="24" t="s">
        <v>146</v>
      </c>
      <c r="I559" s="109">
        <v>0</v>
      </c>
      <c r="J559" s="109" t="s">
        <v>1918</v>
      </c>
      <c r="K559" s="109">
        <v>50</v>
      </c>
      <c r="L559" s="109" t="s">
        <v>1919</v>
      </c>
      <c r="M559" s="109" t="s">
        <v>1904</v>
      </c>
      <c r="N559" s="109" t="s">
        <v>529</v>
      </c>
      <c r="O559" s="109" t="s">
        <v>1920</v>
      </c>
      <c r="P559" s="109" t="s">
        <v>1920</v>
      </c>
      <c r="Q559" s="102">
        <v>0</v>
      </c>
      <c r="R559" s="109" t="s">
        <v>1907</v>
      </c>
      <c r="S559" s="109" t="s">
        <v>1922</v>
      </c>
      <c r="T559" s="25"/>
      <c r="U559" s="111" t="s">
        <v>1923</v>
      </c>
      <c r="V559" s="111" t="s">
        <v>1923</v>
      </c>
      <c r="W559" s="112">
        <v>34.130000000000003</v>
      </c>
      <c r="X559" s="112" t="s">
        <v>1906</v>
      </c>
      <c r="Y559" s="112">
        <v>34.130000000000003</v>
      </c>
      <c r="Z559" s="112" t="s">
        <v>1906</v>
      </c>
      <c r="AA559" s="112">
        <v>34.130000000000003</v>
      </c>
      <c r="AB559" s="112" t="s">
        <v>1906</v>
      </c>
      <c r="AC559" s="112">
        <v>34.130000000000003</v>
      </c>
      <c r="AD559" s="112" t="s">
        <v>1906</v>
      </c>
      <c r="AE559" s="112">
        <v>34.130000000000003</v>
      </c>
      <c r="AF559" s="112" t="s">
        <v>1906</v>
      </c>
      <c r="AG559" s="112">
        <v>0</v>
      </c>
      <c r="AH559" s="112"/>
      <c r="AI559" s="112">
        <v>0</v>
      </c>
      <c r="AJ559" s="112"/>
      <c r="AK559" s="112">
        <v>0</v>
      </c>
      <c r="AL559" s="112"/>
      <c r="AM559" s="112">
        <v>0</v>
      </c>
      <c r="AN559" s="112"/>
      <c r="AO559" s="112">
        <v>34.130000000000003</v>
      </c>
      <c r="AP559" s="112" t="s">
        <v>1906</v>
      </c>
      <c r="AQ559" s="112">
        <v>34.130000000000003</v>
      </c>
      <c r="AR559" s="112" t="s">
        <v>1906</v>
      </c>
      <c r="AS559" s="112">
        <v>34.130000000000003</v>
      </c>
      <c r="AT559" s="112" t="s">
        <v>1906</v>
      </c>
      <c r="AU559" s="112">
        <f t="shared" si="22"/>
        <v>273.04000000000002</v>
      </c>
      <c r="AV559" s="111">
        <v>0.14513000000000001</v>
      </c>
      <c r="AW559" s="111" t="s">
        <v>1904</v>
      </c>
      <c r="AX559" s="25"/>
      <c r="AY559" s="25"/>
      <c r="AZ559" s="25"/>
    </row>
    <row r="560" spans="1:52" ht="31.2" x14ac:dyDescent="0.3">
      <c r="A560" s="103">
        <v>550</v>
      </c>
      <c r="B560" s="109" t="s">
        <v>1279</v>
      </c>
      <c r="C560" s="109" t="s">
        <v>1965</v>
      </c>
      <c r="D560" s="110" t="s">
        <v>1900</v>
      </c>
      <c r="E560" s="110" t="s">
        <v>1917</v>
      </c>
      <c r="F560" s="30" t="s">
        <v>2703</v>
      </c>
      <c r="G560" s="26" t="s">
        <v>145</v>
      </c>
      <c r="H560" s="24" t="s">
        <v>146</v>
      </c>
      <c r="I560" s="109">
        <v>1</v>
      </c>
      <c r="J560" s="109" t="s">
        <v>1918</v>
      </c>
      <c r="K560" s="109">
        <v>100</v>
      </c>
      <c r="L560" s="109" t="s">
        <v>1919</v>
      </c>
      <c r="M560" s="109" t="s">
        <v>1904</v>
      </c>
      <c r="N560" s="109" t="s">
        <v>529</v>
      </c>
      <c r="O560" s="109" t="s">
        <v>1920</v>
      </c>
      <c r="P560" s="109" t="s">
        <v>1921</v>
      </c>
      <c r="Q560" s="102">
        <v>0</v>
      </c>
      <c r="R560" s="109" t="s">
        <v>1907</v>
      </c>
      <c r="S560" s="109" t="s">
        <v>1922</v>
      </c>
      <c r="T560" s="25"/>
      <c r="U560" s="111" t="s">
        <v>1923</v>
      </c>
      <c r="V560" s="111" t="s">
        <v>1923</v>
      </c>
      <c r="W560" s="112">
        <v>122.04</v>
      </c>
      <c r="X560" s="112" t="s">
        <v>1906</v>
      </c>
      <c r="Y560" s="112">
        <v>121.07</v>
      </c>
      <c r="Z560" s="112" t="s">
        <v>1906</v>
      </c>
      <c r="AA560" s="112">
        <v>121.76</v>
      </c>
      <c r="AB560" s="112" t="s">
        <v>1906</v>
      </c>
      <c r="AC560" s="112">
        <v>121.76</v>
      </c>
      <c r="AD560" s="112" t="s">
        <v>1906</v>
      </c>
      <c r="AE560" s="112">
        <v>121.07</v>
      </c>
      <c r="AF560" s="112" t="s">
        <v>1906</v>
      </c>
      <c r="AG560" s="112">
        <v>0</v>
      </c>
      <c r="AH560" s="112"/>
      <c r="AI560" s="112">
        <v>0</v>
      </c>
      <c r="AJ560" s="112"/>
      <c r="AK560" s="112">
        <v>0</v>
      </c>
      <c r="AL560" s="112"/>
      <c r="AM560" s="112">
        <v>0</v>
      </c>
      <c r="AN560" s="112"/>
      <c r="AO560" s="112">
        <v>121.76</v>
      </c>
      <c r="AP560" s="112" t="s">
        <v>1906</v>
      </c>
      <c r="AQ560" s="112">
        <v>121.76</v>
      </c>
      <c r="AR560" s="112" t="s">
        <v>1906</v>
      </c>
      <c r="AS560" s="112">
        <v>121.76</v>
      </c>
      <c r="AT560" s="112" t="s">
        <v>1906</v>
      </c>
      <c r="AU560" s="112">
        <f t="shared" si="22"/>
        <v>972.98</v>
      </c>
      <c r="AV560" s="111">
        <v>0.45062999999999998</v>
      </c>
      <c r="AW560" s="111" t="s">
        <v>1904</v>
      </c>
      <c r="AX560" s="25"/>
      <c r="AY560" s="25"/>
      <c r="AZ560" s="25"/>
    </row>
    <row r="561" spans="1:52" ht="31.2" x14ac:dyDescent="0.3">
      <c r="A561" s="103">
        <v>551</v>
      </c>
      <c r="B561" s="109" t="s">
        <v>1280</v>
      </c>
      <c r="C561" s="30" t="s">
        <v>1899</v>
      </c>
      <c r="D561" s="110" t="s">
        <v>1900</v>
      </c>
      <c r="E561" s="110" t="s">
        <v>1917</v>
      </c>
      <c r="F561" s="30" t="s">
        <v>2703</v>
      </c>
      <c r="G561" s="26" t="s">
        <v>145</v>
      </c>
      <c r="H561" s="24" t="s">
        <v>146</v>
      </c>
      <c r="I561" s="109">
        <v>1</v>
      </c>
      <c r="J561" s="109" t="s">
        <v>1918</v>
      </c>
      <c r="K561" s="109">
        <v>100</v>
      </c>
      <c r="L561" s="109" t="s">
        <v>1919</v>
      </c>
      <c r="M561" s="109" t="s">
        <v>1904</v>
      </c>
      <c r="N561" s="109" t="s">
        <v>529</v>
      </c>
      <c r="O561" s="109" t="s">
        <v>1920</v>
      </c>
      <c r="P561" s="109" t="s">
        <v>1921</v>
      </c>
      <c r="Q561" s="102">
        <v>0</v>
      </c>
      <c r="R561" s="109" t="s">
        <v>1907</v>
      </c>
      <c r="S561" s="109" t="s">
        <v>1922</v>
      </c>
      <c r="T561" s="25"/>
      <c r="U561" s="111" t="s">
        <v>1923</v>
      </c>
      <c r="V561" s="111" t="s">
        <v>1923</v>
      </c>
      <c r="W561" s="112" t="s">
        <v>2043</v>
      </c>
      <c r="X561" s="112" t="s">
        <v>208</v>
      </c>
      <c r="Y561" s="112" t="s">
        <v>2044</v>
      </c>
      <c r="Z561" s="112" t="s">
        <v>208</v>
      </c>
      <c r="AA561" s="112" t="s">
        <v>2045</v>
      </c>
      <c r="AB561" s="112" t="s">
        <v>208</v>
      </c>
      <c r="AC561" s="112">
        <v>48.97</v>
      </c>
      <c r="AD561" s="112" t="s">
        <v>208</v>
      </c>
      <c r="AE561" s="112">
        <v>24.17</v>
      </c>
      <c r="AF561" s="112" t="s">
        <v>208</v>
      </c>
      <c r="AG561" s="112">
        <v>0</v>
      </c>
      <c r="AH561" s="112"/>
      <c r="AI561" s="112">
        <v>0</v>
      </c>
      <c r="AJ561" s="112"/>
      <c r="AK561" s="112">
        <v>0</v>
      </c>
      <c r="AL561" s="112"/>
      <c r="AM561" s="112">
        <v>0</v>
      </c>
      <c r="AN561" s="112"/>
      <c r="AO561" s="112">
        <v>41.39</v>
      </c>
      <c r="AP561" s="112" t="s">
        <v>208</v>
      </c>
      <c r="AQ561" s="112">
        <v>52.4</v>
      </c>
      <c r="AR561" s="112" t="s">
        <v>208</v>
      </c>
      <c r="AS561" s="112">
        <v>73.92</v>
      </c>
      <c r="AT561" s="112" t="s">
        <v>208</v>
      </c>
      <c r="AU561" s="112">
        <f t="shared" si="22"/>
        <v>523.93000000000006</v>
      </c>
      <c r="AV561" s="111">
        <v>0.23185</v>
      </c>
      <c r="AW561" s="111" t="s">
        <v>1904</v>
      </c>
      <c r="AX561" s="25"/>
      <c r="AY561" s="25"/>
      <c r="AZ561" s="25"/>
    </row>
    <row r="562" spans="1:52" ht="31.2" x14ac:dyDescent="0.3">
      <c r="A562" s="103">
        <v>552</v>
      </c>
      <c r="B562" s="109" t="s">
        <v>1282</v>
      </c>
      <c r="C562" s="30" t="s">
        <v>1899</v>
      </c>
      <c r="D562" s="110" t="s">
        <v>1900</v>
      </c>
      <c r="E562" s="110" t="s">
        <v>1917</v>
      </c>
      <c r="F562" s="30" t="s">
        <v>2703</v>
      </c>
      <c r="G562" s="26" t="s">
        <v>145</v>
      </c>
      <c r="H562" s="24" t="s">
        <v>146</v>
      </c>
      <c r="I562" s="109">
        <v>1</v>
      </c>
      <c r="J562" s="109" t="s">
        <v>1918</v>
      </c>
      <c r="K562" s="109">
        <v>76</v>
      </c>
      <c r="L562" s="109" t="s">
        <v>1919</v>
      </c>
      <c r="M562" s="109" t="s">
        <v>1904</v>
      </c>
      <c r="N562" s="109" t="s">
        <v>529</v>
      </c>
      <c r="O562" s="109" t="s">
        <v>1920</v>
      </c>
      <c r="P562" s="109" t="s">
        <v>1921</v>
      </c>
      <c r="Q562" s="102">
        <v>0</v>
      </c>
      <c r="R562" s="109" t="s">
        <v>1907</v>
      </c>
      <c r="S562" s="109" t="s">
        <v>1922</v>
      </c>
      <c r="T562" s="25"/>
      <c r="U562" s="111" t="s">
        <v>1923</v>
      </c>
      <c r="V562" s="111" t="s">
        <v>1923</v>
      </c>
      <c r="W562" s="112" t="s">
        <v>2046</v>
      </c>
      <c r="X562" s="112" t="s">
        <v>208</v>
      </c>
      <c r="Y562" s="112" t="s">
        <v>2047</v>
      </c>
      <c r="Z562" s="112" t="s">
        <v>208</v>
      </c>
      <c r="AA562" s="112" t="s">
        <v>2048</v>
      </c>
      <c r="AB562" s="112" t="s">
        <v>208</v>
      </c>
      <c r="AC562" s="112">
        <v>47.37</v>
      </c>
      <c r="AD562" s="112" t="s">
        <v>208</v>
      </c>
      <c r="AE562" s="112">
        <v>24.34</v>
      </c>
      <c r="AF562" s="112" t="s">
        <v>208</v>
      </c>
      <c r="AG562" s="112">
        <v>0</v>
      </c>
      <c r="AH562" s="112"/>
      <c r="AI562" s="112">
        <v>0</v>
      </c>
      <c r="AJ562" s="112"/>
      <c r="AK562" s="112">
        <v>0</v>
      </c>
      <c r="AL562" s="112"/>
      <c r="AM562" s="112">
        <v>0</v>
      </c>
      <c r="AN562" s="112"/>
      <c r="AO562" s="112">
        <v>46.82</v>
      </c>
      <c r="AP562" s="112" t="s">
        <v>208</v>
      </c>
      <c r="AQ562" s="112">
        <v>63.8</v>
      </c>
      <c r="AR562" s="112" t="s">
        <v>208</v>
      </c>
      <c r="AS562" s="112">
        <v>87.52</v>
      </c>
      <c r="AT562" s="112" t="s">
        <v>208</v>
      </c>
      <c r="AU562" s="112">
        <f t="shared" si="22"/>
        <v>561.81000000000006</v>
      </c>
      <c r="AV562" s="111">
        <v>0.28312999999999999</v>
      </c>
      <c r="AW562" s="111" t="s">
        <v>1904</v>
      </c>
      <c r="AX562" s="25"/>
      <c r="AY562" s="25"/>
      <c r="AZ562" s="25"/>
    </row>
    <row r="563" spans="1:52" ht="31.2" x14ac:dyDescent="0.3">
      <c r="A563" s="103">
        <v>553</v>
      </c>
      <c r="B563" s="109" t="s">
        <v>1283</v>
      </c>
      <c r="C563" s="30" t="s">
        <v>1899</v>
      </c>
      <c r="D563" s="110" t="s">
        <v>1900</v>
      </c>
      <c r="E563" s="110" t="s">
        <v>1917</v>
      </c>
      <c r="F563" s="30" t="s">
        <v>2703</v>
      </c>
      <c r="G563" s="26" t="s">
        <v>145</v>
      </c>
      <c r="H563" s="24" t="s">
        <v>146</v>
      </c>
      <c r="I563" s="109">
        <v>1</v>
      </c>
      <c r="J563" s="109" t="s">
        <v>1918</v>
      </c>
      <c r="K563" s="109">
        <v>76</v>
      </c>
      <c r="L563" s="109" t="s">
        <v>1919</v>
      </c>
      <c r="M563" s="109" t="s">
        <v>1904</v>
      </c>
      <c r="N563" s="109" t="s">
        <v>529</v>
      </c>
      <c r="O563" s="109" t="s">
        <v>1920</v>
      </c>
      <c r="P563" s="109" t="s">
        <v>1921</v>
      </c>
      <c r="Q563" s="102">
        <v>0</v>
      </c>
      <c r="R563" s="109" t="s">
        <v>1907</v>
      </c>
      <c r="S563" s="109" t="s">
        <v>1922</v>
      </c>
      <c r="T563" s="25"/>
      <c r="U563" s="111" t="s">
        <v>1923</v>
      </c>
      <c r="V563" s="111" t="s">
        <v>1923</v>
      </c>
      <c r="W563" s="112" t="s">
        <v>2049</v>
      </c>
      <c r="X563" s="112" t="s">
        <v>1906</v>
      </c>
      <c r="Y563" s="112" t="s">
        <v>2049</v>
      </c>
      <c r="Z563" s="112" t="s">
        <v>1906</v>
      </c>
      <c r="AA563" s="112" t="s">
        <v>2049</v>
      </c>
      <c r="AB563" s="112" t="s">
        <v>1906</v>
      </c>
      <c r="AC563" s="112">
        <v>75.95</v>
      </c>
      <c r="AD563" s="112" t="s">
        <v>1906</v>
      </c>
      <c r="AE563" s="112">
        <v>22.05</v>
      </c>
      <c r="AF563" s="112" t="s">
        <v>1906</v>
      </c>
      <c r="AG563" s="112">
        <v>0</v>
      </c>
      <c r="AH563" s="112"/>
      <c r="AI563" s="112">
        <v>0</v>
      </c>
      <c r="AJ563" s="112"/>
      <c r="AK563" s="112">
        <v>0</v>
      </c>
      <c r="AL563" s="112"/>
      <c r="AM563" s="112">
        <v>16.95</v>
      </c>
      <c r="AN563" s="112" t="s">
        <v>1906</v>
      </c>
      <c r="AO563" s="112">
        <v>72.650000000000006</v>
      </c>
      <c r="AP563" s="112" t="s">
        <v>1906</v>
      </c>
      <c r="AQ563" s="112">
        <v>72.650000000000006</v>
      </c>
      <c r="AR563" s="112" t="s">
        <v>1906</v>
      </c>
      <c r="AS563" s="112">
        <v>72.650000000000006</v>
      </c>
      <c r="AT563" s="112" t="s">
        <v>1906</v>
      </c>
      <c r="AU563" s="112">
        <f t="shared" si="22"/>
        <v>560.75</v>
      </c>
      <c r="AV563" s="111">
        <v>0.17695</v>
      </c>
      <c r="AW563" s="111" t="s">
        <v>1904</v>
      </c>
      <c r="AX563" s="25"/>
      <c r="AY563" s="25"/>
      <c r="AZ563" s="25"/>
    </row>
    <row r="564" spans="1:52" ht="31.2" x14ac:dyDescent="0.3">
      <c r="A564" s="103">
        <v>554</v>
      </c>
      <c r="B564" s="109" t="s">
        <v>1284</v>
      </c>
      <c r="C564" s="30" t="s">
        <v>1899</v>
      </c>
      <c r="D564" s="110" t="s">
        <v>1900</v>
      </c>
      <c r="E564" s="110" t="s">
        <v>1917</v>
      </c>
      <c r="F564" s="30" t="s">
        <v>2703</v>
      </c>
      <c r="G564" s="26" t="s">
        <v>145</v>
      </c>
      <c r="H564" s="24" t="s">
        <v>146</v>
      </c>
      <c r="I564" s="109">
        <v>1</v>
      </c>
      <c r="J564" s="109" t="s">
        <v>1918</v>
      </c>
      <c r="K564" s="109">
        <v>108</v>
      </c>
      <c r="L564" s="109" t="s">
        <v>1919</v>
      </c>
      <c r="M564" s="109" t="s">
        <v>1904</v>
      </c>
      <c r="N564" s="109" t="s">
        <v>529</v>
      </c>
      <c r="O564" s="109" t="s">
        <v>1920</v>
      </c>
      <c r="P564" s="109" t="s">
        <v>1921</v>
      </c>
      <c r="Q564" s="102">
        <v>0</v>
      </c>
      <c r="R564" s="109" t="s">
        <v>1907</v>
      </c>
      <c r="S564" s="109" t="s">
        <v>1922</v>
      </c>
      <c r="T564" s="25"/>
      <c r="U564" s="111" t="s">
        <v>1923</v>
      </c>
      <c r="V564" s="111" t="s">
        <v>1923</v>
      </c>
      <c r="W564" s="112">
        <v>152</v>
      </c>
      <c r="X564" s="112" t="s">
        <v>1906</v>
      </c>
      <c r="Y564" s="112">
        <v>152</v>
      </c>
      <c r="Z564" s="112" t="s">
        <v>1906</v>
      </c>
      <c r="AA564" s="112">
        <v>152</v>
      </c>
      <c r="AB564" s="112" t="s">
        <v>1906</v>
      </c>
      <c r="AC564" s="112">
        <v>152</v>
      </c>
      <c r="AD564" s="112" t="s">
        <v>1906</v>
      </c>
      <c r="AE564" s="112">
        <v>44.13</v>
      </c>
      <c r="AF564" s="112" t="s">
        <v>1906</v>
      </c>
      <c r="AG564" s="112">
        <v>0</v>
      </c>
      <c r="AH564" s="112"/>
      <c r="AI564" s="112">
        <v>0</v>
      </c>
      <c r="AJ564" s="112"/>
      <c r="AK564" s="112">
        <v>0</v>
      </c>
      <c r="AL564" s="112"/>
      <c r="AM564" s="112">
        <v>36.159999999999997</v>
      </c>
      <c r="AN564" s="112" t="s">
        <v>1906</v>
      </c>
      <c r="AO564" s="112">
        <v>157.16999999999999</v>
      </c>
      <c r="AP564" s="112" t="s">
        <v>1906</v>
      </c>
      <c r="AQ564" s="112">
        <v>154.97999999999999</v>
      </c>
      <c r="AR564" s="112" t="s">
        <v>1906</v>
      </c>
      <c r="AS564" s="112">
        <v>154.97999999999999</v>
      </c>
      <c r="AT564" s="112" t="s">
        <v>1906</v>
      </c>
      <c r="AU564" s="112">
        <f t="shared" si="22"/>
        <v>1155.4199999999998</v>
      </c>
      <c r="AV564" s="111">
        <v>0.47072000000000003</v>
      </c>
      <c r="AW564" s="111" t="s">
        <v>1904</v>
      </c>
      <c r="AX564" s="25"/>
      <c r="AY564" s="25"/>
      <c r="AZ564" s="25"/>
    </row>
    <row r="565" spans="1:52" ht="31.2" x14ac:dyDescent="0.3">
      <c r="A565" s="103">
        <v>555</v>
      </c>
      <c r="B565" s="109" t="s">
        <v>1286</v>
      </c>
      <c r="C565" s="30" t="s">
        <v>1899</v>
      </c>
      <c r="D565" s="110" t="s">
        <v>1900</v>
      </c>
      <c r="E565" s="110" t="s">
        <v>1917</v>
      </c>
      <c r="F565" s="30" t="s">
        <v>2703</v>
      </c>
      <c r="G565" s="26" t="s">
        <v>145</v>
      </c>
      <c r="H565" s="24" t="s">
        <v>146</v>
      </c>
      <c r="I565" s="109">
        <v>1</v>
      </c>
      <c r="J565" s="109" t="s">
        <v>1918</v>
      </c>
      <c r="K565" s="109">
        <v>76</v>
      </c>
      <c r="L565" s="109" t="s">
        <v>1919</v>
      </c>
      <c r="M565" s="109" t="s">
        <v>1904</v>
      </c>
      <c r="N565" s="109" t="s">
        <v>529</v>
      </c>
      <c r="O565" s="109" t="s">
        <v>1920</v>
      </c>
      <c r="P565" s="109" t="s">
        <v>1921</v>
      </c>
      <c r="Q565" s="102">
        <v>0</v>
      </c>
      <c r="R565" s="109" t="s">
        <v>1907</v>
      </c>
      <c r="S565" s="109" t="s">
        <v>1922</v>
      </c>
      <c r="T565" s="25"/>
      <c r="U565" s="111" t="s">
        <v>1923</v>
      </c>
      <c r="V565" s="111" t="s">
        <v>1923</v>
      </c>
      <c r="W565" s="112" t="s">
        <v>2050</v>
      </c>
      <c r="X565" s="112" t="s">
        <v>208</v>
      </c>
      <c r="Y565" s="112" t="s">
        <v>2051</v>
      </c>
      <c r="Z565" s="112" t="s">
        <v>208</v>
      </c>
      <c r="AA565" s="112" t="s">
        <v>2052</v>
      </c>
      <c r="AB565" s="112" t="s">
        <v>208</v>
      </c>
      <c r="AC565" s="112">
        <v>43.5</v>
      </c>
      <c r="AD565" s="112" t="s">
        <v>208</v>
      </c>
      <c r="AE565" s="112">
        <v>22.98</v>
      </c>
      <c r="AF565" s="112" t="s">
        <v>208</v>
      </c>
      <c r="AG565" s="112">
        <v>0</v>
      </c>
      <c r="AH565" s="112"/>
      <c r="AI565" s="112">
        <v>0</v>
      </c>
      <c r="AJ565" s="112"/>
      <c r="AK565" s="112">
        <v>0</v>
      </c>
      <c r="AL565" s="112"/>
      <c r="AM565" s="112">
        <v>0</v>
      </c>
      <c r="AN565" s="112"/>
      <c r="AO565" s="112">
        <v>33.74</v>
      </c>
      <c r="AP565" s="112" t="s">
        <v>208</v>
      </c>
      <c r="AQ565" s="112">
        <v>44.52</v>
      </c>
      <c r="AR565" s="112" t="s">
        <v>208</v>
      </c>
      <c r="AS565" s="112">
        <v>67.98</v>
      </c>
      <c r="AT565" s="112" t="s">
        <v>208</v>
      </c>
      <c r="AU565" s="112">
        <f t="shared" si="22"/>
        <v>485.18000000000006</v>
      </c>
      <c r="AV565" s="111">
        <v>0.23988799999999999</v>
      </c>
      <c r="AW565" s="111" t="s">
        <v>1904</v>
      </c>
      <c r="AX565" s="25"/>
      <c r="AY565" s="25"/>
      <c r="AZ565" s="25"/>
    </row>
    <row r="566" spans="1:52" ht="31.2" x14ac:dyDescent="0.3">
      <c r="A566" s="103">
        <v>556</v>
      </c>
      <c r="B566" s="109" t="s">
        <v>1287</v>
      </c>
      <c r="C566" s="30" t="s">
        <v>1899</v>
      </c>
      <c r="D566" s="110" t="s">
        <v>1900</v>
      </c>
      <c r="E566" s="110" t="s">
        <v>1917</v>
      </c>
      <c r="F566" s="30" t="s">
        <v>2703</v>
      </c>
      <c r="G566" s="26" t="s">
        <v>145</v>
      </c>
      <c r="H566" s="24" t="s">
        <v>146</v>
      </c>
      <c r="I566" s="109">
        <v>1</v>
      </c>
      <c r="J566" s="109" t="s">
        <v>1918</v>
      </c>
      <c r="K566" s="109">
        <v>89</v>
      </c>
      <c r="L566" s="109" t="s">
        <v>1919</v>
      </c>
      <c r="M566" s="109" t="s">
        <v>1904</v>
      </c>
      <c r="N566" s="109" t="s">
        <v>529</v>
      </c>
      <c r="O566" s="109" t="s">
        <v>1920</v>
      </c>
      <c r="P566" s="109" t="s">
        <v>1921</v>
      </c>
      <c r="Q566" s="102">
        <v>0</v>
      </c>
      <c r="R566" s="109" t="s">
        <v>1907</v>
      </c>
      <c r="S566" s="109" t="s">
        <v>1922</v>
      </c>
      <c r="T566" s="25"/>
      <c r="U566" s="111" t="s">
        <v>1923</v>
      </c>
      <c r="V566" s="111" t="s">
        <v>1923</v>
      </c>
      <c r="W566" s="112" t="s">
        <v>2053</v>
      </c>
      <c r="X566" s="112" t="s">
        <v>208</v>
      </c>
      <c r="Y566" s="112" t="s">
        <v>2054</v>
      </c>
      <c r="Z566" s="112" t="s">
        <v>208</v>
      </c>
      <c r="AA566" s="112" t="s">
        <v>2055</v>
      </c>
      <c r="AB566" s="112" t="s">
        <v>208</v>
      </c>
      <c r="AC566" s="112">
        <v>70.39</v>
      </c>
      <c r="AD566" s="112" t="s">
        <v>208</v>
      </c>
      <c r="AE566" s="112">
        <v>40.54</v>
      </c>
      <c r="AF566" s="112" t="s">
        <v>208</v>
      </c>
      <c r="AG566" s="112">
        <v>0</v>
      </c>
      <c r="AH566" s="112"/>
      <c r="AI566" s="112">
        <v>0</v>
      </c>
      <c r="AJ566" s="112"/>
      <c r="AK566" s="112">
        <v>0</v>
      </c>
      <c r="AL566" s="112"/>
      <c r="AM566" s="112">
        <v>0</v>
      </c>
      <c r="AN566" s="112"/>
      <c r="AO566" s="112">
        <v>70.53</v>
      </c>
      <c r="AP566" s="112" t="s">
        <v>208</v>
      </c>
      <c r="AQ566" s="112">
        <v>82.22</v>
      </c>
      <c r="AR566" s="112" t="s">
        <v>208</v>
      </c>
      <c r="AS566" s="112">
        <v>118.33</v>
      </c>
      <c r="AT566" s="112" t="s">
        <v>208</v>
      </c>
      <c r="AU566" s="112">
        <f t="shared" si="22"/>
        <v>924.41</v>
      </c>
      <c r="AV566" s="111">
        <v>0.36432999999999999</v>
      </c>
      <c r="AW566" s="111" t="s">
        <v>1904</v>
      </c>
      <c r="AX566" s="25"/>
      <c r="AY566" s="25"/>
      <c r="AZ566" s="25"/>
    </row>
    <row r="567" spans="1:52" ht="31.2" x14ac:dyDescent="0.3">
      <c r="A567" s="103">
        <v>557</v>
      </c>
      <c r="B567" s="109" t="s">
        <v>1289</v>
      </c>
      <c r="C567" s="30" t="s">
        <v>1899</v>
      </c>
      <c r="D567" s="110" t="s">
        <v>1900</v>
      </c>
      <c r="E567" s="110" t="s">
        <v>1917</v>
      </c>
      <c r="F567" s="30" t="s">
        <v>2703</v>
      </c>
      <c r="G567" s="26" t="s">
        <v>145</v>
      </c>
      <c r="H567" s="24" t="s">
        <v>146</v>
      </c>
      <c r="I567" s="109">
        <v>1</v>
      </c>
      <c r="J567" s="109" t="s">
        <v>1918</v>
      </c>
      <c r="K567" s="109">
        <v>89</v>
      </c>
      <c r="L567" s="109" t="s">
        <v>1919</v>
      </c>
      <c r="M567" s="109" t="s">
        <v>1904</v>
      </c>
      <c r="N567" s="109" t="s">
        <v>529</v>
      </c>
      <c r="O567" s="109" t="s">
        <v>1920</v>
      </c>
      <c r="P567" s="109" t="s">
        <v>1921</v>
      </c>
      <c r="Q567" s="102">
        <v>0</v>
      </c>
      <c r="R567" s="109" t="s">
        <v>1907</v>
      </c>
      <c r="S567" s="109" t="s">
        <v>1922</v>
      </c>
      <c r="T567" s="25"/>
      <c r="U567" s="111" t="s">
        <v>1923</v>
      </c>
      <c r="V567" s="111" t="s">
        <v>1923</v>
      </c>
      <c r="W567" s="112" t="s">
        <v>2056</v>
      </c>
      <c r="X567" s="112" t="s">
        <v>208</v>
      </c>
      <c r="Y567" s="112" t="s">
        <v>2056</v>
      </c>
      <c r="Z567" s="112" t="s">
        <v>208</v>
      </c>
      <c r="AA567" s="112" t="s">
        <v>2056</v>
      </c>
      <c r="AB567" s="112" t="s">
        <v>208</v>
      </c>
      <c r="AC567" s="112">
        <v>12.86</v>
      </c>
      <c r="AD567" s="112" t="s">
        <v>208</v>
      </c>
      <c r="AE567" s="112">
        <v>3.74</v>
      </c>
      <c r="AF567" s="112" t="s">
        <v>208</v>
      </c>
      <c r="AG567" s="112">
        <v>0</v>
      </c>
      <c r="AH567" s="112"/>
      <c r="AI567" s="112">
        <v>0</v>
      </c>
      <c r="AJ567" s="112"/>
      <c r="AK567" s="112">
        <v>0</v>
      </c>
      <c r="AL567" s="112"/>
      <c r="AM567" s="112">
        <v>2.68</v>
      </c>
      <c r="AN567" s="112" t="s">
        <v>1906</v>
      </c>
      <c r="AO567" s="112">
        <v>11.48</v>
      </c>
      <c r="AP567" s="112" t="s">
        <v>208</v>
      </c>
      <c r="AQ567" s="112">
        <v>11.48</v>
      </c>
      <c r="AR567" s="112" t="s">
        <v>208</v>
      </c>
      <c r="AS567" s="112">
        <v>11.48</v>
      </c>
      <c r="AT567" s="112" t="s">
        <v>208</v>
      </c>
      <c r="AU567" s="112">
        <f t="shared" si="22"/>
        <v>92.300000000000011</v>
      </c>
      <c r="AV567" s="111">
        <v>0.23315</v>
      </c>
      <c r="AW567" s="111" t="s">
        <v>1904</v>
      </c>
      <c r="AX567" s="25"/>
      <c r="AY567" s="25"/>
      <c r="AZ567" s="25"/>
    </row>
    <row r="568" spans="1:52" ht="31.2" x14ac:dyDescent="0.3">
      <c r="A568" s="103">
        <v>558</v>
      </c>
      <c r="B568" s="109" t="s">
        <v>1290</v>
      </c>
      <c r="C568" s="30" t="s">
        <v>1899</v>
      </c>
      <c r="D568" s="110" t="s">
        <v>1900</v>
      </c>
      <c r="E568" s="110" t="s">
        <v>1917</v>
      </c>
      <c r="F568" s="30" t="s">
        <v>2703</v>
      </c>
      <c r="G568" s="26" t="s">
        <v>145</v>
      </c>
      <c r="H568" s="24" t="s">
        <v>146</v>
      </c>
      <c r="I568" s="109">
        <v>1</v>
      </c>
      <c r="J568" s="109" t="s">
        <v>1918</v>
      </c>
      <c r="K568" s="109"/>
      <c r="L568" s="109" t="s">
        <v>1919</v>
      </c>
      <c r="M568" s="109" t="s">
        <v>1904</v>
      </c>
      <c r="N568" s="109" t="s">
        <v>529</v>
      </c>
      <c r="O568" s="109" t="s">
        <v>1920</v>
      </c>
      <c r="P568" s="109" t="s">
        <v>1921</v>
      </c>
      <c r="Q568" s="102">
        <v>0</v>
      </c>
      <c r="R568" s="109" t="s">
        <v>1907</v>
      </c>
      <c r="S568" s="109" t="s">
        <v>1922</v>
      </c>
      <c r="T568" s="25"/>
      <c r="U568" s="111" t="s">
        <v>1923</v>
      </c>
      <c r="V568" s="111" t="s">
        <v>1923</v>
      </c>
      <c r="W568" s="112" t="s">
        <v>2056</v>
      </c>
      <c r="X568" s="112" t="s">
        <v>1906</v>
      </c>
      <c r="Y568" s="112" t="s">
        <v>2056</v>
      </c>
      <c r="Z568" s="112" t="s">
        <v>1906</v>
      </c>
      <c r="AA568" s="112" t="s">
        <v>2056</v>
      </c>
      <c r="AB568" s="112" t="s">
        <v>1906</v>
      </c>
      <c r="AC568" s="112">
        <v>12.86</v>
      </c>
      <c r="AD568" s="112" t="s">
        <v>1906</v>
      </c>
      <c r="AE568" s="112">
        <v>3.74</v>
      </c>
      <c r="AF568" s="112" t="s">
        <v>1906</v>
      </c>
      <c r="AG568" s="112">
        <v>0</v>
      </c>
      <c r="AH568" s="112"/>
      <c r="AI568" s="112">
        <v>0</v>
      </c>
      <c r="AJ568" s="112"/>
      <c r="AK568" s="112">
        <v>0</v>
      </c>
      <c r="AL568" s="112"/>
      <c r="AM568" s="112">
        <v>2.68</v>
      </c>
      <c r="AN568" s="112" t="s">
        <v>1906</v>
      </c>
      <c r="AO568" s="112">
        <v>11.48</v>
      </c>
      <c r="AP568" s="112" t="s">
        <v>208</v>
      </c>
      <c r="AQ568" s="112">
        <v>11.48</v>
      </c>
      <c r="AR568" s="112" t="s">
        <v>208</v>
      </c>
      <c r="AS568" s="112">
        <v>11.48</v>
      </c>
      <c r="AT568" s="112" t="s">
        <v>208</v>
      </c>
      <c r="AU568" s="112">
        <f t="shared" si="22"/>
        <v>92.300000000000011</v>
      </c>
      <c r="AV568" s="111">
        <v>0.23315</v>
      </c>
      <c r="AW568" s="111" t="s">
        <v>1904</v>
      </c>
      <c r="AX568" s="25"/>
      <c r="AY568" s="25"/>
      <c r="AZ568" s="25"/>
    </row>
    <row r="569" spans="1:52" ht="31.2" x14ac:dyDescent="0.3">
      <c r="A569" s="103">
        <v>559</v>
      </c>
      <c r="B569" s="109" t="s">
        <v>1292</v>
      </c>
      <c r="C569" s="30" t="s">
        <v>1899</v>
      </c>
      <c r="D569" s="110" t="s">
        <v>1900</v>
      </c>
      <c r="E569" s="110" t="s">
        <v>1917</v>
      </c>
      <c r="F569" s="30" t="s">
        <v>2703</v>
      </c>
      <c r="G569" s="26" t="s">
        <v>145</v>
      </c>
      <c r="H569" s="24" t="s">
        <v>146</v>
      </c>
      <c r="I569" s="109">
        <v>1</v>
      </c>
      <c r="J569" s="109" t="s">
        <v>1918</v>
      </c>
      <c r="K569" s="109">
        <v>89</v>
      </c>
      <c r="L569" s="109" t="s">
        <v>1919</v>
      </c>
      <c r="M569" s="109" t="s">
        <v>1904</v>
      </c>
      <c r="N569" s="109" t="s">
        <v>529</v>
      </c>
      <c r="O569" s="109" t="s">
        <v>1920</v>
      </c>
      <c r="P569" s="109" t="s">
        <v>1921</v>
      </c>
      <c r="Q569" s="102">
        <v>0</v>
      </c>
      <c r="R569" s="109" t="s">
        <v>1907</v>
      </c>
      <c r="S569" s="109" t="s">
        <v>1922</v>
      </c>
      <c r="T569" s="25"/>
      <c r="U569" s="111" t="s">
        <v>1923</v>
      </c>
      <c r="V569" s="111" t="s">
        <v>1923</v>
      </c>
      <c r="W569" s="112" t="s">
        <v>2057</v>
      </c>
      <c r="X569" s="112" t="s">
        <v>1906</v>
      </c>
      <c r="Y569" s="112" t="s">
        <v>2057</v>
      </c>
      <c r="Z569" s="112" t="s">
        <v>1906</v>
      </c>
      <c r="AA569" s="112" t="s">
        <v>2057</v>
      </c>
      <c r="AB569" s="112" t="s">
        <v>1906</v>
      </c>
      <c r="AC569" s="112">
        <v>101.8</v>
      </c>
      <c r="AD569" s="112" t="s">
        <v>1906</v>
      </c>
      <c r="AE569" s="112">
        <v>29.55</v>
      </c>
      <c r="AF569" s="112" t="s">
        <v>1906</v>
      </c>
      <c r="AG569" s="112">
        <v>0</v>
      </c>
      <c r="AH569" s="112"/>
      <c r="AI569" s="112">
        <v>0</v>
      </c>
      <c r="AJ569" s="112"/>
      <c r="AK569" s="112">
        <v>0</v>
      </c>
      <c r="AL569" s="112"/>
      <c r="AM569" s="112">
        <v>0</v>
      </c>
      <c r="AN569" s="112"/>
      <c r="AO569" s="112">
        <v>101.54</v>
      </c>
      <c r="AP569" s="112" t="s">
        <v>1906</v>
      </c>
      <c r="AQ569" s="112">
        <v>99.91</v>
      </c>
      <c r="AR569" s="112" t="s">
        <v>1906</v>
      </c>
      <c r="AS569" s="112">
        <v>99.91</v>
      </c>
      <c r="AT569" s="112" t="s">
        <v>1906</v>
      </c>
      <c r="AU569" s="112">
        <f t="shared" si="22"/>
        <v>738.1099999999999</v>
      </c>
      <c r="AV569" s="111">
        <v>0.29197000000000001</v>
      </c>
      <c r="AW569" s="111" t="s">
        <v>1904</v>
      </c>
      <c r="AX569" s="25"/>
      <c r="AY569" s="25"/>
      <c r="AZ569" s="25"/>
    </row>
    <row r="570" spans="1:52" ht="31.2" x14ac:dyDescent="0.3">
      <c r="A570" s="103">
        <v>560</v>
      </c>
      <c r="B570" s="109" t="s">
        <v>1294</v>
      </c>
      <c r="C570" s="30" t="s">
        <v>1899</v>
      </c>
      <c r="D570" s="110" t="s">
        <v>1900</v>
      </c>
      <c r="E570" s="110" t="s">
        <v>1917</v>
      </c>
      <c r="F570" s="30" t="s">
        <v>2703</v>
      </c>
      <c r="G570" s="26" t="s">
        <v>145</v>
      </c>
      <c r="H570" s="24" t="s">
        <v>146</v>
      </c>
      <c r="I570" s="109">
        <v>1</v>
      </c>
      <c r="J570" s="109" t="s">
        <v>1918</v>
      </c>
      <c r="K570" s="109">
        <v>50</v>
      </c>
      <c r="L570" s="109" t="s">
        <v>1919</v>
      </c>
      <c r="M570" s="109" t="s">
        <v>1904</v>
      </c>
      <c r="N570" s="109" t="s">
        <v>529</v>
      </c>
      <c r="O570" s="109" t="s">
        <v>1920</v>
      </c>
      <c r="P570" s="109" t="s">
        <v>1921</v>
      </c>
      <c r="Q570" s="102">
        <v>0</v>
      </c>
      <c r="R570" s="109" t="s">
        <v>1907</v>
      </c>
      <c r="S570" s="109" t="s">
        <v>1922</v>
      </c>
      <c r="T570" s="25"/>
      <c r="U570" s="111" t="s">
        <v>1923</v>
      </c>
      <c r="V570" s="111" t="s">
        <v>1923</v>
      </c>
      <c r="W570" s="112" t="s">
        <v>2058</v>
      </c>
      <c r="X570" s="112" t="s">
        <v>208</v>
      </c>
      <c r="Y570" s="112" t="s">
        <v>2059</v>
      </c>
      <c r="Z570" s="112" t="s">
        <v>208</v>
      </c>
      <c r="AA570" s="112" t="s">
        <v>2060</v>
      </c>
      <c r="AB570" s="112" t="s">
        <v>208</v>
      </c>
      <c r="AC570" s="112">
        <v>13.21</v>
      </c>
      <c r="AD570" s="112" t="s">
        <v>208</v>
      </c>
      <c r="AE570" s="112">
        <v>3.84</v>
      </c>
      <c r="AF570" s="112" t="s">
        <v>208</v>
      </c>
      <c r="AG570" s="112">
        <v>0</v>
      </c>
      <c r="AH570" s="112"/>
      <c r="AI570" s="112">
        <v>0</v>
      </c>
      <c r="AJ570" s="112"/>
      <c r="AK570" s="112">
        <v>0</v>
      </c>
      <c r="AL570" s="112"/>
      <c r="AM570" s="112">
        <v>0</v>
      </c>
      <c r="AN570" s="112"/>
      <c r="AO570" s="112">
        <v>11.67</v>
      </c>
      <c r="AP570" s="112" t="s">
        <v>1906</v>
      </c>
      <c r="AQ570" s="112">
        <v>11.67</v>
      </c>
      <c r="AR570" s="112" t="s">
        <v>1906</v>
      </c>
      <c r="AS570" s="112">
        <v>11.67</v>
      </c>
      <c r="AT570" s="112" t="s">
        <v>1906</v>
      </c>
      <c r="AU570" s="112">
        <f t="shared" si="22"/>
        <v>125.78000000000002</v>
      </c>
      <c r="AV570" s="111">
        <v>5.3190000000000001E-2</v>
      </c>
      <c r="AW570" s="111" t="s">
        <v>1904</v>
      </c>
      <c r="AX570" s="25"/>
      <c r="AY570" s="25"/>
      <c r="AZ570" s="25"/>
    </row>
    <row r="571" spans="1:52" ht="31.2" x14ac:dyDescent="0.3">
      <c r="A571" s="103">
        <v>561</v>
      </c>
      <c r="B571" s="109" t="s">
        <v>1295</v>
      </c>
      <c r="C571" s="30" t="s">
        <v>1899</v>
      </c>
      <c r="D571" s="110" t="s">
        <v>1900</v>
      </c>
      <c r="E571" s="110" t="s">
        <v>1917</v>
      </c>
      <c r="F571" s="30" t="s">
        <v>2703</v>
      </c>
      <c r="G571" s="26" t="s">
        <v>145</v>
      </c>
      <c r="H571" s="24" t="s">
        <v>146</v>
      </c>
      <c r="I571" s="109">
        <v>1</v>
      </c>
      <c r="J571" s="109" t="s">
        <v>1918</v>
      </c>
      <c r="K571" s="109">
        <v>89</v>
      </c>
      <c r="L571" s="109" t="s">
        <v>1919</v>
      </c>
      <c r="M571" s="109" t="s">
        <v>1904</v>
      </c>
      <c r="N571" s="109" t="s">
        <v>529</v>
      </c>
      <c r="O571" s="109" t="s">
        <v>1920</v>
      </c>
      <c r="P571" s="109" t="s">
        <v>1921</v>
      </c>
      <c r="Q571" s="102">
        <v>0</v>
      </c>
      <c r="R571" s="109" t="s">
        <v>1907</v>
      </c>
      <c r="S571" s="109" t="s">
        <v>1922</v>
      </c>
      <c r="T571" s="25"/>
      <c r="U571" s="111" t="s">
        <v>1923</v>
      </c>
      <c r="V571" s="111" t="s">
        <v>1923</v>
      </c>
      <c r="W571" s="112" t="s">
        <v>2061</v>
      </c>
      <c r="X571" s="112" t="s">
        <v>1906</v>
      </c>
      <c r="Y571" s="112" t="s">
        <v>2062</v>
      </c>
      <c r="Z571" s="112" t="s">
        <v>1906</v>
      </c>
      <c r="AA571" s="112" t="s">
        <v>2062</v>
      </c>
      <c r="AB571" s="112" t="s">
        <v>1906</v>
      </c>
      <c r="AC571" s="112">
        <v>169.26</v>
      </c>
      <c r="AD571" s="112" t="s">
        <v>1906</v>
      </c>
      <c r="AE571" s="112">
        <v>49.14</v>
      </c>
      <c r="AF571" s="112" t="s">
        <v>1906</v>
      </c>
      <c r="AG571" s="112">
        <v>0</v>
      </c>
      <c r="AH571" s="112"/>
      <c r="AI571" s="112">
        <v>0</v>
      </c>
      <c r="AJ571" s="112"/>
      <c r="AK571" s="112">
        <v>0</v>
      </c>
      <c r="AL571" s="112"/>
      <c r="AM571" s="112">
        <v>38.61</v>
      </c>
      <c r="AN571" s="112" t="s">
        <v>1906</v>
      </c>
      <c r="AO571" s="112">
        <v>165.46</v>
      </c>
      <c r="AP571" s="112" t="s">
        <v>1906</v>
      </c>
      <c r="AQ571" s="112">
        <v>165.46</v>
      </c>
      <c r="AR571" s="112" t="s">
        <v>1906</v>
      </c>
      <c r="AS571" s="112">
        <v>165.46</v>
      </c>
      <c r="AT571" s="112" t="s">
        <v>1906</v>
      </c>
      <c r="AU571" s="112">
        <f t="shared" si="22"/>
        <v>1261.79</v>
      </c>
      <c r="AV571" s="111">
        <v>0.50685000000000002</v>
      </c>
      <c r="AW571" s="111" t="s">
        <v>1904</v>
      </c>
      <c r="AX571" s="25"/>
      <c r="AY571" s="25"/>
      <c r="AZ571" s="25"/>
    </row>
    <row r="572" spans="1:52" ht="31.2" x14ac:dyDescent="0.3">
      <c r="A572" s="103">
        <v>562</v>
      </c>
      <c r="B572" s="109" t="s">
        <v>1296</v>
      </c>
      <c r="C572" s="30" t="s">
        <v>1899</v>
      </c>
      <c r="D572" s="110" t="s">
        <v>1900</v>
      </c>
      <c r="E572" s="110" t="s">
        <v>1917</v>
      </c>
      <c r="F572" s="30" t="s">
        <v>2703</v>
      </c>
      <c r="G572" s="26" t="s">
        <v>145</v>
      </c>
      <c r="H572" s="24" t="s">
        <v>146</v>
      </c>
      <c r="I572" s="109">
        <v>1</v>
      </c>
      <c r="J572" s="109" t="s">
        <v>1918</v>
      </c>
      <c r="K572" s="109">
        <v>50</v>
      </c>
      <c r="L572" s="109" t="s">
        <v>1919</v>
      </c>
      <c r="M572" s="109" t="s">
        <v>1904</v>
      </c>
      <c r="N572" s="109" t="s">
        <v>529</v>
      </c>
      <c r="O572" s="109" t="s">
        <v>1920</v>
      </c>
      <c r="P572" s="109" t="s">
        <v>1921</v>
      </c>
      <c r="Q572" s="102">
        <v>0</v>
      </c>
      <c r="R572" s="109" t="s">
        <v>1907</v>
      </c>
      <c r="S572" s="109" t="s">
        <v>1922</v>
      </c>
      <c r="T572" s="25"/>
      <c r="U572" s="111" t="s">
        <v>1923</v>
      </c>
      <c r="V572" s="111" t="s">
        <v>1923</v>
      </c>
      <c r="W572" s="112" t="s">
        <v>2063</v>
      </c>
      <c r="X572" s="112" t="s">
        <v>1906</v>
      </c>
      <c r="Y572" s="112" t="s">
        <v>2063</v>
      </c>
      <c r="Z572" s="112" t="s">
        <v>1906</v>
      </c>
      <c r="AA572" s="112" t="s">
        <v>2063</v>
      </c>
      <c r="AB572" s="112" t="s">
        <v>1906</v>
      </c>
      <c r="AC572" s="112">
        <v>23.67</v>
      </c>
      <c r="AD572" s="112" t="s">
        <v>1906</v>
      </c>
      <c r="AE572" s="112">
        <v>6.88</v>
      </c>
      <c r="AF572" s="112" t="s">
        <v>1906</v>
      </c>
      <c r="AG572" s="112">
        <v>0</v>
      </c>
      <c r="AH572" s="112"/>
      <c r="AI572" s="112">
        <v>0</v>
      </c>
      <c r="AJ572" s="112"/>
      <c r="AK572" s="112">
        <v>0</v>
      </c>
      <c r="AL572" s="112"/>
      <c r="AM572" s="112">
        <v>0</v>
      </c>
      <c r="AN572" s="112"/>
      <c r="AO572" s="112">
        <v>22.64</v>
      </c>
      <c r="AP572" s="112" t="s">
        <v>1906</v>
      </c>
      <c r="AQ572" s="112">
        <v>22.64</v>
      </c>
      <c r="AR572" s="112" t="s">
        <v>1906</v>
      </c>
      <c r="AS572" s="112">
        <v>22.64</v>
      </c>
      <c r="AT572" s="112" t="s">
        <v>1906</v>
      </c>
      <c r="AU572" s="112">
        <f t="shared" si="22"/>
        <v>169.48000000000002</v>
      </c>
      <c r="AV572" s="111">
        <v>0.11441999999999999</v>
      </c>
      <c r="AW572" s="111" t="s">
        <v>1904</v>
      </c>
      <c r="AX572" s="25"/>
      <c r="AY572" s="25"/>
      <c r="AZ572" s="25"/>
    </row>
    <row r="573" spans="1:52" ht="31.2" x14ac:dyDescent="0.3">
      <c r="A573" s="103">
        <v>563</v>
      </c>
      <c r="B573" s="109" t="s">
        <v>1297</v>
      </c>
      <c r="C573" s="30" t="s">
        <v>1899</v>
      </c>
      <c r="D573" s="110" t="s">
        <v>1900</v>
      </c>
      <c r="E573" s="110" t="s">
        <v>1917</v>
      </c>
      <c r="F573" s="30" t="s">
        <v>2703</v>
      </c>
      <c r="G573" s="26" t="s">
        <v>145</v>
      </c>
      <c r="H573" s="24" t="s">
        <v>146</v>
      </c>
      <c r="I573" s="109">
        <v>0</v>
      </c>
      <c r="J573" s="109" t="s">
        <v>1918</v>
      </c>
      <c r="K573" s="109">
        <v>89</v>
      </c>
      <c r="L573" s="109" t="s">
        <v>1919</v>
      </c>
      <c r="M573" s="109" t="s">
        <v>1904</v>
      </c>
      <c r="N573" s="109" t="s">
        <v>529</v>
      </c>
      <c r="O573" s="109" t="s">
        <v>1920</v>
      </c>
      <c r="P573" s="109" t="s">
        <v>1920</v>
      </c>
      <c r="Q573" s="102">
        <v>0</v>
      </c>
      <c r="R573" s="109" t="s">
        <v>1907</v>
      </c>
      <c r="S573" s="109" t="s">
        <v>1922</v>
      </c>
      <c r="T573" s="25"/>
      <c r="U573" s="111" t="s">
        <v>1923</v>
      </c>
      <c r="V573" s="111" t="s">
        <v>1923</v>
      </c>
      <c r="W573" s="112" t="s">
        <v>2064</v>
      </c>
      <c r="X573" s="112" t="s">
        <v>1906</v>
      </c>
      <c r="Y573" s="112" t="s">
        <v>2065</v>
      </c>
      <c r="Z573" s="112" t="s">
        <v>1906</v>
      </c>
      <c r="AA573" s="112" t="s">
        <v>2065</v>
      </c>
      <c r="AB573" s="112" t="s">
        <v>1906</v>
      </c>
      <c r="AC573" s="112">
        <v>33.08</v>
      </c>
      <c r="AD573" s="112" t="s">
        <v>1906</v>
      </c>
      <c r="AE573" s="112">
        <v>9.6</v>
      </c>
      <c r="AF573" s="112" t="s">
        <v>1906</v>
      </c>
      <c r="AG573" s="112">
        <v>0</v>
      </c>
      <c r="AH573" s="112"/>
      <c r="AI573" s="112">
        <v>0</v>
      </c>
      <c r="AJ573" s="112"/>
      <c r="AK573" s="112">
        <v>0</v>
      </c>
      <c r="AL573" s="112"/>
      <c r="AM573" s="112">
        <v>0</v>
      </c>
      <c r="AN573" s="112"/>
      <c r="AO573" s="112">
        <v>35.369999999999997</v>
      </c>
      <c r="AP573" s="112" t="s">
        <v>1906</v>
      </c>
      <c r="AQ573" s="112">
        <v>33.36</v>
      </c>
      <c r="AR573" s="112" t="s">
        <v>1906</v>
      </c>
      <c r="AS573" s="112">
        <v>33.36</v>
      </c>
      <c r="AT573" s="112" t="s">
        <v>1906</v>
      </c>
      <c r="AU573" s="112">
        <f t="shared" si="22"/>
        <v>244.81</v>
      </c>
      <c r="AV573" s="111">
        <v>0.13048000000000001</v>
      </c>
      <c r="AW573" s="111" t="s">
        <v>1904</v>
      </c>
      <c r="AX573" s="25"/>
      <c r="AY573" s="25"/>
      <c r="AZ573" s="25"/>
    </row>
    <row r="574" spans="1:52" ht="31.2" x14ac:dyDescent="0.3">
      <c r="A574" s="103">
        <v>564</v>
      </c>
      <c r="B574" s="109" t="s">
        <v>1298</v>
      </c>
      <c r="C574" s="30" t="s">
        <v>1899</v>
      </c>
      <c r="D574" s="110" t="s">
        <v>1900</v>
      </c>
      <c r="E574" s="110" t="s">
        <v>1917</v>
      </c>
      <c r="F574" s="30" t="s">
        <v>2703</v>
      </c>
      <c r="G574" s="26" t="s">
        <v>145</v>
      </c>
      <c r="H574" s="24" t="s">
        <v>146</v>
      </c>
      <c r="I574" s="109">
        <v>1</v>
      </c>
      <c r="J574" s="109" t="s">
        <v>1918</v>
      </c>
      <c r="K574" s="109">
        <v>8989</v>
      </c>
      <c r="L574" s="109" t="s">
        <v>1919</v>
      </c>
      <c r="M574" s="109" t="s">
        <v>1904</v>
      </c>
      <c r="N574" s="109" t="s">
        <v>529</v>
      </c>
      <c r="O574" s="109" t="s">
        <v>1920</v>
      </c>
      <c r="P574" s="109" t="s">
        <v>1921</v>
      </c>
      <c r="Q574" s="102">
        <v>0</v>
      </c>
      <c r="R574" s="109" t="s">
        <v>1907</v>
      </c>
      <c r="S574" s="109" t="s">
        <v>1922</v>
      </c>
      <c r="T574" s="25"/>
      <c r="U574" s="111" t="s">
        <v>1923</v>
      </c>
      <c r="V574" s="111" t="s">
        <v>1923</v>
      </c>
      <c r="W574" s="112" t="s">
        <v>1947</v>
      </c>
      <c r="X574" s="112" t="s">
        <v>208</v>
      </c>
      <c r="Y574" s="112" t="s">
        <v>2066</v>
      </c>
      <c r="Z574" s="112" t="s">
        <v>208</v>
      </c>
      <c r="AA574" s="112" t="s">
        <v>2067</v>
      </c>
      <c r="AB574" s="112" t="s">
        <v>208</v>
      </c>
      <c r="AC574" s="112">
        <v>32.86</v>
      </c>
      <c r="AD574" s="112" t="s">
        <v>208</v>
      </c>
      <c r="AE574" s="112">
        <v>9.5399999999999991</v>
      </c>
      <c r="AF574" s="112" t="s">
        <v>208</v>
      </c>
      <c r="AG574" s="112">
        <v>0</v>
      </c>
      <c r="AH574" s="112"/>
      <c r="AI574" s="112">
        <v>0</v>
      </c>
      <c r="AJ574" s="112"/>
      <c r="AK574" s="112">
        <v>0</v>
      </c>
      <c r="AL574" s="112"/>
      <c r="AM574" s="112">
        <v>0</v>
      </c>
      <c r="AN574" s="112"/>
      <c r="AO574" s="112">
        <v>32.5</v>
      </c>
      <c r="AP574" s="112" t="s">
        <v>1906</v>
      </c>
      <c r="AQ574" s="112">
        <v>31.46</v>
      </c>
      <c r="AR574" s="112" t="s">
        <v>1906</v>
      </c>
      <c r="AS574" s="112">
        <v>31.46</v>
      </c>
      <c r="AT574" s="112" t="s">
        <v>1906</v>
      </c>
      <c r="AU574" s="112">
        <f t="shared" si="22"/>
        <v>264.89</v>
      </c>
      <c r="AV574" s="111">
        <v>0.19339999999999999</v>
      </c>
      <c r="AW574" s="111" t="s">
        <v>1904</v>
      </c>
      <c r="AX574" s="25"/>
      <c r="AY574" s="25"/>
      <c r="AZ574" s="25"/>
    </row>
    <row r="575" spans="1:52" ht="31.2" x14ac:dyDescent="0.3">
      <c r="A575" s="103">
        <v>565</v>
      </c>
      <c r="B575" s="109" t="s">
        <v>1300</v>
      </c>
      <c r="C575" s="30" t="s">
        <v>1899</v>
      </c>
      <c r="D575" s="110" t="s">
        <v>1900</v>
      </c>
      <c r="E575" s="110" t="s">
        <v>1917</v>
      </c>
      <c r="F575" s="30" t="s">
        <v>2703</v>
      </c>
      <c r="G575" s="26" t="s">
        <v>145</v>
      </c>
      <c r="H575" s="24" t="s">
        <v>146</v>
      </c>
      <c r="I575" s="109">
        <v>1</v>
      </c>
      <c r="J575" s="109" t="s">
        <v>1918</v>
      </c>
      <c r="K575" s="109"/>
      <c r="L575" s="109" t="s">
        <v>1919</v>
      </c>
      <c r="M575" s="109" t="s">
        <v>1904</v>
      </c>
      <c r="N575" s="109" t="s">
        <v>529</v>
      </c>
      <c r="O575" s="109" t="s">
        <v>1920</v>
      </c>
      <c r="P575" s="109" t="s">
        <v>1921</v>
      </c>
      <c r="Q575" s="102">
        <v>0</v>
      </c>
      <c r="R575" s="109" t="s">
        <v>1907</v>
      </c>
      <c r="S575" s="109" t="s">
        <v>1922</v>
      </c>
      <c r="T575" s="25"/>
      <c r="U575" s="111" t="s">
        <v>1923</v>
      </c>
      <c r="V575" s="111" t="s">
        <v>1923</v>
      </c>
      <c r="W575" s="112" t="s">
        <v>2068</v>
      </c>
      <c r="X575" s="112" t="s">
        <v>208</v>
      </c>
      <c r="Y575" s="112" t="s">
        <v>2069</v>
      </c>
      <c r="Z575" s="112" t="s">
        <v>208</v>
      </c>
      <c r="AA575" s="112" t="s">
        <v>2070</v>
      </c>
      <c r="AB575" s="112" t="s">
        <v>208</v>
      </c>
      <c r="AC575" s="112">
        <v>18.93</v>
      </c>
      <c r="AD575" s="112" t="s">
        <v>208</v>
      </c>
      <c r="AE575" s="112">
        <v>5.5</v>
      </c>
      <c r="AF575" s="112" t="s">
        <v>208</v>
      </c>
      <c r="AG575" s="112">
        <v>0</v>
      </c>
      <c r="AH575" s="112"/>
      <c r="AI575" s="112">
        <v>0</v>
      </c>
      <c r="AJ575" s="112"/>
      <c r="AK575" s="112">
        <v>0</v>
      </c>
      <c r="AL575" s="112"/>
      <c r="AM575" s="112">
        <v>0</v>
      </c>
      <c r="AN575" s="112"/>
      <c r="AO575" s="112">
        <v>17.71</v>
      </c>
      <c r="AP575" s="112" t="s">
        <v>1906</v>
      </c>
      <c r="AQ575" s="112">
        <v>17.71</v>
      </c>
      <c r="AR575" s="112" t="s">
        <v>1906</v>
      </c>
      <c r="AS575" s="112">
        <v>17.71</v>
      </c>
      <c r="AT575" s="112" t="s">
        <v>1906</v>
      </c>
      <c r="AU575" s="112">
        <f t="shared" si="22"/>
        <v>166.47000000000003</v>
      </c>
      <c r="AV575" s="111">
        <v>0.11643000000000001</v>
      </c>
      <c r="AW575" s="111" t="s">
        <v>1904</v>
      </c>
      <c r="AX575" s="25"/>
      <c r="AY575" s="25"/>
      <c r="AZ575" s="25"/>
    </row>
    <row r="576" spans="1:52" ht="31.2" x14ac:dyDescent="0.3">
      <c r="A576" s="103">
        <v>566</v>
      </c>
      <c r="B576" s="109" t="s">
        <v>1301</v>
      </c>
      <c r="C576" s="30" t="s">
        <v>1899</v>
      </c>
      <c r="D576" s="110" t="s">
        <v>1900</v>
      </c>
      <c r="E576" s="110" t="s">
        <v>1917</v>
      </c>
      <c r="F576" s="30" t="s">
        <v>2703</v>
      </c>
      <c r="G576" s="26" t="s">
        <v>145</v>
      </c>
      <c r="H576" s="24" t="s">
        <v>146</v>
      </c>
      <c r="I576" s="109">
        <v>1</v>
      </c>
      <c r="J576" s="109" t="s">
        <v>1918</v>
      </c>
      <c r="K576" s="109">
        <v>89</v>
      </c>
      <c r="L576" s="109" t="s">
        <v>1919</v>
      </c>
      <c r="M576" s="109" t="s">
        <v>1904</v>
      </c>
      <c r="N576" s="109" t="s">
        <v>529</v>
      </c>
      <c r="O576" s="109" t="s">
        <v>1920</v>
      </c>
      <c r="P576" s="109" t="s">
        <v>1921</v>
      </c>
      <c r="Q576" s="102">
        <v>0</v>
      </c>
      <c r="R576" s="109" t="s">
        <v>1907</v>
      </c>
      <c r="S576" s="109" t="s">
        <v>1922</v>
      </c>
      <c r="T576" s="25"/>
      <c r="U576" s="111" t="s">
        <v>1923</v>
      </c>
      <c r="V576" s="111" t="s">
        <v>1923</v>
      </c>
      <c r="W576" s="112" t="s">
        <v>2071</v>
      </c>
      <c r="X576" s="112" t="s">
        <v>1906</v>
      </c>
      <c r="Y576" s="112" t="s">
        <v>2071</v>
      </c>
      <c r="Z576" s="112" t="s">
        <v>1906</v>
      </c>
      <c r="AA576" s="112" t="s">
        <v>2071</v>
      </c>
      <c r="AB576" s="112" t="s">
        <v>1906</v>
      </c>
      <c r="AC576" s="112">
        <v>92.45</v>
      </c>
      <c r="AD576" s="112" t="s">
        <v>1906</v>
      </c>
      <c r="AE576" s="112">
        <v>26.84</v>
      </c>
      <c r="AF576" s="112" t="s">
        <v>1906</v>
      </c>
      <c r="AG576" s="112">
        <v>0</v>
      </c>
      <c r="AH576" s="112"/>
      <c r="AI576" s="112">
        <v>0</v>
      </c>
      <c r="AJ576" s="112"/>
      <c r="AK576" s="112">
        <v>0</v>
      </c>
      <c r="AL576" s="112"/>
      <c r="AM576" s="112">
        <v>22.49</v>
      </c>
      <c r="AN576" s="112" t="s">
        <v>1906</v>
      </c>
      <c r="AO576" s="112">
        <v>96.39</v>
      </c>
      <c r="AP576" s="112" t="s">
        <v>1906</v>
      </c>
      <c r="AQ576" s="112">
        <v>96.39</v>
      </c>
      <c r="AR576" s="112" t="s">
        <v>1906</v>
      </c>
      <c r="AS576" s="112">
        <v>96.39</v>
      </c>
      <c r="AT576" s="112" t="s">
        <v>1906</v>
      </c>
      <c r="AU576" s="112">
        <f t="shared" si="22"/>
        <v>708.3</v>
      </c>
      <c r="AV576" s="111">
        <v>0.29407</v>
      </c>
      <c r="AW576" s="111" t="s">
        <v>1904</v>
      </c>
      <c r="AX576" s="25"/>
      <c r="AY576" s="25"/>
      <c r="AZ576" s="25"/>
    </row>
    <row r="577" spans="1:52" ht="31.2" x14ac:dyDescent="0.3">
      <c r="A577" s="103">
        <v>567</v>
      </c>
      <c r="B577" s="109" t="s">
        <v>1302</v>
      </c>
      <c r="C577" s="30" t="s">
        <v>1899</v>
      </c>
      <c r="D577" s="110" t="s">
        <v>1900</v>
      </c>
      <c r="E577" s="110" t="s">
        <v>1917</v>
      </c>
      <c r="F577" s="30" t="s">
        <v>2703</v>
      </c>
      <c r="G577" s="26" t="s">
        <v>145</v>
      </c>
      <c r="H577" s="24" t="s">
        <v>146</v>
      </c>
      <c r="I577" s="109">
        <v>1</v>
      </c>
      <c r="J577" s="109" t="s">
        <v>1918</v>
      </c>
      <c r="K577" s="109">
        <v>100</v>
      </c>
      <c r="L577" s="109" t="s">
        <v>1919</v>
      </c>
      <c r="M577" s="109" t="s">
        <v>1904</v>
      </c>
      <c r="N577" s="109" t="s">
        <v>529</v>
      </c>
      <c r="O577" s="109" t="s">
        <v>1920</v>
      </c>
      <c r="P577" s="109" t="s">
        <v>1921</v>
      </c>
      <c r="Q577" s="102">
        <v>0</v>
      </c>
      <c r="R577" s="109" t="s">
        <v>1907</v>
      </c>
      <c r="S577" s="109" t="s">
        <v>1922</v>
      </c>
      <c r="T577" s="25"/>
      <c r="U577" s="111" t="s">
        <v>1923</v>
      </c>
      <c r="V577" s="111" t="s">
        <v>1923</v>
      </c>
      <c r="W577" s="112" t="s">
        <v>2072</v>
      </c>
      <c r="X577" s="112" t="s">
        <v>1906</v>
      </c>
      <c r="Y577" s="112" t="s">
        <v>2073</v>
      </c>
      <c r="Z577" s="112" t="s">
        <v>1906</v>
      </c>
      <c r="AA577" s="112" t="s">
        <v>2072</v>
      </c>
      <c r="AB577" s="112" t="s">
        <v>1906</v>
      </c>
      <c r="AC577" s="112">
        <v>54.08</v>
      </c>
      <c r="AD577" s="112" t="s">
        <v>1906</v>
      </c>
      <c r="AE577" s="112">
        <v>26.58</v>
      </c>
      <c r="AF577" s="112" t="s">
        <v>1906</v>
      </c>
      <c r="AG577" s="112">
        <v>0</v>
      </c>
      <c r="AH577" s="112"/>
      <c r="AI577" s="112">
        <v>0</v>
      </c>
      <c r="AJ577" s="112"/>
      <c r="AK577" s="112">
        <v>0</v>
      </c>
      <c r="AL577" s="112"/>
      <c r="AM577" s="112">
        <v>0</v>
      </c>
      <c r="AN577" s="112"/>
      <c r="AO577" s="112">
        <v>48.04</v>
      </c>
      <c r="AP577" s="112" t="s">
        <v>208</v>
      </c>
      <c r="AQ577" s="112">
        <v>65.39</v>
      </c>
      <c r="AR577" s="112" t="s">
        <v>208</v>
      </c>
      <c r="AS577" s="112">
        <v>92.92</v>
      </c>
      <c r="AT577" s="112" t="s">
        <v>208</v>
      </c>
      <c r="AU577" s="112">
        <f t="shared" si="22"/>
        <v>556.76</v>
      </c>
      <c r="AV577" s="111">
        <v>0.26678000000000002</v>
      </c>
      <c r="AW577" s="111" t="s">
        <v>1904</v>
      </c>
      <c r="AX577" s="25"/>
      <c r="AY577" s="25"/>
      <c r="AZ577" s="25"/>
    </row>
    <row r="578" spans="1:52" ht="31.2" x14ac:dyDescent="0.3">
      <c r="A578" s="103">
        <v>568</v>
      </c>
      <c r="B578" s="109" t="s">
        <v>1303</v>
      </c>
      <c r="C578" s="30" t="s">
        <v>1899</v>
      </c>
      <c r="D578" s="110" t="s">
        <v>1900</v>
      </c>
      <c r="E578" s="110" t="s">
        <v>1917</v>
      </c>
      <c r="F578" s="30" t="s">
        <v>2703</v>
      </c>
      <c r="G578" s="26" t="s">
        <v>145</v>
      </c>
      <c r="H578" s="24" t="s">
        <v>146</v>
      </c>
      <c r="I578" s="109">
        <v>1</v>
      </c>
      <c r="J578" s="109" t="s">
        <v>1918</v>
      </c>
      <c r="K578" s="109">
        <v>100</v>
      </c>
      <c r="L578" s="109" t="s">
        <v>1919</v>
      </c>
      <c r="M578" s="109" t="s">
        <v>1904</v>
      </c>
      <c r="N578" s="109" t="s">
        <v>529</v>
      </c>
      <c r="O578" s="109" t="s">
        <v>1920</v>
      </c>
      <c r="P578" s="109" t="s">
        <v>1921</v>
      </c>
      <c r="Q578" s="102">
        <v>0</v>
      </c>
      <c r="R578" s="109" t="s">
        <v>1907</v>
      </c>
      <c r="S578" s="109" t="s">
        <v>1922</v>
      </c>
      <c r="T578" s="25"/>
      <c r="U578" s="111" t="s">
        <v>1923</v>
      </c>
      <c r="V578" s="111" t="s">
        <v>1923</v>
      </c>
      <c r="W578" s="112" t="s">
        <v>2074</v>
      </c>
      <c r="X578" s="112" t="s">
        <v>1906</v>
      </c>
      <c r="Y578" s="112" t="s">
        <v>2074</v>
      </c>
      <c r="Z578" s="112" t="s">
        <v>1906</v>
      </c>
      <c r="AA578" s="112" t="s">
        <v>2074</v>
      </c>
      <c r="AB578" s="112" t="s">
        <v>1906</v>
      </c>
      <c r="AC578" s="112">
        <v>136.05000000000001</v>
      </c>
      <c r="AD578" s="112" t="s">
        <v>1906</v>
      </c>
      <c r="AE578" s="112">
        <v>39.5</v>
      </c>
      <c r="AF578" s="112" t="s">
        <v>1906</v>
      </c>
      <c r="AG578" s="112">
        <v>0</v>
      </c>
      <c r="AH578" s="112"/>
      <c r="AI578" s="112">
        <v>0</v>
      </c>
      <c r="AJ578" s="112"/>
      <c r="AK578" s="112">
        <v>0</v>
      </c>
      <c r="AL578" s="112"/>
      <c r="AM578" s="112">
        <v>0</v>
      </c>
      <c r="AN578" s="112"/>
      <c r="AO578" s="112">
        <v>122.51</v>
      </c>
      <c r="AP578" s="112" t="s">
        <v>1906</v>
      </c>
      <c r="AQ578" s="112">
        <v>121.43</v>
      </c>
      <c r="AR578" s="112" t="s">
        <v>1906</v>
      </c>
      <c r="AS578" s="112">
        <v>121.43</v>
      </c>
      <c r="AT578" s="112" t="s">
        <v>1906</v>
      </c>
      <c r="AU578" s="112">
        <f t="shared" si="22"/>
        <v>949.07000000000016</v>
      </c>
      <c r="AV578" s="111">
        <v>0.37175999999999998</v>
      </c>
      <c r="AW578" s="111" t="s">
        <v>1904</v>
      </c>
      <c r="AX578" s="25"/>
      <c r="AY578" s="25"/>
      <c r="AZ578" s="25"/>
    </row>
    <row r="579" spans="1:52" ht="31.2" x14ac:dyDescent="0.3">
      <c r="A579" s="103">
        <v>569</v>
      </c>
      <c r="B579" s="109" t="s">
        <v>1304</v>
      </c>
      <c r="C579" s="30" t="s">
        <v>1899</v>
      </c>
      <c r="D579" s="110" t="s">
        <v>1900</v>
      </c>
      <c r="E579" s="110" t="s">
        <v>1917</v>
      </c>
      <c r="F579" s="30" t="s">
        <v>2703</v>
      </c>
      <c r="G579" s="26" t="s">
        <v>145</v>
      </c>
      <c r="H579" s="24" t="s">
        <v>146</v>
      </c>
      <c r="I579" s="109">
        <v>1</v>
      </c>
      <c r="J579" s="109" t="s">
        <v>1918</v>
      </c>
      <c r="K579" s="109">
        <v>89</v>
      </c>
      <c r="L579" s="109" t="s">
        <v>1919</v>
      </c>
      <c r="M579" s="109" t="s">
        <v>1904</v>
      </c>
      <c r="N579" s="109" t="s">
        <v>529</v>
      </c>
      <c r="O579" s="109" t="s">
        <v>1920</v>
      </c>
      <c r="P579" s="109" t="s">
        <v>1921</v>
      </c>
      <c r="Q579" s="102">
        <v>0</v>
      </c>
      <c r="R579" s="109" t="s">
        <v>1907</v>
      </c>
      <c r="S579" s="109" t="s">
        <v>1922</v>
      </c>
      <c r="T579" s="25"/>
      <c r="U579" s="111" t="s">
        <v>1923</v>
      </c>
      <c r="V579" s="111" t="s">
        <v>1923</v>
      </c>
      <c r="W579" s="112" t="s">
        <v>2075</v>
      </c>
      <c r="X579" s="112" t="s">
        <v>1906</v>
      </c>
      <c r="Y579" s="112" t="s">
        <v>2076</v>
      </c>
      <c r="Z579" s="112" t="s">
        <v>1906</v>
      </c>
      <c r="AA579" s="112" t="s">
        <v>2075</v>
      </c>
      <c r="AB579" s="112" t="s">
        <v>1906</v>
      </c>
      <c r="AC579" s="112">
        <v>72.400000000000006</v>
      </c>
      <c r="AD579" s="112" t="s">
        <v>1906</v>
      </c>
      <c r="AE579" s="112">
        <v>21.02</v>
      </c>
      <c r="AF579" s="112" t="s">
        <v>1906</v>
      </c>
      <c r="AG579" s="112">
        <v>0</v>
      </c>
      <c r="AH579" s="112"/>
      <c r="AI579" s="112">
        <v>0</v>
      </c>
      <c r="AJ579" s="112"/>
      <c r="AK579" s="112">
        <v>0</v>
      </c>
      <c r="AL579" s="112"/>
      <c r="AM579" s="112">
        <v>0</v>
      </c>
      <c r="AN579" s="112"/>
      <c r="AO579" s="112">
        <v>69.72</v>
      </c>
      <c r="AP579" s="112" t="s">
        <v>208</v>
      </c>
      <c r="AQ579" s="112">
        <v>12.47</v>
      </c>
      <c r="AR579" s="112" t="s">
        <v>208</v>
      </c>
      <c r="AS579" s="112">
        <v>26.07</v>
      </c>
      <c r="AT579" s="112" t="s">
        <v>208</v>
      </c>
      <c r="AU579" s="112">
        <f t="shared" si="22"/>
        <v>375.01000000000005</v>
      </c>
      <c r="AV579" s="111">
        <v>0.22081000000000001</v>
      </c>
      <c r="AW579" s="111" t="s">
        <v>1904</v>
      </c>
      <c r="AX579" s="25"/>
      <c r="AY579" s="25"/>
      <c r="AZ579" s="25"/>
    </row>
    <row r="580" spans="1:52" ht="31.2" x14ac:dyDescent="0.3">
      <c r="A580" s="103">
        <v>570</v>
      </c>
      <c r="B580" s="109" t="s">
        <v>1305</v>
      </c>
      <c r="C580" s="30" t="s">
        <v>1899</v>
      </c>
      <c r="D580" s="110" t="s">
        <v>1900</v>
      </c>
      <c r="E580" s="110" t="s">
        <v>1917</v>
      </c>
      <c r="F580" s="30" t="s">
        <v>2703</v>
      </c>
      <c r="G580" s="26" t="s">
        <v>145</v>
      </c>
      <c r="H580" s="24" t="s">
        <v>146</v>
      </c>
      <c r="I580" s="109">
        <v>0</v>
      </c>
      <c r="J580" s="109" t="s">
        <v>1918</v>
      </c>
      <c r="K580" s="109">
        <v>100</v>
      </c>
      <c r="L580" s="109" t="s">
        <v>1919</v>
      </c>
      <c r="M580" s="109" t="s">
        <v>1904</v>
      </c>
      <c r="N580" s="109" t="s">
        <v>529</v>
      </c>
      <c r="O580" s="109" t="s">
        <v>1920</v>
      </c>
      <c r="P580" s="109" t="s">
        <v>1920</v>
      </c>
      <c r="Q580" s="102">
        <v>0</v>
      </c>
      <c r="R580" s="109" t="s">
        <v>1907</v>
      </c>
      <c r="S580" s="109" t="s">
        <v>1922</v>
      </c>
      <c r="T580" s="25"/>
      <c r="U580" s="111" t="s">
        <v>1923</v>
      </c>
      <c r="V580" s="111" t="s">
        <v>1923</v>
      </c>
      <c r="W580" s="112" t="s">
        <v>2077</v>
      </c>
      <c r="X580" s="112" t="s">
        <v>1906</v>
      </c>
      <c r="Y580" s="112" t="s">
        <v>2077</v>
      </c>
      <c r="Z580" s="112" t="s">
        <v>1906</v>
      </c>
      <c r="AA580" s="112" t="s">
        <v>2077</v>
      </c>
      <c r="AB580" s="112" t="s">
        <v>1906</v>
      </c>
      <c r="AC580" s="112">
        <v>20.63</v>
      </c>
      <c r="AD580" s="112" t="s">
        <v>1906</v>
      </c>
      <c r="AE580" s="112">
        <v>5.99</v>
      </c>
      <c r="AF580" s="112" t="s">
        <v>1906</v>
      </c>
      <c r="AG580" s="112">
        <v>0</v>
      </c>
      <c r="AH580" s="112"/>
      <c r="AI580" s="112">
        <v>0</v>
      </c>
      <c r="AJ580" s="112"/>
      <c r="AK580" s="112">
        <v>0</v>
      </c>
      <c r="AL580" s="112"/>
      <c r="AM580" s="112">
        <v>4.0599999999999996</v>
      </c>
      <c r="AN580" s="112" t="s">
        <v>1906</v>
      </c>
      <c r="AO580" s="112">
        <v>17.41</v>
      </c>
      <c r="AP580" s="112" t="s">
        <v>1906</v>
      </c>
      <c r="AQ580" s="112">
        <v>17.41</v>
      </c>
      <c r="AR580" s="112" t="s">
        <v>1906</v>
      </c>
      <c r="AS580" s="112">
        <v>17.41</v>
      </c>
      <c r="AT580" s="112" t="s">
        <v>1906</v>
      </c>
      <c r="AU580" s="112">
        <f t="shared" si="22"/>
        <v>144.79999999999998</v>
      </c>
      <c r="AV580" s="111">
        <v>8.2299999999999998E-2</v>
      </c>
      <c r="AW580" s="111" t="s">
        <v>1904</v>
      </c>
      <c r="AX580" s="25"/>
      <c r="AY580" s="25"/>
      <c r="AZ580" s="25"/>
    </row>
    <row r="581" spans="1:52" ht="31.2" x14ac:dyDescent="0.3">
      <c r="A581" s="103">
        <v>571</v>
      </c>
      <c r="B581" s="109" t="s">
        <v>1306</v>
      </c>
      <c r="C581" s="30" t="s">
        <v>1899</v>
      </c>
      <c r="D581" s="110" t="s">
        <v>1900</v>
      </c>
      <c r="E581" s="110" t="s">
        <v>1917</v>
      </c>
      <c r="F581" s="30" t="s">
        <v>2703</v>
      </c>
      <c r="G581" s="26" t="s">
        <v>145</v>
      </c>
      <c r="H581" s="24" t="s">
        <v>146</v>
      </c>
      <c r="I581" s="109">
        <v>1</v>
      </c>
      <c r="J581" s="109" t="s">
        <v>1918</v>
      </c>
      <c r="K581" s="109">
        <v>76</v>
      </c>
      <c r="L581" s="109" t="s">
        <v>1919</v>
      </c>
      <c r="M581" s="109" t="s">
        <v>1904</v>
      </c>
      <c r="N581" s="109" t="s">
        <v>529</v>
      </c>
      <c r="O581" s="109" t="s">
        <v>1920</v>
      </c>
      <c r="P581" s="109" t="s">
        <v>1921</v>
      </c>
      <c r="Q581" s="102">
        <v>0</v>
      </c>
      <c r="R581" s="109" t="s">
        <v>1907</v>
      </c>
      <c r="S581" s="109" t="s">
        <v>1922</v>
      </c>
      <c r="T581" s="25"/>
      <c r="U581" s="111" t="s">
        <v>1923</v>
      </c>
      <c r="V581" s="111" t="s">
        <v>1923</v>
      </c>
      <c r="W581" s="112" t="s">
        <v>2078</v>
      </c>
      <c r="X581" s="112" t="s">
        <v>1906</v>
      </c>
      <c r="Y581" s="112" t="s">
        <v>2078</v>
      </c>
      <c r="Z581" s="112" t="s">
        <v>1906</v>
      </c>
      <c r="AA581" s="112" t="s">
        <v>2078</v>
      </c>
      <c r="AB581" s="112" t="s">
        <v>1906</v>
      </c>
      <c r="AC581" s="112">
        <v>43.36</v>
      </c>
      <c r="AD581" s="112" t="s">
        <v>1906</v>
      </c>
      <c r="AE581" s="112">
        <v>12.59</v>
      </c>
      <c r="AF581" s="112" t="s">
        <v>1906</v>
      </c>
      <c r="AG581" s="112">
        <v>0</v>
      </c>
      <c r="AH581" s="112"/>
      <c r="AI581" s="112">
        <v>0</v>
      </c>
      <c r="AJ581" s="112"/>
      <c r="AK581" s="112">
        <v>0</v>
      </c>
      <c r="AL581" s="112"/>
      <c r="AM581" s="112">
        <v>0</v>
      </c>
      <c r="AN581" s="112"/>
      <c r="AO581" s="112">
        <v>43.35</v>
      </c>
      <c r="AP581" s="112" t="s">
        <v>1906</v>
      </c>
      <c r="AQ581" s="112">
        <v>43.35</v>
      </c>
      <c r="AR581" s="112" t="s">
        <v>1906</v>
      </c>
      <c r="AS581" s="112">
        <v>43.35</v>
      </c>
      <c r="AT581" s="112" t="s">
        <v>1906</v>
      </c>
      <c r="AU581" s="112">
        <f t="shared" si="22"/>
        <v>316.08000000000004</v>
      </c>
      <c r="AV581" s="111">
        <v>0.1636</v>
      </c>
      <c r="AW581" s="111" t="s">
        <v>1904</v>
      </c>
      <c r="AX581" s="25"/>
      <c r="AY581" s="25"/>
      <c r="AZ581" s="25"/>
    </row>
    <row r="582" spans="1:52" ht="31.2" x14ac:dyDescent="0.3">
      <c r="A582" s="103">
        <v>572</v>
      </c>
      <c r="B582" s="109" t="s">
        <v>1308</v>
      </c>
      <c r="C582" s="30" t="s">
        <v>1899</v>
      </c>
      <c r="D582" s="110" t="s">
        <v>1900</v>
      </c>
      <c r="E582" s="110" t="s">
        <v>1917</v>
      </c>
      <c r="F582" s="30" t="s">
        <v>2703</v>
      </c>
      <c r="G582" s="26" t="s">
        <v>145</v>
      </c>
      <c r="H582" s="24" t="s">
        <v>146</v>
      </c>
      <c r="I582" s="109">
        <v>1</v>
      </c>
      <c r="J582" s="109" t="s">
        <v>1918</v>
      </c>
      <c r="K582" s="109">
        <v>89</v>
      </c>
      <c r="L582" s="109" t="s">
        <v>1919</v>
      </c>
      <c r="M582" s="109" t="s">
        <v>1904</v>
      </c>
      <c r="N582" s="109" t="s">
        <v>529</v>
      </c>
      <c r="O582" s="109" t="s">
        <v>1920</v>
      </c>
      <c r="P582" s="109" t="s">
        <v>1921</v>
      </c>
      <c r="Q582" s="102">
        <v>0</v>
      </c>
      <c r="R582" s="109" t="s">
        <v>1907</v>
      </c>
      <c r="S582" s="109" t="s">
        <v>1922</v>
      </c>
      <c r="T582" s="25"/>
      <c r="U582" s="111" t="s">
        <v>1923</v>
      </c>
      <c r="V582" s="111" t="s">
        <v>1923</v>
      </c>
      <c r="W582" s="112" t="s">
        <v>2079</v>
      </c>
      <c r="X582" s="112" t="s">
        <v>1906</v>
      </c>
      <c r="Y582" s="112" t="s">
        <v>2080</v>
      </c>
      <c r="Z582" s="112" t="s">
        <v>1906</v>
      </c>
      <c r="AA582" s="112" t="s">
        <v>2081</v>
      </c>
      <c r="AB582" s="112" t="s">
        <v>1906</v>
      </c>
      <c r="AC582" s="112">
        <v>41.97</v>
      </c>
      <c r="AD582" s="112" t="s">
        <v>1906</v>
      </c>
      <c r="AE582" s="112">
        <v>23.8</v>
      </c>
      <c r="AF582" s="112" t="s">
        <v>1906</v>
      </c>
      <c r="AG582" s="112">
        <v>0</v>
      </c>
      <c r="AH582" s="112"/>
      <c r="AI582" s="112">
        <v>0</v>
      </c>
      <c r="AJ582" s="112"/>
      <c r="AK582" s="112">
        <v>0</v>
      </c>
      <c r="AL582" s="112"/>
      <c r="AM582" s="112">
        <v>0</v>
      </c>
      <c r="AN582" s="112"/>
      <c r="AO582" s="112">
        <v>40.700000000000003</v>
      </c>
      <c r="AP582" s="112" t="s">
        <v>208</v>
      </c>
      <c r="AQ582" s="112">
        <v>60.09</v>
      </c>
      <c r="AR582" s="112" t="s">
        <v>208</v>
      </c>
      <c r="AS582" s="112">
        <v>70.569999999999993</v>
      </c>
      <c r="AT582" s="112" t="s">
        <v>208</v>
      </c>
      <c r="AU582" s="112">
        <f t="shared" si="22"/>
        <v>523.36000000000013</v>
      </c>
      <c r="AV582" s="111">
        <v>0.22181000000000001</v>
      </c>
      <c r="AW582" s="111" t="s">
        <v>1904</v>
      </c>
      <c r="AX582" s="25"/>
      <c r="AY582" s="25"/>
      <c r="AZ582" s="25"/>
    </row>
    <row r="583" spans="1:52" ht="31.2" x14ac:dyDescent="0.3">
      <c r="A583" s="103">
        <v>573</v>
      </c>
      <c r="B583" s="109" t="s">
        <v>1309</v>
      </c>
      <c r="C583" s="30" t="s">
        <v>1899</v>
      </c>
      <c r="D583" s="110" t="s">
        <v>1900</v>
      </c>
      <c r="E583" s="110" t="s">
        <v>1917</v>
      </c>
      <c r="F583" s="30" t="s">
        <v>2703</v>
      </c>
      <c r="G583" s="26" t="s">
        <v>145</v>
      </c>
      <c r="H583" s="24" t="s">
        <v>146</v>
      </c>
      <c r="I583" s="109">
        <v>1</v>
      </c>
      <c r="J583" s="109" t="s">
        <v>1918</v>
      </c>
      <c r="K583" s="109">
        <v>76</v>
      </c>
      <c r="L583" s="109" t="s">
        <v>1919</v>
      </c>
      <c r="M583" s="109" t="s">
        <v>1904</v>
      </c>
      <c r="N583" s="109" t="s">
        <v>529</v>
      </c>
      <c r="O583" s="109" t="s">
        <v>1920</v>
      </c>
      <c r="P583" s="109" t="s">
        <v>1921</v>
      </c>
      <c r="Q583" s="102">
        <v>0</v>
      </c>
      <c r="R583" s="109" t="s">
        <v>1907</v>
      </c>
      <c r="S583" s="109" t="s">
        <v>1922</v>
      </c>
      <c r="T583" s="25"/>
      <c r="U583" s="111" t="s">
        <v>1923</v>
      </c>
      <c r="V583" s="111" t="s">
        <v>1923</v>
      </c>
      <c r="W583" s="112" t="s">
        <v>2082</v>
      </c>
      <c r="X583" s="112" t="s">
        <v>208</v>
      </c>
      <c r="Y583" s="112" t="s">
        <v>2082</v>
      </c>
      <c r="Z583" s="112" t="s">
        <v>208</v>
      </c>
      <c r="AA583" s="112" t="s">
        <v>2082</v>
      </c>
      <c r="AB583" s="112" t="s">
        <v>208</v>
      </c>
      <c r="AC583" s="112">
        <v>97.39</v>
      </c>
      <c r="AD583" s="112" t="s">
        <v>208</v>
      </c>
      <c r="AE583" s="112">
        <v>28.27</v>
      </c>
      <c r="AF583" s="112" t="s">
        <v>208</v>
      </c>
      <c r="AG583" s="112">
        <v>0</v>
      </c>
      <c r="AH583" s="112"/>
      <c r="AI583" s="112">
        <v>0</v>
      </c>
      <c r="AJ583" s="112"/>
      <c r="AK583" s="112">
        <v>0</v>
      </c>
      <c r="AL583" s="112"/>
      <c r="AM583" s="112">
        <v>0</v>
      </c>
      <c r="AN583" s="112"/>
      <c r="AO583" s="112">
        <v>95.58</v>
      </c>
      <c r="AP583" s="112" t="s">
        <v>1906</v>
      </c>
      <c r="AQ583" s="112">
        <v>94.4</v>
      </c>
      <c r="AR583" s="112" t="s">
        <v>1906</v>
      </c>
      <c r="AS583" s="112">
        <v>94.4</v>
      </c>
      <c r="AT583" s="112" t="s">
        <v>1906</v>
      </c>
      <c r="AU583" s="112">
        <f t="shared" si="22"/>
        <v>702.20999999999992</v>
      </c>
      <c r="AV583" s="111">
        <v>0.29347000000000001</v>
      </c>
      <c r="AW583" s="111" t="s">
        <v>1904</v>
      </c>
      <c r="AX583" s="25"/>
      <c r="AY583" s="25"/>
      <c r="AZ583" s="25"/>
    </row>
    <row r="584" spans="1:52" ht="31.2" x14ac:dyDescent="0.3">
      <c r="A584" s="103">
        <v>574</v>
      </c>
      <c r="B584" s="109" t="s">
        <v>1311</v>
      </c>
      <c r="C584" s="30" t="s">
        <v>1899</v>
      </c>
      <c r="D584" s="110" t="s">
        <v>1900</v>
      </c>
      <c r="E584" s="110" t="s">
        <v>1917</v>
      </c>
      <c r="F584" s="30" t="s">
        <v>2703</v>
      </c>
      <c r="G584" s="26" t="s">
        <v>145</v>
      </c>
      <c r="H584" s="24" t="s">
        <v>146</v>
      </c>
      <c r="I584" s="109">
        <v>1</v>
      </c>
      <c r="J584" s="109" t="s">
        <v>1918</v>
      </c>
      <c r="K584" s="109">
        <v>89</v>
      </c>
      <c r="L584" s="109" t="s">
        <v>1919</v>
      </c>
      <c r="M584" s="109" t="s">
        <v>1904</v>
      </c>
      <c r="N584" s="109" t="s">
        <v>529</v>
      </c>
      <c r="O584" s="109" t="s">
        <v>1920</v>
      </c>
      <c r="P584" s="109" t="s">
        <v>1921</v>
      </c>
      <c r="Q584" s="102">
        <v>0</v>
      </c>
      <c r="R584" s="109" t="s">
        <v>1907</v>
      </c>
      <c r="S584" s="109" t="s">
        <v>1922</v>
      </c>
      <c r="T584" s="25"/>
      <c r="U584" s="111" t="s">
        <v>1923</v>
      </c>
      <c r="V584" s="111" t="s">
        <v>1923</v>
      </c>
      <c r="W584" s="112" t="s">
        <v>2083</v>
      </c>
      <c r="X584" s="112" t="s">
        <v>1906</v>
      </c>
      <c r="Y584" s="112" t="s">
        <v>2084</v>
      </c>
      <c r="Z584" s="112" t="s">
        <v>1906</v>
      </c>
      <c r="AA584" s="112" t="s">
        <v>2085</v>
      </c>
      <c r="AB584" s="112" t="s">
        <v>1906</v>
      </c>
      <c r="AC584" s="112">
        <v>71.39</v>
      </c>
      <c r="AD584" s="112" t="s">
        <v>1906</v>
      </c>
      <c r="AE584" s="112">
        <v>20.73</v>
      </c>
      <c r="AF584" s="112" t="s">
        <v>1906</v>
      </c>
      <c r="AG584" s="112">
        <v>0</v>
      </c>
      <c r="AH584" s="112"/>
      <c r="AI584" s="112">
        <v>0</v>
      </c>
      <c r="AJ584" s="112"/>
      <c r="AK584" s="112">
        <v>0</v>
      </c>
      <c r="AL584" s="112"/>
      <c r="AM584" s="112">
        <v>0</v>
      </c>
      <c r="AN584" s="112"/>
      <c r="AO584" s="112">
        <v>67.099999999999994</v>
      </c>
      <c r="AP584" s="112" t="s">
        <v>208</v>
      </c>
      <c r="AQ584" s="112">
        <v>67.099999999999994</v>
      </c>
      <c r="AR584" s="112" t="s">
        <v>208</v>
      </c>
      <c r="AS584" s="112">
        <v>67.099999999999994</v>
      </c>
      <c r="AT584" s="112" t="s">
        <v>208</v>
      </c>
      <c r="AU584" s="112">
        <f t="shared" si="22"/>
        <v>645.16000000000008</v>
      </c>
      <c r="AV584" s="111">
        <v>0.29407</v>
      </c>
      <c r="AW584" s="111" t="s">
        <v>1904</v>
      </c>
      <c r="AX584" s="25"/>
      <c r="AY584" s="25"/>
      <c r="AZ584" s="25"/>
    </row>
    <row r="585" spans="1:52" ht="31.2" x14ac:dyDescent="0.3">
      <c r="A585" s="103">
        <v>575</v>
      </c>
      <c r="B585" s="109" t="s">
        <v>1312</v>
      </c>
      <c r="C585" s="30" t="s">
        <v>1899</v>
      </c>
      <c r="D585" s="110" t="s">
        <v>1900</v>
      </c>
      <c r="E585" s="110" t="s">
        <v>1917</v>
      </c>
      <c r="F585" s="30" t="s">
        <v>2703</v>
      </c>
      <c r="G585" s="26" t="s">
        <v>145</v>
      </c>
      <c r="H585" s="24" t="s">
        <v>146</v>
      </c>
      <c r="I585" s="109">
        <v>1</v>
      </c>
      <c r="J585" s="109" t="s">
        <v>1918</v>
      </c>
      <c r="K585" s="109">
        <v>89</v>
      </c>
      <c r="L585" s="109" t="s">
        <v>1919</v>
      </c>
      <c r="M585" s="109" t="s">
        <v>1904</v>
      </c>
      <c r="N585" s="109" t="s">
        <v>529</v>
      </c>
      <c r="O585" s="109" t="s">
        <v>1920</v>
      </c>
      <c r="P585" s="109" t="s">
        <v>1921</v>
      </c>
      <c r="Q585" s="102">
        <v>0</v>
      </c>
      <c r="R585" s="109" t="s">
        <v>1907</v>
      </c>
      <c r="S585" s="109" t="s">
        <v>1922</v>
      </c>
      <c r="T585" s="25"/>
      <c r="U585" s="111" t="s">
        <v>1923</v>
      </c>
      <c r="V585" s="111" t="s">
        <v>1923</v>
      </c>
      <c r="W585" s="112" t="s">
        <v>2083</v>
      </c>
      <c r="X585" s="112" t="s">
        <v>1906</v>
      </c>
      <c r="Y585" s="112" t="s">
        <v>2084</v>
      </c>
      <c r="Z585" s="112" t="s">
        <v>1906</v>
      </c>
      <c r="AA585" s="112" t="s">
        <v>2085</v>
      </c>
      <c r="AB585" s="112" t="s">
        <v>1906</v>
      </c>
      <c r="AC585" s="112">
        <v>71.39</v>
      </c>
      <c r="AD585" s="112" t="s">
        <v>1906</v>
      </c>
      <c r="AE585" s="112">
        <v>20.73</v>
      </c>
      <c r="AF585" s="112" t="s">
        <v>1906</v>
      </c>
      <c r="AG585" s="112">
        <v>0</v>
      </c>
      <c r="AH585" s="112"/>
      <c r="AI585" s="112">
        <v>0</v>
      </c>
      <c r="AJ585" s="112"/>
      <c r="AK585" s="112">
        <v>0</v>
      </c>
      <c r="AL585" s="112"/>
      <c r="AM585" s="112">
        <v>0</v>
      </c>
      <c r="AN585" s="112"/>
      <c r="AO585" s="112">
        <v>67.099999999999994</v>
      </c>
      <c r="AP585" s="112" t="s">
        <v>208</v>
      </c>
      <c r="AQ585" s="112">
        <v>67.099999999999994</v>
      </c>
      <c r="AR585" s="112" t="s">
        <v>208</v>
      </c>
      <c r="AS585" s="112">
        <v>67.099999999999994</v>
      </c>
      <c r="AT585" s="112" t="s">
        <v>208</v>
      </c>
      <c r="AU585" s="112">
        <f t="shared" si="22"/>
        <v>645.16000000000008</v>
      </c>
      <c r="AV585" s="111">
        <v>0.29407</v>
      </c>
      <c r="AW585" s="111" t="s">
        <v>1904</v>
      </c>
      <c r="AX585" s="25"/>
      <c r="AY585" s="25"/>
      <c r="AZ585" s="25"/>
    </row>
    <row r="586" spans="1:52" ht="31.2" x14ac:dyDescent="0.3">
      <c r="A586" s="103">
        <v>576</v>
      </c>
      <c r="B586" s="109" t="s">
        <v>1313</v>
      </c>
      <c r="C586" s="30" t="s">
        <v>1899</v>
      </c>
      <c r="D586" s="110" t="s">
        <v>1900</v>
      </c>
      <c r="E586" s="110" t="s">
        <v>1917</v>
      </c>
      <c r="F586" s="30" t="s">
        <v>2703</v>
      </c>
      <c r="G586" s="26" t="s">
        <v>145</v>
      </c>
      <c r="H586" s="24" t="s">
        <v>146</v>
      </c>
      <c r="I586" s="109">
        <v>1</v>
      </c>
      <c r="J586" s="109" t="s">
        <v>1918</v>
      </c>
      <c r="K586" s="109">
        <v>100</v>
      </c>
      <c r="L586" s="109" t="s">
        <v>1919</v>
      </c>
      <c r="M586" s="109" t="s">
        <v>1904</v>
      </c>
      <c r="N586" s="109" t="s">
        <v>529</v>
      </c>
      <c r="O586" s="109" t="s">
        <v>1920</v>
      </c>
      <c r="P586" s="109" t="s">
        <v>1921</v>
      </c>
      <c r="Q586" s="102">
        <v>0</v>
      </c>
      <c r="R586" s="109" t="s">
        <v>1907</v>
      </c>
      <c r="S586" s="109" t="s">
        <v>1922</v>
      </c>
      <c r="T586" s="25"/>
      <c r="U586" s="111" t="s">
        <v>1923</v>
      </c>
      <c r="V586" s="111" t="s">
        <v>1923</v>
      </c>
      <c r="W586" s="112" t="s">
        <v>2086</v>
      </c>
      <c r="X586" s="112" t="s">
        <v>1906</v>
      </c>
      <c r="Y586" s="112" t="s">
        <v>2086</v>
      </c>
      <c r="Z586" s="112" t="s">
        <v>1906</v>
      </c>
      <c r="AA586" s="112" t="s">
        <v>2086</v>
      </c>
      <c r="AB586" s="112" t="s">
        <v>1906</v>
      </c>
      <c r="AC586" s="112">
        <v>244.01</v>
      </c>
      <c r="AD586" s="112" t="s">
        <v>1906</v>
      </c>
      <c r="AE586" s="112">
        <v>70.84</v>
      </c>
      <c r="AF586" s="112" t="s">
        <v>1906</v>
      </c>
      <c r="AG586" s="112">
        <v>0</v>
      </c>
      <c r="AH586" s="112"/>
      <c r="AI586" s="112">
        <v>0</v>
      </c>
      <c r="AJ586" s="112"/>
      <c r="AK586" s="112">
        <v>0</v>
      </c>
      <c r="AL586" s="112"/>
      <c r="AM586" s="112">
        <v>54.99</v>
      </c>
      <c r="AN586" s="112" t="s">
        <v>1906</v>
      </c>
      <c r="AO586" s="112">
        <v>235.67</v>
      </c>
      <c r="AP586" s="112" t="s">
        <v>1906</v>
      </c>
      <c r="AQ586" s="112">
        <v>235.67</v>
      </c>
      <c r="AR586" s="112" t="s">
        <v>1906</v>
      </c>
      <c r="AS586" s="112">
        <v>235.67</v>
      </c>
      <c r="AT586" s="112" t="s">
        <v>1906</v>
      </c>
      <c r="AU586" s="112">
        <f t="shared" si="22"/>
        <v>1808.88</v>
      </c>
      <c r="AV586" s="111">
        <v>0.61123000000000005</v>
      </c>
      <c r="AW586" s="111" t="s">
        <v>1904</v>
      </c>
      <c r="AX586" s="25"/>
      <c r="AY586" s="25"/>
      <c r="AZ586" s="25"/>
    </row>
    <row r="587" spans="1:52" ht="31.2" x14ac:dyDescent="0.3">
      <c r="A587" s="103">
        <v>577</v>
      </c>
      <c r="B587" s="109" t="s">
        <v>1315</v>
      </c>
      <c r="C587" s="30" t="s">
        <v>1899</v>
      </c>
      <c r="D587" s="110" t="s">
        <v>1900</v>
      </c>
      <c r="E587" s="110" t="s">
        <v>1917</v>
      </c>
      <c r="F587" s="30" t="s">
        <v>2703</v>
      </c>
      <c r="G587" s="26" t="s">
        <v>145</v>
      </c>
      <c r="H587" s="24" t="s">
        <v>146</v>
      </c>
      <c r="I587" s="109">
        <v>1</v>
      </c>
      <c r="J587" s="109" t="s">
        <v>1918</v>
      </c>
      <c r="K587" s="109">
        <v>89</v>
      </c>
      <c r="L587" s="109" t="s">
        <v>1919</v>
      </c>
      <c r="M587" s="109" t="s">
        <v>1904</v>
      </c>
      <c r="N587" s="109" t="s">
        <v>529</v>
      </c>
      <c r="O587" s="109" t="s">
        <v>1920</v>
      </c>
      <c r="P587" s="109" t="s">
        <v>1921</v>
      </c>
      <c r="Q587" s="102">
        <v>0</v>
      </c>
      <c r="R587" s="109" t="s">
        <v>1907</v>
      </c>
      <c r="S587" s="109" t="s">
        <v>1922</v>
      </c>
      <c r="T587" s="25"/>
      <c r="U587" s="111" t="s">
        <v>1923</v>
      </c>
      <c r="V587" s="111" t="s">
        <v>1923</v>
      </c>
      <c r="W587" s="112" t="s">
        <v>2087</v>
      </c>
      <c r="X587" s="112" t="s">
        <v>208</v>
      </c>
      <c r="Y587" s="112" t="s">
        <v>2088</v>
      </c>
      <c r="Z587" s="112" t="s">
        <v>208</v>
      </c>
      <c r="AA587" s="112" t="s">
        <v>2089</v>
      </c>
      <c r="AB587" s="112" t="s">
        <v>208</v>
      </c>
      <c r="AC587" s="112">
        <v>53.61</v>
      </c>
      <c r="AD587" s="112" t="s">
        <v>208</v>
      </c>
      <c r="AE587" s="112">
        <v>29.27</v>
      </c>
      <c r="AF587" s="112" t="s">
        <v>208</v>
      </c>
      <c r="AG587" s="112">
        <v>0</v>
      </c>
      <c r="AH587" s="112"/>
      <c r="AI587" s="112">
        <v>0</v>
      </c>
      <c r="AJ587" s="112"/>
      <c r="AK587" s="112">
        <v>0</v>
      </c>
      <c r="AL587" s="112"/>
      <c r="AM587" s="112">
        <v>0</v>
      </c>
      <c r="AN587" s="112"/>
      <c r="AO587" s="112">
        <v>46.52</v>
      </c>
      <c r="AP587" s="112" t="s">
        <v>208</v>
      </c>
      <c r="AQ587" s="112">
        <v>61.6</v>
      </c>
      <c r="AR587" s="112" t="s">
        <v>208</v>
      </c>
      <c r="AS587" s="112">
        <v>88.61</v>
      </c>
      <c r="AT587" s="112" t="s">
        <v>208</v>
      </c>
      <c r="AU587" s="112">
        <f t="shared" si="22"/>
        <v>607.12</v>
      </c>
      <c r="AV587" s="111">
        <v>0.26175999999999999</v>
      </c>
      <c r="AW587" s="111" t="s">
        <v>1904</v>
      </c>
      <c r="AX587" s="25"/>
      <c r="AY587" s="25"/>
      <c r="AZ587" s="25"/>
    </row>
    <row r="588" spans="1:52" ht="31.2" x14ac:dyDescent="0.3">
      <c r="A588" s="103">
        <v>578</v>
      </c>
      <c r="B588" s="109" t="s">
        <v>1317</v>
      </c>
      <c r="C588" s="30" t="s">
        <v>1899</v>
      </c>
      <c r="D588" s="110" t="s">
        <v>1900</v>
      </c>
      <c r="E588" s="110" t="s">
        <v>1917</v>
      </c>
      <c r="F588" s="30" t="s">
        <v>2703</v>
      </c>
      <c r="G588" s="26" t="s">
        <v>145</v>
      </c>
      <c r="H588" s="24" t="s">
        <v>146</v>
      </c>
      <c r="I588" s="109">
        <v>1</v>
      </c>
      <c r="J588" s="109" t="s">
        <v>1918</v>
      </c>
      <c r="K588" s="109">
        <v>100</v>
      </c>
      <c r="L588" s="109" t="s">
        <v>1919</v>
      </c>
      <c r="M588" s="109" t="s">
        <v>1904</v>
      </c>
      <c r="N588" s="109" t="s">
        <v>529</v>
      </c>
      <c r="O588" s="109" t="s">
        <v>1920</v>
      </c>
      <c r="P588" s="109" t="s">
        <v>1921</v>
      </c>
      <c r="Q588" s="102">
        <v>0</v>
      </c>
      <c r="R588" s="109" t="s">
        <v>1907</v>
      </c>
      <c r="S588" s="109" t="s">
        <v>1922</v>
      </c>
      <c r="T588" s="25"/>
      <c r="U588" s="111" t="s">
        <v>1923</v>
      </c>
      <c r="V588" s="111" t="s">
        <v>1923</v>
      </c>
      <c r="W588" s="112" t="s">
        <v>2090</v>
      </c>
      <c r="X588" s="112" t="s">
        <v>208</v>
      </c>
      <c r="Y588" s="112" t="s">
        <v>2091</v>
      </c>
      <c r="Z588" s="112" t="s">
        <v>208</v>
      </c>
      <c r="AA588" s="112" t="s">
        <v>2092</v>
      </c>
      <c r="AB588" s="112" t="s">
        <v>208</v>
      </c>
      <c r="AC588" s="112">
        <v>15.49</v>
      </c>
      <c r="AD588" s="112" t="s">
        <v>208</v>
      </c>
      <c r="AE588" s="112">
        <v>4.5</v>
      </c>
      <c r="AF588" s="112" t="s">
        <v>208</v>
      </c>
      <c r="AG588" s="112">
        <v>0</v>
      </c>
      <c r="AH588" s="112"/>
      <c r="AI588" s="112">
        <v>0</v>
      </c>
      <c r="AJ588" s="112"/>
      <c r="AK588" s="112">
        <v>0</v>
      </c>
      <c r="AL588" s="112"/>
      <c r="AM588" s="112">
        <v>0</v>
      </c>
      <c r="AN588" s="112"/>
      <c r="AO588" s="112">
        <v>15.86</v>
      </c>
      <c r="AP588" s="112" t="s">
        <v>1906</v>
      </c>
      <c r="AQ588" s="112">
        <v>15.86</v>
      </c>
      <c r="AR588" s="112" t="s">
        <v>1906</v>
      </c>
      <c r="AS588" s="112">
        <v>15.86</v>
      </c>
      <c r="AT588" s="112" t="s">
        <v>1906</v>
      </c>
      <c r="AU588" s="112">
        <f t="shared" ref="AU588:AU651" si="23">W588+Y588+AA588+AC588+AE588+AG588+AI588+AK588+AM588+AO588+AQ588+AS588</f>
        <v>165.87</v>
      </c>
      <c r="AV588" s="111">
        <v>0.11643000000000001</v>
      </c>
      <c r="AW588" s="111" t="s">
        <v>1904</v>
      </c>
      <c r="AX588" s="25"/>
      <c r="AY588" s="25"/>
      <c r="AZ588" s="25"/>
    </row>
    <row r="589" spans="1:52" ht="31.2" x14ac:dyDescent="0.3">
      <c r="A589" s="103">
        <v>579</v>
      </c>
      <c r="B589" s="109" t="s">
        <v>1319</v>
      </c>
      <c r="C589" s="30" t="s">
        <v>1899</v>
      </c>
      <c r="D589" s="110" t="s">
        <v>1900</v>
      </c>
      <c r="E589" s="110" t="s">
        <v>1917</v>
      </c>
      <c r="F589" s="30" t="s">
        <v>2703</v>
      </c>
      <c r="G589" s="26" t="s">
        <v>145</v>
      </c>
      <c r="H589" s="24" t="s">
        <v>146</v>
      </c>
      <c r="I589" s="109">
        <v>1</v>
      </c>
      <c r="J589" s="109" t="s">
        <v>1918</v>
      </c>
      <c r="K589" s="109">
        <v>89</v>
      </c>
      <c r="L589" s="109" t="s">
        <v>1919</v>
      </c>
      <c r="M589" s="109" t="s">
        <v>1904</v>
      </c>
      <c r="N589" s="109" t="s">
        <v>529</v>
      </c>
      <c r="O589" s="109" t="s">
        <v>1920</v>
      </c>
      <c r="P589" s="109" t="s">
        <v>1921</v>
      </c>
      <c r="Q589" s="102">
        <v>0</v>
      </c>
      <c r="R589" s="109" t="s">
        <v>1907</v>
      </c>
      <c r="S589" s="109" t="s">
        <v>1922</v>
      </c>
      <c r="T589" s="25"/>
      <c r="U589" s="111" t="s">
        <v>1923</v>
      </c>
      <c r="V589" s="111" t="s">
        <v>1923</v>
      </c>
      <c r="W589" s="112" t="s">
        <v>2093</v>
      </c>
      <c r="X589" s="112" t="s">
        <v>208</v>
      </c>
      <c r="Y589" s="112">
        <v>69</v>
      </c>
      <c r="Z589" s="112" t="s">
        <v>208</v>
      </c>
      <c r="AA589" s="112" t="s">
        <v>2094</v>
      </c>
      <c r="AB589" s="112" t="s">
        <v>208</v>
      </c>
      <c r="AC589" s="112">
        <v>40.39</v>
      </c>
      <c r="AD589" s="112" t="s">
        <v>208</v>
      </c>
      <c r="AE589" s="112">
        <v>23.3</v>
      </c>
      <c r="AF589" s="112" t="s">
        <v>208</v>
      </c>
      <c r="AG589" s="112">
        <v>0</v>
      </c>
      <c r="AH589" s="112"/>
      <c r="AI589" s="112">
        <v>0</v>
      </c>
      <c r="AJ589" s="112"/>
      <c r="AK589" s="112">
        <v>0</v>
      </c>
      <c r="AL589" s="112"/>
      <c r="AM589" s="112">
        <v>0</v>
      </c>
      <c r="AN589" s="112"/>
      <c r="AO589" s="112">
        <v>34.119999999999997</v>
      </c>
      <c r="AP589" s="112" t="s">
        <v>208</v>
      </c>
      <c r="AQ589" s="112">
        <v>47.51</v>
      </c>
      <c r="AR589" s="112" t="s">
        <v>208</v>
      </c>
      <c r="AS589" s="112">
        <v>67.459999999999994</v>
      </c>
      <c r="AT589" s="112" t="s">
        <v>208</v>
      </c>
      <c r="AU589" s="112">
        <f t="shared" si="23"/>
        <v>481.46999999999997</v>
      </c>
      <c r="AV589" s="111">
        <v>0.25895000000000001</v>
      </c>
      <c r="AW589" s="111" t="s">
        <v>1904</v>
      </c>
      <c r="AX589" s="25"/>
      <c r="AY589" s="25"/>
      <c r="AZ589" s="25"/>
    </row>
    <row r="590" spans="1:52" ht="31.2" x14ac:dyDescent="0.3">
      <c r="A590" s="103">
        <v>580</v>
      </c>
      <c r="B590" s="109" t="s">
        <v>1321</v>
      </c>
      <c r="C590" s="30" t="s">
        <v>1899</v>
      </c>
      <c r="D590" s="110" t="s">
        <v>1900</v>
      </c>
      <c r="E590" s="110" t="s">
        <v>1917</v>
      </c>
      <c r="F590" s="30" t="s">
        <v>2703</v>
      </c>
      <c r="G590" s="26" t="s">
        <v>145</v>
      </c>
      <c r="H590" s="24" t="s">
        <v>146</v>
      </c>
      <c r="I590" s="109">
        <v>1</v>
      </c>
      <c r="J590" s="109" t="s">
        <v>1918</v>
      </c>
      <c r="K590" s="109">
        <v>89</v>
      </c>
      <c r="L590" s="109" t="s">
        <v>1919</v>
      </c>
      <c r="M590" s="109" t="s">
        <v>1904</v>
      </c>
      <c r="N590" s="109" t="s">
        <v>529</v>
      </c>
      <c r="O590" s="109" t="s">
        <v>1920</v>
      </c>
      <c r="P590" s="109" t="s">
        <v>1921</v>
      </c>
      <c r="Q590" s="102">
        <v>0</v>
      </c>
      <c r="R590" s="109" t="s">
        <v>1907</v>
      </c>
      <c r="S590" s="109" t="s">
        <v>1922</v>
      </c>
      <c r="T590" s="25"/>
      <c r="U590" s="111" t="s">
        <v>1923</v>
      </c>
      <c r="V590" s="111" t="s">
        <v>1923</v>
      </c>
      <c r="W590" s="112" t="s">
        <v>2095</v>
      </c>
      <c r="X590" s="112" t="s">
        <v>208</v>
      </c>
      <c r="Y590" s="112" t="s">
        <v>2096</v>
      </c>
      <c r="Z590" s="112" t="s">
        <v>208</v>
      </c>
      <c r="AA590" s="112" t="s">
        <v>2097</v>
      </c>
      <c r="AB590" s="112" t="s">
        <v>208</v>
      </c>
      <c r="AC590" s="112">
        <v>61.39</v>
      </c>
      <c r="AD590" s="112" t="s">
        <v>208</v>
      </c>
      <c r="AE590" s="112">
        <v>17.82</v>
      </c>
      <c r="AF590" s="112" t="s">
        <v>208</v>
      </c>
      <c r="AG590" s="112">
        <v>0</v>
      </c>
      <c r="AH590" s="112"/>
      <c r="AI590" s="112">
        <v>0</v>
      </c>
      <c r="AJ590" s="112"/>
      <c r="AK590" s="112">
        <v>0</v>
      </c>
      <c r="AL590" s="112"/>
      <c r="AM590" s="112">
        <v>0</v>
      </c>
      <c r="AN590" s="112"/>
      <c r="AO590" s="112">
        <v>57.15</v>
      </c>
      <c r="AP590" s="112" t="s">
        <v>1906</v>
      </c>
      <c r="AQ590" s="112">
        <v>57.15</v>
      </c>
      <c r="AR590" s="112" t="s">
        <v>1906</v>
      </c>
      <c r="AS590" s="112">
        <v>57.15</v>
      </c>
      <c r="AT590" s="112" t="s">
        <v>1906</v>
      </c>
      <c r="AU590" s="112">
        <f t="shared" si="23"/>
        <v>468.24999999999994</v>
      </c>
      <c r="AV590" s="111">
        <v>0.19592000000000001</v>
      </c>
      <c r="AW590" s="111" t="s">
        <v>1904</v>
      </c>
      <c r="AX590" s="25"/>
      <c r="AY590" s="25"/>
      <c r="AZ590" s="25"/>
    </row>
    <row r="591" spans="1:52" ht="31.2" x14ac:dyDescent="0.3">
      <c r="A591" s="103">
        <v>581</v>
      </c>
      <c r="B591" s="109" t="s">
        <v>1323</v>
      </c>
      <c r="C591" s="30" t="s">
        <v>1899</v>
      </c>
      <c r="D591" s="110" t="s">
        <v>1900</v>
      </c>
      <c r="E591" s="110" t="s">
        <v>1917</v>
      </c>
      <c r="F591" s="30" t="s">
        <v>2703</v>
      </c>
      <c r="G591" s="26" t="s">
        <v>145</v>
      </c>
      <c r="H591" s="24" t="s">
        <v>146</v>
      </c>
      <c r="I591" s="109">
        <v>1</v>
      </c>
      <c r="J591" s="109" t="s">
        <v>1918</v>
      </c>
      <c r="K591" s="109">
        <v>89</v>
      </c>
      <c r="L591" s="109" t="s">
        <v>1919</v>
      </c>
      <c r="M591" s="109" t="s">
        <v>1904</v>
      </c>
      <c r="N591" s="109" t="s">
        <v>529</v>
      </c>
      <c r="O591" s="109" t="s">
        <v>1920</v>
      </c>
      <c r="P591" s="109" t="s">
        <v>1921</v>
      </c>
      <c r="Q591" s="102">
        <v>0</v>
      </c>
      <c r="R591" s="109" t="s">
        <v>1907</v>
      </c>
      <c r="S591" s="109" t="s">
        <v>1922</v>
      </c>
      <c r="T591" s="25"/>
      <c r="U591" s="111" t="s">
        <v>1923</v>
      </c>
      <c r="V591" s="111" t="s">
        <v>1923</v>
      </c>
      <c r="W591" s="112" t="s">
        <v>2095</v>
      </c>
      <c r="X591" s="112" t="s">
        <v>1906</v>
      </c>
      <c r="Y591" s="112" t="s">
        <v>2096</v>
      </c>
      <c r="Z591" s="112" t="s">
        <v>1906</v>
      </c>
      <c r="AA591" s="112" t="s">
        <v>2097</v>
      </c>
      <c r="AB591" s="112" t="s">
        <v>1906</v>
      </c>
      <c r="AC591" s="112">
        <v>61.39</v>
      </c>
      <c r="AD591" s="112" t="s">
        <v>1906</v>
      </c>
      <c r="AE591" s="112">
        <v>17.82</v>
      </c>
      <c r="AF591" s="112" t="s">
        <v>1906</v>
      </c>
      <c r="AG591" s="112">
        <v>0</v>
      </c>
      <c r="AH591" s="112"/>
      <c r="AI591" s="112">
        <v>0</v>
      </c>
      <c r="AJ591" s="112"/>
      <c r="AK591" s="112">
        <v>0</v>
      </c>
      <c r="AL591" s="112"/>
      <c r="AM591" s="112">
        <v>0</v>
      </c>
      <c r="AN591" s="112"/>
      <c r="AO591" s="112">
        <v>57.15</v>
      </c>
      <c r="AP591" s="112" t="s">
        <v>1906</v>
      </c>
      <c r="AQ591" s="112">
        <v>57.15</v>
      </c>
      <c r="AR591" s="112" t="s">
        <v>1906</v>
      </c>
      <c r="AS591" s="112">
        <v>57.15</v>
      </c>
      <c r="AT591" s="112" t="s">
        <v>1906</v>
      </c>
      <c r="AU591" s="112">
        <f t="shared" si="23"/>
        <v>468.24999999999994</v>
      </c>
      <c r="AV591" s="111">
        <v>0.19592000000000001</v>
      </c>
      <c r="AW591" s="111" t="s">
        <v>1904</v>
      </c>
      <c r="AX591" s="25"/>
      <c r="AY591" s="25"/>
      <c r="AZ591" s="25"/>
    </row>
    <row r="592" spans="1:52" ht="31.2" x14ac:dyDescent="0.3">
      <c r="A592" s="103">
        <v>582</v>
      </c>
      <c r="B592" s="109" t="s">
        <v>1325</v>
      </c>
      <c r="C592" s="30" t="s">
        <v>1899</v>
      </c>
      <c r="D592" s="110" t="s">
        <v>1900</v>
      </c>
      <c r="E592" s="110" t="s">
        <v>1917</v>
      </c>
      <c r="F592" s="30" t="s">
        <v>2703</v>
      </c>
      <c r="G592" s="26" t="s">
        <v>145</v>
      </c>
      <c r="H592" s="24" t="s">
        <v>146</v>
      </c>
      <c r="I592" s="109">
        <v>1</v>
      </c>
      <c r="J592" s="109" t="s">
        <v>1918</v>
      </c>
      <c r="K592" s="109">
        <v>89</v>
      </c>
      <c r="L592" s="109" t="s">
        <v>1919</v>
      </c>
      <c r="M592" s="109" t="s">
        <v>1904</v>
      </c>
      <c r="N592" s="109" t="s">
        <v>529</v>
      </c>
      <c r="O592" s="109" t="s">
        <v>1920</v>
      </c>
      <c r="P592" s="109" t="s">
        <v>1921</v>
      </c>
      <c r="Q592" s="102">
        <v>0</v>
      </c>
      <c r="R592" s="109" t="s">
        <v>1907</v>
      </c>
      <c r="S592" s="109" t="s">
        <v>1922</v>
      </c>
      <c r="T592" s="25"/>
      <c r="U592" s="111" t="s">
        <v>1923</v>
      </c>
      <c r="V592" s="111" t="s">
        <v>1923</v>
      </c>
      <c r="W592" s="112" t="s">
        <v>2098</v>
      </c>
      <c r="X592" s="112" t="s">
        <v>1906</v>
      </c>
      <c r="Y592" s="112" t="s">
        <v>2098</v>
      </c>
      <c r="Z592" s="112" t="s">
        <v>1906</v>
      </c>
      <c r="AA592" s="112" t="s">
        <v>2098</v>
      </c>
      <c r="AB592" s="112" t="s">
        <v>1906</v>
      </c>
      <c r="AC592" s="112">
        <v>83.21</v>
      </c>
      <c r="AD592" s="112" t="s">
        <v>1906</v>
      </c>
      <c r="AE592" s="112">
        <v>24.15</v>
      </c>
      <c r="AF592" s="112" t="s">
        <v>1906</v>
      </c>
      <c r="AG592" s="112">
        <v>0</v>
      </c>
      <c r="AH592" s="112"/>
      <c r="AI592" s="112">
        <v>0</v>
      </c>
      <c r="AJ592" s="112"/>
      <c r="AK592" s="112">
        <v>0</v>
      </c>
      <c r="AL592" s="112"/>
      <c r="AM592" s="112">
        <v>0</v>
      </c>
      <c r="AN592" s="112"/>
      <c r="AO592" s="112">
        <v>81.040000000000006</v>
      </c>
      <c r="AP592" s="112" t="s">
        <v>1906</v>
      </c>
      <c r="AQ592" s="112">
        <v>81.040000000000006</v>
      </c>
      <c r="AR592" s="112" t="s">
        <v>1906</v>
      </c>
      <c r="AS592" s="112">
        <v>81.040000000000006</v>
      </c>
      <c r="AT592" s="112" t="s">
        <v>1906</v>
      </c>
      <c r="AU592" s="112">
        <f t="shared" si="23"/>
        <v>600.1099999999999</v>
      </c>
      <c r="AV592" s="111">
        <v>0.30930999999999997</v>
      </c>
      <c r="AW592" s="111" t="s">
        <v>1904</v>
      </c>
      <c r="AX592" s="25"/>
      <c r="AY592" s="25"/>
      <c r="AZ592" s="25"/>
    </row>
    <row r="593" spans="1:52" ht="31.2" x14ac:dyDescent="0.3">
      <c r="A593" s="103">
        <v>583</v>
      </c>
      <c r="B593" s="109" t="s">
        <v>1327</v>
      </c>
      <c r="C593" s="30" t="s">
        <v>1899</v>
      </c>
      <c r="D593" s="110" t="s">
        <v>1900</v>
      </c>
      <c r="E593" s="110" t="s">
        <v>1917</v>
      </c>
      <c r="F593" s="30" t="s">
        <v>2703</v>
      </c>
      <c r="G593" s="26" t="s">
        <v>145</v>
      </c>
      <c r="H593" s="24" t="s">
        <v>146</v>
      </c>
      <c r="I593" s="109">
        <v>0</v>
      </c>
      <c r="J593" s="109" t="s">
        <v>1918</v>
      </c>
      <c r="K593" s="109">
        <v>76</v>
      </c>
      <c r="L593" s="109" t="s">
        <v>1919</v>
      </c>
      <c r="M593" s="109" t="s">
        <v>1904</v>
      </c>
      <c r="N593" s="109" t="s">
        <v>529</v>
      </c>
      <c r="O593" s="109" t="s">
        <v>1920</v>
      </c>
      <c r="P593" s="109" t="s">
        <v>1920</v>
      </c>
      <c r="Q593" s="102">
        <v>0</v>
      </c>
      <c r="R593" s="109" t="s">
        <v>1907</v>
      </c>
      <c r="S593" s="109" t="s">
        <v>1922</v>
      </c>
      <c r="T593" s="25"/>
      <c r="U593" s="111" t="s">
        <v>1923</v>
      </c>
      <c r="V593" s="111" t="s">
        <v>1923</v>
      </c>
      <c r="W593" s="112" t="s">
        <v>2099</v>
      </c>
      <c r="X593" s="112" t="s">
        <v>1906</v>
      </c>
      <c r="Y593" s="112" t="s">
        <v>2099</v>
      </c>
      <c r="Z593" s="112" t="s">
        <v>1906</v>
      </c>
      <c r="AA593" s="112" t="s">
        <v>2099</v>
      </c>
      <c r="AB593" s="112" t="s">
        <v>1906</v>
      </c>
      <c r="AC593" s="112">
        <v>36.64</v>
      </c>
      <c r="AD593" s="112" t="s">
        <v>1906</v>
      </c>
      <c r="AE593" s="112">
        <v>10.64</v>
      </c>
      <c r="AF593" s="112" t="s">
        <v>1906</v>
      </c>
      <c r="AG593" s="112">
        <v>0</v>
      </c>
      <c r="AH593" s="112"/>
      <c r="AI593" s="112">
        <v>0</v>
      </c>
      <c r="AJ593" s="112"/>
      <c r="AK593" s="112">
        <v>0</v>
      </c>
      <c r="AL593" s="112"/>
      <c r="AM593" s="112">
        <v>7.81</v>
      </c>
      <c r="AN593" s="112" t="s">
        <v>1906</v>
      </c>
      <c r="AO593" s="112">
        <v>33.47</v>
      </c>
      <c r="AP593" s="112" t="s">
        <v>1906</v>
      </c>
      <c r="AQ593" s="112">
        <v>33.47</v>
      </c>
      <c r="AR593" s="112" t="s">
        <v>1906</v>
      </c>
      <c r="AS593" s="112">
        <v>33.47</v>
      </c>
      <c r="AT593" s="112" t="s">
        <v>1906</v>
      </c>
      <c r="AU593" s="112">
        <f t="shared" si="23"/>
        <v>265.41999999999996</v>
      </c>
      <c r="AV593" s="111">
        <v>0.12354999999999999</v>
      </c>
      <c r="AW593" s="111" t="s">
        <v>1904</v>
      </c>
      <c r="AX593" s="25"/>
      <c r="AY593" s="25"/>
      <c r="AZ593" s="25"/>
    </row>
    <row r="594" spans="1:52" ht="31.2" x14ac:dyDescent="0.3">
      <c r="A594" s="103">
        <v>584</v>
      </c>
      <c r="B594" s="109" t="s">
        <v>1328</v>
      </c>
      <c r="C594" s="30" t="s">
        <v>1899</v>
      </c>
      <c r="D594" s="110" t="s">
        <v>1900</v>
      </c>
      <c r="E594" s="110" t="s">
        <v>1917</v>
      </c>
      <c r="F594" s="30" t="s">
        <v>2703</v>
      </c>
      <c r="G594" s="26" t="s">
        <v>145</v>
      </c>
      <c r="H594" s="24" t="s">
        <v>146</v>
      </c>
      <c r="I594" s="109">
        <v>1</v>
      </c>
      <c r="J594" s="109" t="s">
        <v>1918</v>
      </c>
      <c r="K594" s="109">
        <v>100</v>
      </c>
      <c r="L594" s="109" t="s">
        <v>1919</v>
      </c>
      <c r="M594" s="109" t="s">
        <v>1904</v>
      </c>
      <c r="N594" s="109" t="s">
        <v>529</v>
      </c>
      <c r="O594" s="109" t="s">
        <v>1920</v>
      </c>
      <c r="P594" s="109" t="s">
        <v>1921</v>
      </c>
      <c r="Q594" s="102">
        <v>0</v>
      </c>
      <c r="R594" s="109" t="s">
        <v>1907</v>
      </c>
      <c r="S594" s="109" t="s">
        <v>1922</v>
      </c>
      <c r="T594" s="25"/>
      <c r="U594" s="111" t="s">
        <v>1923</v>
      </c>
      <c r="V594" s="111" t="s">
        <v>1923</v>
      </c>
      <c r="W594" s="112" t="s">
        <v>2100</v>
      </c>
      <c r="X594" s="112" t="s">
        <v>1906</v>
      </c>
      <c r="Y594" s="112" t="s">
        <v>2100</v>
      </c>
      <c r="Z594" s="112" t="s">
        <v>1906</v>
      </c>
      <c r="AA594" s="112" t="s">
        <v>2100</v>
      </c>
      <c r="AB594" s="112" t="s">
        <v>1906</v>
      </c>
      <c r="AC594" s="112">
        <v>173.34</v>
      </c>
      <c r="AD594" s="112" t="s">
        <v>1906</v>
      </c>
      <c r="AE594" s="112">
        <v>50.32</v>
      </c>
      <c r="AF594" s="112" t="s">
        <v>1906</v>
      </c>
      <c r="AG594" s="112">
        <v>0</v>
      </c>
      <c r="AH594" s="112"/>
      <c r="AI594" s="112">
        <v>0</v>
      </c>
      <c r="AJ594" s="112"/>
      <c r="AK594" s="112">
        <v>0</v>
      </c>
      <c r="AL594" s="112"/>
      <c r="AM594" s="112">
        <v>39.07</v>
      </c>
      <c r="AN594" s="112" t="s">
        <v>1906</v>
      </c>
      <c r="AO594" s="112">
        <v>167.46</v>
      </c>
      <c r="AP594" s="112" t="s">
        <v>1906</v>
      </c>
      <c r="AQ594" s="112">
        <v>167.46</v>
      </c>
      <c r="AR594" s="112" t="s">
        <v>1906</v>
      </c>
      <c r="AS594" s="112">
        <v>167.46</v>
      </c>
      <c r="AT594" s="112" t="s">
        <v>1906</v>
      </c>
      <c r="AU594" s="112">
        <f t="shared" si="23"/>
        <v>1285.1300000000001</v>
      </c>
      <c r="AV594" s="111">
        <v>0.45366000000000001</v>
      </c>
      <c r="AW594" s="111" t="s">
        <v>1904</v>
      </c>
      <c r="AX594" s="25"/>
      <c r="AY594" s="25"/>
      <c r="AZ594" s="25"/>
    </row>
    <row r="595" spans="1:52" ht="31.2" x14ac:dyDescent="0.3">
      <c r="A595" s="103">
        <v>585</v>
      </c>
      <c r="B595" s="109" t="s">
        <v>1329</v>
      </c>
      <c r="C595" s="30" t="s">
        <v>1899</v>
      </c>
      <c r="D595" s="110" t="s">
        <v>1900</v>
      </c>
      <c r="E595" s="110" t="s">
        <v>1917</v>
      </c>
      <c r="F595" s="30" t="s">
        <v>2703</v>
      </c>
      <c r="G595" s="26" t="s">
        <v>145</v>
      </c>
      <c r="H595" s="24" t="s">
        <v>146</v>
      </c>
      <c r="I595" s="109">
        <v>1</v>
      </c>
      <c r="J595" s="109" t="s">
        <v>1918</v>
      </c>
      <c r="K595" s="109">
        <v>89</v>
      </c>
      <c r="L595" s="109" t="s">
        <v>1919</v>
      </c>
      <c r="M595" s="109" t="s">
        <v>1904</v>
      </c>
      <c r="N595" s="109" t="s">
        <v>529</v>
      </c>
      <c r="O595" s="109" t="s">
        <v>1920</v>
      </c>
      <c r="P595" s="109" t="s">
        <v>1921</v>
      </c>
      <c r="Q595" s="102">
        <v>0</v>
      </c>
      <c r="R595" s="109" t="s">
        <v>1907</v>
      </c>
      <c r="S595" s="109" t="s">
        <v>1922</v>
      </c>
      <c r="T595" s="25"/>
      <c r="U595" s="111" t="s">
        <v>1923</v>
      </c>
      <c r="V595" s="111" t="s">
        <v>1923</v>
      </c>
      <c r="W595" s="112" t="s">
        <v>2101</v>
      </c>
      <c r="X595" s="112" t="s">
        <v>208</v>
      </c>
      <c r="Y595" s="112" t="s">
        <v>2102</v>
      </c>
      <c r="Z595" s="112" t="s">
        <v>208</v>
      </c>
      <c r="AA595" s="112" t="s">
        <v>2103</v>
      </c>
      <c r="AB595" s="112" t="s">
        <v>208</v>
      </c>
      <c r="AC595" s="112">
        <v>42.24</v>
      </c>
      <c r="AD595" s="112" t="s">
        <v>208</v>
      </c>
      <c r="AE595" s="112">
        <v>19.68</v>
      </c>
      <c r="AF595" s="112" t="s">
        <v>208</v>
      </c>
      <c r="AG595" s="112">
        <v>0</v>
      </c>
      <c r="AH595" s="112"/>
      <c r="AI595" s="112">
        <v>0</v>
      </c>
      <c r="AJ595" s="112"/>
      <c r="AK595" s="112">
        <v>0</v>
      </c>
      <c r="AL595" s="112"/>
      <c r="AM595" s="112">
        <v>0</v>
      </c>
      <c r="AN595" s="112"/>
      <c r="AO595" s="112">
        <v>30.72</v>
      </c>
      <c r="AP595" s="112" t="s">
        <v>208</v>
      </c>
      <c r="AQ595" s="112">
        <v>42.87</v>
      </c>
      <c r="AR595" s="112" t="s">
        <v>208</v>
      </c>
      <c r="AS595" s="112">
        <v>65.040000000000006</v>
      </c>
      <c r="AT595" s="112" t="s">
        <v>208</v>
      </c>
      <c r="AU595" s="112">
        <f t="shared" si="23"/>
        <v>436.66</v>
      </c>
      <c r="AV595" s="111">
        <v>0.22683</v>
      </c>
      <c r="AW595" s="111" t="s">
        <v>1904</v>
      </c>
      <c r="AX595" s="25"/>
      <c r="AY595" s="25"/>
      <c r="AZ595" s="25"/>
    </row>
    <row r="596" spans="1:52" ht="31.2" x14ac:dyDescent="0.3">
      <c r="A596" s="103">
        <v>586</v>
      </c>
      <c r="B596" s="109" t="s">
        <v>1330</v>
      </c>
      <c r="C596" s="30" t="s">
        <v>1899</v>
      </c>
      <c r="D596" s="110" t="s">
        <v>1900</v>
      </c>
      <c r="E596" s="110" t="s">
        <v>1917</v>
      </c>
      <c r="F596" s="30" t="s">
        <v>2703</v>
      </c>
      <c r="G596" s="26" t="s">
        <v>145</v>
      </c>
      <c r="H596" s="24" t="s">
        <v>146</v>
      </c>
      <c r="I596" s="109">
        <v>2</v>
      </c>
      <c r="J596" s="109" t="s">
        <v>1918</v>
      </c>
      <c r="K596" s="109">
        <v>89</v>
      </c>
      <c r="L596" s="109" t="s">
        <v>1919</v>
      </c>
      <c r="M596" s="109" t="s">
        <v>1904</v>
      </c>
      <c r="N596" s="109" t="s">
        <v>529</v>
      </c>
      <c r="O596" s="109" t="s">
        <v>1920</v>
      </c>
      <c r="P596" s="109" t="s">
        <v>1921</v>
      </c>
      <c r="Q596" s="102">
        <v>0</v>
      </c>
      <c r="R596" s="109" t="s">
        <v>1907</v>
      </c>
      <c r="S596" s="109" t="s">
        <v>1922</v>
      </c>
      <c r="T596" s="25"/>
      <c r="U596" s="111" t="s">
        <v>1923</v>
      </c>
      <c r="V596" s="111" t="s">
        <v>1923</v>
      </c>
      <c r="W596" s="112" t="s">
        <v>2104</v>
      </c>
      <c r="X596" s="112" t="s">
        <v>1906</v>
      </c>
      <c r="Y596" s="112" t="s">
        <v>2104</v>
      </c>
      <c r="Z596" s="112" t="s">
        <v>1906</v>
      </c>
      <c r="AA596" s="112" t="s">
        <v>2104</v>
      </c>
      <c r="AB596" s="112" t="s">
        <v>1906</v>
      </c>
      <c r="AC596" s="112">
        <v>144.69</v>
      </c>
      <c r="AD596" s="112" t="s">
        <v>1906</v>
      </c>
      <c r="AE596" s="112">
        <v>42.01</v>
      </c>
      <c r="AF596" s="112" t="s">
        <v>1906</v>
      </c>
      <c r="AG596" s="112">
        <v>0</v>
      </c>
      <c r="AH596" s="112"/>
      <c r="AI596" s="112">
        <v>0</v>
      </c>
      <c r="AJ596" s="112"/>
      <c r="AK596" s="112">
        <v>0</v>
      </c>
      <c r="AL596" s="112"/>
      <c r="AM596" s="112">
        <v>0</v>
      </c>
      <c r="AN596" s="112"/>
      <c r="AO596" s="112">
        <v>80.459999999999994</v>
      </c>
      <c r="AP596" s="112" t="s">
        <v>208</v>
      </c>
      <c r="AQ596" s="112">
        <v>43.75</v>
      </c>
      <c r="AR596" s="112" t="s">
        <v>208</v>
      </c>
      <c r="AS596" s="112">
        <v>64.959999999999994</v>
      </c>
      <c r="AT596" s="112" t="s">
        <v>208</v>
      </c>
      <c r="AU596" s="112">
        <f t="shared" si="23"/>
        <v>809.94</v>
      </c>
      <c r="AV596" s="111">
        <v>0.37628</v>
      </c>
      <c r="AW596" s="111" t="s">
        <v>1904</v>
      </c>
      <c r="AX596" s="25"/>
      <c r="AY596" s="25"/>
      <c r="AZ596" s="25"/>
    </row>
    <row r="597" spans="1:52" ht="31.2" x14ac:dyDescent="0.3">
      <c r="A597" s="103">
        <v>587</v>
      </c>
      <c r="B597" s="109" t="s">
        <v>1331</v>
      </c>
      <c r="C597" s="30" t="s">
        <v>1899</v>
      </c>
      <c r="D597" s="110" t="s">
        <v>1900</v>
      </c>
      <c r="E597" s="110" t="s">
        <v>1917</v>
      </c>
      <c r="F597" s="30" t="s">
        <v>2703</v>
      </c>
      <c r="G597" s="26" t="s">
        <v>145</v>
      </c>
      <c r="H597" s="24" t="s">
        <v>146</v>
      </c>
      <c r="I597" s="109">
        <v>1</v>
      </c>
      <c r="J597" s="109" t="s">
        <v>1918</v>
      </c>
      <c r="K597" s="109">
        <v>50</v>
      </c>
      <c r="L597" s="109" t="s">
        <v>1919</v>
      </c>
      <c r="M597" s="109" t="s">
        <v>1904</v>
      </c>
      <c r="N597" s="109" t="s">
        <v>529</v>
      </c>
      <c r="O597" s="109" t="s">
        <v>1920</v>
      </c>
      <c r="P597" s="109" t="s">
        <v>1921</v>
      </c>
      <c r="Q597" s="102">
        <v>0</v>
      </c>
      <c r="R597" s="109" t="s">
        <v>1907</v>
      </c>
      <c r="S597" s="109" t="s">
        <v>1922</v>
      </c>
      <c r="T597" s="25"/>
      <c r="U597" s="111" t="s">
        <v>1923</v>
      </c>
      <c r="V597" s="111" t="s">
        <v>1923</v>
      </c>
      <c r="W597" s="112" t="s">
        <v>2105</v>
      </c>
      <c r="X597" s="112" t="s">
        <v>208</v>
      </c>
      <c r="Y597" s="112" t="s">
        <v>2106</v>
      </c>
      <c r="Z597" s="112" t="s">
        <v>208</v>
      </c>
      <c r="AA597" s="112" t="s">
        <v>2107</v>
      </c>
      <c r="AB597" s="112" t="s">
        <v>208</v>
      </c>
      <c r="AC597" s="112">
        <v>8.7100000000000009</v>
      </c>
      <c r="AD597" s="112" t="s">
        <v>208</v>
      </c>
      <c r="AE597" s="112">
        <v>2.5299999999999998</v>
      </c>
      <c r="AF597" s="112" t="s">
        <v>208</v>
      </c>
      <c r="AG597" s="112">
        <v>0</v>
      </c>
      <c r="AH597" s="112"/>
      <c r="AI597" s="112">
        <v>0</v>
      </c>
      <c r="AJ597" s="112"/>
      <c r="AK597" s="112">
        <v>0</v>
      </c>
      <c r="AL597" s="112"/>
      <c r="AM597" s="112">
        <v>0</v>
      </c>
      <c r="AN597" s="112"/>
      <c r="AO597" s="112">
        <v>7.95</v>
      </c>
      <c r="AP597" s="112" t="s">
        <v>1906</v>
      </c>
      <c r="AQ597" s="112">
        <v>7.95</v>
      </c>
      <c r="AR597" s="112" t="s">
        <v>1906</v>
      </c>
      <c r="AS597" s="112">
        <v>7.95</v>
      </c>
      <c r="AT597" s="112" t="s">
        <v>1906</v>
      </c>
      <c r="AU597" s="112">
        <f t="shared" si="23"/>
        <v>70.34</v>
      </c>
      <c r="AV597" s="111">
        <v>5.1189999999999999E-2</v>
      </c>
      <c r="AW597" s="111" t="s">
        <v>1904</v>
      </c>
      <c r="AX597" s="25"/>
      <c r="AY597" s="25"/>
      <c r="AZ597" s="25"/>
    </row>
    <row r="598" spans="1:52" ht="31.2" x14ac:dyDescent="0.3">
      <c r="A598" s="103">
        <v>588</v>
      </c>
      <c r="B598" s="109" t="s">
        <v>1333</v>
      </c>
      <c r="C598" s="30" t="s">
        <v>1899</v>
      </c>
      <c r="D598" s="110" t="s">
        <v>1900</v>
      </c>
      <c r="E598" s="110" t="s">
        <v>1917</v>
      </c>
      <c r="F598" s="30" t="s">
        <v>2703</v>
      </c>
      <c r="G598" s="26" t="s">
        <v>145</v>
      </c>
      <c r="H598" s="24" t="s">
        <v>146</v>
      </c>
      <c r="I598" s="109">
        <v>1</v>
      </c>
      <c r="J598" s="109" t="s">
        <v>1918</v>
      </c>
      <c r="K598" s="109">
        <v>89</v>
      </c>
      <c r="L598" s="109" t="s">
        <v>1919</v>
      </c>
      <c r="M598" s="109" t="s">
        <v>1904</v>
      </c>
      <c r="N598" s="109" t="s">
        <v>529</v>
      </c>
      <c r="O598" s="109" t="s">
        <v>1920</v>
      </c>
      <c r="P598" s="109" t="s">
        <v>1921</v>
      </c>
      <c r="Q598" s="102">
        <v>0</v>
      </c>
      <c r="R598" s="109" t="s">
        <v>1907</v>
      </c>
      <c r="S598" s="109" t="s">
        <v>1922</v>
      </c>
      <c r="T598" s="25"/>
      <c r="U598" s="111" t="s">
        <v>1923</v>
      </c>
      <c r="V598" s="111" t="s">
        <v>1923</v>
      </c>
      <c r="W598" s="112" t="s">
        <v>2108</v>
      </c>
      <c r="X598" s="112" t="s">
        <v>1906</v>
      </c>
      <c r="Y598" s="112" t="s">
        <v>2109</v>
      </c>
      <c r="Z598" s="112" t="s">
        <v>1906</v>
      </c>
      <c r="AA598" s="112" t="s">
        <v>2108</v>
      </c>
      <c r="AB598" s="112" t="s">
        <v>1906</v>
      </c>
      <c r="AC598" s="112">
        <v>48.27</v>
      </c>
      <c r="AD598" s="112" t="s">
        <v>1906</v>
      </c>
      <c r="AE598" s="112">
        <v>22.85</v>
      </c>
      <c r="AF598" s="112" t="s">
        <v>1906</v>
      </c>
      <c r="AG598" s="112">
        <v>0</v>
      </c>
      <c r="AH598" s="112"/>
      <c r="AI598" s="112">
        <v>0</v>
      </c>
      <c r="AJ598" s="112"/>
      <c r="AK598" s="112">
        <v>0</v>
      </c>
      <c r="AL598" s="112"/>
      <c r="AM598" s="112">
        <v>0</v>
      </c>
      <c r="AN598" s="112"/>
      <c r="AO598" s="112">
        <v>37.130000000000003</v>
      </c>
      <c r="AP598" s="112" t="s">
        <v>208</v>
      </c>
      <c r="AQ598" s="112">
        <v>49.85</v>
      </c>
      <c r="AR598" s="112" t="s">
        <v>208</v>
      </c>
      <c r="AS598" s="112">
        <v>73.849999999999994</v>
      </c>
      <c r="AT598" s="112" t="s">
        <v>208</v>
      </c>
      <c r="AU598" s="112">
        <f t="shared" si="23"/>
        <v>470.07000000000005</v>
      </c>
      <c r="AV598" s="111">
        <v>0.30042999999999997</v>
      </c>
      <c r="AW598" s="111" t="s">
        <v>1904</v>
      </c>
      <c r="AX598" s="25"/>
      <c r="AY598" s="25"/>
      <c r="AZ598" s="25"/>
    </row>
    <row r="599" spans="1:52" ht="31.2" x14ac:dyDescent="0.3">
      <c r="A599" s="103">
        <v>589</v>
      </c>
      <c r="B599" s="109" t="s">
        <v>1335</v>
      </c>
      <c r="C599" s="30" t="s">
        <v>1899</v>
      </c>
      <c r="D599" s="110" t="s">
        <v>1900</v>
      </c>
      <c r="E599" s="110" t="s">
        <v>1917</v>
      </c>
      <c r="F599" s="30" t="s">
        <v>2703</v>
      </c>
      <c r="G599" s="26" t="s">
        <v>145</v>
      </c>
      <c r="H599" s="24" t="s">
        <v>146</v>
      </c>
      <c r="I599" s="109">
        <v>0</v>
      </c>
      <c r="J599" s="109" t="s">
        <v>1918</v>
      </c>
      <c r="K599" s="109">
        <v>50</v>
      </c>
      <c r="L599" s="109" t="s">
        <v>1919</v>
      </c>
      <c r="M599" s="109" t="s">
        <v>1904</v>
      </c>
      <c r="N599" s="109" t="s">
        <v>529</v>
      </c>
      <c r="O599" s="109" t="s">
        <v>1920</v>
      </c>
      <c r="P599" s="109" t="s">
        <v>1920</v>
      </c>
      <c r="Q599" s="102">
        <v>0</v>
      </c>
      <c r="R599" s="109" t="s">
        <v>1907</v>
      </c>
      <c r="S599" s="109" t="s">
        <v>1922</v>
      </c>
      <c r="T599" s="25"/>
      <c r="U599" s="111" t="s">
        <v>1923</v>
      </c>
      <c r="V599" s="111" t="s">
        <v>1923</v>
      </c>
      <c r="W599" s="112" t="s">
        <v>2110</v>
      </c>
      <c r="X599" s="112" t="s">
        <v>1906</v>
      </c>
      <c r="Y599" s="112" t="s">
        <v>2110</v>
      </c>
      <c r="Z599" s="112" t="s">
        <v>1906</v>
      </c>
      <c r="AA599" s="112" t="s">
        <v>2110</v>
      </c>
      <c r="AB599" s="112" t="s">
        <v>1906</v>
      </c>
      <c r="AC599" s="112">
        <v>31.22</v>
      </c>
      <c r="AD599" s="112" t="s">
        <v>1906</v>
      </c>
      <c r="AE599" s="112">
        <v>9.06</v>
      </c>
      <c r="AF599" s="112" t="s">
        <v>1906</v>
      </c>
      <c r="AG599" s="112">
        <v>0</v>
      </c>
      <c r="AH599" s="112"/>
      <c r="AI599" s="112">
        <v>0</v>
      </c>
      <c r="AJ599" s="112"/>
      <c r="AK599" s="112">
        <v>0</v>
      </c>
      <c r="AL599" s="112"/>
      <c r="AM599" s="112">
        <v>6.46</v>
      </c>
      <c r="AN599" s="112" t="s">
        <v>1906</v>
      </c>
      <c r="AO599" s="112">
        <v>27.68</v>
      </c>
      <c r="AP599" s="112" t="s">
        <v>1906</v>
      </c>
      <c r="AQ599" s="112">
        <v>27.68</v>
      </c>
      <c r="AR599" s="112" t="s">
        <v>1906</v>
      </c>
      <c r="AS599" s="112">
        <v>27.68</v>
      </c>
      <c r="AT599" s="112" t="s">
        <v>1906</v>
      </c>
      <c r="AU599" s="112">
        <f t="shared" si="23"/>
        <v>223.44000000000003</v>
      </c>
      <c r="AV599" s="111">
        <v>0.13078000000000001</v>
      </c>
      <c r="AW599" s="111" t="s">
        <v>1904</v>
      </c>
      <c r="AX599" s="25"/>
      <c r="AY599" s="25"/>
      <c r="AZ599" s="25"/>
    </row>
    <row r="600" spans="1:52" ht="31.2" x14ac:dyDescent="0.3">
      <c r="A600" s="103">
        <v>590</v>
      </c>
      <c r="B600" s="109" t="s">
        <v>1336</v>
      </c>
      <c r="C600" s="30" t="s">
        <v>1899</v>
      </c>
      <c r="D600" s="110" t="s">
        <v>1900</v>
      </c>
      <c r="E600" s="110" t="s">
        <v>1917</v>
      </c>
      <c r="F600" s="30" t="s">
        <v>2703</v>
      </c>
      <c r="G600" s="26" t="s">
        <v>145</v>
      </c>
      <c r="H600" s="24" t="s">
        <v>146</v>
      </c>
      <c r="I600" s="109">
        <v>1</v>
      </c>
      <c r="J600" s="109" t="s">
        <v>1918</v>
      </c>
      <c r="K600" s="109">
        <v>76</v>
      </c>
      <c r="L600" s="109" t="s">
        <v>1919</v>
      </c>
      <c r="M600" s="109" t="s">
        <v>1904</v>
      </c>
      <c r="N600" s="109" t="s">
        <v>529</v>
      </c>
      <c r="O600" s="109" t="s">
        <v>1920</v>
      </c>
      <c r="P600" s="109" t="s">
        <v>1921</v>
      </c>
      <c r="Q600" s="102">
        <v>0</v>
      </c>
      <c r="R600" s="109" t="s">
        <v>1907</v>
      </c>
      <c r="S600" s="109" t="s">
        <v>1922</v>
      </c>
      <c r="T600" s="25"/>
      <c r="U600" s="111" t="s">
        <v>1923</v>
      </c>
      <c r="V600" s="111" t="s">
        <v>1923</v>
      </c>
      <c r="W600" s="112" t="s">
        <v>2111</v>
      </c>
      <c r="X600" s="112" t="s">
        <v>208</v>
      </c>
      <c r="Y600" s="112" t="s">
        <v>2112</v>
      </c>
      <c r="Z600" s="112" t="s">
        <v>208</v>
      </c>
      <c r="AA600" s="112" t="s">
        <v>2113</v>
      </c>
      <c r="AB600" s="112" t="s">
        <v>208</v>
      </c>
      <c r="AC600" s="112">
        <v>37.97</v>
      </c>
      <c r="AD600" s="112" t="s">
        <v>208</v>
      </c>
      <c r="AE600" s="112">
        <v>17.96</v>
      </c>
      <c r="AF600" s="112" t="s">
        <v>208</v>
      </c>
      <c r="AG600" s="112">
        <v>0</v>
      </c>
      <c r="AH600" s="112"/>
      <c r="AI600" s="112">
        <v>0</v>
      </c>
      <c r="AJ600" s="112"/>
      <c r="AK600" s="112">
        <v>0</v>
      </c>
      <c r="AL600" s="112"/>
      <c r="AM600" s="112">
        <v>0</v>
      </c>
      <c r="AN600" s="112"/>
      <c r="AO600" s="112">
        <v>37.72</v>
      </c>
      <c r="AP600" s="112" t="s">
        <v>208</v>
      </c>
      <c r="AQ600" s="112">
        <v>43.51</v>
      </c>
      <c r="AR600" s="112" t="s">
        <v>208</v>
      </c>
      <c r="AS600" s="112">
        <v>62.01</v>
      </c>
      <c r="AT600" s="112" t="s">
        <v>208</v>
      </c>
      <c r="AU600" s="112">
        <f t="shared" si="23"/>
        <v>441.81999999999994</v>
      </c>
      <c r="AV600" s="111">
        <v>0.23385</v>
      </c>
      <c r="AW600" s="111" t="s">
        <v>1904</v>
      </c>
      <c r="AX600" s="25"/>
      <c r="AY600" s="25"/>
      <c r="AZ600" s="25"/>
    </row>
    <row r="601" spans="1:52" ht="31.2" x14ac:dyDescent="0.3">
      <c r="A601" s="103">
        <v>591</v>
      </c>
      <c r="B601" s="109" t="s">
        <v>1337</v>
      </c>
      <c r="C601" s="30" t="s">
        <v>1899</v>
      </c>
      <c r="D601" s="110" t="s">
        <v>1900</v>
      </c>
      <c r="E601" s="110" t="s">
        <v>1917</v>
      </c>
      <c r="F601" s="30" t="s">
        <v>2703</v>
      </c>
      <c r="G601" s="26" t="s">
        <v>145</v>
      </c>
      <c r="H601" s="24" t="s">
        <v>146</v>
      </c>
      <c r="I601" s="109">
        <v>0</v>
      </c>
      <c r="J601" s="109" t="s">
        <v>1918</v>
      </c>
      <c r="K601" s="109">
        <v>50</v>
      </c>
      <c r="L601" s="109" t="s">
        <v>1919</v>
      </c>
      <c r="M601" s="109" t="s">
        <v>1904</v>
      </c>
      <c r="N601" s="109" t="s">
        <v>529</v>
      </c>
      <c r="O601" s="109" t="s">
        <v>1920</v>
      </c>
      <c r="P601" s="109" t="s">
        <v>1920</v>
      </c>
      <c r="Q601" s="102">
        <v>0</v>
      </c>
      <c r="R601" s="109" t="s">
        <v>1907</v>
      </c>
      <c r="S601" s="109" t="s">
        <v>1922</v>
      </c>
      <c r="T601" s="25"/>
      <c r="U601" s="111" t="s">
        <v>1923</v>
      </c>
      <c r="V601" s="111" t="s">
        <v>1923</v>
      </c>
      <c r="W601" s="112" t="s">
        <v>2114</v>
      </c>
      <c r="X601" s="112" t="s">
        <v>1906</v>
      </c>
      <c r="Y601" s="112" t="s">
        <v>2115</v>
      </c>
      <c r="Z601" s="112" t="s">
        <v>1906</v>
      </c>
      <c r="AA601" s="112" t="s">
        <v>2115</v>
      </c>
      <c r="AB601" s="112" t="s">
        <v>1906</v>
      </c>
      <c r="AC601" s="112">
        <v>46.99</v>
      </c>
      <c r="AD601" s="112" t="s">
        <v>1906</v>
      </c>
      <c r="AE601" s="112">
        <v>13.64</v>
      </c>
      <c r="AF601" s="112" t="s">
        <v>1906</v>
      </c>
      <c r="AG601" s="112">
        <v>0</v>
      </c>
      <c r="AH601" s="112"/>
      <c r="AI601" s="112">
        <v>0</v>
      </c>
      <c r="AJ601" s="112"/>
      <c r="AK601" s="112">
        <v>0</v>
      </c>
      <c r="AL601" s="112"/>
      <c r="AM601" s="112">
        <v>11.23</v>
      </c>
      <c r="AN601" s="112" t="s">
        <v>1906</v>
      </c>
      <c r="AO601" s="112">
        <v>48.14</v>
      </c>
      <c r="AP601" s="112" t="s">
        <v>1906</v>
      </c>
      <c r="AQ601" s="112">
        <v>48.14</v>
      </c>
      <c r="AR601" s="112" t="s">
        <v>1906</v>
      </c>
      <c r="AS601" s="112">
        <v>48.14</v>
      </c>
      <c r="AT601" s="112" t="s">
        <v>1906</v>
      </c>
      <c r="AU601" s="112">
        <f t="shared" si="23"/>
        <v>357.56</v>
      </c>
      <c r="AV601" s="111">
        <v>0.13078000000000001</v>
      </c>
      <c r="AW601" s="111" t="s">
        <v>1904</v>
      </c>
      <c r="AX601" s="25"/>
      <c r="AY601" s="25"/>
      <c r="AZ601" s="25"/>
    </row>
    <row r="602" spans="1:52" ht="31.2" x14ac:dyDescent="0.3">
      <c r="A602" s="103">
        <v>592</v>
      </c>
      <c r="B602" s="109" t="s">
        <v>1338</v>
      </c>
      <c r="C602" s="30" t="s">
        <v>1899</v>
      </c>
      <c r="D602" s="110" t="s">
        <v>1900</v>
      </c>
      <c r="E602" s="110" t="s">
        <v>1917</v>
      </c>
      <c r="F602" s="30" t="s">
        <v>2703</v>
      </c>
      <c r="G602" s="26" t="s">
        <v>145</v>
      </c>
      <c r="H602" s="24" t="s">
        <v>146</v>
      </c>
      <c r="I602" s="109">
        <v>0</v>
      </c>
      <c r="J602" s="109" t="s">
        <v>1918</v>
      </c>
      <c r="K602" s="109">
        <v>50</v>
      </c>
      <c r="L602" s="109" t="s">
        <v>1919</v>
      </c>
      <c r="M602" s="109" t="s">
        <v>1904</v>
      </c>
      <c r="N602" s="109" t="s">
        <v>529</v>
      </c>
      <c r="O602" s="109" t="s">
        <v>1920</v>
      </c>
      <c r="P602" s="109" t="s">
        <v>1920</v>
      </c>
      <c r="Q602" s="102">
        <v>0</v>
      </c>
      <c r="R602" s="109" t="s">
        <v>1907</v>
      </c>
      <c r="S602" s="109" t="s">
        <v>1922</v>
      </c>
      <c r="T602" s="25"/>
      <c r="U602" s="111" t="s">
        <v>1923</v>
      </c>
      <c r="V602" s="111" t="s">
        <v>1923</v>
      </c>
      <c r="W602" s="112" t="s">
        <v>2116</v>
      </c>
      <c r="X602" s="112" t="s">
        <v>1906</v>
      </c>
      <c r="Y602" s="112" t="s">
        <v>2116</v>
      </c>
      <c r="Z602" s="112" t="s">
        <v>1906</v>
      </c>
      <c r="AA602" s="112" t="s">
        <v>2116</v>
      </c>
      <c r="AB602" s="112" t="s">
        <v>1906</v>
      </c>
      <c r="AC602" s="112">
        <v>28.62</v>
      </c>
      <c r="AD602" s="112" t="s">
        <v>1906</v>
      </c>
      <c r="AE602" s="112">
        <v>8.31</v>
      </c>
      <c r="AF602" s="112" t="s">
        <v>1906</v>
      </c>
      <c r="AG602" s="112">
        <v>0</v>
      </c>
      <c r="AH602" s="112"/>
      <c r="AI602" s="112">
        <v>0</v>
      </c>
      <c r="AJ602" s="112"/>
      <c r="AK602" s="112">
        <v>0</v>
      </c>
      <c r="AL602" s="112"/>
      <c r="AM602" s="112">
        <v>6.36</v>
      </c>
      <c r="AN602" s="112" t="s">
        <v>1906</v>
      </c>
      <c r="AO602" s="112">
        <v>27.24</v>
      </c>
      <c r="AP602" s="112" t="s">
        <v>1906</v>
      </c>
      <c r="AQ602" s="112">
        <v>27.24</v>
      </c>
      <c r="AR602" s="112" t="s">
        <v>1906</v>
      </c>
      <c r="AS602" s="112">
        <v>27.24</v>
      </c>
      <c r="AT602" s="112" t="s">
        <v>1906</v>
      </c>
      <c r="AU602" s="112">
        <f t="shared" si="23"/>
        <v>210.87000000000003</v>
      </c>
      <c r="AV602" s="111">
        <v>0.11944</v>
      </c>
      <c r="AW602" s="111" t="s">
        <v>1904</v>
      </c>
      <c r="AX602" s="25"/>
      <c r="AY602" s="25"/>
      <c r="AZ602" s="25"/>
    </row>
    <row r="603" spans="1:52" ht="31.2" x14ac:dyDescent="0.3">
      <c r="A603" s="103">
        <v>593</v>
      </c>
      <c r="B603" s="109" t="s">
        <v>1340</v>
      </c>
      <c r="C603" s="30" t="s">
        <v>1899</v>
      </c>
      <c r="D603" s="110" t="s">
        <v>1900</v>
      </c>
      <c r="E603" s="110" t="s">
        <v>1917</v>
      </c>
      <c r="F603" s="30" t="s">
        <v>2703</v>
      </c>
      <c r="G603" s="26" t="s">
        <v>145</v>
      </c>
      <c r="H603" s="24" t="s">
        <v>146</v>
      </c>
      <c r="I603" s="109">
        <v>0</v>
      </c>
      <c r="J603" s="109" t="s">
        <v>1918</v>
      </c>
      <c r="K603" s="109">
        <v>50</v>
      </c>
      <c r="L603" s="109" t="s">
        <v>1919</v>
      </c>
      <c r="M603" s="109" t="s">
        <v>1904</v>
      </c>
      <c r="N603" s="109" t="s">
        <v>529</v>
      </c>
      <c r="O603" s="109" t="s">
        <v>1920</v>
      </c>
      <c r="P603" s="109" t="s">
        <v>1920</v>
      </c>
      <c r="Q603" s="102">
        <v>0</v>
      </c>
      <c r="R603" s="109" t="s">
        <v>1907</v>
      </c>
      <c r="S603" s="109" t="s">
        <v>1922</v>
      </c>
      <c r="T603" s="25"/>
      <c r="U603" s="111" t="s">
        <v>1923</v>
      </c>
      <c r="V603" s="111" t="s">
        <v>1923</v>
      </c>
      <c r="W603" s="112" t="s">
        <v>2117</v>
      </c>
      <c r="X603" s="112" t="s">
        <v>1906</v>
      </c>
      <c r="Y603" s="112" t="s">
        <v>2117</v>
      </c>
      <c r="Z603" s="112" t="s">
        <v>1906</v>
      </c>
      <c r="AA603" s="112" t="s">
        <v>2117</v>
      </c>
      <c r="AB603" s="112" t="s">
        <v>1906</v>
      </c>
      <c r="AC603" s="112">
        <v>46.64</v>
      </c>
      <c r="AD603" s="112" t="s">
        <v>1906</v>
      </c>
      <c r="AE603" s="112">
        <v>13.54</v>
      </c>
      <c r="AF603" s="112" t="s">
        <v>1906</v>
      </c>
      <c r="AG603" s="112">
        <v>0</v>
      </c>
      <c r="AH603" s="112"/>
      <c r="AI603" s="112">
        <v>0</v>
      </c>
      <c r="AJ603" s="112"/>
      <c r="AK603" s="112">
        <v>0</v>
      </c>
      <c r="AL603" s="112"/>
      <c r="AM603" s="112">
        <v>0</v>
      </c>
      <c r="AN603" s="112"/>
      <c r="AO603" s="112">
        <v>46.27</v>
      </c>
      <c r="AP603" s="112" t="s">
        <v>1906</v>
      </c>
      <c r="AQ603" s="112">
        <v>46.27</v>
      </c>
      <c r="AR603" s="112" t="s">
        <v>1906</v>
      </c>
      <c r="AS603" s="112">
        <v>46.27</v>
      </c>
      <c r="AT603" s="112" t="s">
        <v>1906</v>
      </c>
      <c r="AU603" s="112">
        <f t="shared" si="23"/>
        <v>338.90999999999997</v>
      </c>
      <c r="AV603" s="111">
        <v>0.15758</v>
      </c>
      <c r="AW603" s="111" t="s">
        <v>1904</v>
      </c>
      <c r="AX603" s="25"/>
      <c r="AY603" s="25"/>
      <c r="AZ603" s="25"/>
    </row>
    <row r="604" spans="1:52" ht="31.2" x14ac:dyDescent="0.3">
      <c r="A604" s="103">
        <v>594</v>
      </c>
      <c r="B604" s="109" t="s">
        <v>1341</v>
      </c>
      <c r="C604" s="30" t="s">
        <v>1899</v>
      </c>
      <c r="D604" s="110" t="s">
        <v>1900</v>
      </c>
      <c r="E604" s="110" t="s">
        <v>1917</v>
      </c>
      <c r="F604" s="30" t="s">
        <v>2703</v>
      </c>
      <c r="G604" s="26" t="s">
        <v>145</v>
      </c>
      <c r="H604" s="24" t="s">
        <v>146</v>
      </c>
      <c r="I604" s="109">
        <v>1</v>
      </c>
      <c r="J604" s="109" t="s">
        <v>1918</v>
      </c>
      <c r="K604" s="109">
        <v>89</v>
      </c>
      <c r="L604" s="109" t="s">
        <v>1919</v>
      </c>
      <c r="M604" s="109" t="s">
        <v>1904</v>
      </c>
      <c r="N604" s="109" t="s">
        <v>529</v>
      </c>
      <c r="O604" s="109" t="s">
        <v>1920</v>
      </c>
      <c r="P604" s="109" t="s">
        <v>1921</v>
      </c>
      <c r="Q604" s="102">
        <v>0</v>
      </c>
      <c r="R604" s="109" t="s">
        <v>1907</v>
      </c>
      <c r="S604" s="109" t="s">
        <v>1922</v>
      </c>
      <c r="T604" s="25"/>
      <c r="U604" s="111" t="s">
        <v>1923</v>
      </c>
      <c r="V604" s="111" t="s">
        <v>1923</v>
      </c>
      <c r="W604" s="112">
        <v>56.905000000000001</v>
      </c>
      <c r="X604" s="112" t="s">
        <v>1906</v>
      </c>
      <c r="Y604" s="112">
        <v>56.905000000000001</v>
      </c>
      <c r="Z604" s="112" t="s">
        <v>1906</v>
      </c>
      <c r="AA604" s="112">
        <v>56.905000000000001</v>
      </c>
      <c r="AB604" s="112" t="s">
        <v>1906</v>
      </c>
      <c r="AC604" s="112">
        <v>56.905000000000001</v>
      </c>
      <c r="AD604" s="112" t="s">
        <v>1906</v>
      </c>
      <c r="AE604" s="112">
        <v>32.96</v>
      </c>
      <c r="AF604" s="112" t="s">
        <v>1906</v>
      </c>
      <c r="AG604" s="112">
        <v>0</v>
      </c>
      <c r="AH604" s="112"/>
      <c r="AI604" s="112">
        <v>0</v>
      </c>
      <c r="AJ604" s="112"/>
      <c r="AK604" s="112">
        <v>0</v>
      </c>
      <c r="AL604" s="112"/>
      <c r="AM604" s="112">
        <v>0</v>
      </c>
      <c r="AN604" s="112"/>
      <c r="AO604" s="112">
        <v>122.48</v>
      </c>
      <c r="AP604" s="112" t="s">
        <v>208</v>
      </c>
      <c r="AQ604" s="112">
        <v>54.02</v>
      </c>
      <c r="AR604" s="112" t="s">
        <v>208</v>
      </c>
      <c r="AS604" s="112">
        <v>54.02</v>
      </c>
      <c r="AT604" s="112" t="s">
        <v>208</v>
      </c>
      <c r="AU604" s="112">
        <f t="shared" si="23"/>
        <v>491.09999999999997</v>
      </c>
      <c r="AV604" s="111">
        <v>0.231185</v>
      </c>
      <c r="AW604" s="111" t="s">
        <v>1904</v>
      </c>
      <c r="AX604" s="25"/>
      <c r="AY604" s="25"/>
      <c r="AZ604" s="25"/>
    </row>
    <row r="605" spans="1:52" ht="31.2" x14ac:dyDescent="0.3">
      <c r="A605" s="103">
        <v>595</v>
      </c>
      <c r="B605" s="109" t="s">
        <v>1342</v>
      </c>
      <c r="C605" s="30" t="s">
        <v>1899</v>
      </c>
      <c r="D605" s="110" t="s">
        <v>1900</v>
      </c>
      <c r="E605" s="110" t="s">
        <v>1917</v>
      </c>
      <c r="F605" s="30" t="s">
        <v>2703</v>
      </c>
      <c r="G605" s="26" t="s">
        <v>145</v>
      </c>
      <c r="H605" s="24" t="s">
        <v>146</v>
      </c>
      <c r="I605" s="109">
        <v>1</v>
      </c>
      <c r="J605" s="109" t="s">
        <v>1918</v>
      </c>
      <c r="K605" s="109">
        <v>50</v>
      </c>
      <c r="L605" s="109" t="s">
        <v>1919</v>
      </c>
      <c r="M605" s="109" t="s">
        <v>1904</v>
      </c>
      <c r="N605" s="109" t="s">
        <v>529</v>
      </c>
      <c r="O605" s="109" t="s">
        <v>1920</v>
      </c>
      <c r="P605" s="109" t="s">
        <v>1921</v>
      </c>
      <c r="Q605" s="102">
        <v>0</v>
      </c>
      <c r="R605" s="109" t="s">
        <v>1907</v>
      </c>
      <c r="S605" s="109" t="s">
        <v>1922</v>
      </c>
      <c r="T605" s="25"/>
      <c r="U605" s="111" t="s">
        <v>1923</v>
      </c>
      <c r="V605" s="111" t="s">
        <v>1923</v>
      </c>
      <c r="W605" s="112" t="s">
        <v>2118</v>
      </c>
      <c r="X605" s="112" t="s">
        <v>208</v>
      </c>
      <c r="Y605" s="112" t="s">
        <v>2119</v>
      </c>
      <c r="Z605" s="112" t="s">
        <v>208</v>
      </c>
      <c r="AA605" s="112" t="s">
        <v>2120</v>
      </c>
      <c r="AB605" s="112" t="s">
        <v>208</v>
      </c>
      <c r="AC605" s="112">
        <v>16.57</v>
      </c>
      <c r="AD605" s="112" t="s">
        <v>208</v>
      </c>
      <c r="AE605" s="112">
        <v>4.8099999999999996</v>
      </c>
      <c r="AF605" s="112" t="s">
        <v>208</v>
      </c>
      <c r="AG605" s="112">
        <v>0</v>
      </c>
      <c r="AH605" s="112"/>
      <c r="AI605" s="112">
        <v>0</v>
      </c>
      <c r="AJ605" s="112"/>
      <c r="AK605" s="112">
        <v>0</v>
      </c>
      <c r="AL605" s="112"/>
      <c r="AM605" s="112">
        <v>0</v>
      </c>
      <c r="AN605" s="112"/>
      <c r="AO605" s="112">
        <v>16.61</v>
      </c>
      <c r="AP605" s="112" t="s">
        <v>1906</v>
      </c>
      <c r="AQ605" s="112">
        <v>16.61</v>
      </c>
      <c r="AR605" s="112" t="s">
        <v>1906</v>
      </c>
      <c r="AS605" s="112">
        <v>16.61</v>
      </c>
      <c r="AT605" s="112" t="s">
        <v>1906</v>
      </c>
      <c r="AU605" s="112">
        <f t="shared" si="23"/>
        <v>146.71999999999997</v>
      </c>
      <c r="AV605" s="111">
        <v>8.7319999999999995E-2</v>
      </c>
      <c r="AW605" s="111" t="s">
        <v>1904</v>
      </c>
      <c r="AX605" s="25"/>
      <c r="AY605" s="25"/>
      <c r="AZ605" s="25"/>
    </row>
    <row r="606" spans="1:52" ht="31.2" x14ac:dyDescent="0.3">
      <c r="A606" s="103">
        <v>596</v>
      </c>
      <c r="B606" s="109" t="s">
        <v>1343</v>
      </c>
      <c r="C606" s="30" t="s">
        <v>1899</v>
      </c>
      <c r="D606" s="110" t="s">
        <v>1900</v>
      </c>
      <c r="E606" s="110" t="s">
        <v>1917</v>
      </c>
      <c r="F606" s="30" t="s">
        <v>2703</v>
      </c>
      <c r="G606" s="26" t="s">
        <v>145</v>
      </c>
      <c r="H606" s="24" t="s">
        <v>146</v>
      </c>
      <c r="I606" s="109">
        <v>1</v>
      </c>
      <c r="J606" s="109" t="s">
        <v>1918</v>
      </c>
      <c r="K606" s="109">
        <v>76</v>
      </c>
      <c r="L606" s="109" t="s">
        <v>1919</v>
      </c>
      <c r="M606" s="109" t="s">
        <v>1904</v>
      </c>
      <c r="N606" s="109" t="s">
        <v>529</v>
      </c>
      <c r="O606" s="109" t="s">
        <v>1920</v>
      </c>
      <c r="P606" s="109" t="s">
        <v>1921</v>
      </c>
      <c r="Q606" s="102">
        <v>0</v>
      </c>
      <c r="R606" s="109" t="s">
        <v>1907</v>
      </c>
      <c r="S606" s="109" t="s">
        <v>1922</v>
      </c>
      <c r="T606" s="25"/>
      <c r="U606" s="111" t="s">
        <v>1923</v>
      </c>
      <c r="V606" s="111" t="s">
        <v>1923</v>
      </c>
      <c r="W606" s="112" t="s">
        <v>2121</v>
      </c>
      <c r="X606" s="112" t="s">
        <v>1906</v>
      </c>
      <c r="Y606" s="112" t="s">
        <v>2122</v>
      </c>
      <c r="Z606" s="112" t="s">
        <v>1906</v>
      </c>
      <c r="AA606" s="112" t="s">
        <v>2123</v>
      </c>
      <c r="AB606" s="112" t="s">
        <v>1906</v>
      </c>
      <c r="AC606" s="112">
        <v>40.79</v>
      </c>
      <c r="AD606" s="112" t="s">
        <v>1906</v>
      </c>
      <c r="AE606" s="112">
        <v>20.73</v>
      </c>
      <c r="AF606" s="112" t="s">
        <v>1906</v>
      </c>
      <c r="AG606" s="112">
        <v>0</v>
      </c>
      <c r="AH606" s="112"/>
      <c r="AI606" s="112">
        <v>0</v>
      </c>
      <c r="AJ606" s="112"/>
      <c r="AK606" s="112">
        <v>0</v>
      </c>
      <c r="AL606" s="112"/>
      <c r="AM606" s="112">
        <v>0</v>
      </c>
      <c r="AN606" s="112"/>
      <c r="AO606" s="112">
        <v>38.86</v>
      </c>
      <c r="AP606" s="112" t="s">
        <v>208</v>
      </c>
      <c r="AQ606" s="112">
        <v>51.63</v>
      </c>
      <c r="AR606" s="112" t="s">
        <v>208</v>
      </c>
      <c r="AS606" s="112">
        <v>74.31</v>
      </c>
      <c r="AT606" s="112" t="s">
        <v>208</v>
      </c>
      <c r="AU606" s="112">
        <f t="shared" si="23"/>
        <v>473.61</v>
      </c>
      <c r="AV606" s="111">
        <v>0.21278</v>
      </c>
      <c r="AW606" s="111" t="s">
        <v>1904</v>
      </c>
      <c r="AX606" s="25"/>
      <c r="AY606" s="25"/>
      <c r="AZ606" s="25"/>
    </row>
    <row r="607" spans="1:52" ht="31.2" x14ac:dyDescent="0.3">
      <c r="A607" s="103">
        <v>597</v>
      </c>
      <c r="B607" s="109" t="s">
        <v>1344</v>
      </c>
      <c r="C607" s="30" t="s">
        <v>1899</v>
      </c>
      <c r="D607" s="110" t="s">
        <v>1900</v>
      </c>
      <c r="E607" s="110" t="s">
        <v>1917</v>
      </c>
      <c r="F607" s="30" t="s">
        <v>2703</v>
      </c>
      <c r="G607" s="26" t="s">
        <v>145</v>
      </c>
      <c r="H607" s="24" t="s">
        <v>146</v>
      </c>
      <c r="I607" s="109">
        <v>1</v>
      </c>
      <c r="J607" s="109" t="s">
        <v>1918</v>
      </c>
      <c r="K607" s="109">
        <v>50</v>
      </c>
      <c r="L607" s="109" t="s">
        <v>1919</v>
      </c>
      <c r="M607" s="109" t="s">
        <v>1904</v>
      </c>
      <c r="N607" s="109" t="s">
        <v>529</v>
      </c>
      <c r="O607" s="109" t="s">
        <v>1920</v>
      </c>
      <c r="P607" s="109" t="s">
        <v>1921</v>
      </c>
      <c r="Q607" s="102">
        <v>0</v>
      </c>
      <c r="R607" s="109" t="s">
        <v>1907</v>
      </c>
      <c r="S607" s="109" t="s">
        <v>1922</v>
      </c>
      <c r="T607" s="25"/>
      <c r="U607" s="111" t="s">
        <v>1923</v>
      </c>
      <c r="V607" s="111" t="s">
        <v>1923</v>
      </c>
      <c r="W607" s="112" t="s">
        <v>2124</v>
      </c>
      <c r="X607" s="112" t="s">
        <v>208</v>
      </c>
      <c r="Y607" s="112" t="s">
        <v>2125</v>
      </c>
      <c r="Z607" s="112" t="s">
        <v>208</v>
      </c>
      <c r="AA607" s="112" t="s">
        <v>2126</v>
      </c>
      <c r="AB607" s="112" t="s">
        <v>208</v>
      </c>
      <c r="AC607" s="112">
        <v>24</v>
      </c>
      <c r="AD607" s="112" t="s">
        <v>208</v>
      </c>
      <c r="AE607" s="112">
        <v>6.97</v>
      </c>
      <c r="AF607" s="112" t="s">
        <v>208</v>
      </c>
      <c r="AG607" s="112">
        <v>0</v>
      </c>
      <c r="AH607" s="112"/>
      <c r="AI607" s="112">
        <v>0</v>
      </c>
      <c r="AJ607" s="112"/>
      <c r="AK607" s="112">
        <v>0</v>
      </c>
      <c r="AL607" s="112"/>
      <c r="AM607" s="112">
        <v>0</v>
      </c>
      <c r="AN607" s="112"/>
      <c r="AO607" s="112">
        <v>24.16</v>
      </c>
      <c r="AP607" s="112" t="s">
        <v>1906</v>
      </c>
      <c r="AQ607" s="112">
        <v>24.16</v>
      </c>
      <c r="AR607" s="112" t="s">
        <v>1906</v>
      </c>
      <c r="AS607" s="112">
        <v>24.16</v>
      </c>
      <c r="AT607" s="112" t="s">
        <v>1906</v>
      </c>
      <c r="AU607" s="112">
        <f t="shared" si="23"/>
        <v>213.52999999999997</v>
      </c>
      <c r="AV607" s="111">
        <v>9.8360000000000003E-2</v>
      </c>
      <c r="AW607" s="111" t="s">
        <v>1904</v>
      </c>
      <c r="AX607" s="25"/>
      <c r="AY607" s="25"/>
      <c r="AZ607" s="25"/>
    </row>
    <row r="608" spans="1:52" ht="31.2" x14ac:dyDescent="0.3">
      <c r="A608" s="103">
        <v>598</v>
      </c>
      <c r="B608" s="109" t="s">
        <v>1346</v>
      </c>
      <c r="C608" s="30" t="s">
        <v>1899</v>
      </c>
      <c r="D608" s="110" t="s">
        <v>1900</v>
      </c>
      <c r="E608" s="110" t="s">
        <v>1917</v>
      </c>
      <c r="F608" s="30" t="s">
        <v>2703</v>
      </c>
      <c r="G608" s="26" t="s">
        <v>145</v>
      </c>
      <c r="H608" s="24" t="s">
        <v>146</v>
      </c>
      <c r="I608" s="109">
        <v>1</v>
      </c>
      <c r="J608" s="109" t="s">
        <v>1918</v>
      </c>
      <c r="K608" s="109">
        <v>120</v>
      </c>
      <c r="L608" s="109" t="s">
        <v>1919</v>
      </c>
      <c r="M608" s="109" t="s">
        <v>1904</v>
      </c>
      <c r="N608" s="109" t="s">
        <v>529</v>
      </c>
      <c r="O608" s="109" t="s">
        <v>1920</v>
      </c>
      <c r="P608" s="109" t="s">
        <v>1921</v>
      </c>
      <c r="Q608" s="102">
        <v>0</v>
      </c>
      <c r="R608" s="109" t="s">
        <v>1907</v>
      </c>
      <c r="S608" s="109" t="s">
        <v>1922</v>
      </c>
      <c r="T608" s="25"/>
      <c r="U608" s="111" t="s">
        <v>1923</v>
      </c>
      <c r="V608" s="111" t="s">
        <v>1923</v>
      </c>
      <c r="W608" s="112" t="s">
        <v>2127</v>
      </c>
      <c r="X608" s="112" t="s">
        <v>208</v>
      </c>
      <c r="Y608" s="112" t="s">
        <v>2128</v>
      </c>
      <c r="Z608" s="112" t="s">
        <v>208</v>
      </c>
      <c r="AA608" s="112" t="s">
        <v>1981</v>
      </c>
      <c r="AB608" s="112" t="s">
        <v>208</v>
      </c>
      <c r="AC608" s="112">
        <v>96.23</v>
      </c>
      <c r="AD608" s="112" t="s">
        <v>208</v>
      </c>
      <c r="AE608" s="112">
        <v>27.94</v>
      </c>
      <c r="AF608" s="112" t="s">
        <v>208</v>
      </c>
      <c r="AG608" s="112">
        <v>0</v>
      </c>
      <c r="AH608" s="112"/>
      <c r="AI608" s="112">
        <v>0</v>
      </c>
      <c r="AJ608" s="112"/>
      <c r="AK608" s="112">
        <v>0</v>
      </c>
      <c r="AL608" s="112"/>
      <c r="AM608" s="112">
        <v>0</v>
      </c>
      <c r="AN608" s="112"/>
      <c r="AO608" s="112">
        <v>102.09</v>
      </c>
      <c r="AP608" s="112" t="s">
        <v>208</v>
      </c>
      <c r="AQ608" s="112">
        <v>35.840000000000003</v>
      </c>
      <c r="AR608" s="112" t="s">
        <v>208</v>
      </c>
      <c r="AS608" s="112">
        <v>89.89</v>
      </c>
      <c r="AT608" s="112" t="s">
        <v>208</v>
      </c>
      <c r="AU608" s="112">
        <f t="shared" si="23"/>
        <v>738.56000000000006</v>
      </c>
      <c r="AV608" s="111">
        <v>0.42756</v>
      </c>
      <c r="AW608" s="111" t="s">
        <v>1904</v>
      </c>
      <c r="AX608" s="25"/>
      <c r="AY608" s="25"/>
      <c r="AZ608" s="25"/>
    </row>
    <row r="609" spans="1:52" ht="31.2" x14ac:dyDescent="0.3">
      <c r="A609" s="103">
        <v>599</v>
      </c>
      <c r="B609" s="109" t="s">
        <v>1348</v>
      </c>
      <c r="C609" s="30" t="s">
        <v>1899</v>
      </c>
      <c r="D609" s="110" t="s">
        <v>1900</v>
      </c>
      <c r="E609" s="110" t="s">
        <v>1917</v>
      </c>
      <c r="F609" s="30" t="s">
        <v>2703</v>
      </c>
      <c r="G609" s="26" t="s">
        <v>145</v>
      </c>
      <c r="H609" s="24" t="s">
        <v>146</v>
      </c>
      <c r="I609" s="109">
        <v>0</v>
      </c>
      <c r="J609" s="109" t="s">
        <v>1918</v>
      </c>
      <c r="K609" s="109">
        <v>50</v>
      </c>
      <c r="L609" s="109" t="s">
        <v>1919</v>
      </c>
      <c r="M609" s="109" t="s">
        <v>1904</v>
      </c>
      <c r="N609" s="109" t="s">
        <v>529</v>
      </c>
      <c r="O609" s="109" t="s">
        <v>1920</v>
      </c>
      <c r="P609" s="109" t="s">
        <v>1920</v>
      </c>
      <c r="Q609" s="102">
        <v>0</v>
      </c>
      <c r="R609" s="109" t="s">
        <v>1907</v>
      </c>
      <c r="S609" s="109" t="s">
        <v>1922</v>
      </c>
      <c r="T609" s="25"/>
      <c r="U609" s="111" t="s">
        <v>1923</v>
      </c>
      <c r="V609" s="111" t="s">
        <v>1923</v>
      </c>
      <c r="W609" s="112" t="s">
        <v>2129</v>
      </c>
      <c r="X609" s="112" t="s">
        <v>1906</v>
      </c>
      <c r="Y609" s="112" t="s">
        <v>2129</v>
      </c>
      <c r="Z609" s="112" t="s">
        <v>1906</v>
      </c>
      <c r="AA609" s="112" t="s">
        <v>2129</v>
      </c>
      <c r="AB609" s="112" t="s">
        <v>1906</v>
      </c>
      <c r="AC609" s="112">
        <v>42.76</v>
      </c>
      <c r="AD609" s="112" t="s">
        <v>1906</v>
      </c>
      <c r="AE609" s="112">
        <v>12.41</v>
      </c>
      <c r="AF609" s="112" t="s">
        <v>1906</v>
      </c>
      <c r="AG609" s="112">
        <v>0</v>
      </c>
      <c r="AH609" s="112"/>
      <c r="AI609" s="112">
        <v>0</v>
      </c>
      <c r="AJ609" s="112"/>
      <c r="AK609" s="112">
        <v>0</v>
      </c>
      <c r="AL609" s="112"/>
      <c r="AM609" s="112">
        <v>9.42</v>
      </c>
      <c r="AN609" s="112" t="s">
        <v>1906</v>
      </c>
      <c r="AO609" s="112">
        <v>40.35</v>
      </c>
      <c r="AP609" s="112" t="s">
        <v>1906</v>
      </c>
      <c r="AQ609" s="112">
        <v>40.35</v>
      </c>
      <c r="AR609" s="112" t="s">
        <v>1906</v>
      </c>
      <c r="AS609" s="112">
        <v>40.35</v>
      </c>
      <c r="AT609" s="112" t="s">
        <v>1906</v>
      </c>
      <c r="AU609" s="112">
        <f t="shared" si="23"/>
        <v>313.92</v>
      </c>
      <c r="AV609" s="111">
        <v>9.6350000000000005E-2</v>
      </c>
      <c r="AW609" s="111" t="s">
        <v>1904</v>
      </c>
      <c r="AX609" s="25"/>
      <c r="AY609" s="25"/>
      <c r="AZ609" s="25"/>
    </row>
    <row r="610" spans="1:52" ht="31.2" x14ac:dyDescent="0.3">
      <c r="A610" s="103">
        <v>600</v>
      </c>
      <c r="B610" s="109" t="s">
        <v>1349</v>
      </c>
      <c r="C610" s="30" t="s">
        <v>1899</v>
      </c>
      <c r="D610" s="110" t="s">
        <v>1900</v>
      </c>
      <c r="E610" s="110" t="s">
        <v>1917</v>
      </c>
      <c r="F610" s="30" t="s">
        <v>2703</v>
      </c>
      <c r="G610" s="26" t="s">
        <v>145</v>
      </c>
      <c r="H610" s="24" t="s">
        <v>146</v>
      </c>
      <c r="I610" s="109">
        <v>0</v>
      </c>
      <c r="J610" s="109" t="s">
        <v>1918</v>
      </c>
      <c r="K610" s="109">
        <v>50</v>
      </c>
      <c r="L610" s="109" t="s">
        <v>1919</v>
      </c>
      <c r="M610" s="109" t="s">
        <v>1904</v>
      </c>
      <c r="N610" s="109" t="s">
        <v>529</v>
      </c>
      <c r="O610" s="109" t="s">
        <v>1920</v>
      </c>
      <c r="P610" s="109" t="s">
        <v>1920</v>
      </c>
      <c r="Q610" s="102">
        <v>0</v>
      </c>
      <c r="R610" s="109" t="s">
        <v>1907</v>
      </c>
      <c r="S610" s="109" t="s">
        <v>1922</v>
      </c>
      <c r="T610" s="25"/>
      <c r="U610" s="111" t="s">
        <v>1923</v>
      </c>
      <c r="V610" s="111" t="s">
        <v>1923</v>
      </c>
      <c r="W610" s="112" t="s">
        <v>2129</v>
      </c>
      <c r="X610" s="112" t="s">
        <v>1906</v>
      </c>
      <c r="Y610" s="112" t="s">
        <v>2129</v>
      </c>
      <c r="Z610" s="112" t="s">
        <v>1906</v>
      </c>
      <c r="AA610" s="112" t="s">
        <v>2129</v>
      </c>
      <c r="AB610" s="112" t="s">
        <v>1906</v>
      </c>
      <c r="AC610" s="112">
        <v>42.76</v>
      </c>
      <c r="AD610" s="112" t="s">
        <v>1906</v>
      </c>
      <c r="AE610" s="112">
        <v>12.41</v>
      </c>
      <c r="AF610" s="112" t="s">
        <v>1906</v>
      </c>
      <c r="AG610" s="112">
        <v>0</v>
      </c>
      <c r="AH610" s="112"/>
      <c r="AI610" s="112">
        <v>0</v>
      </c>
      <c r="AJ610" s="112"/>
      <c r="AK610" s="112">
        <v>0</v>
      </c>
      <c r="AL610" s="112"/>
      <c r="AM610" s="112">
        <v>9.42</v>
      </c>
      <c r="AN610" s="112" t="s">
        <v>1906</v>
      </c>
      <c r="AO610" s="112">
        <v>40.35</v>
      </c>
      <c r="AP610" s="112" t="s">
        <v>1906</v>
      </c>
      <c r="AQ610" s="112">
        <v>40.35</v>
      </c>
      <c r="AR610" s="112" t="s">
        <v>1906</v>
      </c>
      <c r="AS610" s="112">
        <v>40.35</v>
      </c>
      <c r="AT610" s="112" t="s">
        <v>1906</v>
      </c>
      <c r="AU610" s="112">
        <f t="shared" si="23"/>
        <v>313.92</v>
      </c>
      <c r="AV610" s="111">
        <v>9.6350000000000005E-2</v>
      </c>
      <c r="AW610" s="111" t="s">
        <v>1904</v>
      </c>
      <c r="AX610" s="25"/>
      <c r="AY610" s="25"/>
      <c r="AZ610" s="25"/>
    </row>
    <row r="611" spans="1:52" ht="31.2" x14ac:dyDescent="0.3">
      <c r="A611" s="103">
        <v>601</v>
      </c>
      <c r="B611" s="109" t="s">
        <v>1350</v>
      </c>
      <c r="C611" s="30" t="s">
        <v>1899</v>
      </c>
      <c r="D611" s="110" t="s">
        <v>1900</v>
      </c>
      <c r="E611" s="110" t="s">
        <v>1917</v>
      </c>
      <c r="F611" s="30" t="s">
        <v>2703</v>
      </c>
      <c r="G611" s="26" t="s">
        <v>145</v>
      </c>
      <c r="H611" s="24" t="s">
        <v>146</v>
      </c>
      <c r="I611" s="109">
        <v>1</v>
      </c>
      <c r="J611" s="109" t="s">
        <v>1918</v>
      </c>
      <c r="K611" s="109">
        <v>120</v>
      </c>
      <c r="L611" s="109" t="s">
        <v>1919</v>
      </c>
      <c r="M611" s="109" t="s">
        <v>1904</v>
      </c>
      <c r="N611" s="109" t="s">
        <v>529</v>
      </c>
      <c r="O611" s="109" t="s">
        <v>1920</v>
      </c>
      <c r="P611" s="109" t="s">
        <v>1921</v>
      </c>
      <c r="Q611" s="102">
        <v>0</v>
      </c>
      <c r="R611" s="109" t="s">
        <v>1907</v>
      </c>
      <c r="S611" s="109" t="s">
        <v>1922</v>
      </c>
      <c r="T611" s="25"/>
      <c r="U611" s="111" t="s">
        <v>1923</v>
      </c>
      <c r="V611" s="111" t="s">
        <v>1923</v>
      </c>
      <c r="W611" s="112" t="s">
        <v>2130</v>
      </c>
      <c r="X611" s="112" t="s">
        <v>1906</v>
      </c>
      <c r="Y611" s="112" t="s">
        <v>2130</v>
      </c>
      <c r="Z611" s="112" t="s">
        <v>1906</v>
      </c>
      <c r="AA611" s="112" t="s">
        <v>2130</v>
      </c>
      <c r="AB611" s="112" t="s">
        <v>1906</v>
      </c>
      <c r="AC611" s="112">
        <v>117.26</v>
      </c>
      <c r="AD611" s="112" t="s">
        <v>1906</v>
      </c>
      <c r="AE611" s="112">
        <v>34.049999999999997</v>
      </c>
      <c r="AF611" s="112" t="s">
        <v>1906</v>
      </c>
      <c r="AG611" s="112">
        <v>0</v>
      </c>
      <c r="AH611" s="112"/>
      <c r="AI611" s="112">
        <v>0</v>
      </c>
      <c r="AJ611" s="112"/>
      <c r="AK611" s="112">
        <v>0</v>
      </c>
      <c r="AL611" s="112"/>
      <c r="AM611" s="112">
        <v>25.63</v>
      </c>
      <c r="AN611" s="112" t="s">
        <v>1906</v>
      </c>
      <c r="AO611" s="112">
        <v>109.84</v>
      </c>
      <c r="AP611" s="112" t="s">
        <v>1906</v>
      </c>
      <c r="AQ611" s="112">
        <v>109.84</v>
      </c>
      <c r="AR611" s="112" t="s">
        <v>1906</v>
      </c>
      <c r="AS611" s="112">
        <v>109.84</v>
      </c>
      <c r="AT611" s="112" t="s">
        <v>1906</v>
      </c>
      <c r="AU611" s="112">
        <f t="shared" si="23"/>
        <v>858.24000000000012</v>
      </c>
      <c r="AV611" s="111">
        <v>0.39845000000000003</v>
      </c>
      <c r="AW611" s="111" t="s">
        <v>1904</v>
      </c>
      <c r="AX611" s="25"/>
      <c r="AY611" s="25"/>
      <c r="AZ611" s="25"/>
    </row>
    <row r="612" spans="1:52" ht="31.2" x14ac:dyDescent="0.3">
      <c r="A612" s="103">
        <v>602</v>
      </c>
      <c r="B612" s="109" t="s">
        <v>1351</v>
      </c>
      <c r="C612" s="30" t="s">
        <v>1899</v>
      </c>
      <c r="D612" s="110" t="s">
        <v>1900</v>
      </c>
      <c r="E612" s="110" t="s">
        <v>1917</v>
      </c>
      <c r="F612" s="30" t="s">
        <v>2703</v>
      </c>
      <c r="G612" s="26" t="s">
        <v>145</v>
      </c>
      <c r="H612" s="24" t="s">
        <v>146</v>
      </c>
      <c r="I612" s="109">
        <v>2</v>
      </c>
      <c r="J612" s="109" t="s">
        <v>1918</v>
      </c>
      <c r="K612" s="109">
        <v>89</v>
      </c>
      <c r="L612" s="109" t="s">
        <v>1919</v>
      </c>
      <c r="M612" s="109" t="s">
        <v>1904</v>
      </c>
      <c r="N612" s="109" t="s">
        <v>529</v>
      </c>
      <c r="O612" s="109" t="s">
        <v>1920</v>
      </c>
      <c r="P612" s="109" t="s">
        <v>1921</v>
      </c>
      <c r="Q612" s="102">
        <v>0</v>
      </c>
      <c r="R612" s="109" t="s">
        <v>1907</v>
      </c>
      <c r="S612" s="109" t="s">
        <v>1922</v>
      </c>
      <c r="T612" s="25"/>
      <c r="U612" s="111" t="s">
        <v>1923</v>
      </c>
      <c r="V612" s="111" t="s">
        <v>1923</v>
      </c>
      <c r="W612" s="112" t="s">
        <v>2131</v>
      </c>
      <c r="X612" s="112" t="s">
        <v>1906</v>
      </c>
      <c r="Y612" s="112" t="s">
        <v>2131</v>
      </c>
      <c r="Z612" s="112" t="s">
        <v>1906</v>
      </c>
      <c r="AA612" s="112" t="s">
        <v>2131</v>
      </c>
      <c r="AB612" s="112" t="s">
        <v>1906</v>
      </c>
      <c r="AC612" s="112">
        <v>197.68</v>
      </c>
      <c r="AD612" s="112" t="s">
        <v>1906</v>
      </c>
      <c r="AE612" s="112">
        <v>57.4</v>
      </c>
      <c r="AF612" s="112" t="s">
        <v>1906</v>
      </c>
      <c r="AG612" s="112">
        <v>0</v>
      </c>
      <c r="AH612" s="112"/>
      <c r="AI612" s="112">
        <v>0</v>
      </c>
      <c r="AJ612" s="112"/>
      <c r="AK612" s="112">
        <v>0</v>
      </c>
      <c r="AL612" s="112"/>
      <c r="AM612" s="112">
        <v>44.46</v>
      </c>
      <c r="AN612" s="112" t="s">
        <v>1906</v>
      </c>
      <c r="AO612" s="112">
        <v>192.76</v>
      </c>
      <c r="AP612" s="112" t="s">
        <v>1906</v>
      </c>
      <c r="AQ612" s="112">
        <v>190.55</v>
      </c>
      <c r="AR612" s="112" t="s">
        <v>1906</v>
      </c>
      <c r="AS612" s="112">
        <v>190.55</v>
      </c>
      <c r="AT612" s="112" t="s">
        <v>1906</v>
      </c>
      <c r="AU612" s="112">
        <f t="shared" si="23"/>
        <v>1466.44</v>
      </c>
      <c r="AV612" s="111">
        <v>0.64034000000000002</v>
      </c>
      <c r="AW612" s="111" t="s">
        <v>1904</v>
      </c>
      <c r="AX612" s="25"/>
      <c r="AY612" s="25"/>
      <c r="AZ612" s="25"/>
    </row>
    <row r="613" spans="1:52" ht="31.2" x14ac:dyDescent="0.3">
      <c r="A613" s="103">
        <v>603</v>
      </c>
      <c r="B613" s="109" t="s">
        <v>1353</v>
      </c>
      <c r="C613" s="30" t="s">
        <v>1899</v>
      </c>
      <c r="D613" s="110" t="s">
        <v>1900</v>
      </c>
      <c r="E613" s="110" t="s">
        <v>1917</v>
      </c>
      <c r="F613" s="30" t="s">
        <v>2703</v>
      </c>
      <c r="G613" s="26" t="s">
        <v>145</v>
      </c>
      <c r="H613" s="24" t="s">
        <v>146</v>
      </c>
      <c r="I613" s="109">
        <v>0</v>
      </c>
      <c r="J613" s="109" t="s">
        <v>1918</v>
      </c>
      <c r="K613" s="109">
        <v>76</v>
      </c>
      <c r="L613" s="109" t="s">
        <v>1919</v>
      </c>
      <c r="M613" s="109" t="s">
        <v>1904</v>
      </c>
      <c r="N613" s="109" t="s">
        <v>529</v>
      </c>
      <c r="O613" s="109" t="s">
        <v>1920</v>
      </c>
      <c r="P613" s="109" t="s">
        <v>1920</v>
      </c>
      <c r="Q613" s="102">
        <v>0</v>
      </c>
      <c r="R613" s="109" t="s">
        <v>1907</v>
      </c>
      <c r="S613" s="109" t="s">
        <v>1922</v>
      </c>
      <c r="T613" s="25"/>
      <c r="U613" s="111" t="s">
        <v>1923</v>
      </c>
      <c r="V613" s="111" t="s">
        <v>1923</v>
      </c>
      <c r="W613" s="112" t="s">
        <v>2132</v>
      </c>
      <c r="X613" s="112" t="s">
        <v>1906</v>
      </c>
      <c r="Y613" s="112" t="s">
        <v>2132</v>
      </c>
      <c r="Z613" s="112" t="s">
        <v>1906</v>
      </c>
      <c r="AA613" s="112" t="s">
        <v>2132</v>
      </c>
      <c r="AB613" s="112" t="s">
        <v>1906</v>
      </c>
      <c r="AC613" s="112">
        <v>27.3</v>
      </c>
      <c r="AD613" s="112" t="s">
        <v>1906</v>
      </c>
      <c r="AE613" s="112">
        <v>7.93</v>
      </c>
      <c r="AF613" s="112" t="s">
        <v>1906</v>
      </c>
      <c r="AG613" s="112">
        <v>0</v>
      </c>
      <c r="AH613" s="112"/>
      <c r="AI613" s="112">
        <v>0</v>
      </c>
      <c r="AJ613" s="112"/>
      <c r="AK613" s="112">
        <v>0</v>
      </c>
      <c r="AL613" s="112"/>
      <c r="AM613" s="112">
        <v>6.22</v>
      </c>
      <c r="AN613" s="112" t="s">
        <v>1906</v>
      </c>
      <c r="AO613" s="112">
        <v>26.65</v>
      </c>
      <c r="AP613" s="112" t="s">
        <v>1906</v>
      </c>
      <c r="AQ613" s="112">
        <v>26.65</v>
      </c>
      <c r="AR613" s="112" t="s">
        <v>1906</v>
      </c>
      <c r="AS613" s="112">
        <v>26.65</v>
      </c>
      <c r="AT613" s="112" t="s">
        <v>1906</v>
      </c>
      <c r="AU613" s="112">
        <f t="shared" si="23"/>
        <v>203.3</v>
      </c>
      <c r="AV613" s="111">
        <v>9.9460000000000007E-2</v>
      </c>
      <c r="AW613" s="111" t="s">
        <v>1904</v>
      </c>
      <c r="AX613" s="25"/>
      <c r="AY613" s="25"/>
      <c r="AZ613" s="25"/>
    </row>
    <row r="614" spans="1:52" ht="31.2" x14ac:dyDescent="0.3">
      <c r="A614" s="103">
        <v>604</v>
      </c>
      <c r="B614" s="109" t="s">
        <v>1354</v>
      </c>
      <c r="C614" s="30" t="s">
        <v>1899</v>
      </c>
      <c r="D614" s="110" t="s">
        <v>1900</v>
      </c>
      <c r="E614" s="110" t="s">
        <v>1917</v>
      </c>
      <c r="F614" s="30" t="s">
        <v>2703</v>
      </c>
      <c r="G614" s="26" t="s">
        <v>145</v>
      </c>
      <c r="H614" s="24" t="s">
        <v>146</v>
      </c>
      <c r="I614" s="109">
        <v>0</v>
      </c>
      <c r="J614" s="109" t="s">
        <v>1918</v>
      </c>
      <c r="K614" s="109"/>
      <c r="L614" s="109" t="s">
        <v>1919</v>
      </c>
      <c r="M614" s="109" t="s">
        <v>1904</v>
      </c>
      <c r="N614" s="109" t="s">
        <v>529</v>
      </c>
      <c r="O614" s="109" t="s">
        <v>1920</v>
      </c>
      <c r="P614" s="109" t="s">
        <v>1920</v>
      </c>
      <c r="Q614" s="102">
        <v>0</v>
      </c>
      <c r="R614" s="109" t="s">
        <v>1907</v>
      </c>
      <c r="S614" s="109" t="s">
        <v>1922</v>
      </c>
      <c r="T614" s="25"/>
      <c r="U614" s="111" t="s">
        <v>1923</v>
      </c>
      <c r="V614" s="111" t="s">
        <v>1923</v>
      </c>
      <c r="W614" s="112" t="s">
        <v>2133</v>
      </c>
      <c r="X614" s="112" t="s">
        <v>1906</v>
      </c>
      <c r="Y614" s="112" t="s">
        <v>2133</v>
      </c>
      <c r="Z614" s="112" t="s">
        <v>1906</v>
      </c>
      <c r="AA614" s="112" t="s">
        <v>2133</v>
      </c>
      <c r="AB614" s="112" t="s">
        <v>1906</v>
      </c>
      <c r="AC614" s="112">
        <v>26.75</v>
      </c>
      <c r="AD614" s="112" t="s">
        <v>1906</v>
      </c>
      <c r="AE614" s="112">
        <v>7.76</v>
      </c>
      <c r="AF614" s="112" t="s">
        <v>1906</v>
      </c>
      <c r="AG614" s="112">
        <v>0</v>
      </c>
      <c r="AH614" s="112"/>
      <c r="AI614" s="112">
        <v>0</v>
      </c>
      <c r="AJ614" s="112"/>
      <c r="AK614" s="112">
        <v>0</v>
      </c>
      <c r="AL614" s="112"/>
      <c r="AM614" s="112">
        <v>5.9</v>
      </c>
      <c r="AN614" s="112" t="s">
        <v>1906</v>
      </c>
      <c r="AO614" s="112">
        <v>25.29</v>
      </c>
      <c r="AP614" s="112" t="s">
        <v>1906</v>
      </c>
      <c r="AQ614" s="112">
        <v>25.29</v>
      </c>
      <c r="AR614" s="112" t="s">
        <v>1906</v>
      </c>
      <c r="AS614" s="112">
        <v>25.29</v>
      </c>
      <c r="AT614" s="112" t="s">
        <v>1906</v>
      </c>
      <c r="AU614" s="112">
        <f t="shared" si="23"/>
        <v>196.53</v>
      </c>
      <c r="AV614" s="111">
        <v>0.11842999999999999</v>
      </c>
      <c r="AW614" s="111" t="s">
        <v>1904</v>
      </c>
      <c r="AX614" s="25"/>
      <c r="AY614" s="25"/>
      <c r="AZ614" s="25"/>
    </row>
    <row r="615" spans="1:52" ht="31.2" x14ac:dyDescent="0.3">
      <c r="A615" s="103">
        <v>605</v>
      </c>
      <c r="B615" s="109" t="s">
        <v>1355</v>
      </c>
      <c r="C615" s="30" t="s">
        <v>1899</v>
      </c>
      <c r="D615" s="110" t="s">
        <v>1900</v>
      </c>
      <c r="E615" s="110" t="s">
        <v>1917</v>
      </c>
      <c r="F615" s="30" t="s">
        <v>2703</v>
      </c>
      <c r="G615" s="26" t="s">
        <v>145</v>
      </c>
      <c r="H615" s="24" t="s">
        <v>146</v>
      </c>
      <c r="I615" s="109">
        <v>0</v>
      </c>
      <c r="J615" s="109" t="s">
        <v>1918</v>
      </c>
      <c r="K615" s="109">
        <v>50</v>
      </c>
      <c r="L615" s="109" t="s">
        <v>1919</v>
      </c>
      <c r="M615" s="109" t="s">
        <v>1904</v>
      </c>
      <c r="N615" s="109" t="s">
        <v>529</v>
      </c>
      <c r="O615" s="109" t="s">
        <v>1920</v>
      </c>
      <c r="P615" s="109" t="s">
        <v>1920</v>
      </c>
      <c r="Q615" s="102">
        <v>0</v>
      </c>
      <c r="R615" s="109" t="s">
        <v>1907</v>
      </c>
      <c r="S615" s="109" t="s">
        <v>1922</v>
      </c>
      <c r="T615" s="25"/>
      <c r="U615" s="111" t="s">
        <v>1923</v>
      </c>
      <c r="V615" s="111" t="s">
        <v>1923</v>
      </c>
      <c r="W615" s="112" t="s">
        <v>2134</v>
      </c>
      <c r="X615" s="112" t="s">
        <v>1906</v>
      </c>
      <c r="Y615" s="112" t="s">
        <v>2134</v>
      </c>
      <c r="Z615" s="112" t="s">
        <v>1906</v>
      </c>
      <c r="AA615" s="112" t="s">
        <v>2134</v>
      </c>
      <c r="AB615" s="112" t="s">
        <v>1906</v>
      </c>
      <c r="AC615" s="112">
        <v>36.979999999999997</v>
      </c>
      <c r="AD615" s="112" t="s">
        <v>1906</v>
      </c>
      <c r="AE615" s="112">
        <v>10.74</v>
      </c>
      <c r="AF615" s="112" t="s">
        <v>1906</v>
      </c>
      <c r="AG615" s="112">
        <v>0</v>
      </c>
      <c r="AH615" s="112"/>
      <c r="AI615" s="112">
        <v>0</v>
      </c>
      <c r="AJ615" s="112"/>
      <c r="AK615" s="112">
        <v>0</v>
      </c>
      <c r="AL615" s="112"/>
      <c r="AM615" s="112">
        <v>8.5500000000000007</v>
      </c>
      <c r="AN615" s="112" t="s">
        <v>1906</v>
      </c>
      <c r="AO615" s="112">
        <v>36.659999999999997</v>
      </c>
      <c r="AP615" s="112" t="s">
        <v>1906</v>
      </c>
      <c r="AQ615" s="112">
        <v>36.659999999999997</v>
      </c>
      <c r="AR615" s="112" t="s">
        <v>1906</v>
      </c>
      <c r="AS615" s="112">
        <v>36.659999999999997</v>
      </c>
      <c r="AT615" s="112" t="s">
        <v>1906</v>
      </c>
      <c r="AU615" s="112">
        <f t="shared" si="23"/>
        <v>277.19</v>
      </c>
      <c r="AV615" s="111">
        <v>0.12445000000000001</v>
      </c>
      <c r="AW615" s="111" t="s">
        <v>1904</v>
      </c>
      <c r="AX615" s="25"/>
      <c r="AY615" s="25"/>
      <c r="AZ615" s="25"/>
    </row>
    <row r="616" spans="1:52" ht="31.2" x14ac:dyDescent="0.3">
      <c r="A616" s="103">
        <v>606</v>
      </c>
      <c r="B616" s="109" t="s">
        <v>1356</v>
      </c>
      <c r="C616" s="30" t="s">
        <v>1899</v>
      </c>
      <c r="D616" s="110" t="s">
        <v>1900</v>
      </c>
      <c r="E616" s="110" t="s">
        <v>1917</v>
      </c>
      <c r="F616" s="30" t="s">
        <v>2703</v>
      </c>
      <c r="G616" s="26" t="s">
        <v>145</v>
      </c>
      <c r="H616" s="24" t="s">
        <v>146</v>
      </c>
      <c r="I616" s="109">
        <v>1</v>
      </c>
      <c r="J616" s="109" t="s">
        <v>1918</v>
      </c>
      <c r="K616" s="109">
        <v>100</v>
      </c>
      <c r="L616" s="109" t="s">
        <v>1919</v>
      </c>
      <c r="M616" s="109" t="s">
        <v>1904</v>
      </c>
      <c r="N616" s="109" t="s">
        <v>529</v>
      </c>
      <c r="O616" s="109" t="s">
        <v>1920</v>
      </c>
      <c r="P616" s="109" t="s">
        <v>1921</v>
      </c>
      <c r="Q616" s="102">
        <v>0</v>
      </c>
      <c r="R616" s="109" t="s">
        <v>1907</v>
      </c>
      <c r="S616" s="109" t="s">
        <v>1922</v>
      </c>
      <c r="T616" s="25"/>
      <c r="U616" s="111" t="s">
        <v>1923</v>
      </c>
      <c r="V616" s="111" t="s">
        <v>1923</v>
      </c>
      <c r="W616" s="112" t="s">
        <v>2135</v>
      </c>
      <c r="X616" s="112" t="s">
        <v>1906</v>
      </c>
      <c r="Y616" s="112" t="s">
        <v>2135</v>
      </c>
      <c r="Z616" s="112" t="s">
        <v>1906</v>
      </c>
      <c r="AA616" s="112" t="s">
        <v>2135</v>
      </c>
      <c r="AB616" s="112" t="s">
        <v>1906</v>
      </c>
      <c r="AC616" s="112">
        <v>95.75</v>
      </c>
      <c r="AD616" s="112" t="s">
        <v>1906</v>
      </c>
      <c r="AE616" s="112">
        <v>27.8</v>
      </c>
      <c r="AF616" s="112" t="s">
        <v>1906</v>
      </c>
      <c r="AG616" s="112">
        <v>0</v>
      </c>
      <c r="AH616" s="112"/>
      <c r="AI616" s="112">
        <v>0</v>
      </c>
      <c r="AJ616" s="112"/>
      <c r="AK616" s="112">
        <v>0</v>
      </c>
      <c r="AL616" s="112"/>
      <c r="AM616" s="112">
        <v>23.36</v>
      </c>
      <c r="AN616" s="112" t="s">
        <v>1906</v>
      </c>
      <c r="AO616" s="112">
        <v>74.459999999999994</v>
      </c>
      <c r="AP616" s="112" t="s">
        <v>208</v>
      </c>
      <c r="AQ616" s="112">
        <v>90.87</v>
      </c>
      <c r="AR616" s="112" t="s">
        <v>208</v>
      </c>
      <c r="AS616" s="112">
        <v>127.59</v>
      </c>
      <c r="AT616" s="112" t="s">
        <v>208</v>
      </c>
      <c r="AU616" s="112">
        <f t="shared" si="23"/>
        <v>727.08</v>
      </c>
      <c r="AV616" s="111">
        <v>0.37136000000000002</v>
      </c>
      <c r="AW616" s="111" t="s">
        <v>1904</v>
      </c>
      <c r="AX616" s="25"/>
      <c r="AY616" s="25"/>
      <c r="AZ616" s="25"/>
    </row>
    <row r="617" spans="1:52" ht="31.2" x14ac:dyDescent="0.3">
      <c r="A617" s="103">
        <v>607</v>
      </c>
      <c r="B617" s="109" t="s">
        <v>1357</v>
      </c>
      <c r="C617" s="30" t="s">
        <v>1899</v>
      </c>
      <c r="D617" s="110" t="s">
        <v>1900</v>
      </c>
      <c r="E617" s="110" t="s">
        <v>1917</v>
      </c>
      <c r="F617" s="30" t="s">
        <v>2703</v>
      </c>
      <c r="G617" s="26" t="s">
        <v>145</v>
      </c>
      <c r="H617" s="24" t="s">
        <v>146</v>
      </c>
      <c r="I617" s="109">
        <v>0</v>
      </c>
      <c r="J617" s="109" t="s">
        <v>1918</v>
      </c>
      <c r="K617" s="109">
        <v>57</v>
      </c>
      <c r="L617" s="109" t="s">
        <v>1919</v>
      </c>
      <c r="M617" s="109" t="s">
        <v>1904</v>
      </c>
      <c r="N617" s="109" t="s">
        <v>529</v>
      </c>
      <c r="O617" s="109" t="s">
        <v>1920</v>
      </c>
      <c r="P617" s="109" t="s">
        <v>1920</v>
      </c>
      <c r="Q617" s="102">
        <v>0</v>
      </c>
      <c r="R617" s="109" t="s">
        <v>1907</v>
      </c>
      <c r="S617" s="109" t="s">
        <v>1922</v>
      </c>
      <c r="T617" s="25"/>
      <c r="U617" s="111" t="s">
        <v>1923</v>
      </c>
      <c r="V617" s="111" t="s">
        <v>1923</v>
      </c>
      <c r="W617" s="112" t="s">
        <v>2136</v>
      </c>
      <c r="X617" s="112" t="s">
        <v>1906</v>
      </c>
      <c r="Y617" s="112" t="s">
        <v>2136</v>
      </c>
      <c r="Z617" s="112" t="s">
        <v>1906</v>
      </c>
      <c r="AA617" s="112" t="s">
        <v>2136</v>
      </c>
      <c r="AB617" s="112" t="s">
        <v>1906</v>
      </c>
      <c r="AC617" s="112">
        <v>44.53</v>
      </c>
      <c r="AD617" s="112" t="s">
        <v>1906</v>
      </c>
      <c r="AE617" s="112">
        <v>12.92</v>
      </c>
      <c r="AF617" s="112" t="s">
        <v>1906</v>
      </c>
      <c r="AG617" s="112">
        <v>0</v>
      </c>
      <c r="AH617" s="112"/>
      <c r="AI617" s="112">
        <v>0</v>
      </c>
      <c r="AJ617" s="112"/>
      <c r="AK617" s="112">
        <v>0</v>
      </c>
      <c r="AL617" s="112"/>
      <c r="AM617" s="112">
        <v>10.93</v>
      </c>
      <c r="AN617" s="112" t="s">
        <v>1906</v>
      </c>
      <c r="AO617" s="112">
        <v>47.6</v>
      </c>
      <c r="AP617" s="112" t="s">
        <v>1906</v>
      </c>
      <c r="AQ617" s="112">
        <v>46.84</v>
      </c>
      <c r="AR617" s="112" t="s">
        <v>1906</v>
      </c>
      <c r="AS617" s="112">
        <v>46.84</v>
      </c>
      <c r="AT617" s="112" t="s">
        <v>1906</v>
      </c>
      <c r="AU617" s="112">
        <f t="shared" si="23"/>
        <v>343.25</v>
      </c>
      <c r="AV617" s="111">
        <v>0.14835000000000001</v>
      </c>
      <c r="AW617" s="111" t="s">
        <v>1904</v>
      </c>
      <c r="AX617" s="25"/>
      <c r="AY617" s="25"/>
      <c r="AZ617" s="25"/>
    </row>
    <row r="618" spans="1:52" ht="31.2" x14ac:dyDescent="0.3">
      <c r="A618" s="103">
        <v>608</v>
      </c>
      <c r="B618" s="109" t="s">
        <v>1358</v>
      </c>
      <c r="C618" s="30" t="s">
        <v>1899</v>
      </c>
      <c r="D618" s="110" t="s">
        <v>1900</v>
      </c>
      <c r="E618" s="110" t="s">
        <v>1917</v>
      </c>
      <c r="F618" s="30" t="s">
        <v>2703</v>
      </c>
      <c r="G618" s="26" t="s">
        <v>145</v>
      </c>
      <c r="H618" s="24" t="s">
        <v>146</v>
      </c>
      <c r="I618" s="109">
        <v>1</v>
      </c>
      <c r="J618" s="109" t="s">
        <v>1918</v>
      </c>
      <c r="K618" s="109">
        <v>89</v>
      </c>
      <c r="L618" s="109" t="s">
        <v>1919</v>
      </c>
      <c r="M618" s="109" t="s">
        <v>1904</v>
      </c>
      <c r="N618" s="109" t="s">
        <v>529</v>
      </c>
      <c r="O618" s="109" t="s">
        <v>1920</v>
      </c>
      <c r="P618" s="109" t="s">
        <v>1921</v>
      </c>
      <c r="Q618" s="102">
        <v>0</v>
      </c>
      <c r="R618" s="109" t="s">
        <v>1907</v>
      </c>
      <c r="S618" s="109" t="s">
        <v>1922</v>
      </c>
      <c r="T618" s="25"/>
      <c r="U618" s="111" t="s">
        <v>1923</v>
      </c>
      <c r="V618" s="111" t="s">
        <v>1923</v>
      </c>
      <c r="W618" s="112" t="s">
        <v>2137</v>
      </c>
      <c r="X618" s="112" t="s">
        <v>1906</v>
      </c>
      <c r="Y618" s="112" t="s">
        <v>2137</v>
      </c>
      <c r="Z618" s="112" t="s">
        <v>1906</v>
      </c>
      <c r="AA618" s="112" t="s">
        <v>2137</v>
      </c>
      <c r="AB618" s="112" t="s">
        <v>1906</v>
      </c>
      <c r="AC618" s="112">
        <v>103.75</v>
      </c>
      <c r="AD618" s="112" t="s">
        <v>1906</v>
      </c>
      <c r="AE618" s="112">
        <v>30.12</v>
      </c>
      <c r="AF618" s="112" t="s">
        <v>1906</v>
      </c>
      <c r="AG618" s="112">
        <v>0</v>
      </c>
      <c r="AH618" s="112"/>
      <c r="AI618" s="112">
        <v>0</v>
      </c>
      <c r="AJ618" s="112"/>
      <c r="AK618" s="112">
        <v>0</v>
      </c>
      <c r="AL618" s="112"/>
      <c r="AM618" s="112">
        <v>0</v>
      </c>
      <c r="AN618" s="112"/>
      <c r="AO618" s="112">
        <v>109.98</v>
      </c>
      <c r="AP618" s="112" t="s">
        <v>1906</v>
      </c>
      <c r="AQ618" s="112">
        <v>105.5</v>
      </c>
      <c r="AR618" s="112" t="s">
        <v>1906</v>
      </c>
      <c r="AS618" s="112">
        <v>105.5</v>
      </c>
      <c r="AT618" s="112" t="s">
        <v>1906</v>
      </c>
      <c r="AU618" s="112">
        <f t="shared" si="23"/>
        <v>766.1</v>
      </c>
      <c r="AV618" s="111">
        <v>0.33019999999999999</v>
      </c>
      <c r="AW618" s="111" t="s">
        <v>1904</v>
      </c>
      <c r="AX618" s="25"/>
      <c r="AY618" s="25"/>
      <c r="AZ618" s="25"/>
    </row>
    <row r="619" spans="1:52" ht="31.2" x14ac:dyDescent="0.3">
      <c r="A619" s="103">
        <v>609</v>
      </c>
      <c r="B619" s="109" t="s">
        <v>1359</v>
      </c>
      <c r="C619" s="109" t="s">
        <v>2138</v>
      </c>
      <c r="D619" s="110" t="s">
        <v>2139</v>
      </c>
      <c r="E619" s="110" t="s">
        <v>1917</v>
      </c>
      <c r="F619" s="30" t="s">
        <v>2703</v>
      </c>
      <c r="G619" s="26" t="s">
        <v>145</v>
      </c>
      <c r="H619" s="24" t="s">
        <v>146</v>
      </c>
      <c r="I619" s="109">
        <v>0</v>
      </c>
      <c r="J619" s="109" t="s">
        <v>1918</v>
      </c>
      <c r="K619" s="109">
        <v>50</v>
      </c>
      <c r="L619" s="109" t="s">
        <v>1919</v>
      </c>
      <c r="M619" s="109" t="s">
        <v>1904</v>
      </c>
      <c r="N619" s="109" t="s">
        <v>529</v>
      </c>
      <c r="O619" s="109" t="s">
        <v>1920</v>
      </c>
      <c r="P619" s="109"/>
      <c r="Q619" s="102">
        <v>0</v>
      </c>
      <c r="R619" s="109" t="s">
        <v>1907</v>
      </c>
      <c r="S619" s="109" t="s">
        <v>1922</v>
      </c>
      <c r="T619" s="25"/>
      <c r="U619" s="111" t="s">
        <v>1923</v>
      </c>
      <c r="V619" s="111" t="s">
        <v>1923</v>
      </c>
      <c r="W619" s="112">
        <v>0</v>
      </c>
      <c r="X619" s="112"/>
      <c r="Y619" s="112">
        <v>0</v>
      </c>
      <c r="Z619" s="112"/>
      <c r="AA619" s="112">
        <v>0</v>
      </c>
      <c r="AB619" s="112"/>
      <c r="AC619" s="112">
        <v>0</v>
      </c>
      <c r="AD619" s="112"/>
      <c r="AE619" s="112">
        <v>0</v>
      </c>
      <c r="AF619" s="112"/>
      <c r="AG619" s="112">
        <v>0</v>
      </c>
      <c r="AH619" s="112"/>
      <c r="AI619" s="112">
        <v>0</v>
      </c>
      <c r="AJ619" s="112"/>
      <c r="AK619" s="112">
        <v>0</v>
      </c>
      <c r="AL619" s="112"/>
      <c r="AM619" s="112">
        <v>0</v>
      </c>
      <c r="AN619" s="112"/>
      <c r="AO619" s="112">
        <v>0</v>
      </c>
      <c r="AP619" s="112"/>
      <c r="AQ619" s="112">
        <v>0</v>
      </c>
      <c r="AR619" s="112"/>
      <c r="AS619" s="112">
        <v>0</v>
      </c>
      <c r="AT619" s="112"/>
      <c r="AU619" s="112">
        <f t="shared" si="23"/>
        <v>0</v>
      </c>
      <c r="AV619" s="111">
        <v>0.58213000000000004</v>
      </c>
      <c r="AW619" s="111" t="s">
        <v>1904</v>
      </c>
      <c r="AX619" s="25"/>
      <c r="AY619" s="25"/>
      <c r="AZ619" s="25"/>
    </row>
    <row r="620" spans="1:52" ht="31.2" x14ac:dyDescent="0.3">
      <c r="A620" s="103">
        <v>610</v>
      </c>
      <c r="B620" s="109" t="s">
        <v>1363</v>
      </c>
      <c r="C620" s="30" t="s">
        <v>1899</v>
      </c>
      <c r="D620" s="110" t="s">
        <v>1900</v>
      </c>
      <c r="E620" s="110" t="s">
        <v>1917</v>
      </c>
      <c r="F620" s="30" t="s">
        <v>2703</v>
      </c>
      <c r="G620" s="26" t="s">
        <v>145</v>
      </c>
      <c r="H620" s="24" t="s">
        <v>146</v>
      </c>
      <c r="I620" s="109">
        <v>1</v>
      </c>
      <c r="J620" s="109" t="s">
        <v>1918</v>
      </c>
      <c r="K620" s="109">
        <v>76</v>
      </c>
      <c r="L620" s="109" t="s">
        <v>1919</v>
      </c>
      <c r="M620" s="109" t="s">
        <v>1904</v>
      </c>
      <c r="N620" s="109" t="s">
        <v>529</v>
      </c>
      <c r="O620" s="109" t="s">
        <v>1920</v>
      </c>
      <c r="P620" s="109" t="s">
        <v>1921</v>
      </c>
      <c r="Q620" s="102">
        <v>0</v>
      </c>
      <c r="R620" s="109" t="s">
        <v>1907</v>
      </c>
      <c r="S620" s="109" t="s">
        <v>1922</v>
      </c>
      <c r="T620" s="25"/>
      <c r="U620" s="111" t="s">
        <v>1923</v>
      </c>
      <c r="V620" s="111" t="s">
        <v>1923</v>
      </c>
      <c r="W620" s="112" t="s">
        <v>2140</v>
      </c>
      <c r="X620" s="112" t="s">
        <v>1906</v>
      </c>
      <c r="Y620" s="112" t="s">
        <v>2140</v>
      </c>
      <c r="Z620" s="112" t="s">
        <v>1906</v>
      </c>
      <c r="AA620" s="112" t="s">
        <v>2140</v>
      </c>
      <c r="AB620" s="112" t="s">
        <v>1906</v>
      </c>
      <c r="AC620" s="112">
        <v>45.65</v>
      </c>
      <c r="AD620" s="112" t="s">
        <v>1906</v>
      </c>
      <c r="AE620" s="112">
        <v>14.73</v>
      </c>
      <c r="AF620" s="112" t="s">
        <v>1906</v>
      </c>
      <c r="AG620" s="112">
        <v>0</v>
      </c>
      <c r="AH620" s="112"/>
      <c r="AI620" s="112">
        <v>0</v>
      </c>
      <c r="AJ620" s="112"/>
      <c r="AK620" s="112">
        <v>0</v>
      </c>
      <c r="AL620" s="112"/>
      <c r="AM620" s="112">
        <v>0</v>
      </c>
      <c r="AN620" s="112"/>
      <c r="AO620" s="112">
        <v>42.04</v>
      </c>
      <c r="AP620" s="112" t="s">
        <v>1906</v>
      </c>
      <c r="AQ620" s="112">
        <v>41.89</v>
      </c>
      <c r="AR620" s="112" t="s">
        <v>1906</v>
      </c>
      <c r="AS620" s="112">
        <v>41.89</v>
      </c>
      <c r="AT620" s="112" t="s">
        <v>1906</v>
      </c>
      <c r="AU620" s="112">
        <f t="shared" si="23"/>
        <v>323.14999999999998</v>
      </c>
      <c r="AV620" s="111">
        <v>0.15656999999999999</v>
      </c>
      <c r="AW620" s="111" t="s">
        <v>1904</v>
      </c>
      <c r="AX620" s="25"/>
      <c r="AY620" s="25"/>
      <c r="AZ620" s="25"/>
    </row>
    <row r="621" spans="1:52" ht="31.2" x14ac:dyDescent="0.3">
      <c r="A621" s="103">
        <v>611</v>
      </c>
      <c r="B621" s="109" t="s">
        <v>1365</v>
      </c>
      <c r="C621" s="30" t="s">
        <v>1899</v>
      </c>
      <c r="D621" s="110" t="s">
        <v>1900</v>
      </c>
      <c r="E621" s="110" t="s">
        <v>1917</v>
      </c>
      <c r="F621" s="30" t="s">
        <v>2703</v>
      </c>
      <c r="G621" s="26" t="s">
        <v>145</v>
      </c>
      <c r="H621" s="24" t="s">
        <v>146</v>
      </c>
      <c r="I621" s="109">
        <v>1</v>
      </c>
      <c r="J621" s="109" t="s">
        <v>1918</v>
      </c>
      <c r="K621" s="109">
        <v>108</v>
      </c>
      <c r="L621" s="109" t="s">
        <v>1919</v>
      </c>
      <c r="M621" s="109" t="s">
        <v>1904</v>
      </c>
      <c r="N621" s="109" t="s">
        <v>529</v>
      </c>
      <c r="O621" s="109" t="s">
        <v>1920</v>
      </c>
      <c r="P621" s="109" t="s">
        <v>1921</v>
      </c>
      <c r="Q621" s="102">
        <v>0</v>
      </c>
      <c r="R621" s="109" t="s">
        <v>1907</v>
      </c>
      <c r="S621" s="109" t="s">
        <v>1922</v>
      </c>
      <c r="T621" s="25"/>
      <c r="U621" s="111" t="s">
        <v>1923</v>
      </c>
      <c r="V621" s="111" t="s">
        <v>1923</v>
      </c>
      <c r="W621" s="112" t="s">
        <v>2141</v>
      </c>
      <c r="X621" s="112" t="s">
        <v>1906</v>
      </c>
      <c r="Y621" s="112" t="s">
        <v>2142</v>
      </c>
      <c r="Z621" s="112" t="s">
        <v>1906</v>
      </c>
      <c r="AA621" s="112" t="s">
        <v>2142</v>
      </c>
      <c r="AB621" s="112" t="s">
        <v>1906</v>
      </c>
      <c r="AC621" s="112">
        <v>84.43</v>
      </c>
      <c r="AD621" s="112" t="s">
        <v>1906</v>
      </c>
      <c r="AE621" s="112">
        <v>27.24</v>
      </c>
      <c r="AF621" s="112" t="s">
        <v>1906</v>
      </c>
      <c r="AG621" s="112">
        <v>0</v>
      </c>
      <c r="AH621" s="112"/>
      <c r="AI621" s="112">
        <v>0</v>
      </c>
      <c r="AJ621" s="112"/>
      <c r="AK621" s="112">
        <v>0</v>
      </c>
      <c r="AL621" s="112"/>
      <c r="AM621" s="112">
        <v>17.02</v>
      </c>
      <c r="AN621" s="112" t="s">
        <v>1906</v>
      </c>
      <c r="AO621" s="112">
        <v>86.55</v>
      </c>
      <c r="AP621" s="112" t="s">
        <v>1906</v>
      </c>
      <c r="AQ621" s="112">
        <v>85.09</v>
      </c>
      <c r="AR621" s="112" t="s">
        <v>1906</v>
      </c>
      <c r="AS621" s="112">
        <v>85.09</v>
      </c>
      <c r="AT621" s="112" t="s">
        <v>1906</v>
      </c>
      <c r="AU621" s="112">
        <f t="shared" si="23"/>
        <v>640.62</v>
      </c>
      <c r="AV621" s="111">
        <v>0.38790999999999998</v>
      </c>
      <c r="AW621" s="111" t="s">
        <v>1904</v>
      </c>
      <c r="AX621" s="25"/>
      <c r="AY621" s="25"/>
      <c r="AZ621" s="25"/>
    </row>
    <row r="622" spans="1:52" ht="31.2" x14ac:dyDescent="0.3">
      <c r="A622" s="103">
        <v>612</v>
      </c>
      <c r="B622" s="109" t="s">
        <v>1367</v>
      </c>
      <c r="C622" s="30" t="s">
        <v>1899</v>
      </c>
      <c r="D622" s="110" t="s">
        <v>1900</v>
      </c>
      <c r="E622" s="110" t="s">
        <v>1917</v>
      </c>
      <c r="F622" s="30" t="s">
        <v>2703</v>
      </c>
      <c r="G622" s="26" t="s">
        <v>145</v>
      </c>
      <c r="H622" s="24" t="s">
        <v>146</v>
      </c>
      <c r="I622" s="109">
        <v>0</v>
      </c>
      <c r="J622" s="109" t="s">
        <v>1918</v>
      </c>
      <c r="K622" s="109"/>
      <c r="L622" s="109" t="s">
        <v>1919</v>
      </c>
      <c r="M622" s="109" t="s">
        <v>1904</v>
      </c>
      <c r="N622" s="109" t="s">
        <v>529</v>
      </c>
      <c r="O622" s="109" t="s">
        <v>1920</v>
      </c>
      <c r="P622" s="109" t="s">
        <v>1920</v>
      </c>
      <c r="Q622" s="102">
        <v>0</v>
      </c>
      <c r="R622" s="109" t="s">
        <v>1907</v>
      </c>
      <c r="S622" s="109" t="s">
        <v>1922</v>
      </c>
      <c r="T622" s="25"/>
      <c r="U622" s="111" t="s">
        <v>1923</v>
      </c>
      <c r="V622" s="111" t="s">
        <v>1923</v>
      </c>
      <c r="W622" s="112" t="s">
        <v>2143</v>
      </c>
      <c r="X622" s="112" t="s">
        <v>1906</v>
      </c>
      <c r="Y622" s="112" t="s">
        <v>2144</v>
      </c>
      <c r="Z622" s="112" t="s">
        <v>1906</v>
      </c>
      <c r="AA622" s="112" t="s">
        <v>2144</v>
      </c>
      <c r="AB622" s="112" t="s">
        <v>1906</v>
      </c>
      <c r="AC622" s="112">
        <v>50.37</v>
      </c>
      <c r="AD622" s="112" t="s">
        <v>1906</v>
      </c>
      <c r="AE622" s="112">
        <v>16.25</v>
      </c>
      <c r="AF622" s="112" t="s">
        <v>1906</v>
      </c>
      <c r="AG622" s="112">
        <v>0</v>
      </c>
      <c r="AH622" s="112"/>
      <c r="AI622" s="112">
        <v>0</v>
      </c>
      <c r="AJ622" s="112"/>
      <c r="AK622" s="112">
        <v>0</v>
      </c>
      <c r="AL622" s="112"/>
      <c r="AM622" s="112">
        <v>8.8699999999999992</v>
      </c>
      <c r="AN622" s="112" t="s">
        <v>1906</v>
      </c>
      <c r="AO622" s="112">
        <v>44.37</v>
      </c>
      <c r="AP622" s="112" t="s">
        <v>1906</v>
      </c>
      <c r="AQ622" s="112">
        <v>44.37</v>
      </c>
      <c r="AR622" s="112" t="s">
        <v>1906</v>
      </c>
      <c r="AS622" s="112">
        <v>44.37</v>
      </c>
      <c r="AT622" s="112" t="s">
        <v>1906</v>
      </c>
      <c r="AU622" s="112">
        <f t="shared" si="23"/>
        <v>360.09000000000003</v>
      </c>
      <c r="AV622" s="111">
        <v>0.13650000000000001</v>
      </c>
      <c r="AW622" s="111" t="s">
        <v>1904</v>
      </c>
      <c r="AX622" s="25"/>
      <c r="AY622" s="25"/>
      <c r="AZ622" s="25"/>
    </row>
    <row r="623" spans="1:52" ht="31.2" x14ac:dyDescent="0.3">
      <c r="A623" s="103">
        <v>613</v>
      </c>
      <c r="B623" s="109" t="s">
        <v>1368</v>
      </c>
      <c r="C623" s="30" t="s">
        <v>1899</v>
      </c>
      <c r="D623" s="110" t="s">
        <v>1900</v>
      </c>
      <c r="E623" s="110" t="s">
        <v>1917</v>
      </c>
      <c r="F623" s="30" t="s">
        <v>2703</v>
      </c>
      <c r="G623" s="26" t="s">
        <v>145</v>
      </c>
      <c r="H623" s="24" t="s">
        <v>146</v>
      </c>
      <c r="I623" s="109">
        <v>2</v>
      </c>
      <c r="J623" s="109" t="s">
        <v>1918</v>
      </c>
      <c r="K623" s="109">
        <v>76</v>
      </c>
      <c r="L623" s="109" t="s">
        <v>1919</v>
      </c>
      <c r="M623" s="109" t="s">
        <v>1904</v>
      </c>
      <c r="N623" s="109" t="s">
        <v>529</v>
      </c>
      <c r="O623" s="109" t="s">
        <v>1920</v>
      </c>
      <c r="P623" s="109" t="s">
        <v>1921</v>
      </c>
      <c r="Q623" s="102">
        <v>0</v>
      </c>
      <c r="R623" s="109" t="s">
        <v>1907</v>
      </c>
      <c r="S623" s="109" t="s">
        <v>1922</v>
      </c>
      <c r="T623" s="25"/>
      <c r="U623" s="111" t="s">
        <v>1923</v>
      </c>
      <c r="V623" s="111" t="s">
        <v>1923</v>
      </c>
      <c r="W623" s="112" t="s">
        <v>2145</v>
      </c>
      <c r="X623" s="112" t="s">
        <v>1906</v>
      </c>
      <c r="Y623" s="112" t="s">
        <v>2145</v>
      </c>
      <c r="Z623" s="112" t="s">
        <v>1906</v>
      </c>
      <c r="AA623" s="112" t="s">
        <v>2145</v>
      </c>
      <c r="AB623" s="112" t="s">
        <v>1906</v>
      </c>
      <c r="AC623" s="112">
        <v>135.80000000000001</v>
      </c>
      <c r="AD623" s="112" t="s">
        <v>1906</v>
      </c>
      <c r="AE623" s="112">
        <v>43.81</v>
      </c>
      <c r="AF623" s="112" t="s">
        <v>1906</v>
      </c>
      <c r="AG623" s="112">
        <v>0</v>
      </c>
      <c r="AH623" s="112"/>
      <c r="AI623" s="112">
        <v>0</v>
      </c>
      <c r="AJ623" s="112"/>
      <c r="AK623" s="112">
        <v>0</v>
      </c>
      <c r="AL623" s="112"/>
      <c r="AM623" s="112">
        <v>25.79</v>
      </c>
      <c r="AN623" s="112" t="s">
        <v>1906</v>
      </c>
      <c r="AO623" s="112">
        <v>128.94</v>
      </c>
      <c r="AP623" s="112" t="s">
        <v>208</v>
      </c>
      <c r="AQ623" s="112">
        <v>64.47</v>
      </c>
      <c r="AR623" s="112" t="s">
        <v>208</v>
      </c>
      <c r="AS623" s="112">
        <v>64.47</v>
      </c>
      <c r="AT623" s="112" t="s">
        <v>208</v>
      </c>
      <c r="AU623" s="112">
        <f t="shared" si="23"/>
        <v>870.68000000000006</v>
      </c>
      <c r="AV623" s="111">
        <v>0.49380000000000002</v>
      </c>
      <c r="AW623" s="111" t="s">
        <v>1904</v>
      </c>
      <c r="AX623" s="25"/>
      <c r="AY623" s="25"/>
      <c r="AZ623" s="25"/>
    </row>
    <row r="624" spans="1:52" ht="31.2" x14ac:dyDescent="0.3">
      <c r="A624" s="103">
        <v>614</v>
      </c>
      <c r="B624" s="109" t="s">
        <v>1369</v>
      </c>
      <c r="C624" s="30" t="s">
        <v>1899</v>
      </c>
      <c r="D624" s="110" t="s">
        <v>1900</v>
      </c>
      <c r="E624" s="110" t="s">
        <v>1917</v>
      </c>
      <c r="F624" s="30" t="s">
        <v>2703</v>
      </c>
      <c r="G624" s="26" t="s">
        <v>145</v>
      </c>
      <c r="H624" s="24" t="s">
        <v>146</v>
      </c>
      <c r="I624" s="109">
        <v>0</v>
      </c>
      <c r="J624" s="109" t="s">
        <v>1918</v>
      </c>
      <c r="K624" s="109">
        <v>76</v>
      </c>
      <c r="L624" s="109" t="s">
        <v>1919</v>
      </c>
      <c r="M624" s="109" t="s">
        <v>1904</v>
      </c>
      <c r="N624" s="109" t="s">
        <v>529</v>
      </c>
      <c r="O624" s="109" t="s">
        <v>1920</v>
      </c>
      <c r="P624" s="109" t="s">
        <v>1920</v>
      </c>
      <c r="Q624" s="102">
        <v>0</v>
      </c>
      <c r="R624" s="109" t="s">
        <v>1907</v>
      </c>
      <c r="S624" s="109" t="s">
        <v>1922</v>
      </c>
      <c r="T624" s="25"/>
      <c r="U624" s="111" t="s">
        <v>1923</v>
      </c>
      <c r="V624" s="111" t="s">
        <v>1923</v>
      </c>
      <c r="W624" s="112" t="s">
        <v>2146</v>
      </c>
      <c r="X624" s="112" t="s">
        <v>1906</v>
      </c>
      <c r="Y624" s="112" t="s">
        <v>2146</v>
      </c>
      <c r="Z624" s="112" t="s">
        <v>1906</v>
      </c>
      <c r="AA624" s="112" t="s">
        <v>2146</v>
      </c>
      <c r="AB624" s="112" t="s">
        <v>1906</v>
      </c>
      <c r="AC624" s="112">
        <v>62.86</v>
      </c>
      <c r="AD624" s="112" t="s">
        <v>1906</v>
      </c>
      <c r="AE624" s="112">
        <v>20.28</v>
      </c>
      <c r="AF624" s="112" t="s">
        <v>1906</v>
      </c>
      <c r="AG624" s="112">
        <v>0</v>
      </c>
      <c r="AH624" s="112"/>
      <c r="AI624" s="112">
        <v>0</v>
      </c>
      <c r="AJ624" s="112"/>
      <c r="AK624" s="112">
        <v>0</v>
      </c>
      <c r="AL624" s="112"/>
      <c r="AM624" s="112">
        <v>12.52</v>
      </c>
      <c r="AN624" s="112" t="s">
        <v>1906</v>
      </c>
      <c r="AO624" s="112">
        <v>62.59</v>
      </c>
      <c r="AP624" s="112" t="s">
        <v>1906</v>
      </c>
      <c r="AQ624" s="112">
        <v>62.59</v>
      </c>
      <c r="AR624" s="112" t="s">
        <v>1906</v>
      </c>
      <c r="AS624" s="112">
        <v>62.59</v>
      </c>
      <c r="AT624" s="112" t="s">
        <v>1906</v>
      </c>
      <c r="AU624" s="112">
        <f t="shared" si="23"/>
        <v>472.0100000000001</v>
      </c>
      <c r="AV624" s="111">
        <v>0.19470999999999999</v>
      </c>
      <c r="AW624" s="111" t="s">
        <v>1904</v>
      </c>
      <c r="AX624" s="25"/>
      <c r="AY624" s="25"/>
      <c r="AZ624" s="25"/>
    </row>
    <row r="625" spans="1:52" ht="31.2" x14ac:dyDescent="0.3">
      <c r="A625" s="103">
        <v>615</v>
      </c>
      <c r="B625" s="109" t="s">
        <v>1370</v>
      </c>
      <c r="C625" s="30" t="s">
        <v>1899</v>
      </c>
      <c r="D625" s="110" t="s">
        <v>1900</v>
      </c>
      <c r="E625" s="110" t="s">
        <v>1917</v>
      </c>
      <c r="F625" s="30" t="s">
        <v>2703</v>
      </c>
      <c r="G625" s="26" t="s">
        <v>145</v>
      </c>
      <c r="H625" s="24" t="s">
        <v>146</v>
      </c>
      <c r="I625" s="109">
        <v>0</v>
      </c>
      <c r="J625" s="109" t="s">
        <v>1918</v>
      </c>
      <c r="K625" s="109">
        <v>76</v>
      </c>
      <c r="L625" s="109" t="s">
        <v>1919</v>
      </c>
      <c r="M625" s="109" t="s">
        <v>1904</v>
      </c>
      <c r="N625" s="109" t="s">
        <v>529</v>
      </c>
      <c r="O625" s="109" t="s">
        <v>1920</v>
      </c>
      <c r="P625" s="109" t="s">
        <v>1920</v>
      </c>
      <c r="Q625" s="102">
        <v>0</v>
      </c>
      <c r="R625" s="109" t="s">
        <v>1907</v>
      </c>
      <c r="S625" s="109" t="s">
        <v>1922</v>
      </c>
      <c r="T625" s="25"/>
      <c r="U625" s="111" t="s">
        <v>1923</v>
      </c>
      <c r="V625" s="111" t="s">
        <v>1923</v>
      </c>
      <c r="W625" s="112" t="s">
        <v>2147</v>
      </c>
      <c r="X625" s="112" t="s">
        <v>1906</v>
      </c>
      <c r="Y625" s="112" t="s">
        <v>2147</v>
      </c>
      <c r="Z625" s="112" t="s">
        <v>1906</v>
      </c>
      <c r="AA625" s="112" t="s">
        <v>2147</v>
      </c>
      <c r="AB625" s="112" t="s">
        <v>1906</v>
      </c>
      <c r="AC625" s="112">
        <v>44.41</v>
      </c>
      <c r="AD625" s="112" t="s">
        <v>1906</v>
      </c>
      <c r="AE625" s="112">
        <v>14.32</v>
      </c>
      <c r="AF625" s="112" t="s">
        <v>1906</v>
      </c>
      <c r="AG625" s="112">
        <v>0</v>
      </c>
      <c r="AH625" s="112"/>
      <c r="AI625" s="112">
        <v>0</v>
      </c>
      <c r="AJ625" s="112"/>
      <c r="AK625" s="112">
        <v>0</v>
      </c>
      <c r="AL625" s="112"/>
      <c r="AM625" s="112">
        <v>8.4</v>
      </c>
      <c r="AN625" s="112" t="s">
        <v>1906</v>
      </c>
      <c r="AO625" s="112">
        <v>42.01</v>
      </c>
      <c r="AP625" s="112" t="s">
        <v>1906</v>
      </c>
      <c r="AQ625" s="112">
        <v>42.01</v>
      </c>
      <c r="AR625" s="112" t="s">
        <v>1906</v>
      </c>
      <c r="AS625" s="112">
        <v>42.01</v>
      </c>
      <c r="AT625" s="112" t="s">
        <v>1906</v>
      </c>
      <c r="AU625" s="112">
        <f t="shared" si="23"/>
        <v>326.39</v>
      </c>
      <c r="AV625" s="111">
        <v>9.7854999999999998E-2</v>
      </c>
      <c r="AW625" s="111" t="s">
        <v>1904</v>
      </c>
      <c r="AX625" s="25"/>
      <c r="AY625" s="25"/>
      <c r="AZ625" s="25"/>
    </row>
    <row r="626" spans="1:52" ht="31.2" x14ac:dyDescent="0.3">
      <c r="A626" s="103">
        <v>616</v>
      </c>
      <c r="B626" s="109" t="s">
        <v>1371</v>
      </c>
      <c r="C626" s="30" t="s">
        <v>1899</v>
      </c>
      <c r="D626" s="110" t="s">
        <v>1900</v>
      </c>
      <c r="E626" s="110" t="s">
        <v>1917</v>
      </c>
      <c r="F626" s="30" t="s">
        <v>2703</v>
      </c>
      <c r="G626" s="26" t="s">
        <v>145</v>
      </c>
      <c r="H626" s="24" t="s">
        <v>146</v>
      </c>
      <c r="I626" s="109">
        <v>0</v>
      </c>
      <c r="J626" s="109" t="s">
        <v>1918</v>
      </c>
      <c r="K626" s="109">
        <v>76</v>
      </c>
      <c r="L626" s="109" t="s">
        <v>1919</v>
      </c>
      <c r="M626" s="109" t="s">
        <v>1904</v>
      </c>
      <c r="N626" s="109" t="s">
        <v>529</v>
      </c>
      <c r="O626" s="109" t="s">
        <v>1920</v>
      </c>
      <c r="P626" s="109" t="s">
        <v>1920</v>
      </c>
      <c r="Q626" s="102">
        <v>0</v>
      </c>
      <c r="R626" s="109" t="s">
        <v>1907</v>
      </c>
      <c r="S626" s="109" t="s">
        <v>1922</v>
      </c>
      <c r="T626" s="25"/>
      <c r="U626" s="111" t="s">
        <v>1923</v>
      </c>
      <c r="V626" s="111" t="s">
        <v>1923</v>
      </c>
      <c r="W626" s="112" t="s">
        <v>2147</v>
      </c>
      <c r="X626" s="112" t="s">
        <v>1906</v>
      </c>
      <c r="Y626" s="112" t="s">
        <v>2147</v>
      </c>
      <c r="Z626" s="112" t="s">
        <v>1906</v>
      </c>
      <c r="AA626" s="112" t="s">
        <v>2147</v>
      </c>
      <c r="AB626" s="112" t="s">
        <v>1906</v>
      </c>
      <c r="AC626" s="112">
        <v>44.41</v>
      </c>
      <c r="AD626" s="112" t="s">
        <v>1906</v>
      </c>
      <c r="AE626" s="112">
        <v>14.32</v>
      </c>
      <c r="AF626" s="112" t="s">
        <v>1906</v>
      </c>
      <c r="AG626" s="112">
        <v>0</v>
      </c>
      <c r="AH626" s="112"/>
      <c r="AI626" s="112">
        <v>0</v>
      </c>
      <c r="AJ626" s="112"/>
      <c r="AK626" s="112">
        <v>0</v>
      </c>
      <c r="AL626" s="112"/>
      <c r="AM626" s="112">
        <v>8.4</v>
      </c>
      <c r="AN626" s="112" t="s">
        <v>1906</v>
      </c>
      <c r="AO626" s="112">
        <v>42.01</v>
      </c>
      <c r="AP626" s="112" t="s">
        <v>1906</v>
      </c>
      <c r="AQ626" s="112">
        <v>42.01</v>
      </c>
      <c r="AR626" s="112" t="s">
        <v>1906</v>
      </c>
      <c r="AS626" s="112">
        <v>42.01</v>
      </c>
      <c r="AT626" s="112" t="s">
        <v>1906</v>
      </c>
      <c r="AU626" s="112">
        <f t="shared" si="23"/>
        <v>326.39</v>
      </c>
      <c r="AV626" s="111">
        <v>9.7854999999999998E-2</v>
      </c>
      <c r="AW626" s="111" t="s">
        <v>1904</v>
      </c>
      <c r="AX626" s="25"/>
      <c r="AY626" s="25"/>
      <c r="AZ626" s="25"/>
    </row>
    <row r="627" spans="1:52" ht="31.2" x14ac:dyDescent="0.3">
      <c r="A627" s="103">
        <v>617</v>
      </c>
      <c r="B627" s="109" t="s">
        <v>1372</v>
      </c>
      <c r="C627" s="30" t="s">
        <v>1899</v>
      </c>
      <c r="D627" s="110" t="s">
        <v>1900</v>
      </c>
      <c r="E627" s="110" t="s">
        <v>1917</v>
      </c>
      <c r="F627" s="30" t="s">
        <v>2703</v>
      </c>
      <c r="G627" s="26" t="s">
        <v>145</v>
      </c>
      <c r="H627" s="24" t="s">
        <v>146</v>
      </c>
      <c r="I627" s="109">
        <v>0</v>
      </c>
      <c r="J627" s="109" t="s">
        <v>1918</v>
      </c>
      <c r="K627" s="109">
        <v>76</v>
      </c>
      <c r="L627" s="109" t="s">
        <v>1919</v>
      </c>
      <c r="M627" s="109" t="s">
        <v>1904</v>
      </c>
      <c r="N627" s="109" t="s">
        <v>529</v>
      </c>
      <c r="O627" s="109" t="s">
        <v>1920</v>
      </c>
      <c r="P627" s="109" t="s">
        <v>1920</v>
      </c>
      <c r="Q627" s="102">
        <v>0</v>
      </c>
      <c r="R627" s="109" t="s">
        <v>1907</v>
      </c>
      <c r="S627" s="109" t="s">
        <v>1922</v>
      </c>
      <c r="T627" s="25"/>
      <c r="U627" s="111" t="s">
        <v>1923</v>
      </c>
      <c r="V627" s="111" t="s">
        <v>1923</v>
      </c>
      <c r="W627" s="112" t="s">
        <v>2148</v>
      </c>
      <c r="X627" s="112" t="s">
        <v>1906</v>
      </c>
      <c r="Y627" s="112" t="s">
        <v>2148</v>
      </c>
      <c r="Z627" s="112" t="s">
        <v>1906</v>
      </c>
      <c r="AA627" s="112" t="s">
        <v>2148</v>
      </c>
      <c r="AB627" s="112" t="s">
        <v>1906</v>
      </c>
      <c r="AC627" s="112">
        <v>40.880000000000003</v>
      </c>
      <c r="AD627" s="112" t="s">
        <v>1906</v>
      </c>
      <c r="AE627" s="112">
        <v>13.19</v>
      </c>
      <c r="AF627" s="112" t="s">
        <v>1906</v>
      </c>
      <c r="AG627" s="112">
        <v>0</v>
      </c>
      <c r="AH627" s="112"/>
      <c r="AI627" s="112">
        <v>0</v>
      </c>
      <c r="AJ627" s="112"/>
      <c r="AK627" s="112">
        <v>0</v>
      </c>
      <c r="AL627" s="112"/>
      <c r="AM627" s="112">
        <v>8.0500000000000007</v>
      </c>
      <c r="AN627" s="112" t="s">
        <v>1906</v>
      </c>
      <c r="AO627" s="112">
        <v>40.270000000000003</v>
      </c>
      <c r="AP627" s="112" t="s">
        <v>1906</v>
      </c>
      <c r="AQ627" s="112">
        <v>40.270000000000003</v>
      </c>
      <c r="AR627" s="112" t="s">
        <v>1906</v>
      </c>
      <c r="AS627" s="112">
        <v>40.270000000000003</v>
      </c>
      <c r="AT627" s="112" t="s">
        <v>1906</v>
      </c>
      <c r="AU627" s="112">
        <f t="shared" si="23"/>
        <v>305.57</v>
      </c>
      <c r="AV627" s="111">
        <v>0.14754</v>
      </c>
      <c r="AW627" s="111" t="s">
        <v>1904</v>
      </c>
      <c r="AX627" s="25"/>
      <c r="AY627" s="25"/>
      <c r="AZ627" s="25"/>
    </row>
    <row r="628" spans="1:52" ht="31.2" x14ac:dyDescent="0.3">
      <c r="A628" s="103">
        <v>618</v>
      </c>
      <c r="B628" s="109" t="s">
        <v>1373</v>
      </c>
      <c r="C628" s="30" t="s">
        <v>1899</v>
      </c>
      <c r="D628" s="110" t="s">
        <v>1900</v>
      </c>
      <c r="E628" s="110" t="s">
        <v>1917</v>
      </c>
      <c r="F628" s="30" t="s">
        <v>2703</v>
      </c>
      <c r="G628" s="26" t="s">
        <v>145</v>
      </c>
      <c r="H628" s="24" t="s">
        <v>146</v>
      </c>
      <c r="I628" s="109">
        <v>1</v>
      </c>
      <c r="J628" s="109" t="s">
        <v>1918</v>
      </c>
      <c r="K628" s="109">
        <v>89</v>
      </c>
      <c r="L628" s="109" t="s">
        <v>1919</v>
      </c>
      <c r="M628" s="109" t="s">
        <v>1904</v>
      </c>
      <c r="N628" s="109" t="s">
        <v>529</v>
      </c>
      <c r="O628" s="109" t="s">
        <v>1920</v>
      </c>
      <c r="P628" s="109" t="s">
        <v>1921</v>
      </c>
      <c r="Q628" s="102">
        <v>0</v>
      </c>
      <c r="R628" s="109" t="s">
        <v>1907</v>
      </c>
      <c r="S628" s="109" t="s">
        <v>1922</v>
      </c>
      <c r="T628" s="25"/>
      <c r="U628" s="111" t="s">
        <v>1923</v>
      </c>
      <c r="V628" s="111" t="s">
        <v>1923</v>
      </c>
      <c r="W628" s="112" t="s">
        <v>2149</v>
      </c>
      <c r="X628" s="112" t="s">
        <v>1906</v>
      </c>
      <c r="Y628" s="112" t="s">
        <v>2149</v>
      </c>
      <c r="Z628" s="112" t="s">
        <v>1906</v>
      </c>
      <c r="AA628" s="112" t="s">
        <v>2149</v>
      </c>
      <c r="AB628" s="112" t="s">
        <v>1906</v>
      </c>
      <c r="AC628" s="112">
        <v>66.09</v>
      </c>
      <c r="AD628" s="112" t="s">
        <v>1906</v>
      </c>
      <c r="AE628" s="112">
        <v>21.32</v>
      </c>
      <c r="AF628" s="112" t="s">
        <v>1906</v>
      </c>
      <c r="AG628" s="112">
        <v>0</v>
      </c>
      <c r="AH628" s="112"/>
      <c r="AI628" s="112">
        <v>0</v>
      </c>
      <c r="AJ628" s="112"/>
      <c r="AK628" s="112">
        <v>0</v>
      </c>
      <c r="AL628" s="112"/>
      <c r="AM628" s="112">
        <v>0</v>
      </c>
      <c r="AN628" s="112"/>
      <c r="AO628" s="112">
        <v>62.79</v>
      </c>
      <c r="AP628" s="112" t="s">
        <v>1906</v>
      </c>
      <c r="AQ628" s="112">
        <v>62.15</v>
      </c>
      <c r="AR628" s="112" t="s">
        <v>1906</v>
      </c>
      <c r="AS628" s="112">
        <v>62.15</v>
      </c>
      <c r="AT628" s="112" t="s">
        <v>1906</v>
      </c>
      <c r="AU628" s="112">
        <f t="shared" si="23"/>
        <v>472.77</v>
      </c>
      <c r="AV628" s="111">
        <v>0.22558</v>
      </c>
      <c r="AW628" s="111" t="s">
        <v>1904</v>
      </c>
      <c r="AX628" s="25"/>
      <c r="AY628" s="25"/>
      <c r="AZ628" s="25"/>
    </row>
    <row r="629" spans="1:52" ht="31.2" x14ac:dyDescent="0.3">
      <c r="A629" s="103">
        <v>619</v>
      </c>
      <c r="B629" s="109" t="s">
        <v>1375</v>
      </c>
      <c r="C629" s="30" t="s">
        <v>1899</v>
      </c>
      <c r="D629" s="110" t="s">
        <v>1900</v>
      </c>
      <c r="E629" s="110" t="s">
        <v>1917</v>
      </c>
      <c r="F629" s="30" t="s">
        <v>2703</v>
      </c>
      <c r="G629" s="26" t="s">
        <v>145</v>
      </c>
      <c r="H629" s="24" t="s">
        <v>146</v>
      </c>
      <c r="I629" s="109">
        <v>1</v>
      </c>
      <c r="J629" s="109" t="s">
        <v>1918</v>
      </c>
      <c r="K629" s="109">
        <v>76</v>
      </c>
      <c r="L629" s="109" t="s">
        <v>1919</v>
      </c>
      <c r="M629" s="109" t="s">
        <v>1904</v>
      </c>
      <c r="N629" s="109" t="s">
        <v>529</v>
      </c>
      <c r="O629" s="109" t="s">
        <v>1920</v>
      </c>
      <c r="P629" s="109" t="s">
        <v>1921</v>
      </c>
      <c r="Q629" s="102">
        <v>0</v>
      </c>
      <c r="R629" s="109" t="s">
        <v>1907</v>
      </c>
      <c r="S629" s="109" t="s">
        <v>1922</v>
      </c>
      <c r="T629" s="25"/>
      <c r="U629" s="111" t="s">
        <v>1923</v>
      </c>
      <c r="V629" s="111" t="s">
        <v>1923</v>
      </c>
      <c r="W629" s="112" t="s">
        <v>2150</v>
      </c>
      <c r="X629" s="112" t="s">
        <v>1906</v>
      </c>
      <c r="Y629" s="112" t="s">
        <v>2151</v>
      </c>
      <c r="Z629" s="112" t="s">
        <v>1906</v>
      </c>
      <c r="AA629" s="112" t="s">
        <v>2151</v>
      </c>
      <c r="AB629" s="112" t="s">
        <v>1906</v>
      </c>
      <c r="AC629" s="112">
        <v>47.61</v>
      </c>
      <c r="AD629" s="112" t="s">
        <v>1906</v>
      </c>
      <c r="AE629" s="112">
        <v>15.36</v>
      </c>
      <c r="AF629" s="112" t="s">
        <v>1906</v>
      </c>
      <c r="AG629" s="112">
        <v>0</v>
      </c>
      <c r="AH629" s="112"/>
      <c r="AI629" s="112">
        <v>0</v>
      </c>
      <c r="AJ629" s="112"/>
      <c r="AK629" s="112">
        <v>0</v>
      </c>
      <c r="AL629" s="112"/>
      <c r="AM629" s="112">
        <v>0</v>
      </c>
      <c r="AN629" s="112"/>
      <c r="AO629" s="112">
        <v>45.68</v>
      </c>
      <c r="AP629" s="112" t="s">
        <v>1906</v>
      </c>
      <c r="AQ629" s="112">
        <v>45.68</v>
      </c>
      <c r="AR629" s="112" t="s">
        <v>1906</v>
      </c>
      <c r="AS629" s="112">
        <v>45.68</v>
      </c>
      <c r="AT629" s="112" t="s">
        <v>1906</v>
      </c>
      <c r="AU629" s="112">
        <f t="shared" si="23"/>
        <v>343.08000000000004</v>
      </c>
      <c r="AV629" s="111">
        <v>0.14954999999999999</v>
      </c>
      <c r="AW629" s="111" t="s">
        <v>1904</v>
      </c>
      <c r="AX629" s="25"/>
      <c r="AY629" s="25"/>
      <c r="AZ629" s="25"/>
    </row>
    <row r="630" spans="1:52" ht="31.2" x14ac:dyDescent="0.3">
      <c r="A630" s="103">
        <v>620</v>
      </c>
      <c r="B630" s="109" t="s">
        <v>1377</v>
      </c>
      <c r="C630" s="30" t="s">
        <v>1899</v>
      </c>
      <c r="D630" s="110" t="s">
        <v>1900</v>
      </c>
      <c r="E630" s="110" t="s">
        <v>1917</v>
      </c>
      <c r="F630" s="30" t="s">
        <v>2703</v>
      </c>
      <c r="G630" s="26" t="s">
        <v>145</v>
      </c>
      <c r="H630" s="24" t="s">
        <v>146</v>
      </c>
      <c r="I630" s="109">
        <v>1</v>
      </c>
      <c r="J630" s="109" t="s">
        <v>1918</v>
      </c>
      <c r="K630" s="109">
        <v>100</v>
      </c>
      <c r="L630" s="109" t="s">
        <v>1919</v>
      </c>
      <c r="M630" s="109" t="s">
        <v>1904</v>
      </c>
      <c r="N630" s="109" t="s">
        <v>529</v>
      </c>
      <c r="O630" s="109" t="s">
        <v>1920</v>
      </c>
      <c r="P630" s="109" t="s">
        <v>1921</v>
      </c>
      <c r="Q630" s="102">
        <v>0</v>
      </c>
      <c r="R630" s="109" t="s">
        <v>1907</v>
      </c>
      <c r="S630" s="109" t="s">
        <v>1922</v>
      </c>
      <c r="T630" s="25"/>
      <c r="U630" s="111" t="s">
        <v>1923</v>
      </c>
      <c r="V630" s="111" t="s">
        <v>1923</v>
      </c>
      <c r="W630" s="112" t="s">
        <v>2152</v>
      </c>
      <c r="X630" s="112" t="s">
        <v>1906</v>
      </c>
      <c r="Y630" s="112" t="s">
        <v>2153</v>
      </c>
      <c r="Z630" s="112" t="s">
        <v>1906</v>
      </c>
      <c r="AA630" s="112" t="s">
        <v>2153</v>
      </c>
      <c r="AB630" s="112" t="s">
        <v>1906</v>
      </c>
      <c r="AC630" s="112">
        <v>87.83</v>
      </c>
      <c r="AD630" s="112" t="s">
        <v>1906</v>
      </c>
      <c r="AE630" s="112">
        <v>28.33</v>
      </c>
      <c r="AF630" s="112" t="s">
        <v>1906</v>
      </c>
      <c r="AG630" s="112">
        <v>0</v>
      </c>
      <c r="AH630" s="112"/>
      <c r="AI630" s="112">
        <v>0</v>
      </c>
      <c r="AJ630" s="112"/>
      <c r="AK630" s="112">
        <v>0</v>
      </c>
      <c r="AL630" s="112"/>
      <c r="AM630" s="112">
        <v>0</v>
      </c>
      <c r="AN630" s="112"/>
      <c r="AO630" s="112">
        <v>80.819999999999993</v>
      </c>
      <c r="AP630" s="112" t="s">
        <v>1906</v>
      </c>
      <c r="AQ630" s="112">
        <v>80.819999999999993</v>
      </c>
      <c r="AR630" s="112" t="s">
        <v>1906</v>
      </c>
      <c r="AS630" s="112">
        <v>80.819999999999993</v>
      </c>
      <c r="AT630" s="112" t="s">
        <v>1906</v>
      </c>
      <c r="AU630" s="112">
        <f t="shared" si="23"/>
        <v>622.5</v>
      </c>
      <c r="AV630" s="111">
        <v>0.34225</v>
      </c>
      <c r="AW630" s="111" t="s">
        <v>1904</v>
      </c>
      <c r="AX630" s="25"/>
      <c r="AY630" s="25"/>
      <c r="AZ630" s="25"/>
    </row>
    <row r="631" spans="1:52" ht="31.2" x14ac:dyDescent="0.3">
      <c r="A631" s="103">
        <v>621</v>
      </c>
      <c r="B631" s="109" t="s">
        <v>1379</v>
      </c>
      <c r="C631" s="30" t="s">
        <v>1899</v>
      </c>
      <c r="D631" s="110" t="s">
        <v>1900</v>
      </c>
      <c r="E631" s="110" t="s">
        <v>1917</v>
      </c>
      <c r="F631" s="30" t="s">
        <v>2703</v>
      </c>
      <c r="G631" s="26" t="s">
        <v>145</v>
      </c>
      <c r="H631" s="24" t="s">
        <v>146</v>
      </c>
      <c r="I631" s="109">
        <v>1</v>
      </c>
      <c r="J631" s="109" t="s">
        <v>1918</v>
      </c>
      <c r="K631" s="109">
        <v>57</v>
      </c>
      <c r="L631" s="109" t="s">
        <v>1919</v>
      </c>
      <c r="M631" s="109" t="s">
        <v>1904</v>
      </c>
      <c r="N631" s="109" t="s">
        <v>529</v>
      </c>
      <c r="O631" s="109" t="s">
        <v>1920</v>
      </c>
      <c r="P631" s="109" t="s">
        <v>1921</v>
      </c>
      <c r="Q631" s="102">
        <v>0</v>
      </c>
      <c r="R631" s="109" t="s">
        <v>1907</v>
      </c>
      <c r="S631" s="109" t="s">
        <v>1922</v>
      </c>
      <c r="T631" s="25"/>
      <c r="U631" s="111" t="s">
        <v>1923</v>
      </c>
      <c r="V631" s="111" t="s">
        <v>1923</v>
      </c>
      <c r="W631" s="112" t="s">
        <v>2154</v>
      </c>
      <c r="X631" s="112" t="s">
        <v>1906</v>
      </c>
      <c r="Y631" s="112" t="s">
        <v>2154</v>
      </c>
      <c r="Z631" s="112" t="s">
        <v>1906</v>
      </c>
      <c r="AA631" s="112" t="s">
        <v>2154</v>
      </c>
      <c r="AB631" s="112" t="s">
        <v>1906</v>
      </c>
      <c r="AC631" s="112">
        <v>22.99</v>
      </c>
      <c r="AD631" s="112" t="s">
        <v>1906</v>
      </c>
      <c r="AE631" s="112">
        <v>7.41</v>
      </c>
      <c r="AF631" s="112" t="s">
        <v>1906</v>
      </c>
      <c r="AG631" s="112">
        <v>0</v>
      </c>
      <c r="AH631" s="112"/>
      <c r="AI631" s="112">
        <v>0</v>
      </c>
      <c r="AJ631" s="112"/>
      <c r="AK631" s="112">
        <v>0</v>
      </c>
      <c r="AL631" s="112"/>
      <c r="AM631" s="112">
        <v>0</v>
      </c>
      <c r="AN631" s="112"/>
      <c r="AO631" s="112">
        <v>23.07</v>
      </c>
      <c r="AP631" s="112" t="s">
        <v>1906</v>
      </c>
      <c r="AQ631" s="112">
        <v>23.07</v>
      </c>
      <c r="AR631" s="112" t="s">
        <v>1906</v>
      </c>
      <c r="AS631" s="112">
        <v>23.07</v>
      </c>
      <c r="AT631" s="112" t="s">
        <v>1906</v>
      </c>
      <c r="AU631" s="112">
        <f t="shared" si="23"/>
        <v>168.57999999999998</v>
      </c>
      <c r="AV631" s="111">
        <v>9.4339999999999993E-2</v>
      </c>
      <c r="AW631" s="111" t="s">
        <v>1904</v>
      </c>
      <c r="AX631" s="25"/>
      <c r="AY631" s="25"/>
      <c r="AZ631" s="25"/>
    </row>
    <row r="632" spans="1:52" ht="31.2" x14ac:dyDescent="0.3">
      <c r="A632" s="103">
        <v>622</v>
      </c>
      <c r="B632" s="109" t="s">
        <v>1380</v>
      </c>
      <c r="C632" s="30" t="s">
        <v>1899</v>
      </c>
      <c r="D632" s="110" t="s">
        <v>1900</v>
      </c>
      <c r="E632" s="110" t="s">
        <v>1917</v>
      </c>
      <c r="F632" s="30" t="s">
        <v>2703</v>
      </c>
      <c r="G632" s="26" t="s">
        <v>145</v>
      </c>
      <c r="H632" s="24" t="s">
        <v>146</v>
      </c>
      <c r="I632" s="109">
        <v>1</v>
      </c>
      <c r="J632" s="109" t="s">
        <v>1918</v>
      </c>
      <c r="K632" s="109">
        <v>57</v>
      </c>
      <c r="L632" s="109" t="s">
        <v>1919</v>
      </c>
      <c r="M632" s="109" t="s">
        <v>1904</v>
      </c>
      <c r="N632" s="109" t="s">
        <v>529</v>
      </c>
      <c r="O632" s="109" t="s">
        <v>1920</v>
      </c>
      <c r="P632" s="109" t="s">
        <v>1921</v>
      </c>
      <c r="Q632" s="102">
        <v>0</v>
      </c>
      <c r="R632" s="109" t="s">
        <v>1907</v>
      </c>
      <c r="S632" s="109" t="s">
        <v>1922</v>
      </c>
      <c r="T632" s="25"/>
      <c r="U632" s="111" t="s">
        <v>1923</v>
      </c>
      <c r="V632" s="111" t="s">
        <v>1923</v>
      </c>
      <c r="W632" s="112" t="s">
        <v>2154</v>
      </c>
      <c r="X632" s="112" t="s">
        <v>1906</v>
      </c>
      <c r="Y632" s="112" t="s">
        <v>2154</v>
      </c>
      <c r="Z632" s="112" t="s">
        <v>1906</v>
      </c>
      <c r="AA632" s="112" t="s">
        <v>2154</v>
      </c>
      <c r="AB632" s="112" t="s">
        <v>1906</v>
      </c>
      <c r="AC632" s="112">
        <v>22.99</v>
      </c>
      <c r="AD632" s="112" t="s">
        <v>1906</v>
      </c>
      <c r="AE632" s="112">
        <v>7.41</v>
      </c>
      <c r="AF632" s="112" t="s">
        <v>1906</v>
      </c>
      <c r="AG632" s="112">
        <v>0</v>
      </c>
      <c r="AH632" s="112"/>
      <c r="AI632" s="112">
        <v>0</v>
      </c>
      <c r="AJ632" s="112"/>
      <c r="AK632" s="112">
        <v>0</v>
      </c>
      <c r="AL632" s="112"/>
      <c r="AM632" s="112">
        <v>0</v>
      </c>
      <c r="AN632" s="112"/>
      <c r="AO632" s="112">
        <v>23.07</v>
      </c>
      <c r="AP632" s="112" t="s">
        <v>1906</v>
      </c>
      <c r="AQ632" s="112">
        <v>23.07</v>
      </c>
      <c r="AR632" s="112" t="s">
        <v>1906</v>
      </c>
      <c r="AS632" s="112">
        <v>23.07</v>
      </c>
      <c r="AT632" s="112" t="s">
        <v>1906</v>
      </c>
      <c r="AU632" s="112">
        <f t="shared" si="23"/>
        <v>168.57999999999998</v>
      </c>
      <c r="AV632" s="111">
        <v>9.4339999999999993E-2</v>
      </c>
      <c r="AW632" s="111" t="s">
        <v>1904</v>
      </c>
      <c r="AX632" s="25"/>
      <c r="AY632" s="25"/>
      <c r="AZ632" s="25"/>
    </row>
    <row r="633" spans="1:52" ht="31.2" x14ac:dyDescent="0.3">
      <c r="A633" s="103">
        <v>623</v>
      </c>
      <c r="B633" s="109" t="s">
        <v>1381</v>
      </c>
      <c r="C633" s="30" t="s">
        <v>1899</v>
      </c>
      <c r="D633" s="110" t="s">
        <v>1900</v>
      </c>
      <c r="E633" s="110" t="s">
        <v>1917</v>
      </c>
      <c r="F633" s="30" t="s">
        <v>2703</v>
      </c>
      <c r="G633" s="26" t="s">
        <v>145</v>
      </c>
      <c r="H633" s="24" t="s">
        <v>146</v>
      </c>
      <c r="I633" s="109">
        <v>0</v>
      </c>
      <c r="J633" s="109" t="s">
        <v>1918</v>
      </c>
      <c r="K633" s="109">
        <v>76</v>
      </c>
      <c r="L633" s="109" t="s">
        <v>1919</v>
      </c>
      <c r="M633" s="109" t="s">
        <v>1904</v>
      </c>
      <c r="N633" s="109" t="s">
        <v>529</v>
      </c>
      <c r="O633" s="109" t="s">
        <v>1920</v>
      </c>
      <c r="P633" s="109" t="s">
        <v>1920</v>
      </c>
      <c r="Q633" s="102">
        <v>0</v>
      </c>
      <c r="R633" s="109" t="s">
        <v>1907</v>
      </c>
      <c r="S633" s="109" t="s">
        <v>1922</v>
      </c>
      <c r="T633" s="25"/>
      <c r="U633" s="111" t="s">
        <v>1923</v>
      </c>
      <c r="V633" s="111" t="s">
        <v>1923</v>
      </c>
      <c r="W633" s="112" t="s">
        <v>2155</v>
      </c>
      <c r="X633" s="112" t="s">
        <v>1906</v>
      </c>
      <c r="Y633" s="112" t="s">
        <v>2155</v>
      </c>
      <c r="Z633" s="112" t="s">
        <v>1906</v>
      </c>
      <c r="AA633" s="112" t="s">
        <v>2155</v>
      </c>
      <c r="AB633" s="112" t="s">
        <v>1906</v>
      </c>
      <c r="AC633" s="112">
        <v>32.950000000000003</v>
      </c>
      <c r="AD633" s="112" t="s">
        <v>1906</v>
      </c>
      <c r="AE633" s="112">
        <v>10.63</v>
      </c>
      <c r="AF633" s="112" t="s">
        <v>1906</v>
      </c>
      <c r="AG633" s="112">
        <v>0</v>
      </c>
      <c r="AH633" s="112"/>
      <c r="AI633" s="112">
        <v>0</v>
      </c>
      <c r="AJ633" s="112"/>
      <c r="AK633" s="112">
        <v>0</v>
      </c>
      <c r="AL633" s="112"/>
      <c r="AM633" s="112">
        <v>6.27</v>
      </c>
      <c r="AN633" s="112" t="s">
        <v>1906</v>
      </c>
      <c r="AO633" s="112">
        <v>31.34</v>
      </c>
      <c r="AP633" s="112" t="s">
        <v>1906</v>
      </c>
      <c r="AQ633" s="112">
        <v>31.34</v>
      </c>
      <c r="AR633" s="112" t="s">
        <v>1906</v>
      </c>
      <c r="AS633" s="112">
        <v>31.34</v>
      </c>
      <c r="AT633" s="112" t="s">
        <v>1906</v>
      </c>
      <c r="AU633" s="112">
        <f t="shared" si="23"/>
        <v>242.72000000000003</v>
      </c>
      <c r="AV633" s="111">
        <v>0.13148000000000001</v>
      </c>
      <c r="AW633" s="111" t="s">
        <v>1904</v>
      </c>
      <c r="AX633" s="25"/>
      <c r="AY633" s="25"/>
      <c r="AZ633" s="25"/>
    </row>
    <row r="634" spans="1:52" ht="31.2" x14ac:dyDescent="0.3">
      <c r="A634" s="103">
        <v>624</v>
      </c>
      <c r="B634" s="109" t="s">
        <v>1382</v>
      </c>
      <c r="C634" s="30" t="s">
        <v>1899</v>
      </c>
      <c r="D634" s="110" t="s">
        <v>1900</v>
      </c>
      <c r="E634" s="110" t="s">
        <v>1917</v>
      </c>
      <c r="F634" s="30" t="s">
        <v>2703</v>
      </c>
      <c r="G634" s="26" t="s">
        <v>145</v>
      </c>
      <c r="H634" s="24" t="s">
        <v>146</v>
      </c>
      <c r="I634" s="109" t="s">
        <v>1339</v>
      </c>
      <c r="J634" s="109" t="s">
        <v>1918</v>
      </c>
      <c r="K634" s="109">
        <v>76</v>
      </c>
      <c r="L634" s="109" t="s">
        <v>1919</v>
      </c>
      <c r="M634" s="109" t="s">
        <v>1904</v>
      </c>
      <c r="N634" s="109" t="s">
        <v>529</v>
      </c>
      <c r="O634" s="109" t="s">
        <v>1920</v>
      </c>
      <c r="P634" s="109" t="s">
        <v>1921</v>
      </c>
      <c r="Q634" s="102">
        <v>0</v>
      </c>
      <c r="R634" s="109" t="s">
        <v>1907</v>
      </c>
      <c r="S634" s="109" t="s">
        <v>1922</v>
      </c>
      <c r="T634" s="25"/>
      <c r="U634" s="111" t="s">
        <v>1923</v>
      </c>
      <c r="V634" s="111" t="s">
        <v>1923</v>
      </c>
      <c r="W634" s="112" t="s">
        <v>2156</v>
      </c>
      <c r="X634" s="112" t="s">
        <v>1906</v>
      </c>
      <c r="Y634" s="112" t="s">
        <v>2157</v>
      </c>
      <c r="Z634" s="112" t="s">
        <v>1906</v>
      </c>
      <c r="AA634" s="112" t="s">
        <v>2158</v>
      </c>
      <c r="AB634" s="112" t="s">
        <v>1906</v>
      </c>
      <c r="AC634" s="112">
        <v>79.98</v>
      </c>
      <c r="AD634" s="112" t="s">
        <v>1906</v>
      </c>
      <c r="AE634" s="112">
        <v>38.24</v>
      </c>
      <c r="AF634" s="112" t="s">
        <v>1906</v>
      </c>
      <c r="AG634" s="112">
        <v>0</v>
      </c>
      <c r="AH634" s="112"/>
      <c r="AI634" s="112">
        <v>0</v>
      </c>
      <c r="AJ634" s="112"/>
      <c r="AK634" s="112">
        <v>0</v>
      </c>
      <c r="AL634" s="112"/>
      <c r="AM634" s="112">
        <v>0</v>
      </c>
      <c r="AN634" s="112"/>
      <c r="AO634" s="112">
        <v>69.8</v>
      </c>
      <c r="AP634" s="112" t="s">
        <v>208</v>
      </c>
      <c r="AQ634" s="112">
        <v>83.03</v>
      </c>
      <c r="AR634" s="112" t="s">
        <v>208</v>
      </c>
      <c r="AS634" s="112">
        <v>124.23</v>
      </c>
      <c r="AT634" s="112" t="s">
        <v>208</v>
      </c>
      <c r="AU634" s="112">
        <f t="shared" si="23"/>
        <v>925.25</v>
      </c>
      <c r="AV634" s="111">
        <v>0.22878000000000001</v>
      </c>
      <c r="AW634" s="111" t="s">
        <v>1904</v>
      </c>
      <c r="AX634" s="25"/>
      <c r="AY634" s="25"/>
      <c r="AZ634" s="25"/>
    </row>
    <row r="635" spans="1:52" ht="31.2" x14ac:dyDescent="0.3">
      <c r="A635" s="103">
        <v>625</v>
      </c>
      <c r="B635" s="109" t="s">
        <v>1383</v>
      </c>
      <c r="C635" s="30" t="s">
        <v>1899</v>
      </c>
      <c r="D635" s="110" t="s">
        <v>1900</v>
      </c>
      <c r="E635" s="110" t="s">
        <v>1917</v>
      </c>
      <c r="F635" s="30" t="s">
        <v>2703</v>
      </c>
      <c r="G635" s="26" t="s">
        <v>145</v>
      </c>
      <c r="H635" s="24" t="s">
        <v>146</v>
      </c>
      <c r="I635" s="109">
        <v>1</v>
      </c>
      <c r="J635" s="109" t="s">
        <v>1918</v>
      </c>
      <c r="K635" s="109">
        <v>76</v>
      </c>
      <c r="L635" s="109" t="s">
        <v>1919</v>
      </c>
      <c r="M635" s="109" t="s">
        <v>1904</v>
      </c>
      <c r="N635" s="109" t="s">
        <v>529</v>
      </c>
      <c r="O635" s="109" t="s">
        <v>1920</v>
      </c>
      <c r="P635" s="109" t="s">
        <v>1921</v>
      </c>
      <c r="Q635" s="102">
        <v>0</v>
      </c>
      <c r="R635" s="109" t="s">
        <v>1907</v>
      </c>
      <c r="S635" s="109" t="s">
        <v>1922</v>
      </c>
      <c r="T635" s="25"/>
      <c r="U635" s="111" t="s">
        <v>1923</v>
      </c>
      <c r="V635" s="111" t="s">
        <v>1923</v>
      </c>
      <c r="W635" s="112" t="s">
        <v>2159</v>
      </c>
      <c r="X635" s="112" t="s">
        <v>208</v>
      </c>
      <c r="Y635" s="112" t="s">
        <v>2160</v>
      </c>
      <c r="Z635" s="112" t="s">
        <v>208</v>
      </c>
      <c r="AA635" s="112" t="s">
        <v>2161</v>
      </c>
      <c r="AB635" s="112" t="s">
        <v>208</v>
      </c>
      <c r="AC635" s="112">
        <v>39.479999999999997</v>
      </c>
      <c r="AD635" s="112" t="s">
        <v>208</v>
      </c>
      <c r="AE635" s="112">
        <v>18.829999999999998</v>
      </c>
      <c r="AF635" s="112" t="s">
        <v>208</v>
      </c>
      <c r="AG635" s="112">
        <v>0</v>
      </c>
      <c r="AH635" s="112"/>
      <c r="AI635" s="112">
        <v>0</v>
      </c>
      <c r="AJ635" s="112"/>
      <c r="AK635" s="112">
        <v>0</v>
      </c>
      <c r="AL635" s="112"/>
      <c r="AM635" s="112">
        <v>0</v>
      </c>
      <c r="AN635" s="112"/>
      <c r="AO635" s="112">
        <v>65.19</v>
      </c>
      <c r="AP635" s="112" t="s">
        <v>208</v>
      </c>
      <c r="AQ635" s="112">
        <v>62.99</v>
      </c>
      <c r="AR635" s="112" t="s">
        <v>208</v>
      </c>
      <c r="AS635" s="112">
        <v>39.450000000000003</v>
      </c>
      <c r="AT635" s="112" t="s">
        <v>208</v>
      </c>
      <c r="AU635" s="112">
        <f t="shared" si="23"/>
        <v>481.84999999999997</v>
      </c>
      <c r="AV635" s="111">
        <v>0.2089</v>
      </c>
      <c r="AW635" s="111" t="s">
        <v>1904</v>
      </c>
      <c r="AX635" s="25"/>
      <c r="AY635" s="25"/>
      <c r="AZ635" s="25"/>
    </row>
    <row r="636" spans="1:52" ht="31.2" x14ac:dyDescent="0.3">
      <c r="A636" s="103">
        <v>626</v>
      </c>
      <c r="B636" s="109" t="s">
        <v>1385</v>
      </c>
      <c r="C636" s="30" t="s">
        <v>1899</v>
      </c>
      <c r="D636" s="110" t="s">
        <v>1900</v>
      </c>
      <c r="E636" s="110" t="s">
        <v>1917</v>
      </c>
      <c r="F636" s="30" t="s">
        <v>2703</v>
      </c>
      <c r="G636" s="26" t="s">
        <v>145</v>
      </c>
      <c r="H636" s="24" t="s">
        <v>146</v>
      </c>
      <c r="I636" s="109">
        <v>1</v>
      </c>
      <c r="J636" s="109" t="s">
        <v>1918</v>
      </c>
      <c r="K636" s="109">
        <v>50</v>
      </c>
      <c r="L636" s="109" t="s">
        <v>1919</v>
      </c>
      <c r="M636" s="109" t="s">
        <v>1904</v>
      </c>
      <c r="N636" s="109" t="s">
        <v>529</v>
      </c>
      <c r="O636" s="109" t="s">
        <v>1920</v>
      </c>
      <c r="P636" s="109" t="s">
        <v>1921</v>
      </c>
      <c r="Q636" s="102">
        <v>0</v>
      </c>
      <c r="R636" s="109" t="s">
        <v>1907</v>
      </c>
      <c r="S636" s="109" t="s">
        <v>1922</v>
      </c>
      <c r="T636" s="25"/>
      <c r="U636" s="111" t="s">
        <v>1923</v>
      </c>
      <c r="V636" s="111" t="s">
        <v>1923</v>
      </c>
      <c r="W636" s="112" t="s">
        <v>2162</v>
      </c>
      <c r="X636" s="112" t="s">
        <v>1906</v>
      </c>
      <c r="Y636" s="112" t="s">
        <v>2162</v>
      </c>
      <c r="Z636" s="112" t="s">
        <v>1906</v>
      </c>
      <c r="AA636" s="112" t="s">
        <v>2162</v>
      </c>
      <c r="AB636" s="112" t="s">
        <v>1906</v>
      </c>
      <c r="AC636" s="112">
        <v>25.84</v>
      </c>
      <c r="AD636" s="112" t="s">
        <v>1906</v>
      </c>
      <c r="AE636" s="112">
        <v>8.33</v>
      </c>
      <c r="AF636" s="112" t="s">
        <v>1906</v>
      </c>
      <c r="AG636" s="112">
        <v>0</v>
      </c>
      <c r="AH636" s="112"/>
      <c r="AI636" s="112">
        <v>0</v>
      </c>
      <c r="AJ636" s="112"/>
      <c r="AK636" s="112">
        <v>0</v>
      </c>
      <c r="AL636" s="112"/>
      <c r="AM636" s="112">
        <v>0</v>
      </c>
      <c r="AN636" s="112"/>
      <c r="AO636" s="112">
        <v>23.09</v>
      </c>
      <c r="AP636" s="112" t="s">
        <v>1906</v>
      </c>
      <c r="AQ636" s="112">
        <v>23.09</v>
      </c>
      <c r="AR636" s="112" t="s">
        <v>1906</v>
      </c>
      <c r="AS636" s="112">
        <v>23.09</v>
      </c>
      <c r="AT636" s="112" t="s">
        <v>1906</v>
      </c>
      <c r="AU636" s="112">
        <f t="shared" si="23"/>
        <v>180.96</v>
      </c>
      <c r="AV636" s="111">
        <v>6.7244999999999999E-2</v>
      </c>
      <c r="AW636" s="111" t="s">
        <v>1904</v>
      </c>
      <c r="AX636" s="25"/>
      <c r="AY636" s="25"/>
      <c r="AZ636" s="25"/>
    </row>
    <row r="637" spans="1:52" ht="31.2" x14ac:dyDescent="0.3">
      <c r="A637" s="103">
        <v>627</v>
      </c>
      <c r="B637" s="109" t="s">
        <v>1386</v>
      </c>
      <c r="C637" s="30" t="s">
        <v>1899</v>
      </c>
      <c r="D637" s="110" t="s">
        <v>1900</v>
      </c>
      <c r="E637" s="110" t="s">
        <v>1917</v>
      </c>
      <c r="F637" s="30" t="s">
        <v>2703</v>
      </c>
      <c r="G637" s="26" t="s">
        <v>145</v>
      </c>
      <c r="H637" s="24" t="s">
        <v>146</v>
      </c>
      <c r="I637" s="109">
        <v>1</v>
      </c>
      <c r="J637" s="109" t="s">
        <v>1918</v>
      </c>
      <c r="K637" s="109">
        <v>50</v>
      </c>
      <c r="L637" s="109" t="s">
        <v>1919</v>
      </c>
      <c r="M637" s="109" t="s">
        <v>1904</v>
      </c>
      <c r="N637" s="109" t="s">
        <v>529</v>
      </c>
      <c r="O637" s="109" t="s">
        <v>1920</v>
      </c>
      <c r="P637" s="109" t="s">
        <v>1921</v>
      </c>
      <c r="Q637" s="102">
        <v>0</v>
      </c>
      <c r="R637" s="109" t="s">
        <v>1907</v>
      </c>
      <c r="S637" s="109" t="s">
        <v>1922</v>
      </c>
      <c r="T637" s="25"/>
      <c r="U637" s="111" t="s">
        <v>1923</v>
      </c>
      <c r="V637" s="111" t="s">
        <v>1923</v>
      </c>
      <c r="W637" s="112" t="s">
        <v>2162</v>
      </c>
      <c r="X637" s="112" t="s">
        <v>1906</v>
      </c>
      <c r="Y637" s="112" t="s">
        <v>2162</v>
      </c>
      <c r="Z637" s="112" t="s">
        <v>1906</v>
      </c>
      <c r="AA637" s="112" t="s">
        <v>2162</v>
      </c>
      <c r="AB637" s="112" t="s">
        <v>1906</v>
      </c>
      <c r="AC637" s="112">
        <v>25.84</v>
      </c>
      <c r="AD637" s="112" t="s">
        <v>1906</v>
      </c>
      <c r="AE637" s="112">
        <v>8.33</v>
      </c>
      <c r="AF637" s="112" t="s">
        <v>1906</v>
      </c>
      <c r="AG637" s="112">
        <v>0</v>
      </c>
      <c r="AH637" s="112"/>
      <c r="AI637" s="112">
        <v>0</v>
      </c>
      <c r="AJ637" s="112"/>
      <c r="AK637" s="112">
        <v>0</v>
      </c>
      <c r="AL637" s="112"/>
      <c r="AM637" s="112">
        <v>0</v>
      </c>
      <c r="AN637" s="112"/>
      <c r="AO637" s="112">
        <v>23.09</v>
      </c>
      <c r="AP637" s="112" t="s">
        <v>1906</v>
      </c>
      <c r="AQ637" s="112">
        <v>23.09</v>
      </c>
      <c r="AR637" s="112" t="s">
        <v>1906</v>
      </c>
      <c r="AS637" s="112">
        <v>23.09</v>
      </c>
      <c r="AT637" s="112" t="s">
        <v>1906</v>
      </c>
      <c r="AU637" s="112">
        <f t="shared" si="23"/>
        <v>180.96</v>
      </c>
      <c r="AV637" s="111">
        <v>6.7244999999999999E-2</v>
      </c>
      <c r="AW637" s="111" t="s">
        <v>1904</v>
      </c>
      <c r="AX637" s="25"/>
      <c r="AY637" s="25"/>
      <c r="AZ637" s="25"/>
    </row>
    <row r="638" spans="1:52" ht="31.2" x14ac:dyDescent="0.3">
      <c r="A638" s="103">
        <v>628</v>
      </c>
      <c r="B638" s="109" t="s">
        <v>1388</v>
      </c>
      <c r="C638" s="30" t="s">
        <v>1899</v>
      </c>
      <c r="D638" s="110" t="s">
        <v>1900</v>
      </c>
      <c r="E638" s="110" t="s">
        <v>1917</v>
      </c>
      <c r="F638" s="30" t="s">
        <v>2703</v>
      </c>
      <c r="G638" s="26" t="s">
        <v>145</v>
      </c>
      <c r="H638" s="24" t="s">
        <v>146</v>
      </c>
      <c r="I638" s="109">
        <v>1</v>
      </c>
      <c r="J638" s="109" t="s">
        <v>1918</v>
      </c>
      <c r="K638" s="109">
        <v>76</v>
      </c>
      <c r="L638" s="109" t="s">
        <v>1919</v>
      </c>
      <c r="M638" s="109" t="s">
        <v>1904</v>
      </c>
      <c r="N638" s="109" t="s">
        <v>529</v>
      </c>
      <c r="O638" s="109" t="s">
        <v>1920</v>
      </c>
      <c r="P638" s="109" t="s">
        <v>1921</v>
      </c>
      <c r="Q638" s="102">
        <v>0</v>
      </c>
      <c r="R638" s="109" t="s">
        <v>1907</v>
      </c>
      <c r="S638" s="109" t="s">
        <v>1922</v>
      </c>
      <c r="T638" s="25"/>
      <c r="U638" s="111" t="s">
        <v>1923</v>
      </c>
      <c r="V638" s="111" t="s">
        <v>1923</v>
      </c>
      <c r="W638" s="112" t="s">
        <v>2163</v>
      </c>
      <c r="X638" s="112" t="s">
        <v>1906</v>
      </c>
      <c r="Y638" s="112" t="s">
        <v>2164</v>
      </c>
      <c r="Z638" s="112" t="s">
        <v>1906</v>
      </c>
      <c r="AA638" s="112" t="s">
        <v>2165</v>
      </c>
      <c r="AB638" s="112" t="s">
        <v>1906</v>
      </c>
      <c r="AC638" s="112">
        <v>37</v>
      </c>
      <c r="AD638" s="112" t="s">
        <v>1906</v>
      </c>
      <c r="AE638" s="112">
        <v>16.36</v>
      </c>
      <c r="AF638" s="112" t="s">
        <v>1906</v>
      </c>
      <c r="AG638" s="112">
        <v>0</v>
      </c>
      <c r="AH638" s="112"/>
      <c r="AI638" s="112">
        <v>0</v>
      </c>
      <c r="AJ638" s="112"/>
      <c r="AK638" s="112">
        <v>0</v>
      </c>
      <c r="AL638" s="112"/>
      <c r="AM638" s="112">
        <v>0</v>
      </c>
      <c r="AN638" s="112"/>
      <c r="AO638" s="112">
        <v>32.19</v>
      </c>
      <c r="AP638" s="112" t="s">
        <v>208</v>
      </c>
      <c r="AQ638" s="112">
        <v>32.28</v>
      </c>
      <c r="AR638" s="112" t="s">
        <v>208</v>
      </c>
      <c r="AS638" s="112">
        <v>48.7</v>
      </c>
      <c r="AT638" s="112" t="s">
        <v>208</v>
      </c>
      <c r="AU638" s="112">
        <f t="shared" si="23"/>
        <v>392.06</v>
      </c>
      <c r="AV638" s="111">
        <v>0.20102999999999999</v>
      </c>
      <c r="AW638" s="111" t="s">
        <v>1904</v>
      </c>
      <c r="AX638" s="25"/>
      <c r="AY638" s="25"/>
      <c r="AZ638" s="25"/>
    </row>
    <row r="639" spans="1:52" ht="31.2" x14ac:dyDescent="0.3">
      <c r="A639" s="103">
        <v>629</v>
      </c>
      <c r="B639" s="109" t="s">
        <v>1390</v>
      </c>
      <c r="C639" s="30" t="s">
        <v>1899</v>
      </c>
      <c r="D639" s="110" t="s">
        <v>1900</v>
      </c>
      <c r="E639" s="110" t="s">
        <v>1917</v>
      </c>
      <c r="F639" s="30" t="s">
        <v>2703</v>
      </c>
      <c r="G639" s="26" t="s">
        <v>145</v>
      </c>
      <c r="H639" s="24" t="s">
        <v>146</v>
      </c>
      <c r="I639" s="109">
        <v>1</v>
      </c>
      <c r="J639" s="109" t="s">
        <v>1918</v>
      </c>
      <c r="K639" s="109">
        <v>89</v>
      </c>
      <c r="L639" s="109" t="s">
        <v>1919</v>
      </c>
      <c r="M639" s="109" t="s">
        <v>1904</v>
      </c>
      <c r="N639" s="109" t="s">
        <v>529</v>
      </c>
      <c r="O639" s="109" t="s">
        <v>1920</v>
      </c>
      <c r="P639" s="109" t="s">
        <v>1921</v>
      </c>
      <c r="Q639" s="102">
        <v>0</v>
      </c>
      <c r="R639" s="109" t="s">
        <v>1907</v>
      </c>
      <c r="S639" s="109" t="s">
        <v>1922</v>
      </c>
      <c r="T639" s="25"/>
      <c r="U639" s="111" t="s">
        <v>1923</v>
      </c>
      <c r="V639" s="111" t="s">
        <v>1923</v>
      </c>
      <c r="W639" s="112" t="s">
        <v>2166</v>
      </c>
      <c r="X639" s="112" t="s">
        <v>1906</v>
      </c>
      <c r="Y639" s="112" t="s">
        <v>2166</v>
      </c>
      <c r="Z639" s="112" t="s">
        <v>1906</v>
      </c>
      <c r="AA639" s="112" t="s">
        <v>2166</v>
      </c>
      <c r="AB639" s="112" t="s">
        <v>1906</v>
      </c>
      <c r="AC639" s="112">
        <v>67.28</v>
      </c>
      <c r="AD639" s="112" t="s">
        <v>1906</v>
      </c>
      <c r="AE639" s="112">
        <v>21.71</v>
      </c>
      <c r="AF639" s="112" t="s">
        <v>1906</v>
      </c>
      <c r="AG639" s="112">
        <v>0</v>
      </c>
      <c r="AH639" s="112"/>
      <c r="AI639" s="112">
        <v>0</v>
      </c>
      <c r="AJ639" s="112"/>
      <c r="AK639" s="112">
        <v>0</v>
      </c>
      <c r="AL639" s="112"/>
      <c r="AM639" s="112">
        <v>0</v>
      </c>
      <c r="AN639" s="112"/>
      <c r="AO639" s="112">
        <v>66.540000000000006</v>
      </c>
      <c r="AP639" s="112" t="s">
        <v>1906</v>
      </c>
      <c r="AQ639" s="112">
        <v>66.540000000000006</v>
      </c>
      <c r="AR639" s="112" t="s">
        <v>1906</v>
      </c>
      <c r="AS639" s="112">
        <v>66.540000000000006</v>
      </c>
      <c r="AT639" s="112" t="s">
        <v>1906</v>
      </c>
      <c r="AU639" s="112">
        <f t="shared" si="23"/>
        <v>490.45000000000005</v>
      </c>
      <c r="AV639" s="111">
        <v>0.28770000000000001</v>
      </c>
      <c r="AW639" s="111" t="s">
        <v>1904</v>
      </c>
      <c r="AX639" s="25"/>
      <c r="AY639" s="25"/>
      <c r="AZ639" s="25"/>
    </row>
    <row r="640" spans="1:52" ht="31.2" x14ac:dyDescent="0.3">
      <c r="A640" s="103">
        <v>630</v>
      </c>
      <c r="B640" s="109" t="s">
        <v>1391</v>
      </c>
      <c r="C640" s="30" t="s">
        <v>1899</v>
      </c>
      <c r="D640" s="110" t="s">
        <v>1900</v>
      </c>
      <c r="E640" s="110" t="s">
        <v>1917</v>
      </c>
      <c r="F640" s="30" t="s">
        <v>2703</v>
      </c>
      <c r="G640" s="26" t="s">
        <v>145</v>
      </c>
      <c r="H640" s="24" t="s">
        <v>146</v>
      </c>
      <c r="I640" s="109">
        <v>0</v>
      </c>
      <c r="J640" s="109" t="s">
        <v>1918</v>
      </c>
      <c r="K640" s="109">
        <v>76</v>
      </c>
      <c r="L640" s="109" t="s">
        <v>1919</v>
      </c>
      <c r="M640" s="109" t="s">
        <v>1904</v>
      </c>
      <c r="N640" s="109" t="s">
        <v>529</v>
      </c>
      <c r="O640" s="109" t="s">
        <v>1920</v>
      </c>
      <c r="P640" s="109" t="s">
        <v>1920</v>
      </c>
      <c r="Q640" s="102">
        <v>0</v>
      </c>
      <c r="R640" s="109" t="s">
        <v>1907</v>
      </c>
      <c r="S640" s="109" t="s">
        <v>1922</v>
      </c>
      <c r="T640" s="25"/>
      <c r="U640" s="111" t="s">
        <v>1923</v>
      </c>
      <c r="V640" s="111" t="s">
        <v>1923</v>
      </c>
      <c r="W640" s="112" t="s">
        <v>2167</v>
      </c>
      <c r="X640" s="112" t="s">
        <v>1906</v>
      </c>
      <c r="Y640" s="112" t="s">
        <v>2167</v>
      </c>
      <c r="Z640" s="112" t="s">
        <v>1906</v>
      </c>
      <c r="AA640" s="112" t="s">
        <v>2167</v>
      </c>
      <c r="AB640" s="112" t="s">
        <v>1906</v>
      </c>
      <c r="AC640" s="112">
        <v>39.49</v>
      </c>
      <c r="AD640" s="112" t="s">
        <v>1906</v>
      </c>
      <c r="AE640" s="112">
        <v>12.74</v>
      </c>
      <c r="AF640" s="112" t="s">
        <v>1906</v>
      </c>
      <c r="AG640" s="112">
        <v>0</v>
      </c>
      <c r="AH640" s="112"/>
      <c r="AI640" s="112">
        <v>0</v>
      </c>
      <c r="AJ640" s="112"/>
      <c r="AK640" s="112">
        <v>0</v>
      </c>
      <c r="AL640" s="112"/>
      <c r="AM640" s="112">
        <v>7.59</v>
      </c>
      <c r="AN640" s="112" t="s">
        <v>1906</v>
      </c>
      <c r="AO640" s="112">
        <v>37.97</v>
      </c>
      <c r="AP640" s="112" t="s">
        <v>1906</v>
      </c>
      <c r="AQ640" s="112">
        <v>37.97</v>
      </c>
      <c r="AR640" s="112" t="s">
        <v>1906</v>
      </c>
      <c r="AS640" s="112">
        <v>37.97</v>
      </c>
      <c r="AT640" s="112" t="s">
        <v>1906</v>
      </c>
      <c r="AU640" s="112">
        <f t="shared" si="23"/>
        <v>292.20000000000005</v>
      </c>
      <c r="AV640" s="111">
        <v>0.11643000000000001</v>
      </c>
      <c r="AW640" s="111" t="s">
        <v>1904</v>
      </c>
      <c r="AX640" s="25"/>
      <c r="AY640" s="25"/>
      <c r="AZ640" s="25"/>
    </row>
    <row r="641" spans="1:52" ht="31.2" x14ac:dyDescent="0.3">
      <c r="A641" s="103">
        <v>631</v>
      </c>
      <c r="B641" s="109" t="s">
        <v>1393</v>
      </c>
      <c r="C641" s="30" t="s">
        <v>1899</v>
      </c>
      <c r="D641" s="110" t="s">
        <v>1900</v>
      </c>
      <c r="E641" s="110" t="s">
        <v>1917</v>
      </c>
      <c r="F641" s="30" t="s">
        <v>2703</v>
      </c>
      <c r="G641" s="26" t="s">
        <v>145</v>
      </c>
      <c r="H641" s="24" t="s">
        <v>146</v>
      </c>
      <c r="I641" s="109">
        <v>1</v>
      </c>
      <c r="J641" s="109" t="s">
        <v>1918</v>
      </c>
      <c r="K641" s="109">
        <v>76</v>
      </c>
      <c r="L641" s="109" t="s">
        <v>1919</v>
      </c>
      <c r="M641" s="109" t="s">
        <v>1904</v>
      </c>
      <c r="N641" s="109" t="s">
        <v>529</v>
      </c>
      <c r="O641" s="109" t="s">
        <v>1920</v>
      </c>
      <c r="P641" s="109" t="s">
        <v>1921</v>
      </c>
      <c r="Q641" s="102">
        <v>0</v>
      </c>
      <c r="R641" s="109" t="s">
        <v>1907</v>
      </c>
      <c r="S641" s="109" t="s">
        <v>1922</v>
      </c>
      <c r="T641" s="25"/>
      <c r="U641" s="111" t="s">
        <v>1923</v>
      </c>
      <c r="V641" s="111" t="s">
        <v>1923</v>
      </c>
      <c r="W641" s="112" t="s">
        <v>2168</v>
      </c>
      <c r="X641" s="112" t="s">
        <v>1906</v>
      </c>
      <c r="Y641" s="112" t="s">
        <v>2168</v>
      </c>
      <c r="Z641" s="112" t="s">
        <v>1906</v>
      </c>
      <c r="AA641" s="112" t="s">
        <v>2168</v>
      </c>
      <c r="AB641" s="112" t="s">
        <v>1906</v>
      </c>
      <c r="AC641" s="112">
        <v>45.39</v>
      </c>
      <c r="AD641" s="112" t="s">
        <v>1906</v>
      </c>
      <c r="AE641" s="112">
        <v>14.64</v>
      </c>
      <c r="AF641" s="112" t="s">
        <v>1906</v>
      </c>
      <c r="AG641" s="112">
        <v>0</v>
      </c>
      <c r="AH641" s="112"/>
      <c r="AI641" s="112">
        <v>0</v>
      </c>
      <c r="AJ641" s="112"/>
      <c r="AK641" s="112">
        <v>0</v>
      </c>
      <c r="AL641" s="112"/>
      <c r="AM641" s="112">
        <v>0</v>
      </c>
      <c r="AN641" s="112"/>
      <c r="AO641" s="112">
        <v>45.67</v>
      </c>
      <c r="AP641" s="112" t="s">
        <v>1906</v>
      </c>
      <c r="AQ641" s="112">
        <v>45.67</v>
      </c>
      <c r="AR641" s="112" t="s">
        <v>1906</v>
      </c>
      <c r="AS641" s="112">
        <v>45.67</v>
      </c>
      <c r="AT641" s="112" t="s">
        <v>1906</v>
      </c>
      <c r="AU641" s="112">
        <f t="shared" si="23"/>
        <v>333.21000000000004</v>
      </c>
      <c r="AV641" s="111">
        <v>0.15656999999999999</v>
      </c>
      <c r="AW641" s="111" t="s">
        <v>1904</v>
      </c>
      <c r="AX641" s="25"/>
      <c r="AY641" s="25"/>
      <c r="AZ641" s="25"/>
    </row>
    <row r="642" spans="1:52" ht="31.2" x14ac:dyDescent="0.3">
      <c r="A642" s="103">
        <v>632</v>
      </c>
      <c r="B642" s="109" t="s">
        <v>1394</v>
      </c>
      <c r="C642" s="30" t="s">
        <v>1899</v>
      </c>
      <c r="D642" s="110" t="s">
        <v>1900</v>
      </c>
      <c r="E642" s="110" t="s">
        <v>1917</v>
      </c>
      <c r="F642" s="30" t="s">
        <v>2703</v>
      </c>
      <c r="G642" s="26" t="s">
        <v>145</v>
      </c>
      <c r="H642" s="24" t="s">
        <v>146</v>
      </c>
      <c r="I642" s="109">
        <v>1</v>
      </c>
      <c r="J642" s="109" t="s">
        <v>1918</v>
      </c>
      <c r="K642" s="109">
        <v>89</v>
      </c>
      <c r="L642" s="109" t="s">
        <v>1919</v>
      </c>
      <c r="M642" s="109" t="s">
        <v>1904</v>
      </c>
      <c r="N642" s="109" t="s">
        <v>529</v>
      </c>
      <c r="O642" s="109" t="s">
        <v>1920</v>
      </c>
      <c r="P642" s="109" t="s">
        <v>1921</v>
      </c>
      <c r="Q642" s="102">
        <v>0</v>
      </c>
      <c r="R642" s="109" t="s">
        <v>1907</v>
      </c>
      <c r="S642" s="109" t="s">
        <v>1922</v>
      </c>
      <c r="T642" s="25"/>
      <c r="U642" s="111" t="s">
        <v>1923</v>
      </c>
      <c r="V642" s="111" t="s">
        <v>1923</v>
      </c>
      <c r="W642" s="112" t="s">
        <v>2169</v>
      </c>
      <c r="X642" s="112" t="s">
        <v>1906</v>
      </c>
      <c r="Y642" s="112" t="s">
        <v>2169</v>
      </c>
      <c r="Z642" s="112" t="s">
        <v>1906</v>
      </c>
      <c r="AA642" s="112" t="s">
        <v>2169</v>
      </c>
      <c r="AB642" s="112" t="s">
        <v>1906</v>
      </c>
      <c r="AC642" s="112">
        <v>73.569999999999993</v>
      </c>
      <c r="AD642" s="112" t="s">
        <v>1906</v>
      </c>
      <c r="AE642" s="112">
        <v>23.73</v>
      </c>
      <c r="AF642" s="112" t="s">
        <v>1906</v>
      </c>
      <c r="AG642" s="112">
        <v>0</v>
      </c>
      <c r="AH642" s="112"/>
      <c r="AI642" s="112">
        <v>0</v>
      </c>
      <c r="AJ642" s="112"/>
      <c r="AK642" s="112">
        <v>0</v>
      </c>
      <c r="AL642" s="112"/>
      <c r="AM642" s="112">
        <v>0</v>
      </c>
      <c r="AN642" s="112"/>
      <c r="AO642" s="112">
        <v>36.270000000000003</v>
      </c>
      <c r="AP642" s="112" t="s">
        <v>208</v>
      </c>
      <c r="AQ642" s="112">
        <v>41.99</v>
      </c>
      <c r="AR642" s="112" t="s">
        <v>208</v>
      </c>
      <c r="AS642" s="112">
        <v>63.16</v>
      </c>
      <c r="AT642" s="112" t="s">
        <v>208</v>
      </c>
      <c r="AU642" s="112">
        <f t="shared" si="23"/>
        <v>459.42999999999995</v>
      </c>
      <c r="AV642" s="111">
        <v>0.23426</v>
      </c>
      <c r="AW642" s="111" t="s">
        <v>1904</v>
      </c>
      <c r="AX642" s="25"/>
      <c r="AY642" s="25"/>
      <c r="AZ642" s="25"/>
    </row>
    <row r="643" spans="1:52" ht="31.2" x14ac:dyDescent="0.3">
      <c r="A643" s="103">
        <v>633</v>
      </c>
      <c r="B643" s="109" t="s">
        <v>1395</v>
      </c>
      <c r="C643" s="30" t="s">
        <v>1899</v>
      </c>
      <c r="D643" s="110" t="s">
        <v>1900</v>
      </c>
      <c r="E643" s="110" t="s">
        <v>1917</v>
      </c>
      <c r="F643" s="30" t="s">
        <v>2703</v>
      </c>
      <c r="G643" s="26" t="s">
        <v>145</v>
      </c>
      <c r="H643" s="24" t="s">
        <v>146</v>
      </c>
      <c r="I643" s="109">
        <v>1</v>
      </c>
      <c r="J643" s="109" t="s">
        <v>1918</v>
      </c>
      <c r="K643" s="109">
        <v>89</v>
      </c>
      <c r="L643" s="109" t="s">
        <v>1919</v>
      </c>
      <c r="M643" s="109" t="s">
        <v>1904</v>
      </c>
      <c r="N643" s="109" t="s">
        <v>529</v>
      </c>
      <c r="O643" s="109" t="s">
        <v>1920</v>
      </c>
      <c r="P643" s="109" t="s">
        <v>1921</v>
      </c>
      <c r="Q643" s="102">
        <v>0</v>
      </c>
      <c r="R643" s="109" t="s">
        <v>1907</v>
      </c>
      <c r="S643" s="109" t="s">
        <v>1922</v>
      </c>
      <c r="T643" s="25"/>
      <c r="U643" s="111" t="s">
        <v>1923</v>
      </c>
      <c r="V643" s="111" t="s">
        <v>1923</v>
      </c>
      <c r="W643" s="112" t="s">
        <v>2170</v>
      </c>
      <c r="X643" s="112" t="s">
        <v>1906</v>
      </c>
      <c r="Y643" s="112" t="s">
        <v>2170</v>
      </c>
      <c r="Z643" s="112" t="s">
        <v>1906</v>
      </c>
      <c r="AA643" s="112" t="s">
        <v>2170</v>
      </c>
      <c r="AB643" s="112" t="s">
        <v>1906</v>
      </c>
      <c r="AC643" s="112">
        <v>78.430000000000007</v>
      </c>
      <c r="AD643" s="112" t="s">
        <v>1906</v>
      </c>
      <c r="AE643" s="112">
        <v>25.3</v>
      </c>
      <c r="AF643" s="112" t="s">
        <v>1906</v>
      </c>
      <c r="AG643" s="112">
        <v>0</v>
      </c>
      <c r="AH643" s="112"/>
      <c r="AI643" s="112">
        <v>0</v>
      </c>
      <c r="AJ643" s="112"/>
      <c r="AK643" s="112">
        <v>0</v>
      </c>
      <c r="AL643" s="112"/>
      <c r="AM643" s="112">
        <v>0</v>
      </c>
      <c r="AN643" s="112"/>
      <c r="AO643" s="112">
        <v>69.25</v>
      </c>
      <c r="AP643" s="112" t="s">
        <v>1906</v>
      </c>
      <c r="AQ643" s="112">
        <v>68.849999999999994</v>
      </c>
      <c r="AR643" s="112" t="s">
        <v>1906</v>
      </c>
      <c r="AS643" s="112">
        <v>68.849999999999994</v>
      </c>
      <c r="AT643" s="112" t="s">
        <v>1906</v>
      </c>
      <c r="AU643" s="112">
        <f t="shared" si="23"/>
        <v>545.97</v>
      </c>
      <c r="AV643" s="111">
        <v>0.24310999999999999</v>
      </c>
      <c r="AW643" s="111" t="s">
        <v>1904</v>
      </c>
      <c r="AX643" s="25"/>
      <c r="AY643" s="25"/>
      <c r="AZ643" s="25"/>
    </row>
    <row r="644" spans="1:52" ht="31.2" x14ac:dyDescent="0.3">
      <c r="A644" s="103">
        <v>634</v>
      </c>
      <c r="B644" s="109" t="s">
        <v>1396</v>
      </c>
      <c r="C644" s="30" t="s">
        <v>1899</v>
      </c>
      <c r="D644" s="110" t="s">
        <v>1900</v>
      </c>
      <c r="E644" s="110" t="s">
        <v>1917</v>
      </c>
      <c r="F644" s="30" t="s">
        <v>2703</v>
      </c>
      <c r="G644" s="26" t="s">
        <v>145</v>
      </c>
      <c r="H644" s="24" t="s">
        <v>146</v>
      </c>
      <c r="I644" s="109">
        <v>1</v>
      </c>
      <c r="J644" s="109" t="s">
        <v>1918</v>
      </c>
      <c r="K644" s="109">
        <v>89</v>
      </c>
      <c r="L644" s="109" t="s">
        <v>1919</v>
      </c>
      <c r="M644" s="109" t="s">
        <v>1904</v>
      </c>
      <c r="N644" s="109" t="s">
        <v>529</v>
      </c>
      <c r="O644" s="109" t="s">
        <v>1920</v>
      </c>
      <c r="P644" s="109" t="s">
        <v>1921</v>
      </c>
      <c r="Q644" s="102">
        <v>0</v>
      </c>
      <c r="R644" s="109" t="s">
        <v>1907</v>
      </c>
      <c r="S644" s="109" t="s">
        <v>1922</v>
      </c>
      <c r="T644" s="25"/>
      <c r="U644" s="111" t="s">
        <v>1923</v>
      </c>
      <c r="V644" s="111" t="s">
        <v>1923</v>
      </c>
      <c r="W644" s="112" t="s">
        <v>2171</v>
      </c>
      <c r="X644" s="112" t="s">
        <v>1906</v>
      </c>
      <c r="Y644" s="112" t="s">
        <v>2172</v>
      </c>
      <c r="Z644" s="112" t="s">
        <v>1906</v>
      </c>
      <c r="AA644" s="112" t="s">
        <v>2173</v>
      </c>
      <c r="AB644" s="112" t="s">
        <v>1906</v>
      </c>
      <c r="AC644" s="112">
        <v>52.42</v>
      </c>
      <c r="AD644" s="112" t="s">
        <v>1906</v>
      </c>
      <c r="AE644" s="112">
        <v>24.31</v>
      </c>
      <c r="AF644" s="112" t="s">
        <v>1906</v>
      </c>
      <c r="AG644" s="112">
        <v>0</v>
      </c>
      <c r="AH644" s="112"/>
      <c r="AI644" s="112">
        <v>0</v>
      </c>
      <c r="AJ644" s="112"/>
      <c r="AK644" s="112">
        <v>0</v>
      </c>
      <c r="AL644" s="112"/>
      <c r="AM644" s="112">
        <v>0</v>
      </c>
      <c r="AN644" s="112"/>
      <c r="AO644" s="112">
        <v>49.73</v>
      </c>
      <c r="AP644" s="112" t="s">
        <v>208</v>
      </c>
      <c r="AQ644" s="112">
        <v>55.35</v>
      </c>
      <c r="AR644" s="112" t="s">
        <v>208</v>
      </c>
      <c r="AS644" s="112">
        <v>81.290000000000006</v>
      </c>
      <c r="AT644" s="112" t="s">
        <v>208</v>
      </c>
      <c r="AU644" s="112">
        <f t="shared" si="23"/>
        <v>557.96</v>
      </c>
      <c r="AV644" s="111">
        <v>0.27932000000000001</v>
      </c>
      <c r="AW644" s="111" t="s">
        <v>1904</v>
      </c>
      <c r="AX644" s="25"/>
      <c r="AY644" s="25"/>
      <c r="AZ644" s="25"/>
    </row>
    <row r="645" spans="1:52" ht="31.2" x14ac:dyDescent="0.3">
      <c r="A645" s="103">
        <v>635</v>
      </c>
      <c r="B645" s="109" t="s">
        <v>1397</v>
      </c>
      <c r="C645" s="30" t="s">
        <v>1899</v>
      </c>
      <c r="D645" s="110" t="s">
        <v>1900</v>
      </c>
      <c r="E645" s="110" t="s">
        <v>1917</v>
      </c>
      <c r="F645" s="30" t="s">
        <v>2703</v>
      </c>
      <c r="G645" s="26" t="s">
        <v>145</v>
      </c>
      <c r="H645" s="24" t="s">
        <v>146</v>
      </c>
      <c r="I645" s="109">
        <v>1</v>
      </c>
      <c r="J645" s="109" t="s">
        <v>1918</v>
      </c>
      <c r="K645" s="109">
        <v>45</v>
      </c>
      <c r="L645" s="109" t="s">
        <v>1919</v>
      </c>
      <c r="M645" s="109" t="s">
        <v>1904</v>
      </c>
      <c r="N645" s="109" t="s">
        <v>529</v>
      </c>
      <c r="O645" s="109" t="s">
        <v>1920</v>
      </c>
      <c r="P645" s="109" t="s">
        <v>1921</v>
      </c>
      <c r="Q645" s="102">
        <v>0</v>
      </c>
      <c r="R645" s="109" t="s">
        <v>1907</v>
      </c>
      <c r="S645" s="109" t="s">
        <v>1922</v>
      </c>
      <c r="T645" s="25"/>
      <c r="U645" s="111" t="s">
        <v>1923</v>
      </c>
      <c r="V645" s="111" t="s">
        <v>1923</v>
      </c>
      <c r="W645" s="112" t="s">
        <v>2174</v>
      </c>
      <c r="X645" s="112" t="s">
        <v>1906</v>
      </c>
      <c r="Y645" s="112" t="s">
        <v>2175</v>
      </c>
      <c r="Z645" s="112" t="s">
        <v>1906</v>
      </c>
      <c r="AA645" s="112" t="s">
        <v>2176</v>
      </c>
      <c r="AB645" s="112" t="s">
        <v>1906</v>
      </c>
      <c r="AC645" s="112">
        <v>6.56</v>
      </c>
      <c r="AD645" s="112" t="s">
        <v>1906</v>
      </c>
      <c r="AE645" s="112">
        <v>2.12</v>
      </c>
      <c r="AF645" s="112" t="s">
        <v>1906</v>
      </c>
      <c r="AG645" s="112">
        <v>0</v>
      </c>
      <c r="AH645" s="112"/>
      <c r="AI645" s="112">
        <v>0</v>
      </c>
      <c r="AJ645" s="112"/>
      <c r="AK645" s="112">
        <v>0</v>
      </c>
      <c r="AL645" s="112"/>
      <c r="AM645" s="112">
        <v>0</v>
      </c>
      <c r="AN645" s="112"/>
      <c r="AO645" s="112">
        <v>5.55</v>
      </c>
      <c r="AP645" s="112" t="s">
        <v>1906</v>
      </c>
      <c r="AQ645" s="112">
        <v>5.55</v>
      </c>
      <c r="AR645" s="112" t="s">
        <v>1906</v>
      </c>
      <c r="AS645" s="112">
        <v>5.55</v>
      </c>
      <c r="AT645" s="112" t="s">
        <v>1906</v>
      </c>
      <c r="AU645" s="112">
        <f t="shared" si="23"/>
        <v>55.909999999999989</v>
      </c>
      <c r="AV645" s="111">
        <v>4.1149999999999999E-2</v>
      </c>
      <c r="AW645" s="111" t="s">
        <v>1904</v>
      </c>
      <c r="AX645" s="25"/>
      <c r="AY645" s="25"/>
      <c r="AZ645" s="25"/>
    </row>
    <row r="646" spans="1:52" ht="31.2" x14ac:dyDescent="0.3">
      <c r="A646" s="103">
        <v>636</v>
      </c>
      <c r="B646" s="109" t="s">
        <v>1398</v>
      </c>
      <c r="C646" s="30" t="s">
        <v>1899</v>
      </c>
      <c r="D646" s="110" t="s">
        <v>1900</v>
      </c>
      <c r="E646" s="110" t="s">
        <v>1917</v>
      </c>
      <c r="F646" s="30" t="s">
        <v>2703</v>
      </c>
      <c r="G646" s="26" t="s">
        <v>145</v>
      </c>
      <c r="H646" s="24" t="s">
        <v>146</v>
      </c>
      <c r="I646" s="109">
        <v>1</v>
      </c>
      <c r="J646" s="109" t="s">
        <v>1918</v>
      </c>
      <c r="K646" s="109">
        <v>89</v>
      </c>
      <c r="L646" s="109" t="s">
        <v>1919</v>
      </c>
      <c r="M646" s="109" t="s">
        <v>1904</v>
      </c>
      <c r="N646" s="109" t="s">
        <v>529</v>
      </c>
      <c r="O646" s="109" t="s">
        <v>1920</v>
      </c>
      <c r="P646" s="109" t="s">
        <v>1921</v>
      </c>
      <c r="Q646" s="102">
        <v>0</v>
      </c>
      <c r="R646" s="109" t="s">
        <v>1907</v>
      </c>
      <c r="S646" s="109" t="s">
        <v>1922</v>
      </c>
      <c r="T646" s="25"/>
      <c r="U646" s="111" t="s">
        <v>1923</v>
      </c>
      <c r="V646" s="111" t="s">
        <v>1923</v>
      </c>
      <c r="W646" s="112" t="s">
        <v>2177</v>
      </c>
      <c r="X646" s="112" t="s">
        <v>1906</v>
      </c>
      <c r="Y646" s="112" t="s">
        <v>2178</v>
      </c>
      <c r="Z646" s="112" t="s">
        <v>1906</v>
      </c>
      <c r="AA646" s="112" t="s">
        <v>2179</v>
      </c>
      <c r="AB646" s="112" t="s">
        <v>1906</v>
      </c>
      <c r="AC646" s="112">
        <v>81.239999999999995</v>
      </c>
      <c r="AD646" s="112" t="s">
        <v>1906</v>
      </c>
      <c r="AE646" s="112">
        <v>38.97</v>
      </c>
      <c r="AF646" s="112" t="s">
        <v>1906</v>
      </c>
      <c r="AG646" s="112">
        <v>0</v>
      </c>
      <c r="AH646" s="112"/>
      <c r="AI646" s="112">
        <v>0</v>
      </c>
      <c r="AJ646" s="112"/>
      <c r="AK646" s="112">
        <v>0</v>
      </c>
      <c r="AL646" s="112"/>
      <c r="AM646" s="112">
        <v>0</v>
      </c>
      <c r="AN646" s="112"/>
      <c r="AO646" s="112">
        <v>78.290000000000006</v>
      </c>
      <c r="AP646" s="112" t="s">
        <v>208</v>
      </c>
      <c r="AQ646" s="112">
        <v>93.47</v>
      </c>
      <c r="AR646" s="112" t="s">
        <v>208</v>
      </c>
      <c r="AS646" s="112">
        <v>131.94</v>
      </c>
      <c r="AT646" s="112" t="s">
        <v>208</v>
      </c>
      <c r="AU646" s="112">
        <f t="shared" si="23"/>
        <v>827.93000000000006</v>
      </c>
      <c r="AV646" s="111">
        <v>0.35743000000000003</v>
      </c>
      <c r="AW646" s="111" t="s">
        <v>1904</v>
      </c>
      <c r="AX646" s="25"/>
      <c r="AY646" s="25"/>
      <c r="AZ646" s="25"/>
    </row>
    <row r="647" spans="1:52" ht="31.2" x14ac:dyDescent="0.3">
      <c r="A647" s="103">
        <v>637</v>
      </c>
      <c r="B647" s="109" t="s">
        <v>1399</v>
      </c>
      <c r="C647" s="30" t="s">
        <v>1899</v>
      </c>
      <c r="D647" s="110" t="s">
        <v>1900</v>
      </c>
      <c r="E647" s="110" t="s">
        <v>1917</v>
      </c>
      <c r="F647" s="30" t="s">
        <v>2703</v>
      </c>
      <c r="G647" s="26" t="s">
        <v>145</v>
      </c>
      <c r="H647" s="24" t="s">
        <v>146</v>
      </c>
      <c r="I647" s="109">
        <v>2</v>
      </c>
      <c r="J647" s="109" t="s">
        <v>1918</v>
      </c>
      <c r="K647" s="109">
        <v>89</v>
      </c>
      <c r="L647" s="109" t="s">
        <v>1919</v>
      </c>
      <c r="M647" s="109" t="s">
        <v>1904</v>
      </c>
      <c r="N647" s="109" t="s">
        <v>529</v>
      </c>
      <c r="O647" s="109" t="s">
        <v>1920</v>
      </c>
      <c r="P647" s="109" t="s">
        <v>1921</v>
      </c>
      <c r="Q647" s="102">
        <v>0</v>
      </c>
      <c r="R647" s="109" t="s">
        <v>1907</v>
      </c>
      <c r="S647" s="109" t="s">
        <v>1922</v>
      </c>
      <c r="T647" s="25"/>
      <c r="U647" s="111" t="s">
        <v>1923</v>
      </c>
      <c r="V647" s="111" t="s">
        <v>1923</v>
      </c>
      <c r="W647" s="112" t="s">
        <v>2180</v>
      </c>
      <c r="X647" s="112" t="s">
        <v>1906</v>
      </c>
      <c r="Y647" s="112" t="s">
        <v>2144</v>
      </c>
      <c r="Z647" s="112" t="s">
        <v>1906</v>
      </c>
      <c r="AA647" s="112" t="s">
        <v>2181</v>
      </c>
      <c r="AB647" s="112" t="s">
        <v>1906</v>
      </c>
      <c r="AC647" s="112">
        <v>25.64</v>
      </c>
      <c r="AD647" s="112" t="s">
        <v>1906</v>
      </c>
      <c r="AE647" s="112">
        <v>10.8</v>
      </c>
      <c r="AF647" s="112" t="s">
        <v>1906</v>
      </c>
      <c r="AG647" s="112">
        <v>0</v>
      </c>
      <c r="AH647" s="112"/>
      <c r="AI647" s="112">
        <v>0</v>
      </c>
      <c r="AJ647" s="112"/>
      <c r="AK647" s="112">
        <v>0</v>
      </c>
      <c r="AL647" s="112"/>
      <c r="AM647" s="112">
        <v>0</v>
      </c>
      <c r="AN647" s="112"/>
      <c r="AO647" s="112">
        <v>25.62</v>
      </c>
      <c r="AP647" s="112" t="s">
        <v>208</v>
      </c>
      <c r="AQ647" s="112">
        <v>29.49</v>
      </c>
      <c r="AR647" s="112" t="s">
        <v>208</v>
      </c>
      <c r="AS647" s="112">
        <v>42.82</v>
      </c>
      <c r="AT647" s="112" t="s">
        <v>208</v>
      </c>
      <c r="AU647" s="112">
        <f t="shared" si="23"/>
        <v>309.58</v>
      </c>
      <c r="AV647" s="111">
        <v>0.33626200000000001</v>
      </c>
      <c r="AW647" s="111" t="s">
        <v>1904</v>
      </c>
      <c r="AX647" s="25"/>
      <c r="AY647" s="25"/>
      <c r="AZ647" s="25"/>
    </row>
    <row r="648" spans="1:52" ht="31.2" x14ac:dyDescent="0.3">
      <c r="A648" s="103">
        <v>638</v>
      </c>
      <c r="B648" s="109" t="s">
        <v>1400</v>
      </c>
      <c r="C648" s="30" t="s">
        <v>1899</v>
      </c>
      <c r="D648" s="110" t="s">
        <v>1900</v>
      </c>
      <c r="E648" s="110" t="s">
        <v>1917</v>
      </c>
      <c r="F648" s="30" t="s">
        <v>2703</v>
      </c>
      <c r="G648" s="26" t="s">
        <v>145</v>
      </c>
      <c r="H648" s="24" t="s">
        <v>146</v>
      </c>
      <c r="I648" s="109">
        <v>1</v>
      </c>
      <c r="J648" s="109" t="s">
        <v>1918</v>
      </c>
      <c r="K648" s="109">
        <v>108</v>
      </c>
      <c r="L648" s="109" t="s">
        <v>1919</v>
      </c>
      <c r="M648" s="109" t="s">
        <v>1904</v>
      </c>
      <c r="N648" s="109" t="s">
        <v>529</v>
      </c>
      <c r="O648" s="109" t="s">
        <v>1920</v>
      </c>
      <c r="P648" s="109" t="s">
        <v>1921</v>
      </c>
      <c r="Q648" s="102">
        <v>0</v>
      </c>
      <c r="R648" s="109" t="s">
        <v>1907</v>
      </c>
      <c r="S648" s="109" t="s">
        <v>1922</v>
      </c>
      <c r="T648" s="25"/>
      <c r="U648" s="111" t="s">
        <v>1923</v>
      </c>
      <c r="V648" s="111" t="s">
        <v>1923</v>
      </c>
      <c r="W648" s="112" t="s">
        <v>2182</v>
      </c>
      <c r="X648" s="112" t="s">
        <v>1906</v>
      </c>
      <c r="Y648" s="112" t="s">
        <v>2182</v>
      </c>
      <c r="Z648" s="112" t="s">
        <v>1906</v>
      </c>
      <c r="AA648" s="112" t="s">
        <v>2182</v>
      </c>
      <c r="AB648" s="112" t="s">
        <v>1906</v>
      </c>
      <c r="AC648" s="112">
        <v>180.92</v>
      </c>
      <c r="AD648" s="112" t="s">
        <v>1906</v>
      </c>
      <c r="AE648" s="112">
        <v>58.36</v>
      </c>
      <c r="AF648" s="112" t="s">
        <v>1906</v>
      </c>
      <c r="AG648" s="112">
        <v>0</v>
      </c>
      <c r="AH648" s="112"/>
      <c r="AI648" s="112">
        <v>0</v>
      </c>
      <c r="AJ648" s="112"/>
      <c r="AK648" s="112">
        <v>0</v>
      </c>
      <c r="AL648" s="112"/>
      <c r="AM648" s="112">
        <v>36.68</v>
      </c>
      <c r="AN648" s="112" t="s">
        <v>1906</v>
      </c>
      <c r="AO648" s="112">
        <v>183.39</v>
      </c>
      <c r="AP648" s="112" t="s">
        <v>1906</v>
      </c>
      <c r="AQ648" s="112">
        <v>183.39</v>
      </c>
      <c r="AR648" s="112" t="s">
        <v>1906</v>
      </c>
      <c r="AS648" s="112">
        <v>183.39</v>
      </c>
      <c r="AT648" s="112" t="s">
        <v>1906</v>
      </c>
      <c r="AU648" s="112">
        <f t="shared" si="23"/>
        <v>1368.8899999999999</v>
      </c>
      <c r="AV648" s="111">
        <v>0.46612999999999999</v>
      </c>
      <c r="AW648" s="111" t="s">
        <v>1904</v>
      </c>
      <c r="AX648" s="25"/>
      <c r="AY648" s="25"/>
      <c r="AZ648" s="25"/>
    </row>
    <row r="649" spans="1:52" ht="31.2" x14ac:dyDescent="0.3">
      <c r="A649" s="103">
        <v>639</v>
      </c>
      <c r="B649" s="109" t="s">
        <v>1401</v>
      </c>
      <c r="C649" s="30" t="s">
        <v>1899</v>
      </c>
      <c r="D649" s="110" t="s">
        <v>1900</v>
      </c>
      <c r="E649" s="110" t="s">
        <v>1917</v>
      </c>
      <c r="F649" s="30" t="s">
        <v>2703</v>
      </c>
      <c r="G649" s="26" t="s">
        <v>145</v>
      </c>
      <c r="H649" s="24" t="s">
        <v>146</v>
      </c>
      <c r="I649" s="109">
        <v>1</v>
      </c>
      <c r="J649" s="109" t="s">
        <v>1918</v>
      </c>
      <c r="K649" s="109">
        <v>100</v>
      </c>
      <c r="L649" s="109" t="s">
        <v>1919</v>
      </c>
      <c r="M649" s="109" t="s">
        <v>1904</v>
      </c>
      <c r="N649" s="109" t="s">
        <v>529</v>
      </c>
      <c r="O649" s="109" t="s">
        <v>1920</v>
      </c>
      <c r="P649" s="109" t="s">
        <v>1921</v>
      </c>
      <c r="Q649" s="102">
        <v>0</v>
      </c>
      <c r="R649" s="109" t="s">
        <v>1907</v>
      </c>
      <c r="S649" s="109" t="s">
        <v>1922</v>
      </c>
      <c r="T649" s="25"/>
      <c r="U649" s="111" t="s">
        <v>1923</v>
      </c>
      <c r="V649" s="111" t="s">
        <v>1923</v>
      </c>
      <c r="W649" s="112" t="s">
        <v>2183</v>
      </c>
      <c r="X649" s="112" t="s">
        <v>1906</v>
      </c>
      <c r="Y649" s="112" t="s">
        <v>2184</v>
      </c>
      <c r="Z649" s="112" t="s">
        <v>1906</v>
      </c>
      <c r="AA649" s="112" t="s">
        <v>2184</v>
      </c>
      <c r="AB649" s="112" t="s">
        <v>1906</v>
      </c>
      <c r="AC649" s="112">
        <v>61.86</v>
      </c>
      <c r="AD649" s="112" t="s">
        <v>1906</v>
      </c>
      <c r="AE649" s="112">
        <v>19.95</v>
      </c>
      <c r="AF649" s="112" t="s">
        <v>1906</v>
      </c>
      <c r="AG649" s="112">
        <v>0</v>
      </c>
      <c r="AH649" s="112"/>
      <c r="AI649" s="112">
        <v>0</v>
      </c>
      <c r="AJ649" s="112"/>
      <c r="AK649" s="112">
        <v>0</v>
      </c>
      <c r="AL649" s="112"/>
      <c r="AM649" s="112">
        <v>11.99</v>
      </c>
      <c r="AN649" s="112" t="s">
        <v>1906</v>
      </c>
      <c r="AO649" s="112">
        <v>60.76</v>
      </c>
      <c r="AP649" s="112" t="s">
        <v>1906</v>
      </c>
      <c r="AQ649" s="112">
        <v>59.96</v>
      </c>
      <c r="AR649" s="112" t="s">
        <v>1906</v>
      </c>
      <c r="AS649" s="112">
        <v>59.96</v>
      </c>
      <c r="AT649" s="112" t="s">
        <v>1906</v>
      </c>
      <c r="AU649" s="112">
        <f t="shared" si="23"/>
        <v>461.24999999999994</v>
      </c>
      <c r="AV649" s="111">
        <v>0.21539</v>
      </c>
      <c r="AW649" s="111" t="s">
        <v>1904</v>
      </c>
      <c r="AX649" s="25"/>
      <c r="AY649" s="25"/>
      <c r="AZ649" s="25"/>
    </row>
    <row r="650" spans="1:52" ht="31.2" x14ac:dyDescent="0.3">
      <c r="A650" s="103">
        <v>640</v>
      </c>
      <c r="B650" s="109" t="s">
        <v>1403</v>
      </c>
      <c r="C650" s="30" t="s">
        <v>1899</v>
      </c>
      <c r="D650" s="110" t="s">
        <v>1900</v>
      </c>
      <c r="E650" s="110" t="s">
        <v>1917</v>
      </c>
      <c r="F650" s="30" t="s">
        <v>2703</v>
      </c>
      <c r="G650" s="26" t="s">
        <v>145</v>
      </c>
      <c r="H650" s="24" t="s">
        <v>146</v>
      </c>
      <c r="I650" s="109">
        <v>0</v>
      </c>
      <c r="J650" s="109" t="s">
        <v>1918</v>
      </c>
      <c r="K650" s="109">
        <v>76</v>
      </c>
      <c r="L650" s="109" t="s">
        <v>1919</v>
      </c>
      <c r="M650" s="109" t="s">
        <v>1904</v>
      </c>
      <c r="N650" s="109" t="s">
        <v>529</v>
      </c>
      <c r="O650" s="109" t="s">
        <v>1920</v>
      </c>
      <c r="P650" s="109" t="s">
        <v>1920</v>
      </c>
      <c r="Q650" s="102">
        <v>0</v>
      </c>
      <c r="R650" s="109" t="s">
        <v>1907</v>
      </c>
      <c r="S650" s="109" t="s">
        <v>1922</v>
      </c>
      <c r="T650" s="25"/>
      <c r="U650" s="111" t="s">
        <v>1923</v>
      </c>
      <c r="V650" s="111" t="s">
        <v>1923</v>
      </c>
      <c r="W650" s="112" t="s">
        <v>2185</v>
      </c>
      <c r="X650" s="112" t="s">
        <v>1906</v>
      </c>
      <c r="Y650" s="112" t="s">
        <v>2185</v>
      </c>
      <c r="Z650" s="112" t="s">
        <v>1906</v>
      </c>
      <c r="AA650" s="112" t="s">
        <v>2185</v>
      </c>
      <c r="AB650" s="112" t="s">
        <v>1906</v>
      </c>
      <c r="AC650" s="112">
        <v>12.76</v>
      </c>
      <c r="AD650" s="112" t="s">
        <v>1906</v>
      </c>
      <c r="AE650" s="112">
        <v>4.12</v>
      </c>
      <c r="AF650" s="112" t="s">
        <v>1906</v>
      </c>
      <c r="AG650" s="112">
        <v>0</v>
      </c>
      <c r="AH650" s="112"/>
      <c r="AI650" s="112">
        <v>0</v>
      </c>
      <c r="AJ650" s="112"/>
      <c r="AK650" s="112">
        <v>0</v>
      </c>
      <c r="AL650" s="112"/>
      <c r="AM650" s="112">
        <v>2.9</v>
      </c>
      <c r="AN650" s="112" t="s">
        <v>1906</v>
      </c>
      <c r="AO650" s="112">
        <v>12.42</v>
      </c>
      <c r="AP650" s="112" t="s">
        <v>1906</v>
      </c>
      <c r="AQ650" s="112">
        <v>12.42</v>
      </c>
      <c r="AR650" s="112" t="s">
        <v>1906</v>
      </c>
      <c r="AS650" s="112">
        <v>12.42</v>
      </c>
      <c r="AT650" s="112" t="s">
        <v>1906</v>
      </c>
      <c r="AU650" s="112">
        <f t="shared" si="23"/>
        <v>95.32</v>
      </c>
      <c r="AV650" s="111">
        <v>6.2829999999999997E-2</v>
      </c>
      <c r="AW650" s="111" t="s">
        <v>1904</v>
      </c>
      <c r="AX650" s="25"/>
      <c r="AY650" s="25"/>
      <c r="AZ650" s="25"/>
    </row>
    <row r="651" spans="1:52" ht="31.2" x14ac:dyDescent="0.3">
      <c r="A651" s="103">
        <v>641</v>
      </c>
      <c r="B651" s="109" t="s">
        <v>1404</v>
      </c>
      <c r="C651" s="30" t="s">
        <v>1899</v>
      </c>
      <c r="D651" s="110" t="s">
        <v>1900</v>
      </c>
      <c r="E651" s="110" t="s">
        <v>1917</v>
      </c>
      <c r="F651" s="30" t="s">
        <v>2703</v>
      </c>
      <c r="G651" s="26" t="s">
        <v>145</v>
      </c>
      <c r="H651" s="24" t="s">
        <v>146</v>
      </c>
      <c r="I651" s="109">
        <v>0</v>
      </c>
      <c r="J651" s="109" t="s">
        <v>1918</v>
      </c>
      <c r="K651" s="109">
        <v>76</v>
      </c>
      <c r="L651" s="109" t="s">
        <v>1919</v>
      </c>
      <c r="M651" s="109" t="s">
        <v>1904</v>
      </c>
      <c r="N651" s="109" t="s">
        <v>529</v>
      </c>
      <c r="O651" s="109" t="s">
        <v>1920</v>
      </c>
      <c r="P651" s="109" t="s">
        <v>1920</v>
      </c>
      <c r="Q651" s="102">
        <v>0</v>
      </c>
      <c r="R651" s="109" t="s">
        <v>1907</v>
      </c>
      <c r="S651" s="109" t="s">
        <v>1922</v>
      </c>
      <c r="T651" s="25"/>
      <c r="U651" s="111" t="s">
        <v>1923</v>
      </c>
      <c r="V651" s="111" t="s">
        <v>1923</v>
      </c>
      <c r="W651" s="112" t="s">
        <v>2185</v>
      </c>
      <c r="X651" s="112" t="s">
        <v>1906</v>
      </c>
      <c r="Y651" s="112" t="s">
        <v>2185</v>
      </c>
      <c r="Z651" s="112" t="s">
        <v>1906</v>
      </c>
      <c r="AA651" s="112" t="s">
        <v>2185</v>
      </c>
      <c r="AB651" s="112" t="s">
        <v>1906</v>
      </c>
      <c r="AC651" s="112">
        <v>12.76</v>
      </c>
      <c r="AD651" s="112" t="s">
        <v>1906</v>
      </c>
      <c r="AE651" s="112">
        <v>4.12</v>
      </c>
      <c r="AF651" s="112" t="s">
        <v>1906</v>
      </c>
      <c r="AG651" s="112">
        <v>0</v>
      </c>
      <c r="AH651" s="112"/>
      <c r="AI651" s="112">
        <v>0</v>
      </c>
      <c r="AJ651" s="112"/>
      <c r="AK651" s="112">
        <v>0</v>
      </c>
      <c r="AL651" s="112"/>
      <c r="AM651" s="112">
        <v>2.9</v>
      </c>
      <c r="AN651" s="112" t="s">
        <v>1906</v>
      </c>
      <c r="AO651" s="112">
        <v>12.42</v>
      </c>
      <c r="AP651" s="112" t="s">
        <v>1906</v>
      </c>
      <c r="AQ651" s="112">
        <v>12.42</v>
      </c>
      <c r="AR651" s="112" t="s">
        <v>1906</v>
      </c>
      <c r="AS651" s="112">
        <v>12.42</v>
      </c>
      <c r="AT651" s="112" t="s">
        <v>1906</v>
      </c>
      <c r="AU651" s="112">
        <f t="shared" si="23"/>
        <v>95.32</v>
      </c>
      <c r="AV651" s="111">
        <v>6.2829999999999997E-2</v>
      </c>
      <c r="AW651" s="111" t="s">
        <v>1904</v>
      </c>
      <c r="AX651" s="25"/>
      <c r="AY651" s="25"/>
      <c r="AZ651" s="25"/>
    </row>
    <row r="652" spans="1:52" ht="31.2" x14ac:dyDescent="0.3">
      <c r="A652" s="103">
        <v>642</v>
      </c>
      <c r="B652" s="109" t="s">
        <v>1406</v>
      </c>
      <c r="C652" s="30" t="s">
        <v>1899</v>
      </c>
      <c r="D652" s="110" t="s">
        <v>1900</v>
      </c>
      <c r="E652" s="110" t="s">
        <v>1917</v>
      </c>
      <c r="F652" s="30" t="s">
        <v>2703</v>
      </c>
      <c r="G652" s="26" t="s">
        <v>145</v>
      </c>
      <c r="H652" s="24" t="s">
        <v>146</v>
      </c>
      <c r="I652" s="109">
        <v>1</v>
      </c>
      <c r="J652" s="109" t="s">
        <v>1918</v>
      </c>
      <c r="K652" s="109">
        <v>89</v>
      </c>
      <c r="L652" s="109" t="s">
        <v>1919</v>
      </c>
      <c r="M652" s="109" t="s">
        <v>1904</v>
      </c>
      <c r="N652" s="109" t="s">
        <v>529</v>
      </c>
      <c r="O652" s="109" t="s">
        <v>1920</v>
      </c>
      <c r="P652" s="109" t="s">
        <v>1921</v>
      </c>
      <c r="Q652" s="102">
        <v>0</v>
      </c>
      <c r="R652" s="109" t="s">
        <v>1907</v>
      </c>
      <c r="S652" s="109" t="s">
        <v>1922</v>
      </c>
      <c r="T652" s="25"/>
      <c r="U652" s="111" t="s">
        <v>1923</v>
      </c>
      <c r="V652" s="111" t="s">
        <v>1923</v>
      </c>
      <c r="W652" s="112" t="s">
        <v>2186</v>
      </c>
      <c r="X652" s="112" t="s">
        <v>208</v>
      </c>
      <c r="Y652" s="112" t="s">
        <v>2187</v>
      </c>
      <c r="Z652" s="112" t="s">
        <v>208</v>
      </c>
      <c r="AA652" s="112" t="s">
        <v>2188</v>
      </c>
      <c r="AB652" s="112" t="s">
        <v>208</v>
      </c>
      <c r="AC652" s="112">
        <v>43.2</v>
      </c>
      <c r="AD652" s="112" t="s">
        <v>208</v>
      </c>
      <c r="AE652" s="112">
        <v>21.23</v>
      </c>
      <c r="AF652" s="112" t="s">
        <v>208</v>
      </c>
      <c r="AG652" s="112">
        <v>0</v>
      </c>
      <c r="AH652" s="112"/>
      <c r="AI652" s="112">
        <v>0</v>
      </c>
      <c r="AJ652" s="112"/>
      <c r="AK652" s="112">
        <v>0</v>
      </c>
      <c r="AL652" s="112"/>
      <c r="AM652" s="112">
        <v>0</v>
      </c>
      <c r="AN652" s="112"/>
      <c r="AO652" s="112">
        <v>28.77</v>
      </c>
      <c r="AP652" s="112" t="s">
        <v>208</v>
      </c>
      <c r="AQ652" s="112">
        <v>41.99</v>
      </c>
      <c r="AR652" s="112" t="s">
        <v>208</v>
      </c>
      <c r="AS652" s="112">
        <v>61.28</v>
      </c>
      <c r="AT652" s="112" t="s">
        <v>208</v>
      </c>
      <c r="AU652" s="112">
        <f t="shared" ref="AU652:AU715" si="24">W652+Y652+AA652+AC652+AE652+AG652+AI652+AK652+AM652+AO652+AQ652+AS652</f>
        <v>470.85</v>
      </c>
      <c r="AV652" s="111">
        <v>0.22081000000000001</v>
      </c>
      <c r="AW652" s="111" t="s">
        <v>1904</v>
      </c>
      <c r="AX652" s="25"/>
      <c r="AY652" s="25"/>
      <c r="AZ652" s="25"/>
    </row>
    <row r="653" spans="1:52" ht="31.2" x14ac:dyDescent="0.3">
      <c r="A653" s="103">
        <v>643</v>
      </c>
      <c r="B653" s="109" t="s">
        <v>1407</v>
      </c>
      <c r="C653" s="30" t="s">
        <v>1899</v>
      </c>
      <c r="D653" s="110" t="s">
        <v>1900</v>
      </c>
      <c r="E653" s="110" t="s">
        <v>1917</v>
      </c>
      <c r="F653" s="30" t="s">
        <v>2703</v>
      </c>
      <c r="G653" s="26" t="s">
        <v>145</v>
      </c>
      <c r="H653" s="24" t="s">
        <v>146</v>
      </c>
      <c r="I653" s="109">
        <v>1</v>
      </c>
      <c r="J653" s="109" t="s">
        <v>1918</v>
      </c>
      <c r="K653" s="109">
        <v>76</v>
      </c>
      <c r="L653" s="109" t="s">
        <v>1919</v>
      </c>
      <c r="M653" s="109" t="s">
        <v>1904</v>
      </c>
      <c r="N653" s="109" t="s">
        <v>529</v>
      </c>
      <c r="O653" s="109" t="s">
        <v>1920</v>
      </c>
      <c r="P653" s="109" t="s">
        <v>1921</v>
      </c>
      <c r="Q653" s="102">
        <v>0</v>
      </c>
      <c r="R653" s="109" t="s">
        <v>1907</v>
      </c>
      <c r="S653" s="109" t="s">
        <v>1922</v>
      </c>
      <c r="T653" s="25"/>
      <c r="U653" s="111" t="s">
        <v>1923</v>
      </c>
      <c r="V653" s="111" t="s">
        <v>1923</v>
      </c>
      <c r="W653" s="112" t="s">
        <v>2189</v>
      </c>
      <c r="X653" s="112" t="s">
        <v>208</v>
      </c>
      <c r="Y653" s="112" t="s">
        <v>2190</v>
      </c>
      <c r="Z653" s="112" t="s">
        <v>208</v>
      </c>
      <c r="AA653" s="112" t="s">
        <v>2191</v>
      </c>
      <c r="AB653" s="112" t="s">
        <v>208</v>
      </c>
      <c r="AC653" s="112">
        <v>41.19</v>
      </c>
      <c r="AD653" s="112" t="s">
        <v>208</v>
      </c>
      <c r="AE653" s="112">
        <v>19.28</v>
      </c>
      <c r="AF653" s="112" t="s">
        <v>208</v>
      </c>
      <c r="AG653" s="112">
        <v>0</v>
      </c>
      <c r="AH653" s="112"/>
      <c r="AI653" s="112">
        <v>0</v>
      </c>
      <c r="AJ653" s="112"/>
      <c r="AK653" s="112">
        <v>0</v>
      </c>
      <c r="AL653" s="112"/>
      <c r="AM653" s="112">
        <v>0</v>
      </c>
      <c r="AN653" s="112"/>
      <c r="AO653" s="112">
        <v>37.840000000000003</v>
      </c>
      <c r="AP653" s="112" t="s">
        <v>208</v>
      </c>
      <c r="AQ653" s="112">
        <v>43.72</v>
      </c>
      <c r="AR653" s="112" t="s">
        <v>208</v>
      </c>
      <c r="AS653" s="112">
        <v>64.48</v>
      </c>
      <c r="AT653" s="112" t="s">
        <v>208</v>
      </c>
      <c r="AU653" s="112">
        <f t="shared" si="24"/>
        <v>478.0100000000001</v>
      </c>
      <c r="AV653" s="111">
        <v>0.31514999999999999</v>
      </c>
      <c r="AW653" s="111" t="s">
        <v>1904</v>
      </c>
      <c r="AX653" s="25"/>
      <c r="AY653" s="25"/>
      <c r="AZ653" s="25"/>
    </row>
    <row r="654" spans="1:52" ht="31.2" x14ac:dyDescent="0.3">
      <c r="A654" s="103">
        <v>644</v>
      </c>
      <c r="B654" s="109" t="s">
        <v>1408</v>
      </c>
      <c r="C654" s="30" t="s">
        <v>1899</v>
      </c>
      <c r="D654" s="110" t="s">
        <v>1900</v>
      </c>
      <c r="E654" s="110" t="s">
        <v>1917</v>
      </c>
      <c r="F654" s="30" t="s">
        <v>2703</v>
      </c>
      <c r="G654" s="26" t="s">
        <v>145</v>
      </c>
      <c r="H654" s="24" t="s">
        <v>146</v>
      </c>
      <c r="I654" s="109">
        <v>1</v>
      </c>
      <c r="J654" s="109" t="s">
        <v>1918</v>
      </c>
      <c r="K654" s="109">
        <v>89</v>
      </c>
      <c r="L654" s="109" t="s">
        <v>1919</v>
      </c>
      <c r="M654" s="109" t="s">
        <v>1904</v>
      </c>
      <c r="N654" s="109" t="s">
        <v>529</v>
      </c>
      <c r="O654" s="109" t="s">
        <v>1920</v>
      </c>
      <c r="P654" s="109" t="s">
        <v>1921</v>
      </c>
      <c r="Q654" s="102">
        <v>0</v>
      </c>
      <c r="R654" s="109" t="s">
        <v>1907</v>
      </c>
      <c r="S654" s="109" t="s">
        <v>1922</v>
      </c>
      <c r="T654" s="25"/>
      <c r="U654" s="111" t="s">
        <v>1923</v>
      </c>
      <c r="V654" s="111" t="s">
        <v>1923</v>
      </c>
      <c r="W654" s="112" t="s">
        <v>1974</v>
      </c>
      <c r="X654" s="112" t="s">
        <v>1906</v>
      </c>
      <c r="Y654" s="112" t="s">
        <v>2192</v>
      </c>
      <c r="Z654" s="112" t="s">
        <v>1906</v>
      </c>
      <c r="AA654" s="112" t="s">
        <v>2193</v>
      </c>
      <c r="AB654" s="112" t="s">
        <v>1906</v>
      </c>
      <c r="AC654" s="112">
        <v>45.98</v>
      </c>
      <c r="AD654" s="112" t="s">
        <v>1906</v>
      </c>
      <c r="AE654" s="112">
        <v>22.74</v>
      </c>
      <c r="AF654" s="112" t="s">
        <v>1906</v>
      </c>
      <c r="AG654" s="112">
        <v>0</v>
      </c>
      <c r="AH654" s="112"/>
      <c r="AI654" s="112">
        <v>0</v>
      </c>
      <c r="AJ654" s="112"/>
      <c r="AK654" s="112">
        <v>0</v>
      </c>
      <c r="AL654" s="112"/>
      <c r="AM654" s="112">
        <v>0</v>
      </c>
      <c r="AN654" s="112"/>
      <c r="AO654" s="112">
        <v>45.26</v>
      </c>
      <c r="AP654" s="112" t="s">
        <v>208</v>
      </c>
      <c r="AQ654" s="112">
        <v>54.2</v>
      </c>
      <c r="AR654" s="112" t="s">
        <v>208</v>
      </c>
      <c r="AS654" s="112">
        <v>79.27</v>
      </c>
      <c r="AT654" s="112" t="s">
        <v>208</v>
      </c>
      <c r="AU654" s="112">
        <f t="shared" si="24"/>
        <v>544.91</v>
      </c>
      <c r="AV654" s="111">
        <v>0.28950999999999999</v>
      </c>
      <c r="AW654" s="111" t="s">
        <v>1904</v>
      </c>
      <c r="AX654" s="25"/>
      <c r="AY654" s="25"/>
      <c r="AZ654" s="25"/>
    </row>
    <row r="655" spans="1:52" ht="31.2" x14ac:dyDescent="0.3">
      <c r="A655" s="103">
        <v>645</v>
      </c>
      <c r="B655" s="109" t="s">
        <v>1409</v>
      </c>
      <c r="C655" s="30" t="s">
        <v>1899</v>
      </c>
      <c r="D655" s="110" t="s">
        <v>1900</v>
      </c>
      <c r="E655" s="110" t="s">
        <v>1917</v>
      </c>
      <c r="F655" s="30" t="s">
        <v>2703</v>
      </c>
      <c r="G655" s="26" t="s">
        <v>145</v>
      </c>
      <c r="H655" s="24" t="s">
        <v>146</v>
      </c>
      <c r="I655" s="109">
        <v>1</v>
      </c>
      <c r="J655" s="109" t="s">
        <v>1918</v>
      </c>
      <c r="K655" s="109">
        <v>89</v>
      </c>
      <c r="L655" s="109" t="s">
        <v>1919</v>
      </c>
      <c r="M655" s="109" t="s">
        <v>1904</v>
      </c>
      <c r="N655" s="109" t="s">
        <v>529</v>
      </c>
      <c r="O655" s="109" t="s">
        <v>1920</v>
      </c>
      <c r="P655" s="109" t="s">
        <v>1921</v>
      </c>
      <c r="Q655" s="102">
        <v>0</v>
      </c>
      <c r="R655" s="109" t="s">
        <v>1907</v>
      </c>
      <c r="S655" s="109" t="s">
        <v>1922</v>
      </c>
      <c r="T655" s="25"/>
      <c r="U655" s="111" t="s">
        <v>1923</v>
      </c>
      <c r="V655" s="111" t="s">
        <v>1923</v>
      </c>
      <c r="W655" s="112" t="s">
        <v>2194</v>
      </c>
      <c r="X655" s="112" t="s">
        <v>1906</v>
      </c>
      <c r="Y655" s="112" t="s">
        <v>2195</v>
      </c>
      <c r="Z655" s="112" t="s">
        <v>1906</v>
      </c>
      <c r="AA655" s="112" t="s">
        <v>1944</v>
      </c>
      <c r="AB655" s="112" t="s">
        <v>1906</v>
      </c>
      <c r="AC655" s="112">
        <v>37.479999999999997</v>
      </c>
      <c r="AD655" s="112" t="s">
        <v>1906</v>
      </c>
      <c r="AE655" s="112">
        <v>19.57</v>
      </c>
      <c r="AF655" s="112" t="s">
        <v>1906</v>
      </c>
      <c r="AG655" s="112">
        <v>0</v>
      </c>
      <c r="AH655" s="112"/>
      <c r="AI655" s="112">
        <v>0</v>
      </c>
      <c r="AJ655" s="112"/>
      <c r="AK655" s="112">
        <v>0</v>
      </c>
      <c r="AL655" s="112"/>
      <c r="AM655" s="112">
        <v>0</v>
      </c>
      <c r="AN655" s="112"/>
      <c r="AO655" s="112">
        <v>32.799999999999997</v>
      </c>
      <c r="AP655" s="112" t="s">
        <v>208</v>
      </c>
      <c r="AQ655" s="112">
        <v>39.58</v>
      </c>
      <c r="AR655" s="112" t="s">
        <v>208</v>
      </c>
      <c r="AS655" s="112">
        <v>59.47</v>
      </c>
      <c r="AT655" s="112" t="s">
        <v>208</v>
      </c>
      <c r="AU655" s="112">
        <f t="shared" si="24"/>
        <v>452.5</v>
      </c>
      <c r="AV655" s="111">
        <v>0.23486000000000001</v>
      </c>
      <c r="AW655" s="111" t="s">
        <v>1904</v>
      </c>
      <c r="AX655" s="25"/>
      <c r="AY655" s="25"/>
      <c r="AZ655" s="25"/>
    </row>
    <row r="656" spans="1:52" ht="31.2" x14ac:dyDescent="0.3">
      <c r="A656" s="103">
        <v>646</v>
      </c>
      <c r="B656" s="109" t="s">
        <v>1410</v>
      </c>
      <c r="C656" s="30" t="s">
        <v>1899</v>
      </c>
      <c r="D656" s="110" t="s">
        <v>1900</v>
      </c>
      <c r="E656" s="110" t="s">
        <v>1917</v>
      </c>
      <c r="F656" s="30" t="s">
        <v>2703</v>
      </c>
      <c r="G656" s="26" t="s">
        <v>145</v>
      </c>
      <c r="H656" s="24" t="s">
        <v>146</v>
      </c>
      <c r="I656" s="109">
        <v>2</v>
      </c>
      <c r="J656" s="109" t="s">
        <v>1918</v>
      </c>
      <c r="K656" s="109">
        <v>100</v>
      </c>
      <c r="L656" s="109" t="s">
        <v>1919</v>
      </c>
      <c r="M656" s="109" t="s">
        <v>1904</v>
      </c>
      <c r="N656" s="109" t="s">
        <v>529</v>
      </c>
      <c r="O656" s="109" t="s">
        <v>1920</v>
      </c>
      <c r="P656" s="109" t="s">
        <v>1921</v>
      </c>
      <c r="Q656" s="102">
        <v>0</v>
      </c>
      <c r="R656" s="109" t="s">
        <v>1907</v>
      </c>
      <c r="S656" s="109" t="s">
        <v>1922</v>
      </c>
      <c r="T656" s="25"/>
      <c r="U656" s="111" t="s">
        <v>1923</v>
      </c>
      <c r="V656" s="111" t="s">
        <v>1923</v>
      </c>
      <c r="W656" s="112" t="s">
        <v>2156</v>
      </c>
      <c r="X656" s="112" t="s">
        <v>1906</v>
      </c>
      <c r="Y656" s="112" t="s">
        <v>2157</v>
      </c>
      <c r="Z656" s="112" t="s">
        <v>1906</v>
      </c>
      <c r="AA656" s="112" t="s">
        <v>2158</v>
      </c>
      <c r="AB656" s="112" t="s">
        <v>1906</v>
      </c>
      <c r="AC656" s="112">
        <v>79.98</v>
      </c>
      <c r="AD656" s="112" t="s">
        <v>1906</v>
      </c>
      <c r="AE656" s="112">
        <v>38.24</v>
      </c>
      <c r="AF656" s="112" t="s">
        <v>1906</v>
      </c>
      <c r="AG656" s="112">
        <v>0</v>
      </c>
      <c r="AH656" s="112"/>
      <c r="AI656" s="112">
        <v>0</v>
      </c>
      <c r="AJ656" s="112"/>
      <c r="AK656" s="112">
        <v>0</v>
      </c>
      <c r="AL656" s="112"/>
      <c r="AM656" s="112">
        <v>0</v>
      </c>
      <c r="AN656" s="112"/>
      <c r="AO656" s="112">
        <v>73.900000000000006</v>
      </c>
      <c r="AP656" s="112" t="s">
        <v>208</v>
      </c>
      <c r="AQ656" s="112">
        <v>83.03</v>
      </c>
      <c r="AR656" s="112" t="s">
        <v>208</v>
      </c>
      <c r="AS656" s="112">
        <v>124.23</v>
      </c>
      <c r="AT656" s="112" t="s">
        <v>208</v>
      </c>
      <c r="AU656" s="112">
        <f t="shared" si="24"/>
        <v>929.35</v>
      </c>
      <c r="AV656" s="111">
        <v>0.45746999999999999</v>
      </c>
      <c r="AW656" s="111" t="s">
        <v>1904</v>
      </c>
      <c r="AX656" s="25"/>
      <c r="AY656" s="25"/>
      <c r="AZ656" s="25"/>
    </row>
    <row r="657" spans="1:52" ht="31.2" x14ac:dyDescent="0.3">
      <c r="A657" s="103">
        <v>647</v>
      </c>
      <c r="B657" s="109" t="s">
        <v>1411</v>
      </c>
      <c r="C657" s="30" t="s">
        <v>1899</v>
      </c>
      <c r="D657" s="110" t="s">
        <v>1900</v>
      </c>
      <c r="E657" s="110" t="s">
        <v>1917</v>
      </c>
      <c r="F657" s="30" t="s">
        <v>2703</v>
      </c>
      <c r="G657" s="26" t="s">
        <v>145</v>
      </c>
      <c r="H657" s="24" t="s">
        <v>146</v>
      </c>
      <c r="I657" s="109">
        <v>0</v>
      </c>
      <c r="J657" s="109" t="s">
        <v>1918</v>
      </c>
      <c r="K657" s="109">
        <v>50</v>
      </c>
      <c r="L657" s="109" t="s">
        <v>1919</v>
      </c>
      <c r="M657" s="109" t="s">
        <v>1904</v>
      </c>
      <c r="N657" s="109" t="s">
        <v>529</v>
      </c>
      <c r="O657" s="109" t="s">
        <v>1920</v>
      </c>
      <c r="P657" s="109" t="s">
        <v>1920</v>
      </c>
      <c r="Q657" s="102">
        <v>0</v>
      </c>
      <c r="R657" s="109" t="s">
        <v>1907</v>
      </c>
      <c r="S657" s="109" t="s">
        <v>1922</v>
      </c>
      <c r="T657" s="25"/>
      <c r="U657" s="111" t="s">
        <v>1923</v>
      </c>
      <c r="V657" s="111" t="s">
        <v>1923</v>
      </c>
      <c r="W657" s="112" t="s">
        <v>2196</v>
      </c>
      <c r="X657" s="112" t="s">
        <v>1906</v>
      </c>
      <c r="Y657" s="112" t="s">
        <v>2196</v>
      </c>
      <c r="Z657" s="112" t="s">
        <v>1906</v>
      </c>
      <c r="AA657" s="112" t="s">
        <v>2196</v>
      </c>
      <c r="AB657" s="112" t="s">
        <v>1906</v>
      </c>
      <c r="AC657" s="112">
        <v>25.69</v>
      </c>
      <c r="AD657" s="112" t="s">
        <v>1906</v>
      </c>
      <c r="AE657" s="112">
        <v>8.2799999999999994</v>
      </c>
      <c r="AF657" s="112" t="s">
        <v>1906</v>
      </c>
      <c r="AG657" s="112">
        <v>0</v>
      </c>
      <c r="AH657" s="112"/>
      <c r="AI657" s="112">
        <v>0</v>
      </c>
      <c r="AJ657" s="112"/>
      <c r="AK657" s="112">
        <v>0</v>
      </c>
      <c r="AL657" s="112"/>
      <c r="AM657" s="112">
        <v>5.61</v>
      </c>
      <c r="AN657" s="112" t="s">
        <v>1906</v>
      </c>
      <c r="AO657" s="112">
        <v>24.05</v>
      </c>
      <c r="AP657" s="112" t="s">
        <v>1906</v>
      </c>
      <c r="AQ657" s="112">
        <v>24.05</v>
      </c>
      <c r="AR657" s="112" t="s">
        <v>1906</v>
      </c>
      <c r="AS657" s="112">
        <v>24.05</v>
      </c>
      <c r="AT657" s="112" t="s">
        <v>1906</v>
      </c>
      <c r="AU657" s="112">
        <f t="shared" si="24"/>
        <v>188.80000000000004</v>
      </c>
      <c r="AV657" s="111">
        <v>0.11743000000000001</v>
      </c>
      <c r="AW657" s="111" t="s">
        <v>1904</v>
      </c>
      <c r="AX657" s="25"/>
      <c r="AY657" s="25"/>
      <c r="AZ657" s="25"/>
    </row>
    <row r="658" spans="1:52" ht="31.2" x14ac:dyDescent="0.3">
      <c r="A658" s="103">
        <v>648</v>
      </c>
      <c r="B658" s="109" t="s">
        <v>1412</v>
      </c>
      <c r="C658" s="30" t="s">
        <v>1899</v>
      </c>
      <c r="D658" s="110" t="s">
        <v>1900</v>
      </c>
      <c r="E658" s="110" t="s">
        <v>1917</v>
      </c>
      <c r="F658" s="30" t="s">
        <v>2703</v>
      </c>
      <c r="G658" s="26" t="s">
        <v>145</v>
      </c>
      <c r="H658" s="24" t="s">
        <v>146</v>
      </c>
      <c r="I658" s="109">
        <v>0</v>
      </c>
      <c r="J658" s="109" t="s">
        <v>1918</v>
      </c>
      <c r="K658" s="109">
        <v>76</v>
      </c>
      <c r="L658" s="109" t="s">
        <v>1919</v>
      </c>
      <c r="M658" s="109" t="s">
        <v>1904</v>
      </c>
      <c r="N658" s="109" t="s">
        <v>529</v>
      </c>
      <c r="O658" s="109" t="s">
        <v>1920</v>
      </c>
      <c r="P658" s="109" t="s">
        <v>1920</v>
      </c>
      <c r="Q658" s="102">
        <v>0</v>
      </c>
      <c r="R658" s="109" t="s">
        <v>1907</v>
      </c>
      <c r="S658" s="109" t="s">
        <v>1922</v>
      </c>
      <c r="T658" s="25"/>
      <c r="U658" s="111" t="s">
        <v>1923</v>
      </c>
      <c r="V658" s="111" t="s">
        <v>1923</v>
      </c>
      <c r="W658" s="112" t="s">
        <v>2197</v>
      </c>
      <c r="X658" s="112" t="s">
        <v>1906</v>
      </c>
      <c r="Y658" s="112" t="s">
        <v>2197</v>
      </c>
      <c r="Z658" s="112" t="s">
        <v>1906</v>
      </c>
      <c r="AA658" s="112" t="s">
        <v>2197</v>
      </c>
      <c r="AB658" s="112" t="s">
        <v>1906</v>
      </c>
      <c r="AC658" s="112">
        <v>43.72</v>
      </c>
      <c r="AD658" s="112" t="s">
        <v>1906</v>
      </c>
      <c r="AE658" s="112">
        <v>14.1</v>
      </c>
      <c r="AF658" s="112" t="s">
        <v>1906</v>
      </c>
      <c r="AG658" s="112">
        <v>0</v>
      </c>
      <c r="AH658" s="112"/>
      <c r="AI658" s="112">
        <v>0</v>
      </c>
      <c r="AJ658" s="112"/>
      <c r="AK658" s="112">
        <v>0</v>
      </c>
      <c r="AL658" s="112"/>
      <c r="AM658" s="112">
        <v>9.3699999999999992</v>
      </c>
      <c r="AN658" s="112" t="s">
        <v>1906</v>
      </c>
      <c r="AO658" s="112">
        <v>40.15</v>
      </c>
      <c r="AP658" s="112" t="s">
        <v>1906</v>
      </c>
      <c r="AQ658" s="112">
        <v>40.15</v>
      </c>
      <c r="AR658" s="112" t="s">
        <v>1906</v>
      </c>
      <c r="AS658" s="112">
        <v>40.15</v>
      </c>
      <c r="AT658" s="112" t="s">
        <v>1906</v>
      </c>
      <c r="AU658" s="112">
        <f t="shared" si="24"/>
        <v>318.79999999999995</v>
      </c>
      <c r="AV658" s="111">
        <v>0.17865</v>
      </c>
      <c r="AW658" s="111" t="s">
        <v>1904</v>
      </c>
      <c r="AX658" s="25"/>
      <c r="AY658" s="25"/>
      <c r="AZ658" s="25"/>
    </row>
    <row r="659" spans="1:52" ht="31.2" x14ac:dyDescent="0.3">
      <c r="A659" s="103">
        <v>649</v>
      </c>
      <c r="B659" s="109" t="s">
        <v>1413</v>
      </c>
      <c r="C659" s="30" t="s">
        <v>1899</v>
      </c>
      <c r="D659" s="110" t="s">
        <v>1900</v>
      </c>
      <c r="E659" s="110" t="s">
        <v>1917</v>
      </c>
      <c r="F659" s="30" t="s">
        <v>2703</v>
      </c>
      <c r="G659" s="26" t="s">
        <v>145</v>
      </c>
      <c r="H659" s="24" t="s">
        <v>146</v>
      </c>
      <c r="I659" s="109">
        <v>1</v>
      </c>
      <c r="J659" s="109" t="s">
        <v>1918</v>
      </c>
      <c r="K659" s="109">
        <v>89</v>
      </c>
      <c r="L659" s="109" t="s">
        <v>1919</v>
      </c>
      <c r="M659" s="109" t="s">
        <v>1904</v>
      </c>
      <c r="N659" s="109" t="s">
        <v>529</v>
      </c>
      <c r="O659" s="109" t="s">
        <v>1920</v>
      </c>
      <c r="P659" s="109" t="s">
        <v>1921</v>
      </c>
      <c r="Q659" s="102">
        <v>0</v>
      </c>
      <c r="R659" s="109" t="s">
        <v>1907</v>
      </c>
      <c r="S659" s="109" t="s">
        <v>1922</v>
      </c>
      <c r="T659" s="25"/>
      <c r="U659" s="111" t="s">
        <v>1923</v>
      </c>
      <c r="V659" s="111" t="s">
        <v>1923</v>
      </c>
      <c r="W659" s="112" t="s">
        <v>2198</v>
      </c>
      <c r="X659" s="112" t="s">
        <v>1906</v>
      </c>
      <c r="Y659" s="112" t="s">
        <v>2198</v>
      </c>
      <c r="Z659" s="112" t="s">
        <v>1906</v>
      </c>
      <c r="AA659" s="112" t="s">
        <v>2198</v>
      </c>
      <c r="AB659" s="112" t="s">
        <v>1906</v>
      </c>
      <c r="AC659" s="112">
        <v>91.38</v>
      </c>
      <c r="AD659" s="112" t="s">
        <v>1906</v>
      </c>
      <c r="AE659" s="112">
        <v>29.48</v>
      </c>
      <c r="AF659" s="112" t="s">
        <v>1906</v>
      </c>
      <c r="AG659" s="112">
        <v>0</v>
      </c>
      <c r="AH659" s="112"/>
      <c r="AI659" s="112">
        <v>0</v>
      </c>
      <c r="AJ659" s="112"/>
      <c r="AK659" s="112">
        <v>0</v>
      </c>
      <c r="AL659" s="112"/>
      <c r="AM659" s="112">
        <v>19.55</v>
      </c>
      <c r="AN659" s="112" t="s">
        <v>1906</v>
      </c>
      <c r="AO659" s="112">
        <v>92.27</v>
      </c>
      <c r="AP659" s="112" t="s">
        <v>1906</v>
      </c>
      <c r="AQ659" s="112">
        <v>83.78</v>
      </c>
      <c r="AR659" s="112" t="s">
        <v>1906</v>
      </c>
      <c r="AS659" s="112">
        <v>83.78</v>
      </c>
      <c r="AT659" s="112" t="s">
        <v>1906</v>
      </c>
      <c r="AU659" s="112">
        <f t="shared" si="24"/>
        <v>674.38</v>
      </c>
      <c r="AV659" s="111">
        <v>0.27782000000000001</v>
      </c>
      <c r="AW659" s="111" t="s">
        <v>1904</v>
      </c>
      <c r="AX659" s="25"/>
      <c r="AY659" s="25"/>
      <c r="AZ659" s="25"/>
    </row>
    <row r="660" spans="1:52" ht="31.2" x14ac:dyDescent="0.3">
      <c r="A660" s="103">
        <v>650</v>
      </c>
      <c r="B660" s="109" t="s">
        <v>1415</v>
      </c>
      <c r="C660" s="30" t="s">
        <v>1899</v>
      </c>
      <c r="D660" s="110" t="s">
        <v>1900</v>
      </c>
      <c r="E660" s="110" t="s">
        <v>1917</v>
      </c>
      <c r="F660" s="30" t="s">
        <v>2703</v>
      </c>
      <c r="G660" s="26" t="s">
        <v>145</v>
      </c>
      <c r="H660" s="24" t="s">
        <v>146</v>
      </c>
      <c r="I660" s="109">
        <v>2</v>
      </c>
      <c r="J660" s="109" t="s">
        <v>1918</v>
      </c>
      <c r="K660" s="109">
        <v>108</v>
      </c>
      <c r="L660" s="109" t="s">
        <v>1919</v>
      </c>
      <c r="M660" s="109" t="s">
        <v>1904</v>
      </c>
      <c r="N660" s="109" t="s">
        <v>529</v>
      </c>
      <c r="O660" s="109" t="s">
        <v>1920</v>
      </c>
      <c r="P660" s="109" t="s">
        <v>1921</v>
      </c>
      <c r="Q660" s="102">
        <v>0</v>
      </c>
      <c r="R660" s="109" t="s">
        <v>1907</v>
      </c>
      <c r="S660" s="109" t="s">
        <v>1922</v>
      </c>
      <c r="T660" s="25"/>
      <c r="U660" s="111" t="s">
        <v>1923</v>
      </c>
      <c r="V660" s="111" t="s">
        <v>1923</v>
      </c>
      <c r="W660" s="112" t="s">
        <v>2199</v>
      </c>
      <c r="X660" s="112" t="s">
        <v>1906</v>
      </c>
      <c r="Y660" s="112" t="s">
        <v>2199</v>
      </c>
      <c r="Z660" s="112" t="s">
        <v>1906</v>
      </c>
      <c r="AA660" s="112" t="s">
        <v>2199</v>
      </c>
      <c r="AB660" s="112" t="s">
        <v>1906</v>
      </c>
      <c r="AC660" s="112">
        <v>244.31</v>
      </c>
      <c r="AD660" s="112" t="s">
        <v>1906</v>
      </c>
      <c r="AE660" s="112">
        <v>78.81</v>
      </c>
      <c r="AF660" s="112" t="s">
        <v>1906</v>
      </c>
      <c r="AG660" s="112">
        <v>0</v>
      </c>
      <c r="AH660" s="112"/>
      <c r="AI660" s="112">
        <v>0</v>
      </c>
      <c r="AJ660" s="112"/>
      <c r="AK660" s="112">
        <v>0</v>
      </c>
      <c r="AL660" s="112"/>
      <c r="AM660" s="112">
        <v>56.08</v>
      </c>
      <c r="AN660" s="112" t="s">
        <v>1906</v>
      </c>
      <c r="AO660" s="112">
        <v>240.33</v>
      </c>
      <c r="AP660" s="112" t="s">
        <v>1906</v>
      </c>
      <c r="AQ660" s="112">
        <v>240.33</v>
      </c>
      <c r="AR660" s="112" t="s">
        <v>1906</v>
      </c>
      <c r="AS660" s="112">
        <v>240.33</v>
      </c>
      <c r="AT660" s="112" t="s">
        <v>1906</v>
      </c>
      <c r="AU660" s="112">
        <f t="shared" si="24"/>
        <v>1833.1199999999997</v>
      </c>
      <c r="AV660" s="111">
        <v>0.68445999999999996</v>
      </c>
      <c r="AW660" s="111" t="s">
        <v>1904</v>
      </c>
      <c r="AX660" s="25"/>
      <c r="AY660" s="25"/>
      <c r="AZ660" s="25"/>
    </row>
    <row r="661" spans="1:52" ht="31.2" x14ac:dyDescent="0.3">
      <c r="A661" s="103">
        <v>651</v>
      </c>
      <c r="B661" s="109" t="s">
        <v>1417</v>
      </c>
      <c r="C661" s="30" t="s">
        <v>1899</v>
      </c>
      <c r="D661" s="110" t="s">
        <v>1900</v>
      </c>
      <c r="E661" s="110" t="s">
        <v>1917</v>
      </c>
      <c r="F661" s="30" t="s">
        <v>2703</v>
      </c>
      <c r="G661" s="26" t="s">
        <v>145</v>
      </c>
      <c r="H661" s="24" t="s">
        <v>146</v>
      </c>
      <c r="I661" s="109">
        <v>1</v>
      </c>
      <c r="J661" s="109" t="s">
        <v>1918</v>
      </c>
      <c r="K661" s="109">
        <v>89</v>
      </c>
      <c r="L661" s="109" t="s">
        <v>1919</v>
      </c>
      <c r="M661" s="109" t="s">
        <v>1904</v>
      </c>
      <c r="N661" s="109" t="s">
        <v>529</v>
      </c>
      <c r="O661" s="109" t="s">
        <v>1920</v>
      </c>
      <c r="P661" s="109" t="s">
        <v>1921</v>
      </c>
      <c r="Q661" s="102">
        <v>0</v>
      </c>
      <c r="R661" s="109" t="s">
        <v>1907</v>
      </c>
      <c r="S661" s="109" t="s">
        <v>1922</v>
      </c>
      <c r="T661" s="25"/>
      <c r="U661" s="111" t="s">
        <v>1923</v>
      </c>
      <c r="V661" s="111" t="s">
        <v>1923</v>
      </c>
      <c r="W661" s="112" t="s">
        <v>2200</v>
      </c>
      <c r="X661" s="112" t="s">
        <v>1906</v>
      </c>
      <c r="Y661" s="112" t="s">
        <v>2200</v>
      </c>
      <c r="Z661" s="112" t="s">
        <v>1906</v>
      </c>
      <c r="AA661" s="112" t="s">
        <v>2200</v>
      </c>
      <c r="AB661" s="112" t="s">
        <v>1906</v>
      </c>
      <c r="AC661" s="112">
        <v>60.02</v>
      </c>
      <c r="AD661" s="112" t="s">
        <v>1906</v>
      </c>
      <c r="AE661" s="112">
        <v>19.36</v>
      </c>
      <c r="AF661" s="112" t="s">
        <v>1906</v>
      </c>
      <c r="AG661" s="112">
        <v>0</v>
      </c>
      <c r="AH661" s="112"/>
      <c r="AI661" s="112">
        <v>0</v>
      </c>
      <c r="AJ661" s="112"/>
      <c r="AK661" s="112">
        <v>0</v>
      </c>
      <c r="AL661" s="112"/>
      <c r="AM661" s="112">
        <v>13.38</v>
      </c>
      <c r="AN661" s="112" t="s">
        <v>1906</v>
      </c>
      <c r="AO661" s="112">
        <v>57.36</v>
      </c>
      <c r="AP661" s="112" t="s">
        <v>1906</v>
      </c>
      <c r="AQ661" s="112">
        <v>57.36</v>
      </c>
      <c r="AR661" s="112" t="s">
        <v>1906</v>
      </c>
      <c r="AS661" s="112">
        <v>57.36</v>
      </c>
      <c r="AT661" s="112" t="s">
        <v>1906</v>
      </c>
      <c r="AU661" s="112">
        <f t="shared" si="24"/>
        <v>444.90000000000003</v>
      </c>
      <c r="AV661" s="111">
        <v>0.26496999999999998</v>
      </c>
      <c r="AW661" s="111" t="s">
        <v>1904</v>
      </c>
      <c r="AX661" s="25"/>
      <c r="AY661" s="25"/>
      <c r="AZ661" s="25"/>
    </row>
    <row r="662" spans="1:52" ht="31.2" x14ac:dyDescent="0.3">
      <c r="A662" s="103">
        <v>652</v>
      </c>
      <c r="B662" s="109" t="s">
        <v>1418</v>
      </c>
      <c r="C662" s="30" t="s">
        <v>1899</v>
      </c>
      <c r="D662" s="110" t="s">
        <v>1900</v>
      </c>
      <c r="E662" s="110" t="s">
        <v>1917</v>
      </c>
      <c r="F662" s="30" t="s">
        <v>2703</v>
      </c>
      <c r="G662" s="26" t="s">
        <v>145</v>
      </c>
      <c r="H662" s="24" t="s">
        <v>146</v>
      </c>
      <c r="I662" s="109">
        <v>1</v>
      </c>
      <c r="J662" s="109" t="s">
        <v>1918</v>
      </c>
      <c r="K662" s="109">
        <v>89</v>
      </c>
      <c r="L662" s="109" t="s">
        <v>1919</v>
      </c>
      <c r="M662" s="109" t="s">
        <v>1904</v>
      </c>
      <c r="N662" s="109" t="s">
        <v>529</v>
      </c>
      <c r="O662" s="109" t="s">
        <v>1920</v>
      </c>
      <c r="P662" s="109" t="s">
        <v>1921</v>
      </c>
      <c r="Q662" s="102">
        <v>0</v>
      </c>
      <c r="R662" s="109" t="s">
        <v>1907</v>
      </c>
      <c r="S662" s="109" t="s">
        <v>1922</v>
      </c>
      <c r="T662" s="25"/>
      <c r="U662" s="111" t="s">
        <v>1923</v>
      </c>
      <c r="V662" s="111" t="s">
        <v>1923</v>
      </c>
      <c r="W662" s="112" t="s">
        <v>2201</v>
      </c>
      <c r="X662" s="112" t="s">
        <v>208</v>
      </c>
      <c r="Y662" s="112" t="s">
        <v>2202</v>
      </c>
      <c r="Z662" s="112" t="s">
        <v>208</v>
      </c>
      <c r="AA662" s="112" t="s">
        <v>2203</v>
      </c>
      <c r="AB662" s="112" t="s">
        <v>208</v>
      </c>
      <c r="AC662" s="112">
        <v>70.790000000000006</v>
      </c>
      <c r="AD662" s="112" t="s">
        <v>208</v>
      </c>
      <c r="AE662" s="112">
        <v>36.020000000000003</v>
      </c>
      <c r="AF662" s="112" t="s">
        <v>208</v>
      </c>
      <c r="AG662" s="112">
        <v>0</v>
      </c>
      <c r="AH662" s="112"/>
      <c r="AI662" s="112">
        <v>0</v>
      </c>
      <c r="AJ662" s="112"/>
      <c r="AK662" s="112">
        <v>0</v>
      </c>
      <c r="AL662" s="112"/>
      <c r="AM662" s="112">
        <v>0</v>
      </c>
      <c r="AN662" s="112"/>
      <c r="AO662" s="112">
        <v>63.64</v>
      </c>
      <c r="AP662" s="112" t="s">
        <v>208</v>
      </c>
      <c r="AQ662" s="112">
        <v>72.849999999999994</v>
      </c>
      <c r="AR662" s="112" t="s">
        <v>208</v>
      </c>
      <c r="AS662" s="112">
        <v>105.84</v>
      </c>
      <c r="AT662" s="112" t="s">
        <v>208</v>
      </c>
      <c r="AU662" s="112">
        <f t="shared" si="24"/>
        <v>798.64</v>
      </c>
      <c r="AV662" s="111">
        <v>0.32979999999999998</v>
      </c>
      <c r="AW662" s="111" t="s">
        <v>1904</v>
      </c>
      <c r="AX662" s="25"/>
      <c r="AY662" s="25"/>
      <c r="AZ662" s="25"/>
    </row>
    <row r="663" spans="1:52" ht="31.2" x14ac:dyDescent="0.3">
      <c r="A663" s="103">
        <v>653</v>
      </c>
      <c r="B663" s="109" t="s">
        <v>1420</v>
      </c>
      <c r="C663" s="30" t="s">
        <v>1899</v>
      </c>
      <c r="D663" s="110" t="s">
        <v>1900</v>
      </c>
      <c r="E663" s="110" t="s">
        <v>1917</v>
      </c>
      <c r="F663" s="30" t="s">
        <v>2703</v>
      </c>
      <c r="G663" s="26" t="s">
        <v>145</v>
      </c>
      <c r="H663" s="24" t="s">
        <v>146</v>
      </c>
      <c r="I663" s="109">
        <v>1</v>
      </c>
      <c r="J663" s="109" t="s">
        <v>1918</v>
      </c>
      <c r="K663" s="109">
        <v>40</v>
      </c>
      <c r="L663" s="109" t="s">
        <v>1919</v>
      </c>
      <c r="M663" s="109" t="s">
        <v>1904</v>
      </c>
      <c r="N663" s="109" t="s">
        <v>529</v>
      </c>
      <c r="O663" s="109" t="s">
        <v>1920</v>
      </c>
      <c r="P663" s="109" t="s">
        <v>1921</v>
      </c>
      <c r="Q663" s="102">
        <v>0</v>
      </c>
      <c r="R663" s="109" t="s">
        <v>1907</v>
      </c>
      <c r="S663" s="109" t="s">
        <v>1922</v>
      </c>
      <c r="T663" s="25"/>
      <c r="U663" s="111" t="s">
        <v>1923</v>
      </c>
      <c r="V663" s="111" t="s">
        <v>1923</v>
      </c>
      <c r="W663" s="112" t="s">
        <v>2204</v>
      </c>
      <c r="X663" s="112" t="s">
        <v>1906</v>
      </c>
      <c r="Y663" s="112" t="s">
        <v>2204</v>
      </c>
      <c r="Z663" s="112" t="s">
        <v>1906</v>
      </c>
      <c r="AA663" s="112" t="s">
        <v>2204</v>
      </c>
      <c r="AB663" s="112" t="s">
        <v>1906</v>
      </c>
      <c r="AC663" s="112">
        <v>17.36</v>
      </c>
      <c r="AD663" s="112" t="s">
        <v>1906</v>
      </c>
      <c r="AE663" s="112">
        <v>5.6</v>
      </c>
      <c r="AF663" s="112" t="s">
        <v>1906</v>
      </c>
      <c r="AG663" s="112">
        <v>0</v>
      </c>
      <c r="AH663" s="112"/>
      <c r="AI663" s="112">
        <v>0</v>
      </c>
      <c r="AJ663" s="112"/>
      <c r="AK663" s="112">
        <v>0</v>
      </c>
      <c r="AL663" s="112"/>
      <c r="AM663" s="112">
        <v>0</v>
      </c>
      <c r="AN663" s="112"/>
      <c r="AO663" s="112">
        <v>17.190000000000001</v>
      </c>
      <c r="AP663" s="112" t="s">
        <v>1906</v>
      </c>
      <c r="AQ663" s="112">
        <v>17.190000000000001</v>
      </c>
      <c r="AR663" s="112" t="s">
        <v>1906</v>
      </c>
      <c r="AS663" s="112">
        <v>17.190000000000001</v>
      </c>
      <c r="AT663" s="112" t="s">
        <v>1906</v>
      </c>
      <c r="AU663" s="112">
        <f t="shared" si="24"/>
        <v>126.60999999999999</v>
      </c>
      <c r="AV663" s="111">
        <v>9.6350000000000005E-2</v>
      </c>
      <c r="AW663" s="111" t="s">
        <v>1904</v>
      </c>
      <c r="AX663" s="25"/>
      <c r="AY663" s="25"/>
      <c r="AZ663" s="25"/>
    </row>
    <row r="664" spans="1:52" ht="31.2" x14ac:dyDescent="0.3">
      <c r="A664" s="103">
        <v>654</v>
      </c>
      <c r="B664" s="109" t="s">
        <v>1421</v>
      </c>
      <c r="C664" s="30" t="s">
        <v>1899</v>
      </c>
      <c r="D664" s="110" t="s">
        <v>1900</v>
      </c>
      <c r="E664" s="110" t="s">
        <v>1917</v>
      </c>
      <c r="F664" s="30" t="s">
        <v>2703</v>
      </c>
      <c r="G664" s="26" t="s">
        <v>145</v>
      </c>
      <c r="H664" s="24" t="s">
        <v>146</v>
      </c>
      <c r="I664" s="109">
        <v>1</v>
      </c>
      <c r="J664" s="109" t="s">
        <v>1918</v>
      </c>
      <c r="K664" s="109">
        <v>40</v>
      </c>
      <c r="L664" s="109" t="s">
        <v>1919</v>
      </c>
      <c r="M664" s="109" t="s">
        <v>1904</v>
      </c>
      <c r="N664" s="109" t="s">
        <v>529</v>
      </c>
      <c r="O664" s="109" t="s">
        <v>1920</v>
      </c>
      <c r="P664" s="109" t="s">
        <v>1921</v>
      </c>
      <c r="Q664" s="102">
        <v>0</v>
      </c>
      <c r="R664" s="109" t="s">
        <v>1907</v>
      </c>
      <c r="S664" s="109" t="s">
        <v>1922</v>
      </c>
      <c r="T664" s="25"/>
      <c r="U664" s="111" t="s">
        <v>1923</v>
      </c>
      <c r="V664" s="111" t="s">
        <v>1923</v>
      </c>
      <c r="W664" s="112" t="s">
        <v>2204</v>
      </c>
      <c r="X664" s="112" t="s">
        <v>1906</v>
      </c>
      <c r="Y664" s="112" t="s">
        <v>2204</v>
      </c>
      <c r="Z664" s="112" t="s">
        <v>1906</v>
      </c>
      <c r="AA664" s="112" t="s">
        <v>2204</v>
      </c>
      <c r="AB664" s="112" t="s">
        <v>1906</v>
      </c>
      <c r="AC664" s="112">
        <v>17.36</v>
      </c>
      <c r="AD664" s="112" t="s">
        <v>1906</v>
      </c>
      <c r="AE664" s="112">
        <v>5.6</v>
      </c>
      <c r="AF664" s="112" t="s">
        <v>1906</v>
      </c>
      <c r="AG664" s="112">
        <v>0</v>
      </c>
      <c r="AH664" s="112"/>
      <c r="AI664" s="112">
        <v>0</v>
      </c>
      <c r="AJ664" s="112"/>
      <c r="AK664" s="112">
        <v>0</v>
      </c>
      <c r="AL664" s="112"/>
      <c r="AM664" s="112">
        <v>0</v>
      </c>
      <c r="AN664" s="112"/>
      <c r="AO664" s="112">
        <v>17.190000000000001</v>
      </c>
      <c r="AP664" s="112" t="s">
        <v>1906</v>
      </c>
      <c r="AQ664" s="112">
        <v>17.190000000000001</v>
      </c>
      <c r="AR664" s="112" t="s">
        <v>1906</v>
      </c>
      <c r="AS664" s="112">
        <v>17.190000000000001</v>
      </c>
      <c r="AT664" s="112" t="s">
        <v>1906</v>
      </c>
      <c r="AU664" s="112">
        <f t="shared" si="24"/>
        <v>126.60999999999999</v>
      </c>
      <c r="AV664" s="111">
        <v>9.6350000000000005E-2</v>
      </c>
      <c r="AW664" s="111" t="s">
        <v>1904</v>
      </c>
      <c r="AX664" s="25"/>
      <c r="AY664" s="25"/>
      <c r="AZ664" s="25"/>
    </row>
    <row r="665" spans="1:52" ht="31.2" x14ac:dyDescent="0.3">
      <c r="A665" s="103">
        <v>655</v>
      </c>
      <c r="B665" s="109" t="s">
        <v>1422</v>
      </c>
      <c r="C665" s="30" t="s">
        <v>1899</v>
      </c>
      <c r="D665" s="110" t="s">
        <v>1900</v>
      </c>
      <c r="E665" s="110" t="s">
        <v>1917</v>
      </c>
      <c r="F665" s="30" t="s">
        <v>2703</v>
      </c>
      <c r="G665" s="26" t="s">
        <v>145</v>
      </c>
      <c r="H665" s="24" t="s">
        <v>146</v>
      </c>
      <c r="I665" s="109">
        <v>1</v>
      </c>
      <c r="J665" s="109" t="s">
        <v>1918</v>
      </c>
      <c r="K665" s="109">
        <v>76</v>
      </c>
      <c r="L665" s="109" t="s">
        <v>1919</v>
      </c>
      <c r="M665" s="109" t="s">
        <v>1904</v>
      </c>
      <c r="N665" s="109" t="s">
        <v>529</v>
      </c>
      <c r="O665" s="109" t="s">
        <v>1920</v>
      </c>
      <c r="P665" s="109" t="s">
        <v>1921</v>
      </c>
      <c r="Q665" s="102">
        <v>0</v>
      </c>
      <c r="R665" s="109" t="s">
        <v>1907</v>
      </c>
      <c r="S665" s="109" t="s">
        <v>1922</v>
      </c>
      <c r="T665" s="25"/>
      <c r="U665" s="111" t="s">
        <v>1923</v>
      </c>
      <c r="V665" s="111" t="s">
        <v>1923</v>
      </c>
      <c r="W665" s="112" t="s">
        <v>2205</v>
      </c>
      <c r="X665" s="112" t="s">
        <v>1906</v>
      </c>
      <c r="Y665" s="112" t="s">
        <v>2205</v>
      </c>
      <c r="Z665" s="112" t="s">
        <v>1906</v>
      </c>
      <c r="AA665" s="112" t="s">
        <v>2205</v>
      </c>
      <c r="AB665" s="112" t="s">
        <v>1906</v>
      </c>
      <c r="AC665" s="112">
        <v>36.11</v>
      </c>
      <c r="AD665" s="112" t="s">
        <v>1906</v>
      </c>
      <c r="AE665" s="112">
        <v>11.65</v>
      </c>
      <c r="AF665" s="112" t="s">
        <v>1906</v>
      </c>
      <c r="AG665" s="112">
        <v>0</v>
      </c>
      <c r="AH665" s="112"/>
      <c r="AI665" s="112">
        <v>0</v>
      </c>
      <c r="AJ665" s="112"/>
      <c r="AK665" s="112">
        <v>0</v>
      </c>
      <c r="AL665" s="112"/>
      <c r="AM665" s="112">
        <v>0</v>
      </c>
      <c r="AN665" s="112"/>
      <c r="AO665" s="112">
        <v>34.909999999999997</v>
      </c>
      <c r="AP665" s="112" t="s">
        <v>1906</v>
      </c>
      <c r="AQ665" s="112">
        <v>34.909999999999997</v>
      </c>
      <c r="AR665" s="112" t="s">
        <v>1906</v>
      </c>
      <c r="AS665" s="112">
        <v>34.909999999999997</v>
      </c>
      <c r="AT665" s="112" t="s">
        <v>1906</v>
      </c>
      <c r="AU665" s="112">
        <f t="shared" si="24"/>
        <v>260.82</v>
      </c>
      <c r="AV665" s="111">
        <v>0.13013</v>
      </c>
      <c r="AW665" s="111" t="s">
        <v>1904</v>
      </c>
      <c r="AX665" s="25"/>
      <c r="AY665" s="25"/>
      <c r="AZ665" s="25"/>
    </row>
    <row r="666" spans="1:52" ht="31.2" x14ac:dyDescent="0.3">
      <c r="A666" s="103">
        <v>656</v>
      </c>
      <c r="B666" s="109" t="s">
        <v>1423</v>
      </c>
      <c r="C666" s="30" t="s">
        <v>1899</v>
      </c>
      <c r="D666" s="110" t="s">
        <v>1900</v>
      </c>
      <c r="E666" s="110" t="s">
        <v>1917</v>
      </c>
      <c r="F666" s="30" t="s">
        <v>2703</v>
      </c>
      <c r="G666" s="26" t="s">
        <v>145</v>
      </c>
      <c r="H666" s="24" t="s">
        <v>146</v>
      </c>
      <c r="I666" s="109">
        <v>1</v>
      </c>
      <c r="J666" s="109" t="s">
        <v>1918</v>
      </c>
      <c r="K666" s="109">
        <v>76</v>
      </c>
      <c r="L666" s="109" t="s">
        <v>1919</v>
      </c>
      <c r="M666" s="109" t="s">
        <v>1904</v>
      </c>
      <c r="N666" s="109" t="s">
        <v>529</v>
      </c>
      <c r="O666" s="109" t="s">
        <v>1920</v>
      </c>
      <c r="P666" s="109" t="s">
        <v>1921</v>
      </c>
      <c r="Q666" s="102">
        <v>0</v>
      </c>
      <c r="R666" s="109" t="s">
        <v>1907</v>
      </c>
      <c r="S666" s="109" t="s">
        <v>1922</v>
      </c>
      <c r="T666" s="25"/>
      <c r="U666" s="111" t="s">
        <v>1923</v>
      </c>
      <c r="V666" s="111" t="s">
        <v>1923</v>
      </c>
      <c r="W666" s="112" t="s">
        <v>2206</v>
      </c>
      <c r="X666" s="112" t="s">
        <v>1906</v>
      </c>
      <c r="Y666" s="112" t="s">
        <v>2206</v>
      </c>
      <c r="Z666" s="112" t="s">
        <v>1906</v>
      </c>
      <c r="AA666" s="112" t="s">
        <v>2206</v>
      </c>
      <c r="AB666" s="112" t="s">
        <v>1906</v>
      </c>
      <c r="AC666" s="112">
        <v>79.59</v>
      </c>
      <c r="AD666" s="112" t="s">
        <v>1906</v>
      </c>
      <c r="AE666" s="112">
        <v>25.67</v>
      </c>
      <c r="AF666" s="112" t="s">
        <v>1906</v>
      </c>
      <c r="AG666" s="112">
        <v>0</v>
      </c>
      <c r="AH666" s="112"/>
      <c r="AI666" s="112">
        <v>0</v>
      </c>
      <c r="AJ666" s="112"/>
      <c r="AK666" s="112">
        <v>0</v>
      </c>
      <c r="AL666" s="112"/>
      <c r="AM666" s="112">
        <v>0</v>
      </c>
      <c r="AN666" s="112"/>
      <c r="AO666" s="112">
        <v>75.989999999999995</v>
      </c>
      <c r="AP666" s="112" t="s">
        <v>1906</v>
      </c>
      <c r="AQ666" s="112">
        <v>75.989999999999995</v>
      </c>
      <c r="AR666" s="112" t="s">
        <v>1906</v>
      </c>
      <c r="AS666" s="112">
        <v>75.989999999999995</v>
      </c>
      <c r="AT666" s="112" t="s">
        <v>1906</v>
      </c>
      <c r="AU666" s="112">
        <f t="shared" si="24"/>
        <v>572</v>
      </c>
      <c r="AV666" s="111">
        <v>0.23382</v>
      </c>
      <c r="AW666" s="111" t="s">
        <v>1904</v>
      </c>
      <c r="AX666" s="25"/>
      <c r="AY666" s="25"/>
      <c r="AZ666" s="25"/>
    </row>
    <row r="667" spans="1:52" ht="31.2" x14ac:dyDescent="0.3">
      <c r="A667" s="103">
        <v>657</v>
      </c>
      <c r="B667" s="109" t="s">
        <v>1424</v>
      </c>
      <c r="C667" s="30" t="s">
        <v>1899</v>
      </c>
      <c r="D667" s="110" t="s">
        <v>1900</v>
      </c>
      <c r="E667" s="110" t="s">
        <v>1917</v>
      </c>
      <c r="F667" s="30" t="s">
        <v>2703</v>
      </c>
      <c r="G667" s="26" t="s">
        <v>145</v>
      </c>
      <c r="H667" s="24" t="s">
        <v>146</v>
      </c>
      <c r="I667" s="109">
        <v>1</v>
      </c>
      <c r="J667" s="109" t="s">
        <v>1918</v>
      </c>
      <c r="K667" s="109">
        <v>89</v>
      </c>
      <c r="L667" s="109" t="s">
        <v>1919</v>
      </c>
      <c r="M667" s="109" t="s">
        <v>1904</v>
      </c>
      <c r="N667" s="109" t="s">
        <v>529</v>
      </c>
      <c r="O667" s="109" t="s">
        <v>1920</v>
      </c>
      <c r="P667" s="109" t="s">
        <v>1921</v>
      </c>
      <c r="Q667" s="102">
        <v>0</v>
      </c>
      <c r="R667" s="109" t="s">
        <v>1907</v>
      </c>
      <c r="S667" s="109" t="s">
        <v>1922</v>
      </c>
      <c r="T667" s="25"/>
      <c r="U667" s="111" t="s">
        <v>1923</v>
      </c>
      <c r="V667" s="111" t="s">
        <v>1923</v>
      </c>
      <c r="W667" s="112" t="s">
        <v>2207</v>
      </c>
      <c r="X667" s="112" t="s">
        <v>1906</v>
      </c>
      <c r="Y667" s="112" t="s">
        <v>2208</v>
      </c>
      <c r="Z667" s="112" t="s">
        <v>1906</v>
      </c>
      <c r="AA667" s="112" t="s">
        <v>2208</v>
      </c>
      <c r="AB667" s="112" t="s">
        <v>1906</v>
      </c>
      <c r="AC667" s="112">
        <v>58.78</v>
      </c>
      <c r="AD667" s="112" t="s">
        <v>1906</v>
      </c>
      <c r="AE667" s="112">
        <v>18.96</v>
      </c>
      <c r="AF667" s="112" t="s">
        <v>1906</v>
      </c>
      <c r="AG667" s="112">
        <v>0</v>
      </c>
      <c r="AH667" s="112"/>
      <c r="AI667" s="112">
        <v>0</v>
      </c>
      <c r="AJ667" s="112"/>
      <c r="AK667" s="112">
        <v>0</v>
      </c>
      <c r="AL667" s="112"/>
      <c r="AM667" s="112">
        <v>13.34</v>
      </c>
      <c r="AN667" s="112" t="s">
        <v>1906</v>
      </c>
      <c r="AO667" s="112">
        <v>59.02</v>
      </c>
      <c r="AP667" s="112" t="s">
        <v>1906</v>
      </c>
      <c r="AQ667" s="112">
        <v>57.17</v>
      </c>
      <c r="AR667" s="112" t="s">
        <v>1906</v>
      </c>
      <c r="AS667" s="112">
        <v>57.17</v>
      </c>
      <c r="AT667" s="112" t="s">
        <v>1906</v>
      </c>
      <c r="AU667" s="112">
        <f t="shared" si="24"/>
        <v>440.84000000000003</v>
      </c>
      <c r="AV667" s="111">
        <v>0.20937</v>
      </c>
      <c r="AW667" s="111" t="s">
        <v>1904</v>
      </c>
      <c r="AX667" s="25"/>
      <c r="AY667" s="25"/>
      <c r="AZ667" s="25"/>
    </row>
    <row r="668" spans="1:52" ht="31.2" x14ac:dyDescent="0.3">
      <c r="A668" s="103">
        <v>658</v>
      </c>
      <c r="B668" s="109" t="s">
        <v>1425</v>
      </c>
      <c r="C668" s="30" t="s">
        <v>1899</v>
      </c>
      <c r="D668" s="110" t="s">
        <v>1900</v>
      </c>
      <c r="E668" s="110" t="s">
        <v>1917</v>
      </c>
      <c r="F668" s="30" t="s">
        <v>2703</v>
      </c>
      <c r="G668" s="26" t="s">
        <v>145</v>
      </c>
      <c r="H668" s="24" t="s">
        <v>146</v>
      </c>
      <c r="I668" s="109">
        <v>1</v>
      </c>
      <c r="J668" s="109" t="s">
        <v>1918</v>
      </c>
      <c r="K668" s="109">
        <v>89</v>
      </c>
      <c r="L668" s="109" t="s">
        <v>1919</v>
      </c>
      <c r="M668" s="109" t="s">
        <v>1904</v>
      </c>
      <c r="N668" s="109" t="s">
        <v>529</v>
      </c>
      <c r="O668" s="109" t="s">
        <v>1920</v>
      </c>
      <c r="P668" s="109" t="s">
        <v>1921</v>
      </c>
      <c r="Q668" s="102">
        <v>0</v>
      </c>
      <c r="R668" s="109" t="s">
        <v>1907</v>
      </c>
      <c r="S668" s="109" t="s">
        <v>1922</v>
      </c>
      <c r="T668" s="25"/>
      <c r="U668" s="111" t="s">
        <v>1923</v>
      </c>
      <c r="V668" s="111" t="s">
        <v>1923</v>
      </c>
      <c r="W668" s="112" t="s">
        <v>2209</v>
      </c>
      <c r="X668" s="112" t="s">
        <v>1906</v>
      </c>
      <c r="Y668" s="112" t="s">
        <v>2210</v>
      </c>
      <c r="Z668" s="112" t="s">
        <v>1906</v>
      </c>
      <c r="AA668" s="112" t="s">
        <v>2211</v>
      </c>
      <c r="AB668" s="112" t="s">
        <v>1906</v>
      </c>
      <c r="AC668" s="112">
        <v>48.58</v>
      </c>
      <c r="AD668" s="112" t="s">
        <v>1906</v>
      </c>
      <c r="AE668" s="112">
        <v>23.4</v>
      </c>
      <c r="AF668" s="112" t="s">
        <v>1906</v>
      </c>
      <c r="AG668" s="112">
        <v>0</v>
      </c>
      <c r="AH668" s="112"/>
      <c r="AI668" s="112">
        <v>0</v>
      </c>
      <c r="AJ668" s="112"/>
      <c r="AK668" s="112">
        <v>0</v>
      </c>
      <c r="AL668" s="112"/>
      <c r="AM668" s="112">
        <v>0</v>
      </c>
      <c r="AN668" s="112"/>
      <c r="AO668" s="112">
        <v>49.53</v>
      </c>
      <c r="AP668" s="112" t="s">
        <v>208</v>
      </c>
      <c r="AQ668" s="112">
        <v>52.81</v>
      </c>
      <c r="AR668" s="112" t="s">
        <v>208</v>
      </c>
      <c r="AS668" s="112">
        <v>80.19</v>
      </c>
      <c r="AT668" s="112" t="s">
        <v>208</v>
      </c>
      <c r="AU668" s="112">
        <f t="shared" si="24"/>
        <v>537.81999999999994</v>
      </c>
      <c r="AV668" s="111">
        <v>0.28569</v>
      </c>
      <c r="AW668" s="111" t="s">
        <v>1904</v>
      </c>
      <c r="AX668" s="25"/>
      <c r="AY668" s="25"/>
      <c r="AZ668" s="25"/>
    </row>
    <row r="669" spans="1:52" ht="31.2" x14ac:dyDescent="0.3">
      <c r="A669" s="103">
        <v>659</v>
      </c>
      <c r="B669" s="109" t="s">
        <v>1426</v>
      </c>
      <c r="C669" s="30" t="s">
        <v>1899</v>
      </c>
      <c r="D669" s="110" t="s">
        <v>1900</v>
      </c>
      <c r="E669" s="110" t="s">
        <v>1917</v>
      </c>
      <c r="F669" s="30" t="s">
        <v>2703</v>
      </c>
      <c r="G669" s="26" t="s">
        <v>145</v>
      </c>
      <c r="H669" s="24" t="s">
        <v>146</v>
      </c>
      <c r="I669" s="109">
        <v>1</v>
      </c>
      <c r="J669" s="109" t="s">
        <v>1918</v>
      </c>
      <c r="K669" s="109">
        <v>89</v>
      </c>
      <c r="L669" s="109" t="s">
        <v>1919</v>
      </c>
      <c r="M669" s="109" t="s">
        <v>1904</v>
      </c>
      <c r="N669" s="109" t="s">
        <v>529</v>
      </c>
      <c r="O669" s="109" t="s">
        <v>1920</v>
      </c>
      <c r="P669" s="109" t="s">
        <v>1921</v>
      </c>
      <c r="Q669" s="102">
        <v>0</v>
      </c>
      <c r="R669" s="109" t="s">
        <v>1907</v>
      </c>
      <c r="S669" s="109" t="s">
        <v>1922</v>
      </c>
      <c r="T669" s="25"/>
      <c r="U669" s="111" t="s">
        <v>1923</v>
      </c>
      <c r="V669" s="111" t="s">
        <v>1923</v>
      </c>
      <c r="W669" s="112" t="s">
        <v>2212</v>
      </c>
      <c r="X669" s="112" t="s">
        <v>208</v>
      </c>
      <c r="Y669" s="112" t="s">
        <v>2212</v>
      </c>
      <c r="Z669" s="112" t="s">
        <v>208</v>
      </c>
      <c r="AA669" s="112" t="s">
        <v>2213</v>
      </c>
      <c r="AB669" s="112" t="s">
        <v>208</v>
      </c>
      <c r="AC669" s="112">
        <v>57.99</v>
      </c>
      <c r="AD669" s="112" t="s">
        <v>208</v>
      </c>
      <c r="AE669" s="112">
        <v>27.45</v>
      </c>
      <c r="AF669" s="112" t="s">
        <v>208</v>
      </c>
      <c r="AG669" s="112">
        <v>0</v>
      </c>
      <c r="AH669" s="112"/>
      <c r="AI669" s="112">
        <v>0</v>
      </c>
      <c r="AJ669" s="112"/>
      <c r="AK669" s="112">
        <v>0</v>
      </c>
      <c r="AL669" s="112"/>
      <c r="AM669" s="112">
        <v>0</v>
      </c>
      <c r="AN669" s="112"/>
      <c r="AO669" s="112">
        <v>46.89</v>
      </c>
      <c r="AP669" s="112" t="s">
        <v>208</v>
      </c>
      <c r="AQ669" s="112">
        <v>60.99</v>
      </c>
      <c r="AR669" s="112" t="s">
        <v>208</v>
      </c>
      <c r="AS669" s="112">
        <v>91.13</v>
      </c>
      <c r="AT669" s="112" t="s">
        <v>208</v>
      </c>
      <c r="AU669" s="112">
        <f t="shared" si="24"/>
        <v>656.25</v>
      </c>
      <c r="AV669" s="111">
        <v>0.35997000000000001</v>
      </c>
      <c r="AW669" s="111" t="s">
        <v>1904</v>
      </c>
      <c r="AX669" s="25"/>
      <c r="AY669" s="25"/>
      <c r="AZ669" s="25"/>
    </row>
    <row r="670" spans="1:52" ht="31.2" x14ac:dyDescent="0.3">
      <c r="A670" s="103">
        <v>660</v>
      </c>
      <c r="B670" s="109" t="s">
        <v>1428</v>
      </c>
      <c r="C670" s="30" t="s">
        <v>1899</v>
      </c>
      <c r="D670" s="110" t="s">
        <v>1900</v>
      </c>
      <c r="E670" s="110" t="s">
        <v>1917</v>
      </c>
      <c r="F670" s="30" t="s">
        <v>2703</v>
      </c>
      <c r="G670" s="26" t="s">
        <v>145</v>
      </c>
      <c r="H670" s="24" t="s">
        <v>146</v>
      </c>
      <c r="I670" s="109">
        <v>1</v>
      </c>
      <c r="J670" s="109" t="s">
        <v>1918</v>
      </c>
      <c r="K670" s="109">
        <v>76</v>
      </c>
      <c r="L670" s="109" t="s">
        <v>1919</v>
      </c>
      <c r="M670" s="109" t="s">
        <v>1904</v>
      </c>
      <c r="N670" s="109" t="s">
        <v>529</v>
      </c>
      <c r="O670" s="109" t="s">
        <v>1920</v>
      </c>
      <c r="P670" s="109" t="s">
        <v>1921</v>
      </c>
      <c r="Q670" s="102">
        <v>0</v>
      </c>
      <c r="R670" s="109" t="s">
        <v>1907</v>
      </c>
      <c r="S670" s="109" t="s">
        <v>1922</v>
      </c>
      <c r="T670" s="25"/>
      <c r="U670" s="111" t="s">
        <v>1923</v>
      </c>
      <c r="V670" s="111" t="s">
        <v>1923</v>
      </c>
      <c r="W670" s="112" t="s">
        <v>2214</v>
      </c>
      <c r="X670" s="112" t="s">
        <v>1906</v>
      </c>
      <c r="Y670" s="112" t="s">
        <v>2215</v>
      </c>
      <c r="Z670" s="112" t="s">
        <v>1906</v>
      </c>
      <c r="AA670" s="112" t="s">
        <v>2216</v>
      </c>
      <c r="AB670" s="112" t="s">
        <v>1906</v>
      </c>
      <c r="AC670" s="112">
        <v>41.45</v>
      </c>
      <c r="AD670" s="112" t="s">
        <v>1906</v>
      </c>
      <c r="AE670" s="112">
        <v>20.059999999999999</v>
      </c>
      <c r="AF670" s="112" t="s">
        <v>1906</v>
      </c>
      <c r="AG670" s="112">
        <v>0</v>
      </c>
      <c r="AH670" s="112"/>
      <c r="AI670" s="112">
        <v>0</v>
      </c>
      <c r="AJ670" s="112"/>
      <c r="AK670" s="112">
        <v>0</v>
      </c>
      <c r="AL670" s="112"/>
      <c r="AM670" s="112">
        <v>0</v>
      </c>
      <c r="AN670" s="112"/>
      <c r="AO670" s="112">
        <v>37.979999999999997</v>
      </c>
      <c r="AP670" s="112" t="s">
        <v>208</v>
      </c>
      <c r="AQ670" s="112">
        <v>43.76</v>
      </c>
      <c r="AR670" s="112" t="s">
        <v>208</v>
      </c>
      <c r="AS670" s="112">
        <v>65.98</v>
      </c>
      <c r="AT670" s="112" t="s">
        <v>208</v>
      </c>
      <c r="AU670" s="112">
        <f t="shared" si="24"/>
        <v>481.63</v>
      </c>
      <c r="AV670" s="111">
        <v>0.23696</v>
      </c>
      <c r="AW670" s="111" t="s">
        <v>1904</v>
      </c>
      <c r="AX670" s="25"/>
      <c r="AY670" s="25"/>
      <c r="AZ670" s="25"/>
    </row>
    <row r="671" spans="1:52" ht="31.2" x14ac:dyDescent="0.3">
      <c r="A671" s="103">
        <v>661</v>
      </c>
      <c r="B671" s="109" t="s">
        <v>1430</v>
      </c>
      <c r="C671" s="30" t="s">
        <v>1899</v>
      </c>
      <c r="D671" s="110" t="s">
        <v>1900</v>
      </c>
      <c r="E671" s="110" t="s">
        <v>1917</v>
      </c>
      <c r="F671" s="30" t="s">
        <v>2703</v>
      </c>
      <c r="G671" s="26" t="s">
        <v>145</v>
      </c>
      <c r="H671" s="24" t="s">
        <v>146</v>
      </c>
      <c r="I671" s="109">
        <v>1</v>
      </c>
      <c r="J671" s="109" t="s">
        <v>1918</v>
      </c>
      <c r="K671" s="109">
        <v>100</v>
      </c>
      <c r="L671" s="109" t="s">
        <v>1919</v>
      </c>
      <c r="M671" s="109" t="s">
        <v>1904</v>
      </c>
      <c r="N671" s="109" t="s">
        <v>529</v>
      </c>
      <c r="O671" s="109" t="s">
        <v>1920</v>
      </c>
      <c r="P671" s="109" t="s">
        <v>1921</v>
      </c>
      <c r="Q671" s="102">
        <v>0</v>
      </c>
      <c r="R671" s="109" t="s">
        <v>1907</v>
      </c>
      <c r="S671" s="109" t="s">
        <v>1922</v>
      </c>
      <c r="T671" s="25"/>
      <c r="U671" s="111" t="s">
        <v>1923</v>
      </c>
      <c r="V671" s="111" t="s">
        <v>1923</v>
      </c>
      <c r="W671" s="112" t="s">
        <v>2217</v>
      </c>
      <c r="X671" s="112" t="s">
        <v>1906</v>
      </c>
      <c r="Y671" s="112" t="s">
        <v>2217</v>
      </c>
      <c r="Z671" s="112" t="s">
        <v>1906</v>
      </c>
      <c r="AA671" s="112" t="s">
        <v>2217</v>
      </c>
      <c r="AB671" s="112" t="s">
        <v>1906</v>
      </c>
      <c r="AC671" s="112">
        <v>70.97</v>
      </c>
      <c r="AD671" s="112" t="s">
        <v>1906</v>
      </c>
      <c r="AE671" s="112">
        <v>22.9</v>
      </c>
      <c r="AF671" s="112" t="s">
        <v>1906</v>
      </c>
      <c r="AG671" s="112">
        <v>0</v>
      </c>
      <c r="AH671" s="112"/>
      <c r="AI671" s="112">
        <v>0</v>
      </c>
      <c r="AJ671" s="112"/>
      <c r="AK671" s="112">
        <v>0</v>
      </c>
      <c r="AL671" s="112"/>
      <c r="AM671" s="112">
        <v>16.55</v>
      </c>
      <c r="AN671" s="112" t="s">
        <v>1906</v>
      </c>
      <c r="AO671" s="112">
        <v>70.94</v>
      </c>
      <c r="AP671" s="112" t="s">
        <v>1906</v>
      </c>
      <c r="AQ671" s="112">
        <v>70.94</v>
      </c>
      <c r="AR671" s="112" t="s">
        <v>1906</v>
      </c>
      <c r="AS671" s="112">
        <v>70.94</v>
      </c>
      <c r="AT671" s="112" t="s">
        <v>1906</v>
      </c>
      <c r="AU671" s="112">
        <f t="shared" si="24"/>
        <v>536.15</v>
      </c>
      <c r="AV671" s="111">
        <v>0.30553999999999998</v>
      </c>
      <c r="AW671" s="111" t="s">
        <v>1904</v>
      </c>
      <c r="AX671" s="25"/>
      <c r="AY671" s="25"/>
      <c r="AZ671" s="25"/>
    </row>
    <row r="672" spans="1:52" ht="31.2" x14ac:dyDescent="0.3">
      <c r="A672" s="103">
        <v>662</v>
      </c>
      <c r="B672" s="109" t="s">
        <v>1431</v>
      </c>
      <c r="C672" s="30" t="s">
        <v>1899</v>
      </c>
      <c r="D672" s="110" t="s">
        <v>1900</v>
      </c>
      <c r="E672" s="110" t="s">
        <v>1917</v>
      </c>
      <c r="F672" s="30" t="s">
        <v>2703</v>
      </c>
      <c r="G672" s="26" t="s">
        <v>145</v>
      </c>
      <c r="H672" s="24" t="s">
        <v>146</v>
      </c>
      <c r="I672" s="109">
        <v>1</v>
      </c>
      <c r="J672" s="109" t="s">
        <v>1918</v>
      </c>
      <c r="K672" s="109">
        <v>108</v>
      </c>
      <c r="L672" s="109" t="s">
        <v>1919</v>
      </c>
      <c r="M672" s="109" t="s">
        <v>1904</v>
      </c>
      <c r="N672" s="109" t="s">
        <v>529</v>
      </c>
      <c r="O672" s="109" t="s">
        <v>1920</v>
      </c>
      <c r="P672" s="109" t="s">
        <v>1921</v>
      </c>
      <c r="Q672" s="102">
        <v>0</v>
      </c>
      <c r="R672" s="109" t="s">
        <v>1907</v>
      </c>
      <c r="S672" s="109" t="s">
        <v>1922</v>
      </c>
      <c r="T672" s="25"/>
      <c r="U672" s="111" t="s">
        <v>1923</v>
      </c>
      <c r="V672" s="111" t="s">
        <v>1923</v>
      </c>
      <c r="W672" s="112" t="s">
        <v>2218</v>
      </c>
      <c r="X672" s="112" t="s">
        <v>1906</v>
      </c>
      <c r="Y672" s="112" t="s">
        <v>2218</v>
      </c>
      <c r="Z672" s="112" t="s">
        <v>1906</v>
      </c>
      <c r="AA672" s="112" t="s">
        <v>2218</v>
      </c>
      <c r="AB672" s="112" t="s">
        <v>1906</v>
      </c>
      <c r="AC672" s="112">
        <v>129.84</v>
      </c>
      <c r="AD672" s="112" t="s">
        <v>1906</v>
      </c>
      <c r="AE672" s="112">
        <v>41.88</v>
      </c>
      <c r="AF672" s="112" t="s">
        <v>1906</v>
      </c>
      <c r="AG672" s="112">
        <v>0</v>
      </c>
      <c r="AH672" s="112"/>
      <c r="AI672" s="112">
        <v>0</v>
      </c>
      <c r="AJ672" s="112"/>
      <c r="AK672" s="112">
        <v>0</v>
      </c>
      <c r="AL672" s="112"/>
      <c r="AM672" s="112">
        <v>0</v>
      </c>
      <c r="AN672" s="112"/>
      <c r="AO672" s="112">
        <v>70.459999999999994</v>
      </c>
      <c r="AP672" s="112" t="s">
        <v>208</v>
      </c>
      <c r="AQ672" s="112">
        <v>82.96</v>
      </c>
      <c r="AR672" s="112" t="s">
        <v>208</v>
      </c>
      <c r="AS672" s="112">
        <v>114.42</v>
      </c>
      <c r="AT672" s="112" t="s">
        <v>208</v>
      </c>
      <c r="AU672" s="112">
        <f t="shared" si="24"/>
        <v>829.08</v>
      </c>
      <c r="AV672" s="111">
        <v>0.46400000000000002</v>
      </c>
      <c r="AW672" s="111" t="s">
        <v>1904</v>
      </c>
      <c r="AX672" s="25"/>
      <c r="AY672" s="25"/>
      <c r="AZ672" s="25"/>
    </row>
    <row r="673" spans="1:52" ht="31.2" x14ac:dyDescent="0.3">
      <c r="A673" s="103">
        <v>663</v>
      </c>
      <c r="B673" s="109" t="s">
        <v>1433</v>
      </c>
      <c r="C673" s="30" t="s">
        <v>1899</v>
      </c>
      <c r="D673" s="110" t="s">
        <v>1900</v>
      </c>
      <c r="E673" s="110" t="s">
        <v>1917</v>
      </c>
      <c r="F673" s="30" t="s">
        <v>2703</v>
      </c>
      <c r="G673" s="26" t="s">
        <v>145</v>
      </c>
      <c r="H673" s="24" t="s">
        <v>146</v>
      </c>
      <c r="I673" s="109">
        <v>1</v>
      </c>
      <c r="J673" s="109" t="s">
        <v>1918</v>
      </c>
      <c r="K673" s="109">
        <v>89</v>
      </c>
      <c r="L673" s="109" t="s">
        <v>1919</v>
      </c>
      <c r="M673" s="109" t="s">
        <v>1904</v>
      </c>
      <c r="N673" s="109" t="s">
        <v>529</v>
      </c>
      <c r="O673" s="109" t="s">
        <v>1920</v>
      </c>
      <c r="P673" s="109" t="s">
        <v>1921</v>
      </c>
      <c r="Q673" s="102">
        <v>0</v>
      </c>
      <c r="R673" s="109" t="s">
        <v>1907</v>
      </c>
      <c r="S673" s="109" t="s">
        <v>1922</v>
      </c>
      <c r="T673" s="25"/>
      <c r="U673" s="111" t="s">
        <v>1923</v>
      </c>
      <c r="V673" s="111" t="s">
        <v>1923</v>
      </c>
      <c r="W673" s="112" t="s">
        <v>2219</v>
      </c>
      <c r="X673" s="112" t="s">
        <v>1906</v>
      </c>
      <c r="Y673" s="112" t="s">
        <v>2219</v>
      </c>
      <c r="Z673" s="112" t="s">
        <v>1906</v>
      </c>
      <c r="AA673" s="112" t="s">
        <v>2219</v>
      </c>
      <c r="AB673" s="112" t="s">
        <v>1906</v>
      </c>
      <c r="AC673" s="112">
        <v>75.260000000000005</v>
      </c>
      <c r="AD673" s="112" t="s">
        <v>1906</v>
      </c>
      <c r="AE673" s="112">
        <v>24.28</v>
      </c>
      <c r="AF673" s="112" t="s">
        <v>1906</v>
      </c>
      <c r="AG673" s="112">
        <v>0</v>
      </c>
      <c r="AH673" s="112"/>
      <c r="AI673" s="112">
        <v>0</v>
      </c>
      <c r="AJ673" s="112"/>
      <c r="AK673" s="112">
        <v>0</v>
      </c>
      <c r="AL673" s="112"/>
      <c r="AM673" s="112">
        <v>0</v>
      </c>
      <c r="AN673" s="112"/>
      <c r="AO673" s="112">
        <v>73.260000000000005</v>
      </c>
      <c r="AP673" s="112" t="s">
        <v>1906</v>
      </c>
      <c r="AQ673" s="112">
        <v>73.260000000000005</v>
      </c>
      <c r="AR673" s="112" t="s">
        <v>1906</v>
      </c>
      <c r="AS673" s="112">
        <v>73.260000000000005</v>
      </c>
      <c r="AT673" s="112" t="s">
        <v>1906</v>
      </c>
      <c r="AU673" s="112">
        <f t="shared" si="24"/>
        <v>545.1</v>
      </c>
      <c r="AV673" s="111">
        <v>0.23819000000000001</v>
      </c>
      <c r="AW673" s="111" t="s">
        <v>1904</v>
      </c>
      <c r="AX673" s="25"/>
      <c r="AY673" s="25"/>
      <c r="AZ673" s="25"/>
    </row>
    <row r="674" spans="1:52" ht="31.2" x14ac:dyDescent="0.3">
      <c r="A674" s="103">
        <v>664</v>
      </c>
      <c r="B674" s="109" t="s">
        <v>1434</v>
      </c>
      <c r="C674" s="30" t="s">
        <v>1899</v>
      </c>
      <c r="D674" s="110" t="s">
        <v>1900</v>
      </c>
      <c r="E674" s="110" t="s">
        <v>1917</v>
      </c>
      <c r="F674" s="30" t="s">
        <v>2703</v>
      </c>
      <c r="G674" s="26" t="s">
        <v>145</v>
      </c>
      <c r="H674" s="24" t="s">
        <v>146</v>
      </c>
      <c r="I674" s="109">
        <v>1</v>
      </c>
      <c r="J674" s="109" t="s">
        <v>1918</v>
      </c>
      <c r="K674" s="109">
        <v>50</v>
      </c>
      <c r="L674" s="109" t="s">
        <v>1919</v>
      </c>
      <c r="M674" s="109" t="s">
        <v>1904</v>
      </c>
      <c r="N674" s="109" t="s">
        <v>529</v>
      </c>
      <c r="O674" s="109" t="s">
        <v>1920</v>
      </c>
      <c r="P674" s="109" t="s">
        <v>1921</v>
      </c>
      <c r="Q674" s="102">
        <v>0</v>
      </c>
      <c r="R674" s="109" t="s">
        <v>1907</v>
      </c>
      <c r="S674" s="109" t="s">
        <v>1922</v>
      </c>
      <c r="T674" s="25"/>
      <c r="U674" s="111" t="s">
        <v>1923</v>
      </c>
      <c r="V674" s="111" t="s">
        <v>1923</v>
      </c>
      <c r="W674" s="112" t="s">
        <v>2220</v>
      </c>
      <c r="X674" s="112" t="s">
        <v>1906</v>
      </c>
      <c r="Y674" s="112" t="s">
        <v>2220</v>
      </c>
      <c r="Z674" s="112" t="s">
        <v>1906</v>
      </c>
      <c r="AA674" s="112" t="s">
        <v>2220</v>
      </c>
      <c r="AB674" s="112" t="s">
        <v>1906</v>
      </c>
      <c r="AC674" s="112">
        <v>41.92</v>
      </c>
      <c r="AD674" s="112" t="s">
        <v>1906</v>
      </c>
      <c r="AE674" s="112">
        <v>13.53</v>
      </c>
      <c r="AF674" s="112" t="s">
        <v>1906</v>
      </c>
      <c r="AG674" s="112">
        <v>0</v>
      </c>
      <c r="AH674" s="112"/>
      <c r="AI674" s="112">
        <v>0</v>
      </c>
      <c r="AJ674" s="112"/>
      <c r="AK674" s="112">
        <v>0</v>
      </c>
      <c r="AL674" s="112"/>
      <c r="AM674" s="112">
        <v>0</v>
      </c>
      <c r="AN674" s="112"/>
      <c r="AO674" s="112">
        <v>36.6</v>
      </c>
      <c r="AP674" s="112" t="s">
        <v>1906</v>
      </c>
      <c r="AQ674" s="112">
        <v>36.6</v>
      </c>
      <c r="AR674" s="112" t="s">
        <v>1906</v>
      </c>
      <c r="AS674" s="112">
        <v>36.6</v>
      </c>
      <c r="AT674" s="112" t="s">
        <v>1906</v>
      </c>
      <c r="AU674" s="112">
        <f t="shared" si="24"/>
        <v>291.01</v>
      </c>
      <c r="AV674" s="111">
        <v>0.16661000000000001</v>
      </c>
      <c r="AW674" s="111" t="s">
        <v>1904</v>
      </c>
      <c r="AX674" s="25"/>
      <c r="AY674" s="25"/>
      <c r="AZ674" s="25"/>
    </row>
    <row r="675" spans="1:52" ht="31.2" x14ac:dyDescent="0.3">
      <c r="A675" s="103">
        <v>665</v>
      </c>
      <c r="B675" s="109" t="s">
        <v>1435</v>
      </c>
      <c r="C675" s="30" t="s">
        <v>1899</v>
      </c>
      <c r="D675" s="110" t="s">
        <v>1900</v>
      </c>
      <c r="E675" s="110" t="s">
        <v>1917</v>
      </c>
      <c r="F675" s="30" t="s">
        <v>2703</v>
      </c>
      <c r="G675" s="26" t="s">
        <v>145</v>
      </c>
      <c r="H675" s="24" t="s">
        <v>146</v>
      </c>
      <c r="I675" s="109">
        <v>1</v>
      </c>
      <c r="J675" s="109" t="s">
        <v>1918</v>
      </c>
      <c r="K675" s="109">
        <v>76</v>
      </c>
      <c r="L675" s="109" t="s">
        <v>1919</v>
      </c>
      <c r="M675" s="109" t="s">
        <v>1904</v>
      </c>
      <c r="N675" s="109" t="s">
        <v>529</v>
      </c>
      <c r="O675" s="109" t="s">
        <v>1920</v>
      </c>
      <c r="P675" s="109" t="s">
        <v>1921</v>
      </c>
      <c r="Q675" s="102">
        <v>0</v>
      </c>
      <c r="R675" s="109" t="s">
        <v>1907</v>
      </c>
      <c r="S675" s="109" t="s">
        <v>1922</v>
      </c>
      <c r="T675" s="25"/>
      <c r="U675" s="111" t="s">
        <v>1923</v>
      </c>
      <c r="V675" s="111" t="s">
        <v>1923</v>
      </c>
      <c r="W675" s="112" t="s">
        <v>2221</v>
      </c>
      <c r="X675" s="112" t="s">
        <v>1906</v>
      </c>
      <c r="Y675" s="112" t="s">
        <v>2222</v>
      </c>
      <c r="Z675" s="112" t="s">
        <v>1906</v>
      </c>
      <c r="AA675" s="112" t="s">
        <v>2223</v>
      </c>
      <c r="AB675" s="112" t="s">
        <v>1906</v>
      </c>
      <c r="AC675" s="112">
        <v>57.16</v>
      </c>
      <c r="AD675" s="112" t="s">
        <v>1906</v>
      </c>
      <c r="AE675" s="112">
        <v>18.440000000000001</v>
      </c>
      <c r="AF675" s="112" t="s">
        <v>1906</v>
      </c>
      <c r="AG675" s="112">
        <v>0</v>
      </c>
      <c r="AH675" s="112"/>
      <c r="AI675" s="112">
        <v>0</v>
      </c>
      <c r="AJ675" s="112"/>
      <c r="AK675" s="112">
        <v>0</v>
      </c>
      <c r="AL675" s="112"/>
      <c r="AM675" s="112">
        <v>0</v>
      </c>
      <c r="AN675" s="112"/>
      <c r="AO675" s="112">
        <v>54.91</v>
      </c>
      <c r="AP675" s="112" t="s">
        <v>208</v>
      </c>
      <c r="AQ675" s="112">
        <v>54.91</v>
      </c>
      <c r="AR675" s="112" t="s">
        <v>208</v>
      </c>
      <c r="AS675" s="112">
        <v>54.91</v>
      </c>
      <c r="AT675" s="112" t="s">
        <v>208</v>
      </c>
      <c r="AU675" s="112">
        <f t="shared" si="24"/>
        <v>467.07999999999993</v>
      </c>
      <c r="AV675" s="111">
        <v>0.18467</v>
      </c>
      <c r="AW675" s="111" t="s">
        <v>1904</v>
      </c>
      <c r="AX675" s="25"/>
      <c r="AY675" s="25"/>
      <c r="AZ675" s="25"/>
    </row>
    <row r="676" spans="1:52" ht="31.2" x14ac:dyDescent="0.3">
      <c r="A676" s="103">
        <v>666</v>
      </c>
      <c r="B676" s="109" t="s">
        <v>1436</v>
      </c>
      <c r="C676" s="30" t="s">
        <v>1899</v>
      </c>
      <c r="D676" s="110" t="s">
        <v>1900</v>
      </c>
      <c r="E676" s="110" t="s">
        <v>1917</v>
      </c>
      <c r="F676" s="30" t="s">
        <v>2703</v>
      </c>
      <c r="G676" s="26" t="s">
        <v>145</v>
      </c>
      <c r="H676" s="24" t="s">
        <v>146</v>
      </c>
      <c r="I676" s="109">
        <v>1</v>
      </c>
      <c r="J676" s="109" t="s">
        <v>1918</v>
      </c>
      <c r="K676" s="109">
        <v>50</v>
      </c>
      <c r="L676" s="109" t="s">
        <v>1919</v>
      </c>
      <c r="M676" s="109" t="s">
        <v>1904</v>
      </c>
      <c r="N676" s="109" t="s">
        <v>529</v>
      </c>
      <c r="O676" s="109" t="s">
        <v>1920</v>
      </c>
      <c r="P676" s="109" t="s">
        <v>1921</v>
      </c>
      <c r="Q676" s="102">
        <v>0</v>
      </c>
      <c r="R676" s="109" t="s">
        <v>1907</v>
      </c>
      <c r="S676" s="109" t="s">
        <v>1922</v>
      </c>
      <c r="T676" s="25"/>
      <c r="U676" s="111" t="s">
        <v>1923</v>
      </c>
      <c r="V676" s="111" t="s">
        <v>1923</v>
      </c>
      <c r="W676" s="112" t="s">
        <v>2224</v>
      </c>
      <c r="X676" s="112" t="s">
        <v>1906</v>
      </c>
      <c r="Y676" s="112" t="s">
        <v>2224</v>
      </c>
      <c r="Z676" s="112" t="s">
        <v>1906</v>
      </c>
      <c r="AA676" s="112" t="s">
        <v>2224</v>
      </c>
      <c r="AB676" s="112" t="s">
        <v>1906</v>
      </c>
      <c r="AC676" s="112">
        <v>59.28</v>
      </c>
      <c r="AD676" s="112" t="s">
        <v>1906</v>
      </c>
      <c r="AE676" s="112">
        <v>19.12</v>
      </c>
      <c r="AF676" s="112" t="s">
        <v>1906</v>
      </c>
      <c r="AG676" s="112">
        <v>0</v>
      </c>
      <c r="AH676" s="112"/>
      <c r="AI676" s="112">
        <v>0</v>
      </c>
      <c r="AJ676" s="112"/>
      <c r="AK676" s="112">
        <v>0</v>
      </c>
      <c r="AL676" s="112"/>
      <c r="AM676" s="112">
        <v>0</v>
      </c>
      <c r="AN676" s="112"/>
      <c r="AO676" s="112">
        <v>56.14</v>
      </c>
      <c r="AP676" s="112" t="s">
        <v>1906</v>
      </c>
      <c r="AQ676" s="112">
        <v>56.14</v>
      </c>
      <c r="AR676" s="112" t="s">
        <v>1906</v>
      </c>
      <c r="AS676" s="112">
        <v>56.14</v>
      </c>
      <c r="AT676" s="112" t="s">
        <v>1906</v>
      </c>
      <c r="AU676" s="112">
        <f t="shared" si="24"/>
        <v>424.65999999999997</v>
      </c>
      <c r="AV676" s="111">
        <v>0.20174</v>
      </c>
      <c r="AW676" s="111" t="s">
        <v>1904</v>
      </c>
      <c r="AX676" s="25"/>
      <c r="AY676" s="25"/>
      <c r="AZ676" s="25"/>
    </row>
    <row r="677" spans="1:52" ht="31.2" x14ac:dyDescent="0.3">
      <c r="A677" s="103">
        <v>667</v>
      </c>
      <c r="B677" s="109" t="s">
        <v>1437</v>
      </c>
      <c r="C677" s="30" t="s">
        <v>1899</v>
      </c>
      <c r="D677" s="110" t="s">
        <v>1900</v>
      </c>
      <c r="E677" s="110" t="s">
        <v>1917</v>
      </c>
      <c r="F677" s="30" t="s">
        <v>2703</v>
      </c>
      <c r="G677" s="26" t="s">
        <v>145</v>
      </c>
      <c r="H677" s="24" t="s">
        <v>146</v>
      </c>
      <c r="I677" s="109">
        <v>0</v>
      </c>
      <c r="J677" s="109" t="s">
        <v>1918</v>
      </c>
      <c r="K677" s="109">
        <v>76</v>
      </c>
      <c r="L677" s="109" t="s">
        <v>1919</v>
      </c>
      <c r="M677" s="109" t="s">
        <v>1904</v>
      </c>
      <c r="N677" s="109" t="s">
        <v>529</v>
      </c>
      <c r="O677" s="109" t="s">
        <v>1920</v>
      </c>
      <c r="P677" s="109" t="s">
        <v>1920</v>
      </c>
      <c r="Q677" s="102">
        <v>0</v>
      </c>
      <c r="R677" s="109" t="s">
        <v>1907</v>
      </c>
      <c r="S677" s="109" t="s">
        <v>1922</v>
      </c>
      <c r="T677" s="25"/>
      <c r="U677" s="111" t="s">
        <v>1923</v>
      </c>
      <c r="V677" s="111" t="s">
        <v>1923</v>
      </c>
      <c r="W677" s="112" t="s">
        <v>2225</v>
      </c>
      <c r="X677" s="112" t="s">
        <v>1906</v>
      </c>
      <c r="Y677" s="112" t="s">
        <v>2225</v>
      </c>
      <c r="Z677" s="112" t="s">
        <v>1906</v>
      </c>
      <c r="AA677" s="112" t="s">
        <v>2225</v>
      </c>
      <c r="AB677" s="112" t="s">
        <v>1906</v>
      </c>
      <c r="AC677" s="112">
        <v>44.19</v>
      </c>
      <c r="AD677" s="112" t="s">
        <v>1906</v>
      </c>
      <c r="AE677" s="112">
        <v>14.25</v>
      </c>
      <c r="AF677" s="112" t="s">
        <v>1906</v>
      </c>
      <c r="AG677" s="112">
        <v>0</v>
      </c>
      <c r="AH677" s="112"/>
      <c r="AI677" s="112">
        <v>0</v>
      </c>
      <c r="AJ677" s="112"/>
      <c r="AK677" s="112">
        <v>0</v>
      </c>
      <c r="AL677" s="112"/>
      <c r="AM677" s="112">
        <v>9.7799999999999994</v>
      </c>
      <c r="AN677" s="112" t="s">
        <v>1906</v>
      </c>
      <c r="AO677" s="112">
        <v>41.92</v>
      </c>
      <c r="AP677" s="112" t="s">
        <v>1906</v>
      </c>
      <c r="AQ677" s="112">
        <v>41.92</v>
      </c>
      <c r="AR677" s="112" t="s">
        <v>1906</v>
      </c>
      <c r="AS677" s="112">
        <v>41.92</v>
      </c>
      <c r="AT677" s="112" t="s">
        <v>1906</v>
      </c>
      <c r="AU677" s="112">
        <f t="shared" si="24"/>
        <v>326.55</v>
      </c>
      <c r="AV677" s="111">
        <v>0.16159000000000001</v>
      </c>
      <c r="AW677" s="111" t="s">
        <v>1904</v>
      </c>
      <c r="AX677" s="25"/>
      <c r="AY677" s="25"/>
      <c r="AZ677" s="25"/>
    </row>
    <row r="678" spans="1:52" ht="31.2" x14ac:dyDescent="0.3">
      <c r="A678" s="103">
        <v>668</v>
      </c>
      <c r="B678" s="109" t="s">
        <v>1439</v>
      </c>
      <c r="C678" s="30" t="s">
        <v>1899</v>
      </c>
      <c r="D678" s="110" t="s">
        <v>1900</v>
      </c>
      <c r="E678" s="110" t="s">
        <v>1917</v>
      </c>
      <c r="F678" s="30" t="s">
        <v>2703</v>
      </c>
      <c r="G678" s="26" t="s">
        <v>145</v>
      </c>
      <c r="H678" s="24" t="s">
        <v>146</v>
      </c>
      <c r="I678" s="109">
        <v>0</v>
      </c>
      <c r="J678" s="109" t="s">
        <v>1918</v>
      </c>
      <c r="K678" s="109">
        <v>76</v>
      </c>
      <c r="L678" s="109" t="s">
        <v>1919</v>
      </c>
      <c r="M678" s="109" t="s">
        <v>1904</v>
      </c>
      <c r="N678" s="109" t="s">
        <v>529</v>
      </c>
      <c r="O678" s="109" t="s">
        <v>1920</v>
      </c>
      <c r="P678" s="109" t="s">
        <v>1920</v>
      </c>
      <c r="Q678" s="102">
        <v>0</v>
      </c>
      <c r="R678" s="109" t="s">
        <v>1907</v>
      </c>
      <c r="S678" s="109" t="s">
        <v>1922</v>
      </c>
      <c r="T678" s="25"/>
      <c r="U678" s="111" t="s">
        <v>1923</v>
      </c>
      <c r="V678" s="111" t="s">
        <v>1923</v>
      </c>
      <c r="W678" s="112" t="s">
        <v>2226</v>
      </c>
      <c r="X678" s="112" t="s">
        <v>1906</v>
      </c>
      <c r="Y678" s="112" t="s">
        <v>2227</v>
      </c>
      <c r="Z678" s="112" t="s">
        <v>1906</v>
      </c>
      <c r="AA678" s="112" t="s">
        <v>2227</v>
      </c>
      <c r="AB678" s="112" t="s">
        <v>1906</v>
      </c>
      <c r="AC678" s="112">
        <v>44.08</v>
      </c>
      <c r="AD678" s="112" t="s">
        <v>1906</v>
      </c>
      <c r="AE678" s="112">
        <v>14.22</v>
      </c>
      <c r="AF678" s="112" t="s">
        <v>1906</v>
      </c>
      <c r="AG678" s="112">
        <v>0</v>
      </c>
      <c r="AH678" s="112"/>
      <c r="AI678" s="112">
        <v>0</v>
      </c>
      <c r="AJ678" s="112"/>
      <c r="AK678" s="112">
        <v>0</v>
      </c>
      <c r="AL678" s="112"/>
      <c r="AM678" s="112">
        <v>10.02</v>
      </c>
      <c r="AN678" s="112" t="s">
        <v>1906</v>
      </c>
      <c r="AO678" s="112">
        <v>42.96</v>
      </c>
      <c r="AP678" s="112" t="s">
        <v>1906</v>
      </c>
      <c r="AQ678" s="112">
        <v>42.96</v>
      </c>
      <c r="AR678" s="112" t="s">
        <v>1906</v>
      </c>
      <c r="AS678" s="112">
        <v>42.96</v>
      </c>
      <c r="AT678" s="112" t="s">
        <v>1906</v>
      </c>
      <c r="AU678" s="112">
        <f t="shared" si="24"/>
        <v>329.90999999999997</v>
      </c>
      <c r="AV678" s="111">
        <v>0.13650000000000001</v>
      </c>
      <c r="AW678" s="111" t="s">
        <v>1904</v>
      </c>
      <c r="AX678" s="25"/>
      <c r="AY678" s="25"/>
      <c r="AZ678" s="25"/>
    </row>
    <row r="679" spans="1:52" ht="31.2" x14ac:dyDescent="0.3">
      <c r="A679" s="103">
        <v>669</v>
      </c>
      <c r="B679" s="109" t="s">
        <v>1441</v>
      </c>
      <c r="C679" s="30" t="s">
        <v>1899</v>
      </c>
      <c r="D679" s="110" t="s">
        <v>1900</v>
      </c>
      <c r="E679" s="110" t="s">
        <v>1917</v>
      </c>
      <c r="F679" s="30" t="s">
        <v>2703</v>
      </c>
      <c r="G679" s="26" t="s">
        <v>145</v>
      </c>
      <c r="H679" s="24" t="s">
        <v>146</v>
      </c>
      <c r="I679" s="109">
        <v>1</v>
      </c>
      <c r="J679" s="109" t="s">
        <v>1918</v>
      </c>
      <c r="K679" s="109">
        <v>89</v>
      </c>
      <c r="L679" s="109" t="s">
        <v>1919</v>
      </c>
      <c r="M679" s="109" t="s">
        <v>1904</v>
      </c>
      <c r="N679" s="109" t="s">
        <v>529</v>
      </c>
      <c r="O679" s="109" t="s">
        <v>1920</v>
      </c>
      <c r="P679" s="109" t="s">
        <v>1921</v>
      </c>
      <c r="Q679" s="102">
        <v>0</v>
      </c>
      <c r="R679" s="109" t="s">
        <v>1907</v>
      </c>
      <c r="S679" s="109" t="s">
        <v>1922</v>
      </c>
      <c r="T679" s="25"/>
      <c r="U679" s="111" t="s">
        <v>1923</v>
      </c>
      <c r="V679" s="111" t="s">
        <v>1923</v>
      </c>
      <c r="W679" s="112" t="s">
        <v>2228</v>
      </c>
      <c r="X679" s="112" t="s">
        <v>1906</v>
      </c>
      <c r="Y679" s="112" t="s">
        <v>2229</v>
      </c>
      <c r="Z679" s="112" t="s">
        <v>1906</v>
      </c>
      <c r="AA679" s="112" t="s">
        <v>2230</v>
      </c>
      <c r="AB679" s="112" t="s">
        <v>1906</v>
      </c>
      <c r="AC679" s="112">
        <v>55.02</v>
      </c>
      <c r="AD679" s="112" t="s">
        <v>1906</v>
      </c>
      <c r="AE679" s="112">
        <v>17.75</v>
      </c>
      <c r="AF679" s="112" t="s">
        <v>1906</v>
      </c>
      <c r="AG679" s="112">
        <v>0</v>
      </c>
      <c r="AH679" s="112"/>
      <c r="AI679" s="112">
        <v>0</v>
      </c>
      <c r="AJ679" s="112"/>
      <c r="AK679" s="112">
        <v>0</v>
      </c>
      <c r="AL679" s="112"/>
      <c r="AM679" s="112">
        <v>0</v>
      </c>
      <c r="AN679" s="112"/>
      <c r="AO679" s="112">
        <v>54.44</v>
      </c>
      <c r="AP679" s="112" t="s">
        <v>1906</v>
      </c>
      <c r="AQ679" s="112">
        <v>54.44</v>
      </c>
      <c r="AR679" s="112" t="s">
        <v>1906</v>
      </c>
      <c r="AS679" s="112">
        <v>54.44</v>
      </c>
      <c r="AT679" s="112" t="s">
        <v>1906</v>
      </c>
      <c r="AU679" s="112">
        <f t="shared" si="24"/>
        <v>431.23</v>
      </c>
      <c r="AV679" s="111">
        <v>0.18176</v>
      </c>
      <c r="AW679" s="111" t="s">
        <v>1904</v>
      </c>
      <c r="AX679" s="25"/>
      <c r="AY679" s="25"/>
      <c r="AZ679" s="25"/>
    </row>
    <row r="680" spans="1:52" ht="31.2" x14ac:dyDescent="0.3">
      <c r="A680" s="103">
        <v>670</v>
      </c>
      <c r="B680" s="109" t="s">
        <v>1442</v>
      </c>
      <c r="C680" s="30" t="s">
        <v>1899</v>
      </c>
      <c r="D680" s="110" t="s">
        <v>1900</v>
      </c>
      <c r="E680" s="110" t="s">
        <v>1917</v>
      </c>
      <c r="F680" s="30" t="s">
        <v>2703</v>
      </c>
      <c r="G680" s="26" t="s">
        <v>145</v>
      </c>
      <c r="H680" s="24" t="s">
        <v>146</v>
      </c>
      <c r="I680" s="109">
        <v>1</v>
      </c>
      <c r="J680" s="109" t="s">
        <v>1918</v>
      </c>
      <c r="K680" s="109">
        <v>50</v>
      </c>
      <c r="L680" s="109" t="s">
        <v>1919</v>
      </c>
      <c r="M680" s="109" t="s">
        <v>1904</v>
      </c>
      <c r="N680" s="109" t="s">
        <v>529</v>
      </c>
      <c r="O680" s="109" t="s">
        <v>1920</v>
      </c>
      <c r="P680" s="109" t="s">
        <v>1921</v>
      </c>
      <c r="Q680" s="102">
        <v>0</v>
      </c>
      <c r="R680" s="109" t="s">
        <v>1907</v>
      </c>
      <c r="S680" s="109" t="s">
        <v>1922</v>
      </c>
      <c r="T680" s="25"/>
      <c r="U680" s="111" t="s">
        <v>1923</v>
      </c>
      <c r="V680" s="111" t="s">
        <v>1923</v>
      </c>
      <c r="W680" s="112" t="s">
        <v>2231</v>
      </c>
      <c r="X680" s="112" t="s">
        <v>1906</v>
      </c>
      <c r="Y680" s="112" t="s">
        <v>2232</v>
      </c>
      <c r="Z680" s="112" t="s">
        <v>1906</v>
      </c>
      <c r="AA680" s="112" t="s">
        <v>2233</v>
      </c>
      <c r="AB680" s="112" t="s">
        <v>1906</v>
      </c>
      <c r="AC680" s="112">
        <v>32.64</v>
      </c>
      <c r="AD680" s="112" t="s">
        <v>1906</v>
      </c>
      <c r="AE680" s="112">
        <v>10.53</v>
      </c>
      <c r="AF680" s="112" t="s">
        <v>1906</v>
      </c>
      <c r="AG680" s="112">
        <v>0</v>
      </c>
      <c r="AH680" s="112"/>
      <c r="AI680" s="112">
        <v>0</v>
      </c>
      <c r="AJ680" s="112"/>
      <c r="AK680" s="112">
        <v>0</v>
      </c>
      <c r="AL680" s="112"/>
      <c r="AM680" s="112">
        <v>0</v>
      </c>
      <c r="AN680" s="112"/>
      <c r="AO680" s="112">
        <v>32.22</v>
      </c>
      <c r="AP680" s="112" t="s">
        <v>1906</v>
      </c>
      <c r="AQ680" s="112">
        <v>32.22</v>
      </c>
      <c r="AR680" s="112" t="s">
        <v>1906</v>
      </c>
      <c r="AS680" s="112">
        <v>32.22</v>
      </c>
      <c r="AT680" s="112" t="s">
        <v>1906</v>
      </c>
      <c r="AU680" s="112">
        <f t="shared" si="24"/>
        <v>267.49</v>
      </c>
      <c r="AV680" s="111">
        <v>0.13247999999999999</v>
      </c>
      <c r="AW680" s="111" t="s">
        <v>1904</v>
      </c>
      <c r="AX680" s="25"/>
      <c r="AY680" s="25"/>
      <c r="AZ680" s="25"/>
    </row>
    <row r="681" spans="1:52" ht="31.2" x14ac:dyDescent="0.3">
      <c r="A681" s="103">
        <v>671</v>
      </c>
      <c r="B681" s="109" t="s">
        <v>1444</v>
      </c>
      <c r="C681" s="30" t="s">
        <v>1899</v>
      </c>
      <c r="D681" s="110" t="s">
        <v>1900</v>
      </c>
      <c r="E681" s="110" t="s">
        <v>1917</v>
      </c>
      <c r="F681" s="30" t="s">
        <v>2703</v>
      </c>
      <c r="G681" s="26" t="s">
        <v>145</v>
      </c>
      <c r="H681" s="24" t="s">
        <v>146</v>
      </c>
      <c r="I681" s="109">
        <v>1</v>
      </c>
      <c r="J681" s="109" t="s">
        <v>1918</v>
      </c>
      <c r="K681" s="109">
        <v>50</v>
      </c>
      <c r="L681" s="109" t="s">
        <v>1919</v>
      </c>
      <c r="M681" s="109" t="s">
        <v>1904</v>
      </c>
      <c r="N681" s="109" t="s">
        <v>529</v>
      </c>
      <c r="O681" s="109" t="s">
        <v>1920</v>
      </c>
      <c r="P681" s="109" t="s">
        <v>1921</v>
      </c>
      <c r="Q681" s="102">
        <v>0</v>
      </c>
      <c r="R681" s="109" t="s">
        <v>1907</v>
      </c>
      <c r="S681" s="109" t="s">
        <v>1922</v>
      </c>
      <c r="T681" s="25"/>
      <c r="U681" s="111" t="s">
        <v>1923</v>
      </c>
      <c r="V681" s="111" t="s">
        <v>1923</v>
      </c>
      <c r="W681" s="112" t="s">
        <v>2231</v>
      </c>
      <c r="X681" s="112" t="s">
        <v>1906</v>
      </c>
      <c r="Y681" s="112" t="s">
        <v>2232</v>
      </c>
      <c r="Z681" s="112" t="s">
        <v>1906</v>
      </c>
      <c r="AA681" s="112" t="s">
        <v>2233</v>
      </c>
      <c r="AB681" s="112" t="s">
        <v>1906</v>
      </c>
      <c r="AC681" s="112">
        <v>32.64</v>
      </c>
      <c r="AD681" s="112" t="s">
        <v>1906</v>
      </c>
      <c r="AE681" s="112">
        <v>10.53</v>
      </c>
      <c r="AF681" s="112" t="s">
        <v>1906</v>
      </c>
      <c r="AG681" s="112">
        <v>0</v>
      </c>
      <c r="AH681" s="112"/>
      <c r="AI681" s="112">
        <v>0</v>
      </c>
      <c r="AJ681" s="112"/>
      <c r="AK681" s="112">
        <v>0</v>
      </c>
      <c r="AL681" s="112"/>
      <c r="AM681" s="112">
        <v>0</v>
      </c>
      <c r="AN681" s="112"/>
      <c r="AO681" s="112">
        <v>32.22</v>
      </c>
      <c r="AP681" s="112" t="s">
        <v>1906</v>
      </c>
      <c r="AQ681" s="112">
        <v>32.22</v>
      </c>
      <c r="AR681" s="112" t="s">
        <v>1906</v>
      </c>
      <c r="AS681" s="112">
        <v>32.22</v>
      </c>
      <c r="AT681" s="112" t="s">
        <v>1906</v>
      </c>
      <c r="AU681" s="112">
        <f t="shared" si="24"/>
        <v>267.49</v>
      </c>
      <c r="AV681" s="111">
        <v>0.13247999999999999</v>
      </c>
      <c r="AW681" s="111" t="s">
        <v>1904</v>
      </c>
      <c r="AX681" s="25"/>
      <c r="AY681" s="25"/>
      <c r="AZ681" s="25"/>
    </row>
    <row r="682" spans="1:52" ht="31.2" x14ac:dyDescent="0.3">
      <c r="A682" s="103">
        <v>672</v>
      </c>
      <c r="B682" s="109" t="s">
        <v>1445</v>
      </c>
      <c r="C682" s="30" t="s">
        <v>1899</v>
      </c>
      <c r="D682" s="110" t="s">
        <v>1900</v>
      </c>
      <c r="E682" s="110" t="s">
        <v>1917</v>
      </c>
      <c r="F682" s="30" t="s">
        <v>2703</v>
      </c>
      <c r="G682" s="26" t="s">
        <v>145</v>
      </c>
      <c r="H682" s="24" t="s">
        <v>146</v>
      </c>
      <c r="I682" s="109">
        <v>1</v>
      </c>
      <c r="J682" s="109" t="s">
        <v>1918</v>
      </c>
      <c r="K682" s="109">
        <v>76</v>
      </c>
      <c r="L682" s="109" t="s">
        <v>1919</v>
      </c>
      <c r="M682" s="109" t="s">
        <v>1904</v>
      </c>
      <c r="N682" s="109" t="s">
        <v>529</v>
      </c>
      <c r="O682" s="109" t="s">
        <v>1920</v>
      </c>
      <c r="P682" s="109" t="s">
        <v>1921</v>
      </c>
      <c r="Q682" s="102">
        <v>0</v>
      </c>
      <c r="R682" s="109" t="s">
        <v>1907</v>
      </c>
      <c r="S682" s="109" t="s">
        <v>1922</v>
      </c>
      <c r="T682" s="25"/>
      <c r="U682" s="111" t="s">
        <v>1923</v>
      </c>
      <c r="V682" s="111" t="s">
        <v>1923</v>
      </c>
      <c r="W682" s="112" t="s">
        <v>2234</v>
      </c>
      <c r="X682" s="112" t="s">
        <v>1906</v>
      </c>
      <c r="Y682" s="112" t="s">
        <v>2235</v>
      </c>
      <c r="Z682" s="112" t="s">
        <v>1906</v>
      </c>
      <c r="AA682" s="112" t="s">
        <v>2236</v>
      </c>
      <c r="AB682" s="112" t="s">
        <v>1906</v>
      </c>
      <c r="AC682" s="112">
        <v>19.54</v>
      </c>
      <c r="AD682" s="112" t="s">
        <v>1906</v>
      </c>
      <c r="AE682" s="112">
        <v>8.66</v>
      </c>
      <c r="AF682" s="112" t="s">
        <v>1906</v>
      </c>
      <c r="AG682" s="112">
        <v>0</v>
      </c>
      <c r="AH682" s="112"/>
      <c r="AI682" s="112">
        <v>0</v>
      </c>
      <c r="AJ682" s="112"/>
      <c r="AK682" s="112">
        <v>0</v>
      </c>
      <c r="AL682" s="112"/>
      <c r="AM682" s="112">
        <v>0</v>
      </c>
      <c r="AN682" s="112"/>
      <c r="AO682" s="112">
        <v>21.07</v>
      </c>
      <c r="AP682" s="112" t="s">
        <v>208</v>
      </c>
      <c r="AQ682" s="112">
        <v>24.75</v>
      </c>
      <c r="AR682" s="112" t="s">
        <v>208</v>
      </c>
      <c r="AS682" s="112">
        <v>37.909999999999997</v>
      </c>
      <c r="AT682" s="112" t="s">
        <v>208</v>
      </c>
      <c r="AU682" s="112">
        <f t="shared" si="24"/>
        <v>246.32999999999998</v>
      </c>
      <c r="AV682" s="111">
        <v>0.21679000000000001</v>
      </c>
      <c r="AW682" s="111" t="s">
        <v>1904</v>
      </c>
      <c r="AX682" s="25"/>
      <c r="AY682" s="25"/>
      <c r="AZ682" s="25"/>
    </row>
    <row r="683" spans="1:52" ht="31.2" x14ac:dyDescent="0.3">
      <c r="A683" s="103">
        <v>673</v>
      </c>
      <c r="B683" s="109" t="s">
        <v>1447</v>
      </c>
      <c r="C683" s="30" t="s">
        <v>1899</v>
      </c>
      <c r="D683" s="110" t="s">
        <v>1900</v>
      </c>
      <c r="E683" s="110" t="s">
        <v>1917</v>
      </c>
      <c r="F683" s="30" t="s">
        <v>2703</v>
      </c>
      <c r="G683" s="26" t="s">
        <v>145</v>
      </c>
      <c r="H683" s="24" t="s">
        <v>146</v>
      </c>
      <c r="I683" s="109">
        <v>0</v>
      </c>
      <c r="J683" s="109" t="s">
        <v>1918</v>
      </c>
      <c r="K683" s="109">
        <v>50</v>
      </c>
      <c r="L683" s="109" t="s">
        <v>1919</v>
      </c>
      <c r="M683" s="109" t="s">
        <v>1904</v>
      </c>
      <c r="N683" s="109" t="s">
        <v>529</v>
      </c>
      <c r="O683" s="109" t="s">
        <v>1920</v>
      </c>
      <c r="P683" s="109" t="s">
        <v>1920</v>
      </c>
      <c r="Q683" s="102">
        <v>0</v>
      </c>
      <c r="R683" s="109" t="s">
        <v>1907</v>
      </c>
      <c r="S683" s="109" t="s">
        <v>1922</v>
      </c>
      <c r="T683" s="25"/>
      <c r="U683" s="111" t="s">
        <v>1923</v>
      </c>
      <c r="V683" s="111" t="s">
        <v>1923</v>
      </c>
      <c r="W683" s="112" t="s">
        <v>2237</v>
      </c>
      <c r="X683" s="112" t="s">
        <v>1906</v>
      </c>
      <c r="Y683" s="112" t="s">
        <v>2237</v>
      </c>
      <c r="Z683" s="112" t="s">
        <v>1906</v>
      </c>
      <c r="AA683" s="112" t="s">
        <v>2237</v>
      </c>
      <c r="AB683" s="112" t="s">
        <v>1906</v>
      </c>
      <c r="AC683" s="112">
        <v>28.15</v>
      </c>
      <c r="AD683" s="112" t="s">
        <v>1906</v>
      </c>
      <c r="AE683" s="112">
        <v>9.08</v>
      </c>
      <c r="AF683" s="112" t="s">
        <v>1906</v>
      </c>
      <c r="AG683" s="112">
        <v>0</v>
      </c>
      <c r="AH683" s="112"/>
      <c r="AI683" s="112">
        <v>0</v>
      </c>
      <c r="AJ683" s="112"/>
      <c r="AK683" s="112">
        <v>0</v>
      </c>
      <c r="AL683" s="112"/>
      <c r="AM683" s="112">
        <v>6.39</v>
      </c>
      <c r="AN683" s="112" t="s">
        <v>1906</v>
      </c>
      <c r="AO683" s="112">
        <v>27.4</v>
      </c>
      <c r="AP683" s="112" t="s">
        <v>1906</v>
      </c>
      <c r="AQ683" s="112">
        <v>27.4</v>
      </c>
      <c r="AR683" s="112" t="s">
        <v>1906</v>
      </c>
      <c r="AS683" s="112">
        <v>27.4</v>
      </c>
      <c r="AT683" s="112" t="s">
        <v>1906</v>
      </c>
      <c r="AU683" s="112">
        <f t="shared" si="24"/>
        <v>210.27</v>
      </c>
      <c r="AV683" s="111">
        <v>0.10237</v>
      </c>
      <c r="AW683" s="111" t="s">
        <v>1904</v>
      </c>
      <c r="AX683" s="25"/>
      <c r="AY683" s="25"/>
      <c r="AZ683" s="25"/>
    </row>
    <row r="684" spans="1:52" ht="31.2" x14ac:dyDescent="0.3">
      <c r="A684" s="103">
        <v>674</v>
      </c>
      <c r="B684" s="109" t="s">
        <v>1449</v>
      </c>
      <c r="C684" s="30" t="s">
        <v>1899</v>
      </c>
      <c r="D684" s="110" t="s">
        <v>1900</v>
      </c>
      <c r="E684" s="110" t="s">
        <v>1917</v>
      </c>
      <c r="F684" s="30" t="s">
        <v>2703</v>
      </c>
      <c r="G684" s="26" t="s">
        <v>145</v>
      </c>
      <c r="H684" s="24" t="s">
        <v>146</v>
      </c>
      <c r="I684" s="109">
        <v>0</v>
      </c>
      <c r="J684" s="109" t="s">
        <v>1918</v>
      </c>
      <c r="K684" s="109">
        <v>50</v>
      </c>
      <c r="L684" s="109" t="s">
        <v>1919</v>
      </c>
      <c r="M684" s="109" t="s">
        <v>1904</v>
      </c>
      <c r="N684" s="109" t="s">
        <v>529</v>
      </c>
      <c r="O684" s="109" t="s">
        <v>1920</v>
      </c>
      <c r="P684" s="109" t="s">
        <v>1920</v>
      </c>
      <c r="Q684" s="102">
        <v>0</v>
      </c>
      <c r="R684" s="109" t="s">
        <v>1907</v>
      </c>
      <c r="S684" s="109" t="s">
        <v>1922</v>
      </c>
      <c r="T684" s="25"/>
      <c r="U684" s="111" t="s">
        <v>1923</v>
      </c>
      <c r="V684" s="111" t="s">
        <v>1923</v>
      </c>
      <c r="W684" s="112" t="s">
        <v>2238</v>
      </c>
      <c r="X684" s="112" t="s">
        <v>1906</v>
      </c>
      <c r="Y684" s="112" t="s">
        <v>2238</v>
      </c>
      <c r="Z684" s="112" t="s">
        <v>1906</v>
      </c>
      <c r="AA684" s="112" t="s">
        <v>2238</v>
      </c>
      <c r="AB684" s="112" t="s">
        <v>1906</v>
      </c>
      <c r="AC684" s="112">
        <v>16.41</v>
      </c>
      <c r="AD684" s="112" t="s">
        <v>1906</v>
      </c>
      <c r="AE684" s="112">
        <v>5.29</v>
      </c>
      <c r="AF684" s="112" t="s">
        <v>1906</v>
      </c>
      <c r="AG684" s="112">
        <v>0</v>
      </c>
      <c r="AH684" s="112"/>
      <c r="AI684" s="112">
        <v>0</v>
      </c>
      <c r="AJ684" s="112"/>
      <c r="AK684" s="112">
        <v>0</v>
      </c>
      <c r="AL684" s="112"/>
      <c r="AM684" s="112">
        <v>3.68</v>
      </c>
      <c r="AN684" s="112" t="s">
        <v>1906</v>
      </c>
      <c r="AO684" s="112">
        <v>15.75</v>
      </c>
      <c r="AP684" s="112" t="s">
        <v>1906</v>
      </c>
      <c r="AQ684" s="112">
        <v>15.75</v>
      </c>
      <c r="AR684" s="112" t="s">
        <v>1906</v>
      </c>
      <c r="AS684" s="112">
        <v>15.75</v>
      </c>
      <c r="AT684" s="112" t="s">
        <v>1906</v>
      </c>
      <c r="AU684" s="112">
        <f t="shared" si="24"/>
        <v>121.86000000000001</v>
      </c>
      <c r="AV684" s="111">
        <v>8.09E-2</v>
      </c>
      <c r="AW684" s="111" t="s">
        <v>1904</v>
      </c>
      <c r="AX684" s="25"/>
      <c r="AY684" s="25"/>
      <c r="AZ684" s="25"/>
    </row>
    <row r="685" spans="1:52" ht="31.2" x14ac:dyDescent="0.3">
      <c r="A685" s="103">
        <v>675</v>
      </c>
      <c r="B685" s="109" t="s">
        <v>1451</v>
      </c>
      <c r="C685" s="30" t="s">
        <v>1899</v>
      </c>
      <c r="D685" s="110" t="s">
        <v>1900</v>
      </c>
      <c r="E685" s="110" t="s">
        <v>1917</v>
      </c>
      <c r="F685" s="30" t="s">
        <v>2703</v>
      </c>
      <c r="G685" s="26" t="s">
        <v>145</v>
      </c>
      <c r="H685" s="24" t="s">
        <v>146</v>
      </c>
      <c r="I685" s="109">
        <v>1</v>
      </c>
      <c r="J685" s="109" t="s">
        <v>1918</v>
      </c>
      <c r="K685" s="109">
        <v>76</v>
      </c>
      <c r="L685" s="109" t="s">
        <v>1919</v>
      </c>
      <c r="M685" s="109" t="s">
        <v>1904</v>
      </c>
      <c r="N685" s="109" t="s">
        <v>529</v>
      </c>
      <c r="O685" s="109" t="s">
        <v>1920</v>
      </c>
      <c r="P685" s="109" t="s">
        <v>1921</v>
      </c>
      <c r="Q685" s="102">
        <v>0</v>
      </c>
      <c r="R685" s="109" t="s">
        <v>1907</v>
      </c>
      <c r="S685" s="109" t="s">
        <v>1922</v>
      </c>
      <c r="T685" s="25"/>
      <c r="U685" s="111" t="s">
        <v>1923</v>
      </c>
      <c r="V685" s="111" t="s">
        <v>1923</v>
      </c>
      <c r="W685" s="112" t="s">
        <v>2239</v>
      </c>
      <c r="X685" s="112" t="s">
        <v>1906</v>
      </c>
      <c r="Y685" s="112" t="s">
        <v>2240</v>
      </c>
      <c r="Z685" s="112" t="s">
        <v>1906</v>
      </c>
      <c r="AA685" s="112" t="s">
        <v>2241</v>
      </c>
      <c r="AB685" s="112" t="s">
        <v>1906</v>
      </c>
      <c r="AC685" s="112">
        <v>46.33</v>
      </c>
      <c r="AD685" s="112" t="s">
        <v>1906</v>
      </c>
      <c r="AE685" s="112">
        <v>13</v>
      </c>
      <c r="AF685" s="112" t="s">
        <v>1906</v>
      </c>
      <c r="AG685" s="112">
        <v>0</v>
      </c>
      <c r="AH685" s="112"/>
      <c r="AI685" s="112">
        <v>0</v>
      </c>
      <c r="AJ685" s="112"/>
      <c r="AK685" s="112">
        <v>0</v>
      </c>
      <c r="AL685" s="112"/>
      <c r="AM685" s="112">
        <v>0</v>
      </c>
      <c r="AN685" s="112"/>
      <c r="AO685" s="112">
        <v>40.42</v>
      </c>
      <c r="AP685" s="112" t="s">
        <v>208</v>
      </c>
      <c r="AQ685" s="112">
        <v>49.96</v>
      </c>
      <c r="AR685" s="112" t="s">
        <v>208</v>
      </c>
      <c r="AS685" s="112">
        <v>73.22</v>
      </c>
      <c r="AT685" s="112" t="s">
        <v>208</v>
      </c>
      <c r="AU685" s="112">
        <f t="shared" si="24"/>
        <v>457.4</v>
      </c>
      <c r="AV685" s="111">
        <v>0.23316000000000001</v>
      </c>
      <c r="AW685" s="111" t="s">
        <v>1904</v>
      </c>
      <c r="AX685" s="25"/>
      <c r="AY685" s="25"/>
      <c r="AZ685" s="25"/>
    </row>
    <row r="686" spans="1:52" ht="31.2" x14ac:dyDescent="0.3">
      <c r="A686" s="103">
        <v>676</v>
      </c>
      <c r="B686" s="109" t="s">
        <v>1452</v>
      </c>
      <c r="C686" s="30" t="s">
        <v>1899</v>
      </c>
      <c r="D686" s="110" t="s">
        <v>1900</v>
      </c>
      <c r="E686" s="110" t="s">
        <v>1917</v>
      </c>
      <c r="F686" s="30" t="s">
        <v>2703</v>
      </c>
      <c r="G686" s="26" t="s">
        <v>145</v>
      </c>
      <c r="H686" s="24" t="s">
        <v>146</v>
      </c>
      <c r="I686" s="109">
        <v>0</v>
      </c>
      <c r="J686" s="109" t="s">
        <v>1918</v>
      </c>
      <c r="K686" s="109">
        <v>76</v>
      </c>
      <c r="L686" s="109" t="s">
        <v>1919</v>
      </c>
      <c r="M686" s="109" t="s">
        <v>1904</v>
      </c>
      <c r="N686" s="109" t="s">
        <v>529</v>
      </c>
      <c r="O686" s="109" t="s">
        <v>1920</v>
      </c>
      <c r="P686" s="109" t="s">
        <v>1920</v>
      </c>
      <c r="Q686" s="102">
        <v>0</v>
      </c>
      <c r="R686" s="109" t="s">
        <v>1907</v>
      </c>
      <c r="S686" s="109" t="s">
        <v>1922</v>
      </c>
      <c r="T686" s="25"/>
      <c r="U686" s="111" t="s">
        <v>1923</v>
      </c>
      <c r="V686" s="111" t="s">
        <v>1923</v>
      </c>
      <c r="W686" s="112" t="s">
        <v>2242</v>
      </c>
      <c r="X686" s="112" t="s">
        <v>1906</v>
      </c>
      <c r="Y686" s="112" t="s">
        <v>2242</v>
      </c>
      <c r="Z686" s="112" t="s">
        <v>1906</v>
      </c>
      <c r="AA686" s="112" t="s">
        <v>2242</v>
      </c>
      <c r="AB686" s="112" t="s">
        <v>1906</v>
      </c>
      <c r="AC686" s="112">
        <v>49.6</v>
      </c>
      <c r="AD686" s="112" t="s">
        <v>1906</v>
      </c>
      <c r="AE686" s="112">
        <v>16</v>
      </c>
      <c r="AF686" s="112" t="s">
        <v>1906</v>
      </c>
      <c r="AG686" s="112">
        <v>0</v>
      </c>
      <c r="AH686" s="112"/>
      <c r="AI686" s="112">
        <v>0</v>
      </c>
      <c r="AJ686" s="112"/>
      <c r="AK686" s="112">
        <v>0</v>
      </c>
      <c r="AL686" s="112"/>
      <c r="AM686" s="112">
        <v>11.14</v>
      </c>
      <c r="AN686" s="112" t="s">
        <v>1906</v>
      </c>
      <c r="AO686" s="112">
        <v>47.74</v>
      </c>
      <c r="AP686" s="112" t="s">
        <v>1906</v>
      </c>
      <c r="AQ686" s="112">
        <v>47.74</v>
      </c>
      <c r="AR686" s="112" t="s">
        <v>1906</v>
      </c>
      <c r="AS686" s="112">
        <v>47.74</v>
      </c>
      <c r="AT686" s="112" t="s">
        <v>1906</v>
      </c>
      <c r="AU686" s="112">
        <f t="shared" si="24"/>
        <v>368.76000000000005</v>
      </c>
      <c r="AV686" s="111">
        <v>0.18165999999999999</v>
      </c>
      <c r="AW686" s="111" t="s">
        <v>1904</v>
      </c>
      <c r="AX686" s="25"/>
      <c r="AY686" s="25"/>
      <c r="AZ686" s="25"/>
    </row>
    <row r="687" spans="1:52" ht="31.2" x14ac:dyDescent="0.3">
      <c r="A687" s="103">
        <v>677</v>
      </c>
      <c r="B687" s="109" t="s">
        <v>1454</v>
      </c>
      <c r="C687" s="30" t="s">
        <v>1899</v>
      </c>
      <c r="D687" s="110" t="s">
        <v>1900</v>
      </c>
      <c r="E687" s="110" t="s">
        <v>1917</v>
      </c>
      <c r="F687" s="30" t="s">
        <v>2703</v>
      </c>
      <c r="G687" s="26" t="s">
        <v>145</v>
      </c>
      <c r="H687" s="24" t="s">
        <v>146</v>
      </c>
      <c r="I687" s="109">
        <v>0</v>
      </c>
      <c r="J687" s="109" t="s">
        <v>1918</v>
      </c>
      <c r="K687" s="109">
        <v>76</v>
      </c>
      <c r="L687" s="109" t="s">
        <v>1919</v>
      </c>
      <c r="M687" s="109" t="s">
        <v>1904</v>
      </c>
      <c r="N687" s="109" t="s">
        <v>529</v>
      </c>
      <c r="O687" s="109" t="s">
        <v>1920</v>
      </c>
      <c r="P687" s="109" t="s">
        <v>1920</v>
      </c>
      <c r="Q687" s="102">
        <v>0</v>
      </c>
      <c r="R687" s="109" t="s">
        <v>1907</v>
      </c>
      <c r="S687" s="109" t="s">
        <v>1922</v>
      </c>
      <c r="T687" s="25"/>
      <c r="U687" s="111" t="s">
        <v>1923</v>
      </c>
      <c r="V687" s="111" t="s">
        <v>1923</v>
      </c>
      <c r="W687" s="112" t="s">
        <v>2243</v>
      </c>
      <c r="X687" s="112" t="s">
        <v>1906</v>
      </c>
      <c r="Y687" s="112" t="s">
        <v>2243</v>
      </c>
      <c r="Z687" s="112" t="s">
        <v>1906</v>
      </c>
      <c r="AA687" s="112" t="s">
        <v>2243</v>
      </c>
      <c r="AB687" s="112" t="s">
        <v>1906</v>
      </c>
      <c r="AC687" s="112">
        <v>35.82</v>
      </c>
      <c r="AD687" s="112" t="s">
        <v>1906</v>
      </c>
      <c r="AE687" s="112">
        <v>11.56</v>
      </c>
      <c r="AF687" s="112" t="s">
        <v>1906</v>
      </c>
      <c r="AG687" s="112">
        <v>0</v>
      </c>
      <c r="AH687" s="112"/>
      <c r="AI687" s="112">
        <v>0</v>
      </c>
      <c r="AJ687" s="112"/>
      <c r="AK687" s="112">
        <v>0</v>
      </c>
      <c r="AL687" s="112"/>
      <c r="AM687" s="112">
        <v>8.41</v>
      </c>
      <c r="AN687" s="112" t="s">
        <v>1906</v>
      </c>
      <c r="AO687" s="112">
        <v>36.06</v>
      </c>
      <c r="AP687" s="112" t="s">
        <v>1906</v>
      </c>
      <c r="AQ687" s="112">
        <v>36.06</v>
      </c>
      <c r="AR687" s="112" t="s">
        <v>1906</v>
      </c>
      <c r="AS687" s="112">
        <v>36.06</v>
      </c>
      <c r="AT687" s="112" t="s">
        <v>1906</v>
      </c>
      <c r="AU687" s="112">
        <f t="shared" si="24"/>
        <v>271.43</v>
      </c>
      <c r="AV687" s="111">
        <v>0.13247999999999999</v>
      </c>
      <c r="AW687" s="111" t="s">
        <v>1904</v>
      </c>
      <c r="AX687" s="25"/>
      <c r="AY687" s="25"/>
      <c r="AZ687" s="25"/>
    </row>
    <row r="688" spans="1:52" ht="31.2" x14ac:dyDescent="0.3">
      <c r="A688" s="103">
        <v>678</v>
      </c>
      <c r="B688" s="109" t="s">
        <v>1455</v>
      </c>
      <c r="C688" s="30" t="s">
        <v>1899</v>
      </c>
      <c r="D688" s="110" t="s">
        <v>1900</v>
      </c>
      <c r="E688" s="110" t="s">
        <v>1917</v>
      </c>
      <c r="F688" s="30" t="s">
        <v>2703</v>
      </c>
      <c r="G688" s="26" t="s">
        <v>145</v>
      </c>
      <c r="H688" s="24" t="s">
        <v>146</v>
      </c>
      <c r="I688" s="109">
        <v>0</v>
      </c>
      <c r="J688" s="109" t="s">
        <v>1918</v>
      </c>
      <c r="K688" s="109">
        <v>45</v>
      </c>
      <c r="L688" s="109" t="s">
        <v>1919</v>
      </c>
      <c r="M688" s="109" t="s">
        <v>1904</v>
      </c>
      <c r="N688" s="109" t="s">
        <v>529</v>
      </c>
      <c r="O688" s="109" t="s">
        <v>1920</v>
      </c>
      <c r="P688" s="109" t="s">
        <v>1920</v>
      </c>
      <c r="Q688" s="102">
        <v>0</v>
      </c>
      <c r="R688" s="109" t="s">
        <v>1907</v>
      </c>
      <c r="S688" s="109" t="s">
        <v>1922</v>
      </c>
      <c r="T688" s="25"/>
      <c r="U688" s="111" t="s">
        <v>1923</v>
      </c>
      <c r="V688" s="111" t="s">
        <v>1923</v>
      </c>
      <c r="W688" s="112" t="s">
        <v>2243</v>
      </c>
      <c r="X688" s="112" t="s">
        <v>1906</v>
      </c>
      <c r="Y688" s="112" t="s">
        <v>2243</v>
      </c>
      <c r="Z688" s="112" t="s">
        <v>1906</v>
      </c>
      <c r="AA688" s="112" t="s">
        <v>2243</v>
      </c>
      <c r="AB688" s="112" t="s">
        <v>1906</v>
      </c>
      <c r="AC688" s="112">
        <v>35.82</v>
      </c>
      <c r="AD688" s="112" t="s">
        <v>1906</v>
      </c>
      <c r="AE688" s="112">
        <v>11.56</v>
      </c>
      <c r="AF688" s="112" t="s">
        <v>1906</v>
      </c>
      <c r="AG688" s="112">
        <v>0</v>
      </c>
      <c r="AH688" s="112"/>
      <c r="AI688" s="112">
        <v>0</v>
      </c>
      <c r="AJ688" s="112"/>
      <c r="AK688" s="112">
        <v>0</v>
      </c>
      <c r="AL688" s="112"/>
      <c r="AM688" s="112">
        <v>8.41</v>
      </c>
      <c r="AN688" s="112" t="s">
        <v>1906</v>
      </c>
      <c r="AO688" s="112">
        <v>36.06</v>
      </c>
      <c r="AP688" s="112" t="s">
        <v>1906</v>
      </c>
      <c r="AQ688" s="112">
        <v>36.06</v>
      </c>
      <c r="AR688" s="112" t="s">
        <v>1906</v>
      </c>
      <c r="AS688" s="112">
        <v>36.06</v>
      </c>
      <c r="AT688" s="112" t="s">
        <v>1906</v>
      </c>
      <c r="AU688" s="112">
        <f t="shared" si="24"/>
        <v>271.43</v>
      </c>
      <c r="AV688" s="111">
        <v>0.13247999999999999</v>
      </c>
      <c r="AW688" s="111" t="s">
        <v>1904</v>
      </c>
      <c r="AX688" s="25"/>
      <c r="AY688" s="25"/>
      <c r="AZ688" s="25"/>
    </row>
    <row r="689" spans="1:52" ht="31.2" x14ac:dyDescent="0.3">
      <c r="A689" s="103">
        <v>679</v>
      </c>
      <c r="B689" s="109" t="s">
        <v>1456</v>
      </c>
      <c r="C689" s="30" t="s">
        <v>1899</v>
      </c>
      <c r="D689" s="110" t="s">
        <v>1900</v>
      </c>
      <c r="E689" s="110" t="s">
        <v>1917</v>
      </c>
      <c r="F689" s="30" t="s">
        <v>2703</v>
      </c>
      <c r="G689" s="26" t="s">
        <v>145</v>
      </c>
      <c r="H689" s="24" t="s">
        <v>146</v>
      </c>
      <c r="I689" s="109">
        <v>1</v>
      </c>
      <c r="J689" s="109" t="s">
        <v>1918</v>
      </c>
      <c r="K689" s="109">
        <v>76</v>
      </c>
      <c r="L689" s="109" t="s">
        <v>1919</v>
      </c>
      <c r="M689" s="109" t="s">
        <v>1904</v>
      </c>
      <c r="N689" s="109" t="s">
        <v>529</v>
      </c>
      <c r="O689" s="109" t="s">
        <v>1920</v>
      </c>
      <c r="P689" s="109" t="s">
        <v>1921</v>
      </c>
      <c r="Q689" s="102">
        <v>0</v>
      </c>
      <c r="R689" s="109" t="s">
        <v>1907</v>
      </c>
      <c r="S689" s="109" t="s">
        <v>1922</v>
      </c>
      <c r="T689" s="25"/>
      <c r="U689" s="111" t="s">
        <v>1923</v>
      </c>
      <c r="V689" s="111" t="s">
        <v>1923</v>
      </c>
      <c r="W689" s="112" t="s">
        <v>2244</v>
      </c>
      <c r="X689" s="112" t="s">
        <v>1906</v>
      </c>
      <c r="Y689" s="112" t="s">
        <v>2244</v>
      </c>
      <c r="Z689" s="112" t="s">
        <v>1906</v>
      </c>
      <c r="AA689" s="112" t="s">
        <v>2244</v>
      </c>
      <c r="AB689" s="112" t="s">
        <v>1906</v>
      </c>
      <c r="AC689" s="112">
        <v>55.05</v>
      </c>
      <c r="AD689" s="112" t="s">
        <v>1906</v>
      </c>
      <c r="AE689" s="112">
        <v>17.760000000000002</v>
      </c>
      <c r="AF689" s="112" t="s">
        <v>1906</v>
      </c>
      <c r="AG689" s="112">
        <v>0</v>
      </c>
      <c r="AH689" s="112"/>
      <c r="AI689" s="112">
        <v>0</v>
      </c>
      <c r="AJ689" s="112"/>
      <c r="AK689" s="112">
        <v>0</v>
      </c>
      <c r="AL689" s="112"/>
      <c r="AM689" s="112">
        <v>0</v>
      </c>
      <c r="AN689" s="112"/>
      <c r="AO689" s="112">
        <v>54.76</v>
      </c>
      <c r="AP689" s="112" t="s">
        <v>1906</v>
      </c>
      <c r="AQ689" s="112">
        <v>54.44</v>
      </c>
      <c r="AR689" s="112" t="s">
        <v>1906</v>
      </c>
      <c r="AS689" s="112">
        <v>54.44</v>
      </c>
      <c r="AT689" s="112" t="s">
        <v>1906</v>
      </c>
      <c r="AU689" s="112">
        <f t="shared" si="24"/>
        <v>401.59999999999997</v>
      </c>
      <c r="AV689" s="111">
        <v>0.19470999999999999</v>
      </c>
      <c r="AW689" s="111" t="s">
        <v>1904</v>
      </c>
      <c r="AX689" s="25"/>
      <c r="AY689" s="25"/>
      <c r="AZ689" s="25"/>
    </row>
    <row r="690" spans="1:52" ht="31.2" x14ac:dyDescent="0.3">
      <c r="A690" s="103">
        <v>680</v>
      </c>
      <c r="B690" s="109" t="s">
        <v>1457</v>
      </c>
      <c r="C690" s="30" t="s">
        <v>1899</v>
      </c>
      <c r="D690" s="110" t="s">
        <v>1900</v>
      </c>
      <c r="E690" s="110" t="s">
        <v>1917</v>
      </c>
      <c r="F690" s="30" t="s">
        <v>2703</v>
      </c>
      <c r="G690" s="26" t="s">
        <v>145</v>
      </c>
      <c r="H690" s="24" t="s">
        <v>146</v>
      </c>
      <c r="I690" s="109">
        <v>1</v>
      </c>
      <c r="J690" s="109" t="s">
        <v>1918</v>
      </c>
      <c r="K690" s="109">
        <v>76</v>
      </c>
      <c r="L690" s="109" t="s">
        <v>1919</v>
      </c>
      <c r="M690" s="109" t="s">
        <v>1904</v>
      </c>
      <c r="N690" s="109" t="s">
        <v>529</v>
      </c>
      <c r="O690" s="109" t="s">
        <v>1920</v>
      </c>
      <c r="P690" s="109" t="s">
        <v>1921</v>
      </c>
      <c r="Q690" s="102">
        <v>0</v>
      </c>
      <c r="R690" s="109" t="s">
        <v>1907</v>
      </c>
      <c r="S690" s="109" t="s">
        <v>1922</v>
      </c>
      <c r="T690" s="25"/>
      <c r="U690" s="111" t="s">
        <v>1923</v>
      </c>
      <c r="V690" s="111" t="s">
        <v>1923</v>
      </c>
      <c r="W690" s="112" t="s">
        <v>2245</v>
      </c>
      <c r="X690" s="112" t="s">
        <v>1906</v>
      </c>
      <c r="Y690" s="112" t="s">
        <v>2245</v>
      </c>
      <c r="Z690" s="112" t="s">
        <v>1906</v>
      </c>
      <c r="AA690" s="112" t="s">
        <v>2245</v>
      </c>
      <c r="AB690" s="112" t="s">
        <v>1906</v>
      </c>
      <c r="AC690" s="112">
        <v>39.26</v>
      </c>
      <c r="AD690" s="112" t="s">
        <v>1906</v>
      </c>
      <c r="AE690" s="112">
        <v>12.67</v>
      </c>
      <c r="AF690" s="112" t="s">
        <v>1906</v>
      </c>
      <c r="AG690" s="112">
        <v>0</v>
      </c>
      <c r="AH690" s="112"/>
      <c r="AI690" s="112">
        <v>0</v>
      </c>
      <c r="AJ690" s="112"/>
      <c r="AK690" s="112">
        <v>0</v>
      </c>
      <c r="AL690" s="112"/>
      <c r="AM690" s="112">
        <v>0</v>
      </c>
      <c r="AN690" s="112"/>
      <c r="AO690" s="112">
        <v>39.31</v>
      </c>
      <c r="AP690" s="112" t="s">
        <v>1906</v>
      </c>
      <c r="AQ690" s="112">
        <v>37.96</v>
      </c>
      <c r="AR690" s="112" t="s">
        <v>1906</v>
      </c>
      <c r="AS690" s="112">
        <v>37.96</v>
      </c>
      <c r="AT690" s="112" t="s">
        <v>1906</v>
      </c>
      <c r="AU690" s="112">
        <f t="shared" si="24"/>
        <v>284.94</v>
      </c>
      <c r="AV690" s="111">
        <v>0.14352000000000001</v>
      </c>
      <c r="AW690" s="111" t="s">
        <v>1904</v>
      </c>
      <c r="AX690" s="25"/>
      <c r="AY690" s="25"/>
      <c r="AZ690" s="25"/>
    </row>
    <row r="691" spans="1:52" ht="31.2" x14ac:dyDescent="0.3">
      <c r="A691" s="103">
        <v>681</v>
      </c>
      <c r="B691" s="109" t="s">
        <v>1459</v>
      </c>
      <c r="C691" s="30" t="s">
        <v>1899</v>
      </c>
      <c r="D691" s="110" t="s">
        <v>1900</v>
      </c>
      <c r="E691" s="110" t="s">
        <v>1917</v>
      </c>
      <c r="F691" s="30" t="s">
        <v>2703</v>
      </c>
      <c r="G691" s="26" t="s">
        <v>145</v>
      </c>
      <c r="H691" s="24" t="s">
        <v>146</v>
      </c>
      <c r="I691" s="109">
        <v>1</v>
      </c>
      <c r="J691" s="109" t="s">
        <v>1918</v>
      </c>
      <c r="K691" s="109">
        <v>57</v>
      </c>
      <c r="L691" s="109" t="s">
        <v>1919</v>
      </c>
      <c r="M691" s="109" t="s">
        <v>1904</v>
      </c>
      <c r="N691" s="109" t="s">
        <v>529</v>
      </c>
      <c r="O691" s="109" t="s">
        <v>1920</v>
      </c>
      <c r="P691" s="109" t="s">
        <v>1921</v>
      </c>
      <c r="Q691" s="102">
        <v>0</v>
      </c>
      <c r="R691" s="109" t="s">
        <v>1907</v>
      </c>
      <c r="S691" s="109" t="s">
        <v>1922</v>
      </c>
      <c r="T691" s="25"/>
      <c r="U691" s="111" t="s">
        <v>1923</v>
      </c>
      <c r="V691" s="111" t="s">
        <v>1923</v>
      </c>
      <c r="W691" s="112" t="s">
        <v>2246</v>
      </c>
      <c r="X691" s="112" t="s">
        <v>1906</v>
      </c>
      <c r="Y691" s="112" t="s">
        <v>2247</v>
      </c>
      <c r="Z691" s="112" t="s">
        <v>1906</v>
      </c>
      <c r="AA691" s="112" t="s">
        <v>2247</v>
      </c>
      <c r="AB691" s="112" t="s">
        <v>1906</v>
      </c>
      <c r="AC691" s="112">
        <v>23.94</v>
      </c>
      <c r="AD691" s="112" t="s">
        <v>1906</v>
      </c>
      <c r="AE691" s="112">
        <v>7.72</v>
      </c>
      <c r="AF691" s="112" t="s">
        <v>1906</v>
      </c>
      <c r="AG691" s="112">
        <v>0</v>
      </c>
      <c r="AH691" s="112"/>
      <c r="AI691" s="112">
        <v>0</v>
      </c>
      <c r="AJ691" s="112"/>
      <c r="AK691" s="112">
        <v>0</v>
      </c>
      <c r="AL691" s="112"/>
      <c r="AM691" s="112">
        <v>0</v>
      </c>
      <c r="AN691" s="112"/>
      <c r="AO691" s="112">
        <v>23.67</v>
      </c>
      <c r="AP691" s="112" t="s">
        <v>1906</v>
      </c>
      <c r="AQ691" s="112">
        <v>23.67</v>
      </c>
      <c r="AR691" s="112" t="s">
        <v>1906</v>
      </c>
      <c r="AS691" s="112">
        <v>23.67</v>
      </c>
      <c r="AT691" s="112" t="s">
        <v>1906</v>
      </c>
      <c r="AU691" s="112">
        <f t="shared" si="24"/>
        <v>174.51999999999998</v>
      </c>
      <c r="AV691" s="111">
        <v>9.8360000000000003E-2</v>
      </c>
      <c r="AW691" s="111" t="s">
        <v>1904</v>
      </c>
      <c r="AX691" s="25"/>
      <c r="AY691" s="25"/>
      <c r="AZ691" s="25"/>
    </row>
    <row r="692" spans="1:52" ht="31.2" x14ac:dyDescent="0.3">
      <c r="A692" s="103">
        <v>682</v>
      </c>
      <c r="B692" s="109" t="s">
        <v>1461</v>
      </c>
      <c r="C692" s="30" t="s">
        <v>1899</v>
      </c>
      <c r="D692" s="110" t="s">
        <v>1900</v>
      </c>
      <c r="E692" s="110" t="s">
        <v>1917</v>
      </c>
      <c r="F692" s="30" t="s">
        <v>2703</v>
      </c>
      <c r="G692" s="26" t="s">
        <v>145</v>
      </c>
      <c r="H692" s="24" t="s">
        <v>146</v>
      </c>
      <c r="I692" s="109">
        <v>0</v>
      </c>
      <c r="J692" s="109" t="s">
        <v>1918</v>
      </c>
      <c r="K692" s="109">
        <v>57</v>
      </c>
      <c r="L692" s="109" t="s">
        <v>1919</v>
      </c>
      <c r="M692" s="109" t="s">
        <v>1904</v>
      </c>
      <c r="N692" s="109" t="s">
        <v>529</v>
      </c>
      <c r="O692" s="109" t="s">
        <v>1920</v>
      </c>
      <c r="P692" s="109" t="s">
        <v>1920</v>
      </c>
      <c r="Q692" s="102">
        <v>0</v>
      </c>
      <c r="R692" s="109" t="s">
        <v>1907</v>
      </c>
      <c r="S692" s="109" t="s">
        <v>1922</v>
      </c>
      <c r="T692" s="25"/>
      <c r="U692" s="111" t="s">
        <v>1923</v>
      </c>
      <c r="V692" s="111" t="s">
        <v>1923</v>
      </c>
      <c r="W692" s="112" t="s">
        <v>2248</v>
      </c>
      <c r="X692" s="112" t="s">
        <v>1906</v>
      </c>
      <c r="Y692" s="112" t="s">
        <v>2248</v>
      </c>
      <c r="Z692" s="112" t="s">
        <v>1906</v>
      </c>
      <c r="AA692" s="112" t="s">
        <v>2248</v>
      </c>
      <c r="AB692" s="112" t="s">
        <v>1906</v>
      </c>
      <c r="AC692" s="112">
        <v>44.95</v>
      </c>
      <c r="AD692" s="112" t="s">
        <v>1906</v>
      </c>
      <c r="AE692" s="112">
        <v>14.5</v>
      </c>
      <c r="AF692" s="112" t="s">
        <v>1906</v>
      </c>
      <c r="AG692" s="112">
        <v>0</v>
      </c>
      <c r="AH692" s="112"/>
      <c r="AI692" s="112">
        <v>0</v>
      </c>
      <c r="AJ692" s="112"/>
      <c r="AK692" s="112">
        <v>0</v>
      </c>
      <c r="AL692" s="112"/>
      <c r="AM692" s="112">
        <v>10.119999999999999</v>
      </c>
      <c r="AN692" s="112" t="s">
        <v>1906</v>
      </c>
      <c r="AO692" s="112">
        <v>44.94</v>
      </c>
      <c r="AP692" s="112" t="s">
        <v>1906</v>
      </c>
      <c r="AQ692" s="112">
        <v>43.39</v>
      </c>
      <c r="AR692" s="112" t="s">
        <v>1906</v>
      </c>
      <c r="AS692" s="112">
        <v>43.39</v>
      </c>
      <c r="AT692" s="112" t="s">
        <v>1906</v>
      </c>
      <c r="AU692" s="112">
        <f t="shared" si="24"/>
        <v>336.14</v>
      </c>
      <c r="AV692" s="111">
        <v>0.18146000000000001</v>
      </c>
      <c r="AW692" s="111" t="s">
        <v>1904</v>
      </c>
      <c r="AX692" s="25"/>
      <c r="AY692" s="25"/>
      <c r="AZ692" s="25"/>
    </row>
    <row r="693" spans="1:52" ht="31.2" x14ac:dyDescent="0.3">
      <c r="A693" s="103">
        <v>683</v>
      </c>
      <c r="B693" s="109" t="s">
        <v>1462</v>
      </c>
      <c r="C693" s="30" t="s">
        <v>1899</v>
      </c>
      <c r="D693" s="110" t="s">
        <v>1900</v>
      </c>
      <c r="E693" s="110" t="s">
        <v>1917</v>
      </c>
      <c r="F693" s="30" t="s">
        <v>2703</v>
      </c>
      <c r="G693" s="26" t="s">
        <v>145</v>
      </c>
      <c r="H693" s="24" t="s">
        <v>146</v>
      </c>
      <c r="I693" s="109">
        <v>0</v>
      </c>
      <c r="J693" s="109" t="s">
        <v>1918</v>
      </c>
      <c r="K693" s="109">
        <v>89</v>
      </c>
      <c r="L693" s="109" t="s">
        <v>1919</v>
      </c>
      <c r="M693" s="109" t="s">
        <v>1904</v>
      </c>
      <c r="N693" s="109" t="s">
        <v>529</v>
      </c>
      <c r="O693" s="109" t="s">
        <v>1920</v>
      </c>
      <c r="P693" s="109" t="s">
        <v>1920</v>
      </c>
      <c r="Q693" s="102">
        <v>0</v>
      </c>
      <c r="R693" s="109" t="s">
        <v>1907</v>
      </c>
      <c r="S693" s="109" t="s">
        <v>1922</v>
      </c>
      <c r="T693" s="25"/>
      <c r="U693" s="111" t="s">
        <v>1923</v>
      </c>
      <c r="V693" s="111" t="s">
        <v>1923</v>
      </c>
      <c r="W693" s="112" t="s">
        <v>2249</v>
      </c>
      <c r="X693" s="112" t="s">
        <v>1906</v>
      </c>
      <c r="Y693" s="112" t="s">
        <v>2249</v>
      </c>
      <c r="Z693" s="112" t="s">
        <v>1906</v>
      </c>
      <c r="AA693" s="112" t="s">
        <v>2249</v>
      </c>
      <c r="AB693" s="112" t="s">
        <v>1906</v>
      </c>
      <c r="AC693" s="112">
        <v>23.93</v>
      </c>
      <c r="AD693" s="112" t="s">
        <v>1906</v>
      </c>
      <c r="AE693" s="112">
        <v>7.72</v>
      </c>
      <c r="AF693" s="112" t="s">
        <v>1906</v>
      </c>
      <c r="AG693" s="112">
        <v>0</v>
      </c>
      <c r="AH693" s="112"/>
      <c r="AI693" s="112">
        <v>0</v>
      </c>
      <c r="AJ693" s="112"/>
      <c r="AK693" s="112">
        <v>0</v>
      </c>
      <c r="AL693" s="112"/>
      <c r="AM693" s="112">
        <v>5.43</v>
      </c>
      <c r="AN693" s="112" t="s">
        <v>1906</v>
      </c>
      <c r="AO693" s="112">
        <v>23.29</v>
      </c>
      <c r="AP693" s="112" t="s">
        <v>1906</v>
      </c>
      <c r="AQ693" s="112">
        <v>23.29</v>
      </c>
      <c r="AR693" s="112" t="s">
        <v>1906</v>
      </c>
      <c r="AS693" s="112">
        <v>23.29</v>
      </c>
      <c r="AT693" s="112" t="s">
        <v>1906</v>
      </c>
      <c r="AU693" s="112">
        <f t="shared" si="24"/>
        <v>178.73999999999998</v>
      </c>
      <c r="AV693" s="111">
        <v>9.6350000000000005E-2</v>
      </c>
      <c r="AW693" s="111" t="s">
        <v>1904</v>
      </c>
      <c r="AX693" s="25"/>
      <c r="AY693" s="25"/>
      <c r="AZ693" s="25"/>
    </row>
    <row r="694" spans="1:52" ht="31.2" x14ac:dyDescent="0.3">
      <c r="A694" s="103">
        <v>684</v>
      </c>
      <c r="B694" s="109" t="s">
        <v>1465</v>
      </c>
      <c r="C694" s="30" t="s">
        <v>1899</v>
      </c>
      <c r="D694" s="110" t="s">
        <v>1900</v>
      </c>
      <c r="E694" s="110" t="s">
        <v>1917</v>
      </c>
      <c r="F694" s="30" t="s">
        <v>2703</v>
      </c>
      <c r="G694" s="26" t="s">
        <v>145</v>
      </c>
      <c r="H694" s="24" t="s">
        <v>146</v>
      </c>
      <c r="I694" s="109">
        <v>1</v>
      </c>
      <c r="J694" s="109" t="s">
        <v>1918</v>
      </c>
      <c r="K694" s="109">
        <v>100</v>
      </c>
      <c r="L694" s="109" t="s">
        <v>1919</v>
      </c>
      <c r="M694" s="109" t="s">
        <v>1904</v>
      </c>
      <c r="N694" s="109" t="s">
        <v>529</v>
      </c>
      <c r="O694" s="109" t="s">
        <v>1920</v>
      </c>
      <c r="P694" s="109" t="s">
        <v>1921</v>
      </c>
      <c r="Q694" s="102">
        <v>0</v>
      </c>
      <c r="R694" s="109" t="s">
        <v>1907</v>
      </c>
      <c r="S694" s="109" t="s">
        <v>1922</v>
      </c>
      <c r="T694" s="25"/>
      <c r="U694" s="111" t="s">
        <v>1923</v>
      </c>
      <c r="V694" s="111" t="s">
        <v>1923</v>
      </c>
      <c r="W694" s="112" t="s">
        <v>2250</v>
      </c>
      <c r="X694" s="112" t="s">
        <v>1906</v>
      </c>
      <c r="Y694" s="112" t="s">
        <v>2251</v>
      </c>
      <c r="Z694" s="112" t="s">
        <v>1906</v>
      </c>
      <c r="AA694" s="112" t="s">
        <v>2252</v>
      </c>
      <c r="AB694" s="112" t="s">
        <v>1906</v>
      </c>
      <c r="AC694" s="112">
        <v>39.090000000000003</v>
      </c>
      <c r="AD694" s="112" t="s">
        <v>1906</v>
      </c>
      <c r="AE694" s="112">
        <v>19.66</v>
      </c>
      <c r="AF694" s="112" t="s">
        <v>1906</v>
      </c>
      <c r="AG694" s="112">
        <v>0</v>
      </c>
      <c r="AH694" s="112"/>
      <c r="AI694" s="112">
        <v>0</v>
      </c>
      <c r="AJ694" s="112"/>
      <c r="AK694" s="112">
        <v>0</v>
      </c>
      <c r="AL694" s="112"/>
      <c r="AM694" s="112">
        <v>0</v>
      </c>
      <c r="AN694" s="112"/>
      <c r="AO694" s="112">
        <v>53.6</v>
      </c>
      <c r="AP694" s="112" t="s">
        <v>208</v>
      </c>
      <c r="AQ694" s="112">
        <v>43.55</v>
      </c>
      <c r="AR694" s="112" t="s">
        <v>208</v>
      </c>
      <c r="AS694" s="112">
        <v>61.42</v>
      </c>
      <c r="AT694" s="112" t="s">
        <v>208</v>
      </c>
      <c r="AU694" s="112">
        <f t="shared" si="24"/>
        <v>453.4500000000001</v>
      </c>
      <c r="AV694" s="111">
        <v>0.25191999999999998</v>
      </c>
      <c r="AW694" s="111" t="s">
        <v>1904</v>
      </c>
      <c r="AX694" s="25"/>
      <c r="AY694" s="25"/>
      <c r="AZ694" s="25"/>
    </row>
    <row r="695" spans="1:52" ht="31.2" x14ac:dyDescent="0.3">
      <c r="A695" s="103">
        <v>685</v>
      </c>
      <c r="B695" s="109" t="s">
        <v>1466</v>
      </c>
      <c r="C695" s="30" t="s">
        <v>1899</v>
      </c>
      <c r="D695" s="110" t="s">
        <v>1900</v>
      </c>
      <c r="E695" s="110" t="s">
        <v>1917</v>
      </c>
      <c r="F695" s="30" t="s">
        <v>2703</v>
      </c>
      <c r="G695" s="26" t="s">
        <v>145</v>
      </c>
      <c r="H695" s="24" t="s">
        <v>146</v>
      </c>
      <c r="I695" s="109">
        <v>1</v>
      </c>
      <c r="J695" s="109" t="s">
        <v>1918</v>
      </c>
      <c r="K695" s="109">
        <v>50</v>
      </c>
      <c r="L695" s="109" t="s">
        <v>1919</v>
      </c>
      <c r="M695" s="109" t="s">
        <v>1904</v>
      </c>
      <c r="N695" s="109" t="s">
        <v>529</v>
      </c>
      <c r="O695" s="109" t="s">
        <v>1920</v>
      </c>
      <c r="P695" s="109" t="s">
        <v>1921</v>
      </c>
      <c r="Q695" s="102">
        <v>0</v>
      </c>
      <c r="R695" s="109" t="s">
        <v>1907</v>
      </c>
      <c r="S695" s="109" t="s">
        <v>1922</v>
      </c>
      <c r="T695" s="25"/>
      <c r="U695" s="111" t="s">
        <v>1923</v>
      </c>
      <c r="V695" s="111" t="s">
        <v>1923</v>
      </c>
      <c r="W695" s="112" t="s">
        <v>2253</v>
      </c>
      <c r="X695" s="112" t="s">
        <v>1906</v>
      </c>
      <c r="Y695" s="112" t="s">
        <v>2253</v>
      </c>
      <c r="Z695" s="112" t="s">
        <v>1906</v>
      </c>
      <c r="AA695" s="112" t="s">
        <v>2253</v>
      </c>
      <c r="AB695" s="112" t="s">
        <v>1906</v>
      </c>
      <c r="AC695" s="112">
        <v>46.69</v>
      </c>
      <c r="AD695" s="112" t="s">
        <v>1906</v>
      </c>
      <c r="AE695" s="112">
        <v>24.64</v>
      </c>
      <c r="AF695" s="112" t="s">
        <v>1906</v>
      </c>
      <c r="AG695" s="112">
        <v>0</v>
      </c>
      <c r="AH695" s="112"/>
      <c r="AI695" s="112">
        <v>0</v>
      </c>
      <c r="AJ695" s="112"/>
      <c r="AK695" s="112">
        <v>0</v>
      </c>
      <c r="AL695" s="112"/>
      <c r="AM695" s="112">
        <v>0</v>
      </c>
      <c r="AN695" s="112"/>
      <c r="AO695" s="112">
        <v>33.17</v>
      </c>
      <c r="AP695" s="112" t="s">
        <v>1906</v>
      </c>
      <c r="AQ695" s="112">
        <v>33.17</v>
      </c>
      <c r="AR695" s="112" t="s">
        <v>1906</v>
      </c>
      <c r="AS695" s="112">
        <v>33.17</v>
      </c>
      <c r="AT695" s="112" t="s">
        <v>1906</v>
      </c>
      <c r="AU695" s="112">
        <f t="shared" si="24"/>
        <v>283.73000000000008</v>
      </c>
      <c r="AV695" s="111">
        <v>0.16861999999999999</v>
      </c>
      <c r="AW695" s="111" t="s">
        <v>1904</v>
      </c>
      <c r="AX695" s="25"/>
      <c r="AY695" s="25"/>
      <c r="AZ695" s="25"/>
    </row>
    <row r="696" spans="1:52" ht="31.2" x14ac:dyDescent="0.3">
      <c r="A696" s="103">
        <v>686</v>
      </c>
      <c r="B696" s="109" t="s">
        <v>1467</v>
      </c>
      <c r="C696" s="30" t="s">
        <v>1899</v>
      </c>
      <c r="D696" s="110" t="s">
        <v>1900</v>
      </c>
      <c r="E696" s="110" t="s">
        <v>1917</v>
      </c>
      <c r="F696" s="30" t="s">
        <v>2703</v>
      </c>
      <c r="G696" s="26" t="s">
        <v>145</v>
      </c>
      <c r="H696" s="24" t="s">
        <v>146</v>
      </c>
      <c r="I696" s="109">
        <v>1</v>
      </c>
      <c r="J696" s="109" t="s">
        <v>1918</v>
      </c>
      <c r="K696" s="109">
        <v>76</v>
      </c>
      <c r="L696" s="109" t="s">
        <v>1919</v>
      </c>
      <c r="M696" s="109" t="s">
        <v>1904</v>
      </c>
      <c r="N696" s="109" t="s">
        <v>529</v>
      </c>
      <c r="O696" s="109" t="s">
        <v>1920</v>
      </c>
      <c r="P696" s="109" t="s">
        <v>1921</v>
      </c>
      <c r="Q696" s="102">
        <v>0</v>
      </c>
      <c r="R696" s="109" t="s">
        <v>1907</v>
      </c>
      <c r="S696" s="109" t="s">
        <v>1922</v>
      </c>
      <c r="T696" s="25"/>
      <c r="U696" s="111" t="s">
        <v>1923</v>
      </c>
      <c r="V696" s="111" t="s">
        <v>1923</v>
      </c>
      <c r="W696" s="112" t="s">
        <v>2254</v>
      </c>
      <c r="X696" s="112" t="s">
        <v>1906</v>
      </c>
      <c r="Y696" s="112" t="s">
        <v>2255</v>
      </c>
      <c r="Z696" s="112" t="s">
        <v>1906</v>
      </c>
      <c r="AA696" s="112" t="s">
        <v>2256</v>
      </c>
      <c r="AB696" s="112" t="s">
        <v>1906</v>
      </c>
      <c r="AC696" s="112">
        <v>76.59</v>
      </c>
      <c r="AD696" s="112" t="s">
        <v>1906</v>
      </c>
      <c r="AE696" s="112">
        <v>24.71</v>
      </c>
      <c r="AF696" s="112" t="s">
        <v>1906</v>
      </c>
      <c r="AG696" s="112">
        <v>0</v>
      </c>
      <c r="AH696" s="112"/>
      <c r="AI696" s="112">
        <v>0</v>
      </c>
      <c r="AJ696" s="112"/>
      <c r="AK696" s="112">
        <v>0</v>
      </c>
      <c r="AL696" s="112"/>
      <c r="AM696" s="112">
        <v>0</v>
      </c>
      <c r="AN696" s="112"/>
      <c r="AO696" s="112">
        <v>71.78</v>
      </c>
      <c r="AP696" s="112" t="s">
        <v>208</v>
      </c>
      <c r="AQ696" s="112">
        <v>71.78</v>
      </c>
      <c r="AR696" s="112" t="s">
        <v>208</v>
      </c>
      <c r="AS696" s="112">
        <v>71.78</v>
      </c>
      <c r="AT696" s="112" t="s">
        <v>208</v>
      </c>
      <c r="AU696" s="112">
        <f t="shared" si="24"/>
        <v>597.47</v>
      </c>
      <c r="AV696" s="111">
        <v>0.23787</v>
      </c>
      <c r="AW696" s="111" t="s">
        <v>1904</v>
      </c>
      <c r="AX696" s="25"/>
      <c r="AY696" s="25"/>
      <c r="AZ696" s="25"/>
    </row>
    <row r="697" spans="1:52" ht="31.2" x14ac:dyDescent="0.3">
      <c r="A697" s="103">
        <v>687</v>
      </c>
      <c r="B697" s="109" t="s">
        <v>1468</v>
      </c>
      <c r="C697" s="30" t="s">
        <v>1899</v>
      </c>
      <c r="D697" s="110" t="s">
        <v>1900</v>
      </c>
      <c r="E697" s="110" t="s">
        <v>1917</v>
      </c>
      <c r="F697" s="30" t="s">
        <v>2703</v>
      </c>
      <c r="G697" s="26" t="s">
        <v>145</v>
      </c>
      <c r="H697" s="24" t="s">
        <v>146</v>
      </c>
      <c r="I697" s="109">
        <v>1</v>
      </c>
      <c r="J697" s="109" t="s">
        <v>1918</v>
      </c>
      <c r="K697" s="109">
        <v>89</v>
      </c>
      <c r="L697" s="109" t="s">
        <v>1919</v>
      </c>
      <c r="M697" s="109" t="s">
        <v>1904</v>
      </c>
      <c r="N697" s="109" t="s">
        <v>529</v>
      </c>
      <c r="O697" s="109" t="s">
        <v>1920</v>
      </c>
      <c r="P697" s="109" t="s">
        <v>1921</v>
      </c>
      <c r="Q697" s="102">
        <v>0</v>
      </c>
      <c r="R697" s="109" t="s">
        <v>1907</v>
      </c>
      <c r="S697" s="109" t="s">
        <v>1922</v>
      </c>
      <c r="T697" s="25"/>
      <c r="U697" s="111" t="s">
        <v>1923</v>
      </c>
      <c r="V697" s="111" t="s">
        <v>1923</v>
      </c>
      <c r="W697" s="112" t="s">
        <v>2257</v>
      </c>
      <c r="X697" s="112" t="s">
        <v>1906</v>
      </c>
      <c r="Y697" s="112" t="s">
        <v>2257</v>
      </c>
      <c r="Z697" s="112" t="s">
        <v>1906</v>
      </c>
      <c r="AA697" s="112" t="s">
        <v>2257</v>
      </c>
      <c r="AB697" s="112" t="s">
        <v>1906</v>
      </c>
      <c r="AC697" s="112">
        <v>53.46</v>
      </c>
      <c r="AD697" s="112" t="s">
        <v>1906</v>
      </c>
      <c r="AE697" s="112">
        <v>17.239999999999998</v>
      </c>
      <c r="AF697" s="112" t="s">
        <v>1906</v>
      </c>
      <c r="AG697" s="112">
        <v>0</v>
      </c>
      <c r="AH697" s="112"/>
      <c r="AI697" s="112">
        <v>0</v>
      </c>
      <c r="AJ697" s="112"/>
      <c r="AK697" s="112">
        <v>0</v>
      </c>
      <c r="AL697" s="112"/>
      <c r="AM697" s="112">
        <v>0</v>
      </c>
      <c r="AN697" s="112"/>
      <c r="AO697" s="112">
        <v>58.61</v>
      </c>
      <c r="AP697" s="112" t="s">
        <v>1906</v>
      </c>
      <c r="AQ697" s="112">
        <v>52.08</v>
      </c>
      <c r="AR697" s="112" t="s">
        <v>1906</v>
      </c>
      <c r="AS697" s="112">
        <v>52.08</v>
      </c>
      <c r="AT697" s="112" t="s">
        <v>1906</v>
      </c>
      <c r="AU697" s="112">
        <f t="shared" si="24"/>
        <v>393.84999999999997</v>
      </c>
      <c r="AV697" s="111">
        <v>0.21168000000000001</v>
      </c>
      <c r="AW697" s="111" t="s">
        <v>1904</v>
      </c>
      <c r="AX697" s="25"/>
      <c r="AY697" s="25"/>
      <c r="AZ697" s="25"/>
    </row>
    <row r="698" spans="1:52" ht="31.2" x14ac:dyDescent="0.3">
      <c r="A698" s="103">
        <v>688</v>
      </c>
      <c r="B698" s="109" t="s">
        <v>1469</v>
      </c>
      <c r="C698" s="30" t="s">
        <v>1899</v>
      </c>
      <c r="D698" s="110" t="s">
        <v>1900</v>
      </c>
      <c r="E698" s="110" t="s">
        <v>1917</v>
      </c>
      <c r="F698" s="30" t="s">
        <v>2703</v>
      </c>
      <c r="G698" s="26" t="s">
        <v>145</v>
      </c>
      <c r="H698" s="24" t="s">
        <v>146</v>
      </c>
      <c r="I698" s="109">
        <v>1</v>
      </c>
      <c r="J698" s="109" t="s">
        <v>1918</v>
      </c>
      <c r="K698" s="109">
        <v>133</v>
      </c>
      <c r="L698" s="109" t="s">
        <v>1919</v>
      </c>
      <c r="M698" s="109" t="s">
        <v>1904</v>
      </c>
      <c r="N698" s="109" t="s">
        <v>529</v>
      </c>
      <c r="O698" s="109" t="s">
        <v>1920</v>
      </c>
      <c r="P698" s="109" t="s">
        <v>1921</v>
      </c>
      <c r="Q698" s="102">
        <v>0</v>
      </c>
      <c r="R698" s="109" t="s">
        <v>1907</v>
      </c>
      <c r="S698" s="109" t="s">
        <v>1922</v>
      </c>
      <c r="T698" s="25"/>
      <c r="U698" s="111" t="s">
        <v>1923</v>
      </c>
      <c r="V698" s="111" t="s">
        <v>1923</v>
      </c>
      <c r="W698" s="112" t="s">
        <v>2258</v>
      </c>
      <c r="X698" s="112" t="s">
        <v>1906</v>
      </c>
      <c r="Y698" s="112" t="s">
        <v>2258</v>
      </c>
      <c r="Z698" s="112" t="s">
        <v>1906</v>
      </c>
      <c r="AA698" s="112" t="s">
        <v>2258</v>
      </c>
      <c r="AB698" s="112" t="s">
        <v>1906</v>
      </c>
      <c r="AC698" s="112">
        <v>364.67</v>
      </c>
      <c r="AD698" s="112" t="s">
        <v>1906</v>
      </c>
      <c r="AE698" s="112">
        <v>117.64</v>
      </c>
      <c r="AF698" s="112" t="s">
        <v>1906</v>
      </c>
      <c r="AG698" s="112">
        <v>0</v>
      </c>
      <c r="AH698" s="112"/>
      <c r="AI698" s="112">
        <v>0</v>
      </c>
      <c r="AJ698" s="112"/>
      <c r="AK698" s="112">
        <v>0</v>
      </c>
      <c r="AL698" s="112"/>
      <c r="AM698" s="112">
        <v>79.63</v>
      </c>
      <c r="AN698" s="112" t="s">
        <v>1906</v>
      </c>
      <c r="AO698" s="112">
        <v>342.05</v>
      </c>
      <c r="AP698" s="112" t="s">
        <v>1906</v>
      </c>
      <c r="AQ698" s="112">
        <v>341.27</v>
      </c>
      <c r="AR698" s="112" t="s">
        <v>1906</v>
      </c>
      <c r="AS698" s="112">
        <v>341.27</v>
      </c>
      <c r="AT698" s="112" t="s">
        <v>1906</v>
      </c>
      <c r="AU698" s="112">
        <f t="shared" si="24"/>
        <v>2680.5400000000004</v>
      </c>
      <c r="AV698" s="111">
        <v>1.1254999999999999</v>
      </c>
      <c r="AW698" s="111" t="s">
        <v>1904</v>
      </c>
      <c r="AX698" s="25"/>
      <c r="AY698" s="25"/>
      <c r="AZ698" s="25"/>
    </row>
    <row r="699" spans="1:52" ht="31.2" x14ac:dyDescent="0.3">
      <c r="A699" s="103">
        <v>689</v>
      </c>
      <c r="B699" s="109" t="s">
        <v>1471</v>
      </c>
      <c r="C699" s="30" t="s">
        <v>1899</v>
      </c>
      <c r="D699" s="110" t="s">
        <v>1900</v>
      </c>
      <c r="E699" s="110" t="s">
        <v>1917</v>
      </c>
      <c r="F699" s="30" t="s">
        <v>2703</v>
      </c>
      <c r="G699" s="26" t="s">
        <v>145</v>
      </c>
      <c r="H699" s="24" t="s">
        <v>146</v>
      </c>
      <c r="I699" s="109">
        <v>1</v>
      </c>
      <c r="J699" s="109" t="s">
        <v>1918</v>
      </c>
      <c r="K699" s="109">
        <v>100</v>
      </c>
      <c r="L699" s="109" t="s">
        <v>1919</v>
      </c>
      <c r="M699" s="109" t="s">
        <v>1904</v>
      </c>
      <c r="N699" s="109" t="s">
        <v>529</v>
      </c>
      <c r="O699" s="109" t="s">
        <v>1920</v>
      </c>
      <c r="P699" s="109" t="s">
        <v>1921</v>
      </c>
      <c r="Q699" s="102">
        <v>0</v>
      </c>
      <c r="R699" s="109" t="s">
        <v>1907</v>
      </c>
      <c r="S699" s="109" t="s">
        <v>1922</v>
      </c>
      <c r="T699" s="25"/>
      <c r="U699" s="111" t="s">
        <v>1923</v>
      </c>
      <c r="V699" s="111" t="s">
        <v>1923</v>
      </c>
      <c r="W699" s="112" t="s">
        <v>2259</v>
      </c>
      <c r="X699" s="112" t="s">
        <v>1906</v>
      </c>
      <c r="Y699" s="112" t="s">
        <v>2259</v>
      </c>
      <c r="Z699" s="112" t="s">
        <v>1906</v>
      </c>
      <c r="AA699" s="112" t="s">
        <v>2259</v>
      </c>
      <c r="AB699" s="112" t="s">
        <v>1906</v>
      </c>
      <c r="AC699" s="112">
        <v>149.44</v>
      </c>
      <c r="AD699" s="112" t="s">
        <v>1906</v>
      </c>
      <c r="AE699" s="112">
        <v>48.21</v>
      </c>
      <c r="AF699" s="112" t="s">
        <v>1906</v>
      </c>
      <c r="AG699" s="112">
        <v>0</v>
      </c>
      <c r="AH699" s="112"/>
      <c r="AI699" s="112">
        <v>0</v>
      </c>
      <c r="AJ699" s="112"/>
      <c r="AK699" s="112">
        <v>0</v>
      </c>
      <c r="AL699" s="112"/>
      <c r="AM699" s="112">
        <v>0</v>
      </c>
      <c r="AN699" s="112"/>
      <c r="AO699" s="112">
        <v>69.78</v>
      </c>
      <c r="AP699" s="112" t="s">
        <v>208</v>
      </c>
      <c r="AQ699" s="112">
        <v>74.02</v>
      </c>
      <c r="AR699" s="112" t="s">
        <v>208</v>
      </c>
      <c r="AS699" s="112">
        <v>107.71</v>
      </c>
      <c r="AT699" s="112" t="s">
        <v>208</v>
      </c>
      <c r="AU699" s="112">
        <f t="shared" si="24"/>
        <v>897.48</v>
      </c>
      <c r="AV699" s="111">
        <v>0.49913000000000002</v>
      </c>
      <c r="AW699" s="111" t="s">
        <v>1904</v>
      </c>
      <c r="AX699" s="25"/>
      <c r="AY699" s="25"/>
      <c r="AZ699" s="25"/>
    </row>
    <row r="700" spans="1:52" ht="31.2" x14ac:dyDescent="0.3">
      <c r="A700" s="103">
        <v>690</v>
      </c>
      <c r="B700" s="109" t="s">
        <v>1472</v>
      </c>
      <c r="C700" s="30" t="s">
        <v>1899</v>
      </c>
      <c r="D700" s="110" t="s">
        <v>1900</v>
      </c>
      <c r="E700" s="110" t="s">
        <v>1917</v>
      </c>
      <c r="F700" s="30" t="s">
        <v>2703</v>
      </c>
      <c r="G700" s="26" t="s">
        <v>145</v>
      </c>
      <c r="H700" s="24" t="s">
        <v>146</v>
      </c>
      <c r="I700" s="109">
        <v>3</v>
      </c>
      <c r="J700" s="109" t="s">
        <v>1918</v>
      </c>
      <c r="K700" s="109">
        <v>76</v>
      </c>
      <c r="L700" s="109" t="s">
        <v>1919</v>
      </c>
      <c r="M700" s="109" t="s">
        <v>1904</v>
      </c>
      <c r="N700" s="109" t="s">
        <v>529</v>
      </c>
      <c r="O700" s="109" t="s">
        <v>1920</v>
      </c>
      <c r="P700" s="109" t="s">
        <v>1921</v>
      </c>
      <c r="Q700" s="102">
        <v>0</v>
      </c>
      <c r="R700" s="109" t="s">
        <v>1907</v>
      </c>
      <c r="S700" s="109" t="s">
        <v>1922</v>
      </c>
      <c r="T700" s="25"/>
      <c r="U700" s="111" t="s">
        <v>1923</v>
      </c>
      <c r="V700" s="111" t="s">
        <v>1923</v>
      </c>
      <c r="W700" s="112" t="s">
        <v>2260</v>
      </c>
      <c r="X700" s="112" t="s">
        <v>1906</v>
      </c>
      <c r="Y700" s="112" t="s">
        <v>2260</v>
      </c>
      <c r="Z700" s="112" t="s">
        <v>1906</v>
      </c>
      <c r="AA700" s="112" t="s">
        <v>2260</v>
      </c>
      <c r="AB700" s="112" t="s">
        <v>1906</v>
      </c>
      <c r="AC700" s="112">
        <v>104.92</v>
      </c>
      <c r="AD700" s="112" t="s">
        <v>1906</v>
      </c>
      <c r="AE700" s="112">
        <v>33.840000000000003</v>
      </c>
      <c r="AF700" s="112" t="s">
        <v>1906</v>
      </c>
      <c r="AG700" s="112">
        <v>0</v>
      </c>
      <c r="AH700" s="112"/>
      <c r="AI700" s="112">
        <v>0</v>
      </c>
      <c r="AJ700" s="112"/>
      <c r="AK700" s="112">
        <v>0</v>
      </c>
      <c r="AL700" s="112"/>
      <c r="AM700" s="112">
        <v>0</v>
      </c>
      <c r="AN700" s="112"/>
      <c r="AO700" s="112">
        <v>56.02</v>
      </c>
      <c r="AP700" s="112" t="s">
        <v>208</v>
      </c>
      <c r="AQ700" s="112">
        <v>23.67</v>
      </c>
      <c r="AR700" s="112" t="s">
        <v>208</v>
      </c>
      <c r="AS700" s="112">
        <v>35.14</v>
      </c>
      <c r="AT700" s="112" t="s">
        <v>208</v>
      </c>
      <c r="AU700" s="112">
        <f t="shared" si="24"/>
        <v>568.34999999999991</v>
      </c>
      <c r="AV700" s="111">
        <v>0.34810000000000002</v>
      </c>
      <c r="AW700" s="111" t="s">
        <v>1904</v>
      </c>
      <c r="AX700" s="25"/>
      <c r="AY700" s="25"/>
      <c r="AZ700" s="25"/>
    </row>
    <row r="701" spans="1:52" ht="31.2" x14ac:dyDescent="0.3">
      <c r="A701" s="103">
        <v>691</v>
      </c>
      <c r="B701" s="109" t="s">
        <v>1473</v>
      </c>
      <c r="C701" s="30" t="s">
        <v>1899</v>
      </c>
      <c r="D701" s="110" t="s">
        <v>1900</v>
      </c>
      <c r="E701" s="110" t="s">
        <v>1917</v>
      </c>
      <c r="F701" s="30" t="s">
        <v>2703</v>
      </c>
      <c r="G701" s="26" t="s">
        <v>145</v>
      </c>
      <c r="H701" s="24" t="s">
        <v>146</v>
      </c>
      <c r="I701" s="109">
        <v>1</v>
      </c>
      <c r="J701" s="109" t="s">
        <v>1918</v>
      </c>
      <c r="K701" s="109">
        <v>76</v>
      </c>
      <c r="L701" s="109" t="s">
        <v>1919</v>
      </c>
      <c r="M701" s="109" t="s">
        <v>1904</v>
      </c>
      <c r="N701" s="109" t="s">
        <v>529</v>
      </c>
      <c r="O701" s="109" t="s">
        <v>1920</v>
      </c>
      <c r="P701" s="109" t="s">
        <v>1921</v>
      </c>
      <c r="Q701" s="102">
        <v>0</v>
      </c>
      <c r="R701" s="109" t="s">
        <v>1907</v>
      </c>
      <c r="S701" s="109" t="s">
        <v>1922</v>
      </c>
      <c r="T701" s="25"/>
      <c r="U701" s="111" t="s">
        <v>1923</v>
      </c>
      <c r="V701" s="111" t="s">
        <v>1923</v>
      </c>
      <c r="W701" s="112" t="s">
        <v>2261</v>
      </c>
      <c r="X701" s="112" t="s">
        <v>208</v>
      </c>
      <c r="Y701" s="112" t="s">
        <v>2262</v>
      </c>
      <c r="Z701" s="112" t="s">
        <v>208</v>
      </c>
      <c r="AA701" s="112" t="s">
        <v>2263</v>
      </c>
      <c r="AB701" s="112" t="s">
        <v>208</v>
      </c>
      <c r="AC701" s="112">
        <v>45.74</v>
      </c>
      <c r="AD701" s="112" t="s">
        <v>208</v>
      </c>
      <c r="AE701" s="112">
        <v>14.76</v>
      </c>
      <c r="AF701" s="112" t="s">
        <v>208</v>
      </c>
      <c r="AG701" s="112">
        <v>0</v>
      </c>
      <c r="AH701" s="112"/>
      <c r="AI701" s="112">
        <v>0</v>
      </c>
      <c r="AJ701" s="112"/>
      <c r="AK701" s="112">
        <v>0</v>
      </c>
      <c r="AL701" s="112"/>
      <c r="AM701" s="112">
        <v>0</v>
      </c>
      <c r="AN701" s="112"/>
      <c r="AO701" s="112">
        <v>41.53</v>
      </c>
      <c r="AP701" s="112" t="s">
        <v>1906</v>
      </c>
      <c r="AQ701" s="112">
        <v>41.53</v>
      </c>
      <c r="AR701" s="112" t="s">
        <v>1906</v>
      </c>
      <c r="AS701" s="112">
        <v>41.53</v>
      </c>
      <c r="AT701" s="112" t="s">
        <v>1906</v>
      </c>
      <c r="AU701" s="112">
        <f t="shared" si="24"/>
        <v>344.4799999999999</v>
      </c>
      <c r="AV701" s="111">
        <v>0.1636</v>
      </c>
      <c r="AW701" s="111" t="s">
        <v>1904</v>
      </c>
      <c r="AX701" s="25"/>
      <c r="AY701" s="25"/>
      <c r="AZ701" s="25"/>
    </row>
    <row r="702" spans="1:52" ht="31.2" x14ac:dyDescent="0.3">
      <c r="A702" s="103">
        <v>692</v>
      </c>
      <c r="B702" s="109" t="s">
        <v>1474</v>
      </c>
      <c r="C702" s="30" t="s">
        <v>1899</v>
      </c>
      <c r="D702" s="110" t="s">
        <v>1900</v>
      </c>
      <c r="E702" s="110" t="s">
        <v>1917</v>
      </c>
      <c r="F702" s="30" t="s">
        <v>2703</v>
      </c>
      <c r="G702" s="26" t="s">
        <v>145</v>
      </c>
      <c r="H702" s="24" t="s">
        <v>146</v>
      </c>
      <c r="I702" s="109">
        <v>0</v>
      </c>
      <c r="J702" s="109" t="s">
        <v>1918</v>
      </c>
      <c r="K702" s="109">
        <v>50</v>
      </c>
      <c r="L702" s="109" t="s">
        <v>1919</v>
      </c>
      <c r="M702" s="109" t="s">
        <v>1904</v>
      </c>
      <c r="N702" s="109" t="s">
        <v>529</v>
      </c>
      <c r="O702" s="109" t="s">
        <v>1920</v>
      </c>
      <c r="P702" s="109" t="s">
        <v>1920</v>
      </c>
      <c r="Q702" s="102">
        <v>0</v>
      </c>
      <c r="R702" s="109" t="s">
        <v>1907</v>
      </c>
      <c r="S702" s="109" t="s">
        <v>1922</v>
      </c>
      <c r="T702" s="25"/>
      <c r="U702" s="111" t="s">
        <v>1923</v>
      </c>
      <c r="V702" s="111" t="s">
        <v>1923</v>
      </c>
      <c r="W702" s="112" t="s">
        <v>2264</v>
      </c>
      <c r="X702" s="112" t="s">
        <v>1906</v>
      </c>
      <c r="Y702" s="112" t="s">
        <v>2264</v>
      </c>
      <c r="Z702" s="112" t="s">
        <v>1906</v>
      </c>
      <c r="AA702" s="112" t="s">
        <v>2264</v>
      </c>
      <c r="AB702" s="112" t="s">
        <v>1906</v>
      </c>
      <c r="AC702" s="112">
        <v>38.01</v>
      </c>
      <c r="AD702" s="112" t="s">
        <v>1906</v>
      </c>
      <c r="AE702" s="112">
        <v>12.26</v>
      </c>
      <c r="AF702" s="112" t="s">
        <v>1906</v>
      </c>
      <c r="AG702" s="112">
        <v>0</v>
      </c>
      <c r="AH702" s="112"/>
      <c r="AI702" s="112">
        <v>0</v>
      </c>
      <c r="AJ702" s="112"/>
      <c r="AK702" s="112">
        <v>0</v>
      </c>
      <c r="AL702" s="112"/>
      <c r="AM702" s="112">
        <v>8.41</v>
      </c>
      <c r="AN702" s="112" t="s">
        <v>1906</v>
      </c>
      <c r="AO702" s="112">
        <v>36.049999999999997</v>
      </c>
      <c r="AP702" s="112" t="s">
        <v>1906</v>
      </c>
      <c r="AQ702" s="112">
        <v>36.049999999999997</v>
      </c>
      <c r="AR702" s="112" t="s">
        <v>1906</v>
      </c>
      <c r="AS702" s="112">
        <v>36.049999999999997</v>
      </c>
      <c r="AT702" s="112" t="s">
        <v>1906</v>
      </c>
      <c r="AU702" s="112">
        <f t="shared" si="24"/>
        <v>280.86</v>
      </c>
      <c r="AV702" s="111">
        <v>0.13247999999999999</v>
      </c>
      <c r="AW702" s="111" t="s">
        <v>1904</v>
      </c>
      <c r="AX702" s="25"/>
      <c r="AY702" s="25"/>
      <c r="AZ702" s="25"/>
    </row>
    <row r="703" spans="1:52" ht="31.2" x14ac:dyDescent="0.3">
      <c r="A703" s="103">
        <v>693</v>
      </c>
      <c r="B703" s="109" t="s">
        <v>1475</v>
      </c>
      <c r="C703" s="30" t="s">
        <v>1899</v>
      </c>
      <c r="D703" s="110" t="s">
        <v>1900</v>
      </c>
      <c r="E703" s="110" t="s">
        <v>1917</v>
      </c>
      <c r="F703" s="30" t="s">
        <v>2703</v>
      </c>
      <c r="G703" s="26" t="s">
        <v>145</v>
      </c>
      <c r="H703" s="24" t="s">
        <v>146</v>
      </c>
      <c r="I703" s="109">
        <v>1</v>
      </c>
      <c r="J703" s="109" t="s">
        <v>1918</v>
      </c>
      <c r="K703" s="109">
        <v>76</v>
      </c>
      <c r="L703" s="109" t="s">
        <v>1919</v>
      </c>
      <c r="M703" s="109" t="s">
        <v>1904</v>
      </c>
      <c r="N703" s="109" t="s">
        <v>529</v>
      </c>
      <c r="O703" s="109" t="s">
        <v>1920</v>
      </c>
      <c r="P703" s="109" t="s">
        <v>1921</v>
      </c>
      <c r="Q703" s="102">
        <v>0</v>
      </c>
      <c r="R703" s="109" t="s">
        <v>1907</v>
      </c>
      <c r="S703" s="109" t="s">
        <v>1922</v>
      </c>
      <c r="T703" s="25"/>
      <c r="U703" s="111" t="s">
        <v>1923</v>
      </c>
      <c r="V703" s="111" t="s">
        <v>1923</v>
      </c>
      <c r="W703" s="112" t="s">
        <v>2265</v>
      </c>
      <c r="X703" s="112" t="s">
        <v>1906</v>
      </c>
      <c r="Y703" s="112" t="s">
        <v>2266</v>
      </c>
      <c r="Z703" s="112" t="s">
        <v>1906</v>
      </c>
      <c r="AA703" s="112" t="s">
        <v>2267</v>
      </c>
      <c r="AB703" s="112" t="s">
        <v>1906</v>
      </c>
      <c r="AC703" s="112">
        <v>37.380000000000003</v>
      </c>
      <c r="AD703" s="112" t="s">
        <v>1906</v>
      </c>
      <c r="AE703" s="112">
        <v>26.76</v>
      </c>
      <c r="AF703" s="112" t="s">
        <v>1906</v>
      </c>
      <c r="AG703" s="112">
        <v>0</v>
      </c>
      <c r="AH703" s="112"/>
      <c r="AI703" s="112">
        <v>0</v>
      </c>
      <c r="AJ703" s="112"/>
      <c r="AK703" s="112">
        <v>0</v>
      </c>
      <c r="AL703" s="112"/>
      <c r="AM703" s="112">
        <v>0</v>
      </c>
      <c r="AN703" s="112"/>
      <c r="AO703" s="112">
        <v>35.4</v>
      </c>
      <c r="AP703" s="112" t="s">
        <v>208</v>
      </c>
      <c r="AQ703" s="112">
        <v>42.34</v>
      </c>
      <c r="AR703" s="112" t="s">
        <v>208</v>
      </c>
      <c r="AS703" s="112">
        <v>59.94</v>
      </c>
      <c r="AT703" s="112" t="s">
        <v>208</v>
      </c>
      <c r="AU703" s="112">
        <f t="shared" si="24"/>
        <v>444.86999999999995</v>
      </c>
      <c r="AV703" s="111">
        <v>0.23635999999999999</v>
      </c>
      <c r="AW703" s="111" t="s">
        <v>1904</v>
      </c>
      <c r="AX703" s="25"/>
      <c r="AY703" s="25"/>
      <c r="AZ703" s="25"/>
    </row>
    <row r="704" spans="1:52" ht="31.2" x14ac:dyDescent="0.3">
      <c r="A704" s="103">
        <v>694</v>
      </c>
      <c r="B704" s="109" t="s">
        <v>1477</v>
      </c>
      <c r="C704" s="30" t="s">
        <v>1899</v>
      </c>
      <c r="D704" s="110" t="s">
        <v>1900</v>
      </c>
      <c r="E704" s="110" t="s">
        <v>1917</v>
      </c>
      <c r="F704" s="30" t="s">
        <v>2703</v>
      </c>
      <c r="G704" s="26" t="s">
        <v>145</v>
      </c>
      <c r="H704" s="24" t="s">
        <v>146</v>
      </c>
      <c r="I704" s="109">
        <v>1</v>
      </c>
      <c r="J704" s="109" t="s">
        <v>1918</v>
      </c>
      <c r="K704" s="109">
        <v>76</v>
      </c>
      <c r="L704" s="109" t="s">
        <v>1919</v>
      </c>
      <c r="M704" s="109" t="s">
        <v>1904</v>
      </c>
      <c r="N704" s="109" t="s">
        <v>529</v>
      </c>
      <c r="O704" s="109" t="s">
        <v>1920</v>
      </c>
      <c r="P704" s="109" t="s">
        <v>1921</v>
      </c>
      <c r="Q704" s="102">
        <v>0</v>
      </c>
      <c r="R704" s="109" t="s">
        <v>1907</v>
      </c>
      <c r="S704" s="109" t="s">
        <v>1922</v>
      </c>
      <c r="T704" s="25"/>
      <c r="U704" s="111" t="s">
        <v>1923</v>
      </c>
      <c r="V704" s="111" t="s">
        <v>1923</v>
      </c>
      <c r="W704" s="112" t="s">
        <v>2188</v>
      </c>
      <c r="X704" s="112" t="s">
        <v>1906</v>
      </c>
      <c r="Y704" s="112" t="s">
        <v>2268</v>
      </c>
      <c r="Z704" s="112" t="s">
        <v>1906</v>
      </c>
      <c r="AA704" s="112" t="s">
        <v>2269</v>
      </c>
      <c r="AB704" s="112" t="s">
        <v>1906</v>
      </c>
      <c r="AC704" s="112">
        <v>38.270000000000003</v>
      </c>
      <c r="AD704" s="112" t="s">
        <v>1906</v>
      </c>
      <c r="AE704" s="112">
        <v>18.96</v>
      </c>
      <c r="AF704" s="112" t="s">
        <v>1906</v>
      </c>
      <c r="AG704" s="112">
        <v>0</v>
      </c>
      <c r="AH704" s="112"/>
      <c r="AI704" s="112">
        <v>0</v>
      </c>
      <c r="AJ704" s="112"/>
      <c r="AK704" s="112">
        <v>0</v>
      </c>
      <c r="AL704" s="112"/>
      <c r="AM704" s="112">
        <v>0</v>
      </c>
      <c r="AN704" s="112"/>
      <c r="AO704" s="112">
        <v>42.94</v>
      </c>
      <c r="AP704" s="112" t="s">
        <v>208</v>
      </c>
      <c r="AQ704" s="112">
        <v>38.659999999999997</v>
      </c>
      <c r="AR704" s="112" t="s">
        <v>208</v>
      </c>
      <c r="AS704" s="112">
        <v>55.16</v>
      </c>
      <c r="AT704" s="112" t="s">
        <v>208</v>
      </c>
      <c r="AU704" s="112">
        <f t="shared" si="24"/>
        <v>439.61999999999989</v>
      </c>
      <c r="AV704" s="111">
        <v>0.217692</v>
      </c>
      <c r="AW704" s="111" t="s">
        <v>1904</v>
      </c>
      <c r="AX704" s="25"/>
      <c r="AY704" s="25"/>
      <c r="AZ704" s="25"/>
    </row>
    <row r="705" spans="1:52" ht="31.2" x14ac:dyDescent="0.3">
      <c r="A705" s="103">
        <v>695</v>
      </c>
      <c r="B705" s="109" t="s">
        <v>1478</v>
      </c>
      <c r="C705" s="30" t="s">
        <v>1899</v>
      </c>
      <c r="D705" s="110" t="s">
        <v>1900</v>
      </c>
      <c r="E705" s="110" t="s">
        <v>1917</v>
      </c>
      <c r="F705" s="30" t="s">
        <v>2703</v>
      </c>
      <c r="G705" s="26" t="s">
        <v>145</v>
      </c>
      <c r="H705" s="24" t="s">
        <v>146</v>
      </c>
      <c r="I705" s="109">
        <v>0</v>
      </c>
      <c r="J705" s="109" t="s">
        <v>1918</v>
      </c>
      <c r="K705" s="109">
        <v>50</v>
      </c>
      <c r="L705" s="109" t="s">
        <v>1919</v>
      </c>
      <c r="M705" s="109" t="s">
        <v>1904</v>
      </c>
      <c r="N705" s="109" t="s">
        <v>529</v>
      </c>
      <c r="O705" s="109" t="s">
        <v>1920</v>
      </c>
      <c r="P705" s="109" t="s">
        <v>1920</v>
      </c>
      <c r="Q705" s="102">
        <v>0</v>
      </c>
      <c r="R705" s="109" t="s">
        <v>1907</v>
      </c>
      <c r="S705" s="109" t="s">
        <v>1922</v>
      </c>
      <c r="T705" s="25"/>
      <c r="U705" s="111" t="s">
        <v>1923</v>
      </c>
      <c r="V705" s="111" t="s">
        <v>1923</v>
      </c>
      <c r="W705" s="112" t="s">
        <v>2270</v>
      </c>
      <c r="X705" s="112" t="s">
        <v>1906</v>
      </c>
      <c r="Y705" s="112" t="s">
        <v>2270</v>
      </c>
      <c r="Z705" s="112" t="s">
        <v>1906</v>
      </c>
      <c r="AA705" s="112" t="s">
        <v>2270</v>
      </c>
      <c r="AB705" s="112" t="s">
        <v>1906</v>
      </c>
      <c r="AC705" s="112">
        <v>18.170000000000002</v>
      </c>
      <c r="AD705" s="112" t="s">
        <v>1906</v>
      </c>
      <c r="AE705" s="112">
        <v>5.86</v>
      </c>
      <c r="AF705" s="112" t="s">
        <v>1906</v>
      </c>
      <c r="AG705" s="112">
        <v>0</v>
      </c>
      <c r="AH705" s="112"/>
      <c r="AI705" s="112">
        <v>0</v>
      </c>
      <c r="AJ705" s="112"/>
      <c r="AK705" s="112">
        <v>0</v>
      </c>
      <c r="AL705" s="112"/>
      <c r="AM705" s="112">
        <v>3.27</v>
      </c>
      <c r="AN705" s="112" t="s">
        <v>1906</v>
      </c>
      <c r="AO705" s="112">
        <v>14</v>
      </c>
      <c r="AP705" s="112" t="s">
        <v>1906</v>
      </c>
      <c r="AQ705" s="112">
        <v>14</v>
      </c>
      <c r="AR705" s="112" t="s">
        <v>1906</v>
      </c>
      <c r="AS705" s="112">
        <v>14</v>
      </c>
      <c r="AT705" s="112" t="s">
        <v>1906</v>
      </c>
      <c r="AU705" s="112">
        <f t="shared" si="24"/>
        <v>123.81</v>
      </c>
      <c r="AV705" s="111">
        <v>8.2299999999999998E-2</v>
      </c>
      <c r="AW705" s="111" t="s">
        <v>1904</v>
      </c>
      <c r="AX705" s="25"/>
      <c r="AY705" s="25"/>
      <c r="AZ705" s="25"/>
    </row>
    <row r="706" spans="1:52" ht="31.2" x14ac:dyDescent="0.3">
      <c r="A706" s="103">
        <v>696</v>
      </c>
      <c r="B706" s="109" t="s">
        <v>1479</v>
      </c>
      <c r="C706" s="30" t="s">
        <v>1899</v>
      </c>
      <c r="D706" s="110" t="s">
        <v>1900</v>
      </c>
      <c r="E706" s="110" t="s">
        <v>1917</v>
      </c>
      <c r="F706" s="30" t="s">
        <v>2703</v>
      </c>
      <c r="G706" s="26" t="s">
        <v>145</v>
      </c>
      <c r="H706" s="24" t="s">
        <v>146</v>
      </c>
      <c r="I706" s="109">
        <v>1</v>
      </c>
      <c r="J706" s="109" t="s">
        <v>1918</v>
      </c>
      <c r="K706" s="109">
        <v>76</v>
      </c>
      <c r="L706" s="109" t="s">
        <v>1919</v>
      </c>
      <c r="M706" s="109" t="s">
        <v>1904</v>
      </c>
      <c r="N706" s="109" t="s">
        <v>529</v>
      </c>
      <c r="O706" s="109" t="s">
        <v>1920</v>
      </c>
      <c r="P706" s="109" t="s">
        <v>1921</v>
      </c>
      <c r="Q706" s="102">
        <v>0</v>
      </c>
      <c r="R706" s="109" t="s">
        <v>1907</v>
      </c>
      <c r="S706" s="109" t="s">
        <v>1922</v>
      </c>
      <c r="T706" s="25"/>
      <c r="U706" s="111" t="s">
        <v>1923</v>
      </c>
      <c r="V706" s="111" t="s">
        <v>1923</v>
      </c>
      <c r="W706" s="112" t="s">
        <v>2271</v>
      </c>
      <c r="X706" s="112" t="s">
        <v>1906</v>
      </c>
      <c r="Y706" s="112" t="s">
        <v>2271</v>
      </c>
      <c r="Z706" s="112" t="s">
        <v>1906</v>
      </c>
      <c r="AA706" s="112" t="s">
        <v>2271</v>
      </c>
      <c r="AB706" s="112" t="s">
        <v>1906</v>
      </c>
      <c r="AC706" s="112">
        <v>43.18</v>
      </c>
      <c r="AD706" s="112" t="s">
        <v>1906</v>
      </c>
      <c r="AE706" s="112">
        <v>13.93</v>
      </c>
      <c r="AF706" s="112" t="s">
        <v>1906</v>
      </c>
      <c r="AG706" s="112">
        <v>0</v>
      </c>
      <c r="AH706" s="112"/>
      <c r="AI706" s="112">
        <v>0</v>
      </c>
      <c r="AJ706" s="112"/>
      <c r="AK706" s="112">
        <v>0</v>
      </c>
      <c r="AL706" s="112"/>
      <c r="AM706" s="112">
        <v>0</v>
      </c>
      <c r="AN706" s="112"/>
      <c r="AO706" s="112">
        <v>44.38</v>
      </c>
      <c r="AP706" s="112" t="s">
        <v>1906</v>
      </c>
      <c r="AQ706" s="112">
        <v>44.38</v>
      </c>
      <c r="AR706" s="112" t="s">
        <v>1906</v>
      </c>
      <c r="AS706" s="112">
        <v>44.38</v>
      </c>
      <c r="AT706" s="112" t="s">
        <v>1906</v>
      </c>
      <c r="AU706" s="112">
        <f t="shared" si="24"/>
        <v>319.79000000000002</v>
      </c>
      <c r="AV706" s="111">
        <v>0.14754</v>
      </c>
      <c r="AW706" s="111" t="s">
        <v>1904</v>
      </c>
      <c r="AX706" s="25"/>
      <c r="AY706" s="25"/>
      <c r="AZ706" s="25"/>
    </row>
    <row r="707" spans="1:52" ht="31.2" x14ac:dyDescent="0.3">
      <c r="A707" s="103">
        <v>697</v>
      </c>
      <c r="B707" s="109" t="s">
        <v>1481</v>
      </c>
      <c r="C707" s="30" t="s">
        <v>1899</v>
      </c>
      <c r="D707" s="110" t="s">
        <v>1900</v>
      </c>
      <c r="E707" s="110" t="s">
        <v>1917</v>
      </c>
      <c r="F707" s="30" t="s">
        <v>2703</v>
      </c>
      <c r="G707" s="26" t="s">
        <v>145</v>
      </c>
      <c r="H707" s="24" t="s">
        <v>146</v>
      </c>
      <c r="I707" s="109">
        <v>1</v>
      </c>
      <c r="J707" s="109" t="s">
        <v>1918</v>
      </c>
      <c r="K707" s="109">
        <v>100</v>
      </c>
      <c r="L707" s="109" t="s">
        <v>1919</v>
      </c>
      <c r="M707" s="109" t="s">
        <v>1904</v>
      </c>
      <c r="N707" s="109" t="s">
        <v>529</v>
      </c>
      <c r="O707" s="109" t="s">
        <v>1920</v>
      </c>
      <c r="P707" s="109" t="s">
        <v>1921</v>
      </c>
      <c r="Q707" s="102">
        <v>0</v>
      </c>
      <c r="R707" s="109" t="s">
        <v>1907</v>
      </c>
      <c r="S707" s="109" t="s">
        <v>1922</v>
      </c>
      <c r="T707" s="25"/>
      <c r="U707" s="111" t="s">
        <v>1923</v>
      </c>
      <c r="V707" s="111" t="s">
        <v>1923</v>
      </c>
      <c r="W707" s="112" t="s">
        <v>2272</v>
      </c>
      <c r="X707" s="112" t="s">
        <v>1906</v>
      </c>
      <c r="Y707" s="112" t="s">
        <v>2273</v>
      </c>
      <c r="Z707" s="112" t="s">
        <v>1906</v>
      </c>
      <c r="AA707" s="112" t="s">
        <v>2274</v>
      </c>
      <c r="AB707" s="112" t="s">
        <v>1906</v>
      </c>
      <c r="AC707" s="112">
        <v>54.03</v>
      </c>
      <c r="AD707" s="112" t="s">
        <v>1906</v>
      </c>
      <c r="AE707" s="112">
        <v>26.49</v>
      </c>
      <c r="AF707" s="112" t="s">
        <v>1906</v>
      </c>
      <c r="AG707" s="112">
        <v>0</v>
      </c>
      <c r="AH707" s="112"/>
      <c r="AI707" s="112">
        <v>0</v>
      </c>
      <c r="AJ707" s="112"/>
      <c r="AK707" s="112">
        <v>0</v>
      </c>
      <c r="AL707" s="112"/>
      <c r="AM707" s="112">
        <v>0</v>
      </c>
      <c r="AN707" s="112"/>
      <c r="AO707" s="112">
        <v>42.34</v>
      </c>
      <c r="AP707" s="112" t="s">
        <v>208</v>
      </c>
      <c r="AQ707" s="112">
        <v>51.92</v>
      </c>
      <c r="AR707" s="112" t="s">
        <v>208</v>
      </c>
      <c r="AS707" s="112">
        <v>75.569999999999993</v>
      </c>
      <c r="AT707" s="112" t="s">
        <v>208</v>
      </c>
      <c r="AU707" s="112">
        <f t="shared" si="24"/>
        <v>572.44000000000005</v>
      </c>
      <c r="AV707" s="111">
        <v>0.30330000000000001</v>
      </c>
      <c r="AW707" s="111" t="s">
        <v>1904</v>
      </c>
      <c r="AX707" s="25"/>
      <c r="AY707" s="25"/>
      <c r="AZ707" s="25"/>
    </row>
    <row r="708" spans="1:52" ht="31.2" x14ac:dyDescent="0.3">
      <c r="A708" s="103">
        <v>698</v>
      </c>
      <c r="B708" s="109" t="s">
        <v>1482</v>
      </c>
      <c r="C708" s="30" t="s">
        <v>1899</v>
      </c>
      <c r="D708" s="110" t="s">
        <v>1900</v>
      </c>
      <c r="E708" s="110" t="s">
        <v>1917</v>
      </c>
      <c r="F708" s="30" t="s">
        <v>2703</v>
      </c>
      <c r="G708" s="26" t="s">
        <v>145</v>
      </c>
      <c r="H708" s="24" t="s">
        <v>146</v>
      </c>
      <c r="I708" s="109">
        <v>1</v>
      </c>
      <c r="J708" s="109" t="s">
        <v>1918</v>
      </c>
      <c r="K708" s="109">
        <v>100</v>
      </c>
      <c r="L708" s="109" t="s">
        <v>1919</v>
      </c>
      <c r="M708" s="109" t="s">
        <v>1904</v>
      </c>
      <c r="N708" s="109" t="s">
        <v>529</v>
      </c>
      <c r="O708" s="109" t="s">
        <v>1920</v>
      </c>
      <c r="P708" s="109" t="s">
        <v>1921</v>
      </c>
      <c r="Q708" s="102">
        <v>0</v>
      </c>
      <c r="R708" s="109" t="s">
        <v>1907</v>
      </c>
      <c r="S708" s="109" t="s">
        <v>1922</v>
      </c>
      <c r="T708" s="25"/>
      <c r="U708" s="111" t="s">
        <v>1923</v>
      </c>
      <c r="V708" s="111" t="s">
        <v>1923</v>
      </c>
      <c r="W708" s="112" t="s">
        <v>2275</v>
      </c>
      <c r="X708" s="112" t="s">
        <v>1906</v>
      </c>
      <c r="Y708" s="112" t="s">
        <v>2276</v>
      </c>
      <c r="Z708" s="112" t="s">
        <v>1906</v>
      </c>
      <c r="AA708" s="112" t="s">
        <v>2277</v>
      </c>
      <c r="AB708" s="112" t="s">
        <v>1906</v>
      </c>
      <c r="AC708" s="112">
        <v>54.05</v>
      </c>
      <c r="AD708" s="112" t="s">
        <v>1906</v>
      </c>
      <c r="AE708" s="112">
        <v>28.21</v>
      </c>
      <c r="AF708" s="112" t="s">
        <v>1906</v>
      </c>
      <c r="AG708" s="112">
        <v>0</v>
      </c>
      <c r="AH708" s="112"/>
      <c r="AI708" s="112">
        <v>0</v>
      </c>
      <c r="AJ708" s="112"/>
      <c r="AK708" s="112">
        <v>0</v>
      </c>
      <c r="AL708" s="112"/>
      <c r="AM708" s="112">
        <v>0</v>
      </c>
      <c r="AN708" s="112"/>
      <c r="AO708" s="112">
        <v>89.81</v>
      </c>
      <c r="AP708" s="112" t="s">
        <v>208</v>
      </c>
      <c r="AQ708" s="112">
        <v>54.18</v>
      </c>
      <c r="AR708" s="112" t="s">
        <v>208</v>
      </c>
      <c r="AS708" s="112">
        <v>78.42</v>
      </c>
      <c r="AT708" s="112" t="s">
        <v>208</v>
      </c>
      <c r="AU708" s="112">
        <f t="shared" si="24"/>
        <v>636.30999999999995</v>
      </c>
      <c r="AV708" s="111">
        <v>0.29105999999999999</v>
      </c>
      <c r="AW708" s="111" t="s">
        <v>1904</v>
      </c>
      <c r="AX708" s="25"/>
      <c r="AY708" s="25"/>
      <c r="AZ708" s="25"/>
    </row>
    <row r="709" spans="1:52" ht="31.2" x14ac:dyDescent="0.3">
      <c r="A709" s="103">
        <v>699</v>
      </c>
      <c r="B709" s="109" t="s">
        <v>1483</v>
      </c>
      <c r="C709" s="30" t="s">
        <v>1899</v>
      </c>
      <c r="D709" s="110" t="s">
        <v>1900</v>
      </c>
      <c r="E709" s="110" t="s">
        <v>1917</v>
      </c>
      <c r="F709" s="30" t="s">
        <v>2703</v>
      </c>
      <c r="G709" s="26" t="s">
        <v>145</v>
      </c>
      <c r="H709" s="24" t="s">
        <v>146</v>
      </c>
      <c r="I709" s="109">
        <v>0</v>
      </c>
      <c r="J709" s="109" t="s">
        <v>1918</v>
      </c>
      <c r="K709" s="109">
        <v>50</v>
      </c>
      <c r="L709" s="109" t="s">
        <v>1919</v>
      </c>
      <c r="M709" s="109" t="s">
        <v>1904</v>
      </c>
      <c r="N709" s="109" t="s">
        <v>529</v>
      </c>
      <c r="O709" s="109" t="s">
        <v>1920</v>
      </c>
      <c r="P709" s="109" t="s">
        <v>1920</v>
      </c>
      <c r="Q709" s="102">
        <v>0</v>
      </c>
      <c r="R709" s="109" t="s">
        <v>1907</v>
      </c>
      <c r="S709" s="109" t="s">
        <v>1922</v>
      </c>
      <c r="T709" s="25"/>
      <c r="U709" s="111" t="s">
        <v>1923</v>
      </c>
      <c r="V709" s="111" t="s">
        <v>1923</v>
      </c>
      <c r="W709" s="112" t="s">
        <v>2278</v>
      </c>
      <c r="X709" s="112" t="s">
        <v>1906</v>
      </c>
      <c r="Y709" s="112" t="s">
        <v>2278</v>
      </c>
      <c r="Z709" s="112" t="s">
        <v>1906</v>
      </c>
      <c r="AA709" s="112" t="s">
        <v>2278</v>
      </c>
      <c r="AB709" s="112" t="s">
        <v>1906</v>
      </c>
      <c r="AC709" s="112">
        <v>20.12</v>
      </c>
      <c r="AD709" s="112" t="s">
        <v>1906</v>
      </c>
      <c r="AE709" s="112">
        <v>6.48</v>
      </c>
      <c r="AF709" s="112" t="s">
        <v>1906</v>
      </c>
      <c r="AG709" s="112">
        <v>0</v>
      </c>
      <c r="AH709" s="112"/>
      <c r="AI709" s="112">
        <v>0</v>
      </c>
      <c r="AJ709" s="112"/>
      <c r="AK709" s="112">
        <v>0</v>
      </c>
      <c r="AL709" s="112"/>
      <c r="AM709" s="112">
        <v>4.5599999999999996</v>
      </c>
      <c r="AN709" s="112" t="s">
        <v>1906</v>
      </c>
      <c r="AO709" s="112">
        <v>19.54</v>
      </c>
      <c r="AP709" s="112" t="s">
        <v>1906</v>
      </c>
      <c r="AQ709" s="112">
        <v>19.54</v>
      </c>
      <c r="AR709" s="112" t="s">
        <v>1906</v>
      </c>
      <c r="AS709" s="112">
        <v>19.54</v>
      </c>
      <c r="AT709" s="112" t="s">
        <v>1906</v>
      </c>
      <c r="AU709" s="112">
        <f t="shared" si="24"/>
        <v>150.13999999999999</v>
      </c>
      <c r="AV709" s="111">
        <v>9.6350000000000005E-2</v>
      </c>
      <c r="AW709" s="111" t="s">
        <v>1904</v>
      </c>
      <c r="AX709" s="25"/>
      <c r="AY709" s="25"/>
      <c r="AZ709" s="25"/>
    </row>
    <row r="710" spans="1:52" ht="31.2" x14ac:dyDescent="0.3">
      <c r="A710" s="103">
        <v>700</v>
      </c>
      <c r="B710" s="109" t="s">
        <v>1484</v>
      </c>
      <c r="C710" s="30" t="s">
        <v>1899</v>
      </c>
      <c r="D710" s="110" t="s">
        <v>1900</v>
      </c>
      <c r="E710" s="110" t="s">
        <v>1917</v>
      </c>
      <c r="F710" s="30" t="s">
        <v>2703</v>
      </c>
      <c r="G710" s="26" t="s">
        <v>145</v>
      </c>
      <c r="H710" s="24" t="s">
        <v>146</v>
      </c>
      <c r="I710" s="109">
        <v>0</v>
      </c>
      <c r="J710" s="109" t="s">
        <v>1918</v>
      </c>
      <c r="K710" s="109">
        <v>50</v>
      </c>
      <c r="L710" s="109" t="s">
        <v>1919</v>
      </c>
      <c r="M710" s="109" t="s">
        <v>1904</v>
      </c>
      <c r="N710" s="109" t="s">
        <v>529</v>
      </c>
      <c r="O710" s="109" t="s">
        <v>1920</v>
      </c>
      <c r="P710" s="109" t="s">
        <v>1920</v>
      </c>
      <c r="Q710" s="102">
        <v>0</v>
      </c>
      <c r="R710" s="109" t="s">
        <v>1907</v>
      </c>
      <c r="S710" s="109" t="s">
        <v>1922</v>
      </c>
      <c r="T710" s="25"/>
      <c r="U710" s="111" t="s">
        <v>1923</v>
      </c>
      <c r="V710" s="111" t="s">
        <v>1923</v>
      </c>
      <c r="W710" s="112" t="s">
        <v>2278</v>
      </c>
      <c r="X710" s="112" t="s">
        <v>1906</v>
      </c>
      <c r="Y710" s="112" t="s">
        <v>2278</v>
      </c>
      <c r="Z710" s="112" t="s">
        <v>1906</v>
      </c>
      <c r="AA710" s="112" t="s">
        <v>2278</v>
      </c>
      <c r="AB710" s="112" t="s">
        <v>1906</v>
      </c>
      <c r="AC710" s="112">
        <v>20.12</v>
      </c>
      <c r="AD710" s="112" t="s">
        <v>1906</v>
      </c>
      <c r="AE710" s="112">
        <v>6.48</v>
      </c>
      <c r="AF710" s="112" t="s">
        <v>1906</v>
      </c>
      <c r="AG710" s="112">
        <v>0</v>
      </c>
      <c r="AH710" s="112"/>
      <c r="AI710" s="112">
        <v>0</v>
      </c>
      <c r="AJ710" s="112"/>
      <c r="AK710" s="112">
        <v>0</v>
      </c>
      <c r="AL710" s="112"/>
      <c r="AM710" s="112">
        <v>4.5599999999999996</v>
      </c>
      <c r="AN710" s="112" t="s">
        <v>1906</v>
      </c>
      <c r="AO710" s="112">
        <v>19.54</v>
      </c>
      <c r="AP710" s="112" t="s">
        <v>1906</v>
      </c>
      <c r="AQ710" s="112">
        <v>19.54</v>
      </c>
      <c r="AR710" s="112" t="s">
        <v>1906</v>
      </c>
      <c r="AS710" s="112">
        <v>19.54</v>
      </c>
      <c r="AT710" s="112" t="s">
        <v>1906</v>
      </c>
      <c r="AU710" s="112">
        <f t="shared" si="24"/>
        <v>150.13999999999999</v>
      </c>
      <c r="AV710" s="111">
        <v>9.6350000000000005E-2</v>
      </c>
      <c r="AW710" s="111" t="s">
        <v>1904</v>
      </c>
      <c r="AX710" s="25"/>
      <c r="AY710" s="25"/>
      <c r="AZ710" s="25"/>
    </row>
    <row r="711" spans="1:52" ht="31.2" x14ac:dyDescent="0.3">
      <c r="A711" s="103">
        <v>701</v>
      </c>
      <c r="B711" s="109" t="s">
        <v>1486</v>
      </c>
      <c r="C711" s="30" t="s">
        <v>1899</v>
      </c>
      <c r="D711" s="110" t="s">
        <v>1900</v>
      </c>
      <c r="E711" s="110" t="s">
        <v>1917</v>
      </c>
      <c r="F711" s="30" t="s">
        <v>2703</v>
      </c>
      <c r="G711" s="26" t="s">
        <v>145</v>
      </c>
      <c r="H711" s="24" t="s">
        <v>146</v>
      </c>
      <c r="I711" s="109">
        <v>1</v>
      </c>
      <c r="J711" s="109" t="s">
        <v>1918</v>
      </c>
      <c r="K711" s="109">
        <v>108</v>
      </c>
      <c r="L711" s="109" t="s">
        <v>1919</v>
      </c>
      <c r="M711" s="109" t="s">
        <v>1904</v>
      </c>
      <c r="N711" s="109" t="s">
        <v>529</v>
      </c>
      <c r="O711" s="109" t="s">
        <v>1920</v>
      </c>
      <c r="P711" s="109" t="s">
        <v>1921</v>
      </c>
      <c r="Q711" s="102">
        <v>0</v>
      </c>
      <c r="R711" s="109" t="s">
        <v>1907</v>
      </c>
      <c r="S711" s="109" t="s">
        <v>1922</v>
      </c>
      <c r="T711" s="25"/>
      <c r="U711" s="111" t="s">
        <v>1923</v>
      </c>
      <c r="V711" s="111" t="s">
        <v>1923</v>
      </c>
      <c r="W711" s="112" t="s">
        <v>2279</v>
      </c>
      <c r="X711" s="112" t="s">
        <v>208</v>
      </c>
      <c r="Y711" s="112" t="s">
        <v>2280</v>
      </c>
      <c r="Z711" s="112" t="s">
        <v>208</v>
      </c>
      <c r="AA711" s="112" t="s">
        <v>2281</v>
      </c>
      <c r="AB711" s="112" t="s">
        <v>208</v>
      </c>
      <c r="AC711" s="112">
        <v>46.29</v>
      </c>
      <c r="AD711" s="112" t="s">
        <v>208</v>
      </c>
      <c r="AE711" s="112">
        <v>22.49</v>
      </c>
      <c r="AF711" s="112" t="s">
        <v>208</v>
      </c>
      <c r="AG711" s="112">
        <v>0</v>
      </c>
      <c r="AH711" s="112"/>
      <c r="AI711" s="112">
        <v>0</v>
      </c>
      <c r="AJ711" s="112"/>
      <c r="AK711" s="112">
        <v>0</v>
      </c>
      <c r="AL711" s="112"/>
      <c r="AM711" s="112">
        <v>0</v>
      </c>
      <c r="AN711" s="112"/>
      <c r="AO711" s="112">
        <v>50.2</v>
      </c>
      <c r="AP711" s="112" t="s">
        <v>208</v>
      </c>
      <c r="AQ711" s="112">
        <v>51.14</v>
      </c>
      <c r="AR711" s="112" t="s">
        <v>208</v>
      </c>
      <c r="AS711" s="112">
        <v>102.56</v>
      </c>
      <c r="AT711" s="112" t="s">
        <v>208</v>
      </c>
      <c r="AU711" s="112">
        <f t="shared" si="24"/>
        <v>614.94000000000005</v>
      </c>
      <c r="AV711" s="111">
        <v>0.27431</v>
      </c>
      <c r="AW711" s="111" t="s">
        <v>1904</v>
      </c>
      <c r="AX711" s="25"/>
      <c r="AY711" s="25"/>
      <c r="AZ711" s="25"/>
    </row>
    <row r="712" spans="1:52" ht="31.2" x14ac:dyDescent="0.3">
      <c r="A712" s="103">
        <v>702</v>
      </c>
      <c r="B712" s="109" t="s">
        <v>1487</v>
      </c>
      <c r="C712" s="30" t="s">
        <v>1899</v>
      </c>
      <c r="D712" s="110" t="s">
        <v>1900</v>
      </c>
      <c r="E712" s="110" t="s">
        <v>1917</v>
      </c>
      <c r="F712" s="30" t="s">
        <v>2703</v>
      </c>
      <c r="G712" s="26" t="s">
        <v>145</v>
      </c>
      <c r="H712" s="24" t="s">
        <v>146</v>
      </c>
      <c r="I712" s="109">
        <v>1</v>
      </c>
      <c r="J712" s="109" t="s">
        <v>1918</v>
      </c>
      <c r="K712" s="109">
        <v>76</v>
      </c>
      <c r="L712" s="109" t="s">
        <v>1919</v>
      </c>
      <c r="M712" s="109" t="s">
        <v>1904</v>
      </c>
      <c r="N712" s="109" t="s">
        <v>529</v>
      </c>
      <c r="O712" s="109" t="s">
        <v>1920</v>
      </c>
      <c r="P712" s="109" t="s">
        <v>1921</v>
      </c>
      <c r="Q712" s="102">
        <v>0</v>
      </c>
      <c r="R712" s="109" t="s">
        <v>1907</v>
      </c>
      <c r="S712" s="109" t="s">
        <v>1922</v>
      </c>
      <c r="T712" s="25"/>
      <c r="U712" s="111" t="s">
        <v>1923</v>
      </c>
      <c r="V712" s="111" t="s">
        <v>1923</v>
      </c>
      <c r="W712" s="112" t="s">
        <v>2282</v>
      </c>
      <c r="X712" s="112" t="s">
        <v>1906</v>
      </c>
      <c r="Y712" s="112" t="s">
        <v>2283</v>
      </c>
      <c r="Z712" s="112" t="s">
        <v>1906</v>
      </c>
      <c r="AA712" s="112" t="s">
        <v>2284</v>
      </c>
      <c r="AB712" s="112" t="s">
        <v>1906</v>
      </c>
      <c r="AC712" s="112">
        <v>48.1</v>
      </c>
      <c r="AD712" s="112" t="s">
        <v>1906</v>
      </c>
      <c r="AE712" s="112">
        <v>13.96</v>
      </c>
      <c r="AF712" s="112" t="s">
        <v>1906</v>
      </c>
      <c r="AG712" s="112">
        <v>0</v>
      </c>
      <c r="AH712" s="112"/>
      <c r="AI712" s="112">
        <v>0</v>
      </c>
      <c r="AJ712" s="112"/>
      <c r="AK712" s="112">
        <v>0</v>
      </c>
      <c r="AL712" s="112"/>
      <c r="AM712" s="112">
        <v>0</v>
      </c>
      <c r="AN712" s="112"/>
      <c r="AO712" s="112">
        <v>48.11</v>
      </c>
      <c r="AP712" s="112" t="s">
        <v>208</v>
      </c>
      <c r="AQ712" s="112">
        <v>48.11</v>
      </c>
      <c r="AR712" s="112" t="s">
        <v>208</v>
      </c>
      <c r="AS712" s="112">
        <v>48.11</v>
      </c>
      <c r="AT712" s="112" t="s">
        <v>208</v>
      </c>
      <c r="AU712" s="112">
        <f t="shared" si="24"/>
        <v>371.55</v>
      </c>
      <c r="AV712" s="111">
        <v>0.15656999999999999</v>
      </c>
      <c r="AW712" s="111" t="s">
        <v>1904</v>
      </c>
      <c r="AX712" s="25"/>
      <c r="AY712" s="25"/>
      <c r="AZ712" s="25"/>
    </row>
    <row r="713" spans="1:52" ht="31.2" x14ac:dyDescent="0.3">
      <c r="A713" s="103">
        <v>703</v>
      </c>
      <c r="B713" s="109" t="s">
        <v>1489</v>
      </c>
      <c r="C713" s="30" t="s">
        <v>1899</v>
      </c>
      <c r="D713" s="110" t="s">
        <v>1900</v>
      </c>
      <c r="E713" s="110" t="s">
        <v>1917</v>
      </c>
      <c r="F713" s="30" t="s">
        <v>2703</v>
      </c>
      <c r="G713" s="26" t="s">
        <v>145</v>
      </c>
      <c r="H713" s="24" t="s">
        <v>146</v>
      </c>
      <c r="I713" s="109">
        <v>0</v>
      </c>
      <c r="J713" s="109" t="s">
        <v>1918</v>
      </c>
      <c r="K713" s="109">
        <v>50</v>
      </c>
      <c r="L713" s="109" t="s">
        <v>1919</v>
      </c>
      <c r="M713" s="109" t="s">
        <v>1904</v>
      </c>
      <c r="N713" s="109" t="s">
        <v>529</v>
      </c>
      <c r="O713" s="109" t="s">
        <v>1920</v>
      </c>
      <c r="P713" s="109" t="s">
        <v>1920</v>
      </c>
      <c r="Q713" s="102">
        <v>0</v>
      </c>
      <c r="R713" s="109" t="s">
        <v>1907</v>
      </c>
      <c r="S713" s="109" t="s">
        <v>1922</v>
      </c>
      <c r="T713" s="25"/>
      <c r="U713" s="111" t="s">
        <v>1923</v>
      </c>
      <c r="V713" s="111" t="s">
        <v>1923</v>
      </c>
      <c r="W713" s="112" t="s">
        <v>2285</v>
      </c>
      <c r="X713" s="112" t="s">
        <v>1906</v>
      </c>
      <c r="Y713" s="112" t="s">
        <v>2285</v>
      </c>
      <c r="Z713" s="112" t="s">
        <v>1906</v>
      </c>
      <c r="AA713" s="112" t="s">
        <v>2285</v>
      </c>
      <c r="AB713" s="112" t="s">
        <v>1906</v>
      </c>
      <c r="AC713" s="112">
        <v>25.32</v>
      </c>
      <c r="AD713" s="112" t="s">
        <v>1906</v>
      </c>
      <c r="AE713" s="112">
        <v>7.36</v>
      </c>
      <c r="AF713" s="112" t="s">
        <v>1906</v>
      </c>
      <c r="AG713" s="112">
        <v>0</v>
      </c>
      <c r="AH713" s="112"/>
      <c r="AI713" s="112">
        <v>0</v>
      </c>
      <c r="AJ713" s="112"/>
      <c r="AK713" s="112">
        <v>0</v>
      </c>
      <c r="AL713" s="112"/>
      <c r="AM713" s="112">
        <v>5.43</v>
      </c>
      <c r="AN713" s="112" t="s">
        <v>1906</v>
      </c>
      <c r="AO713" s="112">
        <v>23.26</v>
      </c>
      <c r="AP713" s="112" t="s">
        <v>1906</v>
      </c>
      <c r="AQ713" s="112">
        <v>23.26</v>
      </c>
      <c r="AR713" s="112" t="s">
        <v>1906</v>
      </c>
      <c r="AS713" s="112">
        <v>23.26</v>
      </c>
      <c r="AT713" s="112" t="s">
        <v>1906</v>
      </c>
      <c r="AU713" s="112">
        <f t="shared" si="24"/>
        <v>183.84999999999997</v>
      </c>
      <c r="AV713" s="111">
        <v>0.10488</v>
      </c>
      <c r="AW713" s="111" t="s">
        <v>1904</v>
      </c>
      <c r="AX713" s="25"/>
      <c r="AY713" s="25"/>
      <c r="AZ713" s="25"/>
    </row>
    <row r="714" spans="1:52" ht="31.2" x14ac:dyDescent="0.3">
      <c r="A714" s="103">
        <v>704</v>
      </c>
      <c r="B714" s="109" t="s">
        <v>1490</v>
      </c>
      <c r="C714" s="30" t="s">
        <v>1899</v>
      </c>
      <c r="D714" s="110" t="s">
        <v>1900</v>
      </c>
      <c r="E714" s="110" t="s">
        <v>1917</v>
      </c>
      <c r="F714" s="30" t="s">
        <v>2703</v>
      </c>
      <c r="G714" s="26" t="s">
        <v>145</v>
      </c>
      <c r="H714" s="24" t="s">
        <v>146</v>
      </c>
      <c r="I714" s="109">
        <v>0</v>
      </c>
      <c r="J714" s="109" t="s">
        <v>1918</v>
      </c>
      <c r="K714" s="109">
        <v>50</v>
      </c>
      <c r="L714" s="109" t="s">
        <v>1919</v>
      </c>
      <c r="M714" s="109" t="s">
        <v>1904</v>
      </c>
      <c r="N714" s="109" t="s">
        <v>529</v>
      </c>
      <c r="O714" s="109" t="s">
        <v>1920</v>
      </c>
      <c r="P714" s="109" t="s">
        <v>1920</v>
      </c>
      <c r="Q714" s="102">
        <v>0</v>
      </c>
      <c r="R714" s="109" t="s">
        <v>1907</v>
      </c>
      <c r="S714" s="109" t="s">
        <v>1922</v>
      </c>
      <c r="T714" s="25"/>
      <c r="U714" s="111" t="s">
        <v>1923</v>
      </c>
      <c r="V714" s="111" t="s">
        <v>1923</v>
      </c>
      <c r="W714" s="112" t="s">
        <v>2285</v>
      </c>
      <c r="X714" s="112" t="s">
        <v>1906</v>
      </c>
      <c r="Y714" s="112" t="s">
        <v>2285</v>
      </c>
      <c r="Z714" s="112" t="s">
        <v>1906</v>
      </c>
      <c r="AA714" s="112" t="s">
        <v>2285</v>
      </c>
      <c r="AB714" s="112" t="s">
        <v>1906</v>
      </c>
      <c r="AC714" s="112">
        <v>25.32</v>
      </c>
      <c r="AD714" s="112" t="s">
        <v>1906</v>
      </c>
      <c r="AE714" s="112">
        <v>7.36</v>
      </c>
      <c r="AF714" s="112" t="s">
        <v>1906</v>
      </c>
      <c r="AG714" s="112">
        <v>0</v>
      </c>
      <c r="AH714" s="112"/>
      <c r="AI714" s="112">
        <v>0</v>
      </c>
      <c r="AJ714" s="112"/>
      <c r="AK714" s="112">
        <v>0</v>
      </c>
      <c r="AL714" s="112"/>
      <c r="AM714" s="112">
        <v>5.43</v>
      </c>
      <c r="AN714" s="112" t="s">
        <v>1906</v>
      </c>
      <c r="AO714" s="112">
        <v>23.26</v>
      </c>
      <c r="AP714" s="112" t="s">
        <v>1906</v>
      </c>
      <c r="AQ714" s="112">
        <v>23.26</v>
      </c>
      <c r="AR714" s="112" t="s">
        <v>1906</v>
      </c>
      <c r="AS714" s="112">
        <v>23.26</v>
      </c>
      <c r="AT714" s="112" t="s">
        <v>1906</v>
      </c>
      <c r="AU714" s="112">
        <f t="shared" si="24"/>
        <v>183.84999999999997</v>
      </c>
      <c r="AV714" s="111">
        <v>0.10488</v>
      </c>
      <c r="AW714" s="111" t="s">
        <v>1904</v>
      </c>
      <c r="AX714" s="25"/>
      <c r="AY714" s="25"/>
      <c r="AZ714" s="25"/>
    </row>
    <row r="715" spans="1:52" ht="31.2" x14ac:dyDescent="0.3">
      <c r="A715" s="103">
        <v>705</v>
      </c>
      <c r="B715" s="109" t="s">
        <v>1492</v>
      </c>
      <c r="C715" s="30" t="s">
        <v>1899</v>
      </c>
      <c r="D715" s="110" t="s">
        <v>1900</v>
      </c>
      <c r="E715" s="110" t="s">
        <v>1917</v>
      </c>
      <c r="F715" s="30" t="s">
        <v>2703</v>
      </c>
      <c r="G715" s="26" t="s">
        <v>145</v>
      </c>
      <c r="H715" s="24" t="s">
        <v>146</v>
      </c>
      <c r="I715" s="109">
        <v>1</v>
      </c>
      <c r="J715" s="109" t="s">
        <v>1918</v>
      </c>
      <c r="K715" s="109">
        <v>76</v>
      </c>
      <c r="L715" s="109" t="s">
        <v>1919</v>
      </c>
      <c r="M715" s="109" t="s">
        <v>1904</v>
      </c>
      <c r="N715" s="109" t="s">
        <v>529</v>
      </c>
      <c r="O715" s="109" t="s">
        <v>1920</v>
      </c>
      <c r="P715" s="109" t="s">
        <v>1921</v>
      </c>
      <c r="Q715" s="102">
        <v>0</v>
      </c>
      <c r="R715" s="109" t="s">
        <v>1907</v>
      </c>
      <c r="S715" s="109" t="s">
        <v>1922</v>
      </c>
      <c r="T715" s="25"/>
      <c r="U715" s="111" t="s">
        <v>1923</v>
      </c>
      <c r="V715" s="111" t="s">
        <v>1923</v>
      </c>
      <c r="W715" s="112" t="s">
        <v>2286</v>
      </c>
      <c r="X715" s="112" t="s">
        <v>208</v>
      </c>
      <c r="Y715" s="112" t="s">
        <v>2287</v>
      </c>
      <c r="Z715" s="112" t="s">
        <v>208</v>
      </c>
      <c r="AA715" s="112" t="s">
        <v>2288</v>
      </c>
      <c r="AB715" s="112" t="s">
        <v>208</v>
      </c>
      <c r="AC715" s="112">
        <v>48.14</v>
      </c>
      <c r="AD715" s="112" t="s">
        <v>208</v>
      </c>
      <c r="AE715" s="112">
        <v>13.97</v>
      </c>
      <c r="AF715" s="112" t="s">
        <v>208</v>
      </c>
      <c r="AG715" s="112">
        <v>0</v>
      </c>
      <c r="AH715" s="112"/>
      <c r="AI715" s="112">
        <v>0</v>
      </c>
      <c r="AJ715" s="112"/>
      <c r="AK715" s="112">
        <v>0</v>
      </c>
      <c r="AL715" s="112"/>
      <c r="AM715" s="112">
        <v>0</v>
      </c>
      <c r="AN715" s="112"/>
      <c r="AO715" s="112">
        <v>41.87</v>
      </c>
      <c r="AP715" s="112" t="s">
        <v>1906</v>
      </c>
      <c r="AQ715" s="112">
        <v>41.87</v>
      </c>
      <c r="AR715" s="112" t="s">
        <v>1906</v>
      </c>
      <c r="AS715" s="112">
        <v>41.87</v>
      </c>
      <c r="AT715" s="112" t="s">
        <v>1906</v>
      </c>
      <c r="AU715" s="112">
        <f t="shared" si="24"/>
        <v>376.83</v>
      </c>
      <c r="AV715" s="111">
        <v>0.17663999999999999</v>
      </c>
      <c r="AW715" s="111" t="s">
        <v>1904</v>
      </c>
      <c r="AX715" s="25"/>
      <c r="AY715" s="25"/>
      <c r="AZ715" s="25"/>
    </row>
    <row r="716" spans="1:52" ht="31.2" x14ac:dyDescent="0.3">
      <c r="A716" s="103">
        <v>706</v>
      </c>
      <c r="B716" s="109" t="s">
        <v>1494</v>
      </c>
      <c r="C716" s="109" t="s">
        <v>2138</v>
      </c>
      <c r="D716" s="110" t="s">
        <v>2139</v>
      </c>
      <c r="E716" s="110" t="s">
        <v>1917</v>
      </c>
      <c r="F716" s="30" t="s">
        <v>2703</v>
      </c>
      <c r="G716" s="26" t="s">
        <v>145</v>
      </c>
      <c r="H716" s="24" t="s">
        <v>146</v>
      </c>
      <c r="I716" s="109">
        <v>0</v>
      </c>
      <c r="J716" s="109" t="s">
        <v>1918</v>
      </c>
      <c r="K716" s="109">
        <v>57</v>
      </c>
      <c r="L716" s="109" t="s">
        <v>1919</v>
      </c>
      <c r="M716" s="109" t="s">
        <v>1904</v>
      </c>
      <c r="N716" s="109" t="s">
        <v>529</v>
      </c>
      <c r="O716" s="109" t="s">
        <v>1920</v>
      </c>
      <c r="P716" s="109"/>
      <c r="Q716" s="102">
        <v>0</v>
      </c>
      <c r="R716" s="109" t="s">
        <v>1907</v>
      </c>
      <c r="S716" s="109" t="s">
        <v>1922</v>
      </c>
      <c r="T716" s="25"/>
      <c r="U716" s="111" t="s">
        <v>1923</v>
      </c>
      <c r="V716" s="111" t="s">
        <v>1923</v>
      </c>
      <c r="W716" s="112">
        <v>0</v>
      </c>
      <c r="X716" s="112"/>
      <c r="Y716" s="112">
        <v>0</v>
      </c>
      <c r="Z716" s="112"/>
      <c r="AA716" s="112">
        <v>0</v>
      </c>
      <c r="AB716" s="112"/>
      <c r="AC716" s="112">
        <v>0</v>
      </c>
      <c r="AD716" s="112"/>
      <c r="AE716" s="112">
        <v>0</v>
      </c>
      <c r="AF716" s="112"/>
      <c r="AG716" s="112">
        <v>0</v>
      </c>
      <c r="AH716" s="112"/>
      <c r="AI716" s="112">
        <v>0</v>
      </c>
      <c r="AJ716" s="112"/>
      <c r="AK716" s="112">
        <v>0</v>
      </c>
      <c r="AL716" s="112"/>
      <c r="AM716" s="112">
        <v>0</v>
      </c>
      <c r="AN716" s="112"/>
      <c r="AO716" s="112">
        <v>0</v>
      </c>
      <c r="AP716" s="112"/>
      <c r="AQ716" s="112">
        <v>0</v>
      </c>
      <c r="AR716" s="112"/>
      <c r="AS716" s="112">
        <v>0</v>
      </c>
      <c r="AT716" s="112"/>
      <c r="AU716" s="112">
        <f t="shared" ref="AU716:AU779" si="25">W716+Y716+AA716+AC716+AE716+AG716+AI716+AK716+AM716+AO716+AQ716+AS716</f>
        <v>0</v>
      </c>
      <c r="AV716" s="111">
        <v>5.8598999999999998E-2</v>
      </c>
      <c r="AW716" s="111" t="s">
        <v>1904</v>
      </c>
      <c r="AX716" s="25"/>
      <c r="AY716" s="25"/>
      <c r="AZ716" s="25"/>
    </row>
    <row r="717" spans="1:52" ht="31.2" x14ac:dyDescent="0.3">
      <c r="A717" s="103">
        <v>707</v>
      </c>
      <c r="B717" s="109" t="s">
        <v>1496</v>
      </c>
      <c r="C717" s="30" t="s">
        <v>1899</v>
      </c>
      <c r="D717" s="110" t="s">
        <v>1900</v>
      </c>
      <c r="E717" s="110" t="s">
        <v>1917</v>
      </c>
      <c r="F717" s="30" t="s">
        <v>2703</v>
      </c>
      <c r="G717" s="26" t="s">
        <v>145</v>
      </c>
      <c r="H717" s="24" t="s">
        <v>146</v>
      </c>
      <c r="I717" s="109">
        <v>1</v>
      </c>
      <c r="J717" s="109" t="s">
        <v>1918</v>
      </c>
      <c r="K717" s="109">
        <v>89</v>
      </c>
      <c r="L717" s="109" t="s">
        <v>1919</v>
      </c>
      <c r="M717" s="109" t="s">
        <v>1904</v>
      </c>
      <c r="N717" s="109" t="s">
        <v>529</v>
      </c>
      <c r="O717" s="109" t="s">
        <v>1920</v>
      </c>
      <c r="P717" s="109" t="s">
        <v>1921</v>
      </c>
      <c r="Q717" s="102">
        <v>0</v>
      </c>
      <c r="R717" s="109" t="s">
        <v>1907</v>
      </c>
      <c r="S717" s="109" t="s">
        <v>1922</v>
      </c>
      <c r="T717" s="25"/>
      <c r="U717" s="111" t="s">
        <v>1923</v>
      </c>
      <c r="V717" s="111" t="s">
        <v>1923</v>
      </c>
      <c r="W717" s="112" t="s">
        <v>2289</v>
      </c>
      <c r="X717" s="112" t="s">
        <v>208</v>
      </c>
      <c r="Y717" s="112" t="s">
        <v>2290</v>
      </c>
      <c r="Z717" s="112" t="s">
        <v>208</v>
      </c>
      <c r="AA717" s="112" t="s">
        <v>2291</v>
      </c>
      <c r="AB717" s="112" t="s">
        <v>208</v>
      </c>
      <c r="AC717" s="112">
        <v>41.99</v>
      </c>
      <c r="AD717" s="112" t="s">
        <v>208</v>
      </c>
      <c r="AE717" s="112">
        <v>12.19</v>
      </c>
      <c r="AF717" s="112" t="s">
        <v>208</v>
      </c>
      <c r="AG717" s="112">
        <v>0</v>
      </c>
      <c r="AH717" s="112"/>
      <c r="AI717" s="112">
        <v>0</v>
      </c>
      <c r="AJ717" s="112"/>
      <c r="AK717" s="112">
        <v>0</v>
      </c>
      <c r="AL717" s="112"/>
      <c r="AM717" s="112">
        <v>0</v>
      </c>
      <c r="AN717" s="112"/>
      <c r="AO717" s="112">
        <v>42.93</v>
      </c>
      <c r="AP717" s="112" t="s">
        <v>1906</v>
      </c>
      <c r="AQ717" s="112">
        <v>41.32</v>
      </c>
      <c r="AR717" s="112" t="s">
        <v>1906</v>
      </c>
      <c r="AS717" s="112">
        <v>41.32</v>
      </c>
      <c r="AT717" s="112" t="s">
        <v>1906</v>
      </c>
      <c r="AU717" s="112">
        <f t="shared" si="25"/>
        <v>417.2</v>
      </c>
      <c r="AV717" s="111">
        <v>0.16755999999999999</v>
      </c>
      <c r="AW717" s="111" t="s">
        <v>1904</v>
      </c>
      <c r="AX717" s="25"/>
      <c r="AY717" s="25"/>
      <c r="AZ717" s="25"/>
    </row>
    <row r="718" spans="1:52" ht="31.2" x14ac:dyDescent="0.3">
      <c r="A718" s="103">
        <v>708</v>
      </c>
      <c r="B718" s="109" t="s">
        <v>1497</v>
      </c>
      <c r="C718" s="30" t="s">
        <v>1899</v>
      </c>
      <c r="D718" s="110" t="s">
        <v>1900</v>
      </c>
      <c r="E718" s="110" t="s">
        <v>1917</v>
      </c>
      <c r="F718" s="30" t="s">
        <v>2703</v>
      </c>
      <c r="G718" s="26" t="s">
        <v>145</v>
      </c>
      <c r="H718" s="24" t="s">
        <v>146</v>
      </c>
      <c r="I718" s="109">
        <v>1</v>
      </c>
      <c r="J718" s="109" t="s">
        <v>1918</v>
      </c>
      <c r="K718" s="109">
        <v>76</v>
      </c>
      <c r="L718" s="109" t="s">
        <v>1919</v>
      </c>
      <c r="M718" s="109" t="s">
        <v>1904</v>
      </c>
      <c r="N718" s="109" t="s">
        <v>529</v>
      </c>
      <c r="O718" s="109" t="s">
        <v>1920</v>
      </c>
      <c r="P718" s="109" t="s">
        <v>1921</v>
      </c>
      <c r="Q718" s="102">
        <v>0</v>
      </c>
      <c r="R718" s="109" t="s">
        <v>1907</v>
      </c>
      <c r="S718" s="109" t="s">
        <v>1922</v>
      </c>
      <c r="T718" s="25"/>
      <c r="U718" s="111" t="s">
        <v>1923</v>
      </c>
      <c r="V718" s="111" t="s">
        <v>1923</v>
      </c>
      <c r="W718" s="112" t="s">
        <v>2289</v>
      </c>
      <c r="X718" s="112" t="s">
        <v>208</v>
      </c>
      <c r="Y718" s="112" t="s">
        <v>2290</v>
      </c>
      <c r="Z718" s="112" t="s">
        <v>208</v>
      </c>
      <c r="AA718" s="112" t="s">
        <v>2291</v>
      </c>
      <c r="AB718" s="112" t="s">
        <v>208</v>
      </c>
      <c r="AC718" s="112">
        <v>41.99</v>
      </c>
      <c r="AD718" s="112" t="s">
        <v>208</v>
      </c>
      <c r="AE718" s="112">
        <v>12.19</v>
      </c>
      <c r="AF718" s="112" t="s">
        <v>208</v>
      </c>
      <c r="AG718" s="112">
        <v>0</v>
      </c>
      <c r="AH718" s="112"/>
      <c r="AI718" s="112">
        <v>0</v>
      </c>
      <c r="AJ718" s="112"/>
      <c r="AK718" s="112">
        <v>0</v>
      </c>
      <c r="AL718" s="112"/>
      <c r="AM718" s="112">
        <v>0</v>
      </c>
      <c r="AN718" s="112"/>
      <c r="AO718" s="112">
        <v>42.93</v>
      </c>
      <c r="AP718" s="112" t="s">
        <v>1906</v>
      </c>
      <c r="AQ718" s="112">
        <v>41.32</v>
      </c>
      <c r="AR718" s="112" t="s">
        <v>1906</v>
      </c>
      <c r="AS718" s="112">
        <v>41.32</v>
      </c>
      <c r="AT718" s="112" t="s">
        <v>1906</v>
      </c>
      <c r="AU718" s="112">
        <f t="shared" si="25"/>
        <v>417.2</v>
      </c>
      <c r="AV718" s="111">
        <v>0.16755999999999999</v>
      </c>
      <c r="AW718" s="111" t="s">
        <v>1904</v>
      </c>
      <c r="AX718" s="25"/>
      <c r="AY718" s="25"/>
      <c r="AZ718" s="25"/>
    </row>
    <row r="719" spans="1:52" ht="31.2" x14ac:dyDescent="0.3">
      <c r="A719" s="103">
        <v>709</v>
      </c>
      <c r="B719" s="109" t="s">
        <v>1498</v>
      </c>
      <c r="C719" s="30" t="s">
        <v>1899</v>
      </c>
      <c r="D719" s="110" t="s">
        <v>1900</v>
      </c>
      <c r="E719" s="110" t="s">
        <v>1917</v>
      </c>
      <c r="F719" s="30" t="s">
        <v>2703</v>
      </c>
      <c r="G719" s="26" t="s">
        <v>145</v>
      </c>
      <c r="H719" s="24" t="s">
        <v>146</v>
      </c>
      <c r="I719" s="109">
        <v>1</v>
      </c>
      <c r="J719" s="109" t="s">
        <v>1918</v>
      </c>
      <c r="K719" s="109">
        <v>89</v>
      </c>
      <c r="L719" s="109" t="s">
        <v>1919</v>
      </c>
      <c r="M719" s="109" t="s">
        <v>1904</v>
      </c>
      <c r="N719" s="109" t="s">
        <v>529</v>
      </c>
      <c r="O719" s="109" t="s">
        <v>1920</v>
      </c>
      <c r="P719" s="109" t="s">
        <v>1921</v>
      </c>
      <c r="Q719" s="102">
        <v>0</v>
      </c>
      <c r="R719" s="109" t="s">
        <v>1907</v>
      </c>
      <c r="S719" s="109" t="s">
        <v>1922</v>
      </c>
      <c r="T719" s="25"/>
      <c r="U719" s="111" t="s">
        <v>1923</v>
      </c>
      <c r="V719" s="111" t="s">
        <v>1923</v>
      </c>
      <c r="W719" s="112" t="s">
        <v>2289</v>
      </c>
      <c r="X719" s="112" t="s">
        <v>1906</v>
      </c>
      <c r="Y719" s="112" t="s">
        <v>2290</v>
      </c>
      <c r="Z719" s="112" t="s">
        <v>1906</v>
      </c>
      <c r="AA719" s="112" t="s">
        <v>2291</v>
      </c>
      <c r="AB719" s="112" t="s">
        <v>1906</v>
      </c>
      <c r="AC719" s="112">
        <v>41.99</v>
      </c>
      <c r="AD719" s="112" t="s">
        <v>1906</v>
      </c>
      <c r="AE719" s="112">
        <v>12.19</v>
      </c>
      <c r="AF719" s="112" t="s">
        <v>1906</v>
      </c>
      <c r="AG719" s="112">
        <v>0</v>
      </c>
      <c r="AH719" s="112"/>
      <c r="AI719" s="112">
        <v>0</v>
      </c>
      <c r="AJ719" s="112"/>
      <c r="AK719" s="112">
        <v>0</v>
      </c>
      <c r="AL719" s="112"/>
      <c r="AM719" s="112">
        <v>0</v>
      </c>
      <c r="AN719" s="112"/>
      <c r="AO719" s="112">
        <v>42.93</v>
      </c>
      <c r="AP719" s="112" t="s">
        <v>1906</v>
      </c>
      <c r="AQ719" s="112">
        <v>41.32</v>
      </c>
      <c r="AR719" s="112" t="s">
        <v>1906</v>
      </c>
      <c r="AS719" s="112">
        <v>41.32</v>
      </c>
      <c r="AT719" s="112" t="s">
        <v>1906</v>
      </c>
      <c r="AU719" s="112">
        <f t="shared" si="25"/>
        <v>417.2</v>
      </c>
      <c r="AV719" s="111">
        <v>0.16755999999999999</v>
      </c>
      <c r="AW719" s="111" t="s">
        <v>1904</v>
      </c>
      <c r="AX719" s="25"/>
      <c r="AY719" s="25"/>
      <c r="AZ719" s="25"/>
    </row>
    <row r="720" spans="1:52" ht="31.2" x14ac:dyDescent="0.3">
      <c r="A720" s="103">
        <v>710</v>
      </c>
      <c r="B720" s="109" t="s">
        <v>1501</v>
      </c>
      <c r="C720" s="30" t="s">
        <v>1899</v>
      </c>
      <c r="D720" s="110" t="s">
        <v>1900</v>
      </c>
      <c r="E720" s="110" t="s">
        <v>1917</v>
      </c>
      <c r="F720" s="30" t="s">
        <v>2703</v>
      </c>
      <c r="G720" s="26" t="s">
        <v>145</v>
      </c>
      <c r="H720" s="24" t="s">
        <v>146</v>
      </c>
      <c r="I720" s="109">
        <v>1</v>
      </c>
      <c r="J720" s="109" t="s">
        <v>1918</v>
      </c>
      <c r="K720" s="109">
        <v>89</v>
      </c>
      <c r="L720" s="109" t="s">
        <v>1919</v>
      </c>
      <c r="M720" s="109" t="s">
        <v>1904</v>
      </c>
      <c r="N720" s="109" t="s">
        <v>529</v>
      </c>
      <c r="O720" s="109" t="s">
        <v>1920</v>
      </c>
      <c r="P720" s="109" t="s">
        <v>1921</v>
      </c>
      <c r="Q720" s="102">
        <v>0</v>
      </c>
      <c r="R720" s="109" t="s">
        <v>1907</v>
      </c>
      <c r="S720" s="109" t="s">
        <v>1922</v>
      </c>
      <c r="T720" s="25"/>
      <c r="U720" s="111" t="s">
        <v>1923</v>
      </c>
      <c r="V720" s="111" t="s">
        <v>1923</v>
      </c>
      <c r="W720" s="112" t="s">
        <v>2292</v>
      </c>
      <c r="X720" s="112" t="s">
        <v>1906</v>
      </c>
      <c r="Y720" s="112" t="s">
        <v>2293</v>
      </c>
      <c r="Z720" s="112" t="s">
        <v>1906</v>
      </c>
      <c r="AA720" s="112" t="s">
        <v>2292</v>
      </c>
      <c r="AB720" s="112" t="s">
        <v>1906</v>
      </c>
      <c r="AC720" s="112">
        <v>60.36</v>
      </c>
      <c r="AD720" s="112" t="s">
        <v>1906</v>
      </c>
      <c r="AE720" s="112">
        <v>28.96</v>
      </c>
      <c r="AF720" s="112" t="s">
        <v>1906</v>
      </c>
      <c r="AG720" s="112">
        <v>0</v>
      </c>
      <c r="AH720" s="112"/>
      <c r="AI720" s="112">
        <v>0</v>
      </c>
      <c r="AJ720" s="112"/>
      <c r="AK720" s="112">
        <v>0</v>
      </c>
      <c r="AL720" s="112"/>
      <c r="AM720" s="112">
        <v>0</v>
      </c>
      <c r="AN720" s="112"/>
      <c r="AO720" s="112">
        <v>60.49</v>
      </c>
      <c r="AP720" s="112" t="s">
        <v>208</v>
      </c>
      <c r="AQ720" s="112">
        <v>65.03</v>
      </c>
      <c r="AR720" s="112" t="s">
        <v>208</v>
      </c>
      <c r="AS720" s="112">
        <v>97.46</v>
      </c>
      <c r="AT720" s="112" t="s">
        <v>208</v>
      </c>
      <c r="AU720" s="112">
        <f t="shared" si="25"/>
        <v>633.64</v>
      </c>
      <c r="AV720" s="111">
        <v>0.31934000000000001</v>
      </c>
      <c r="AW720" s="111" t="s">
        <v>1904</v>
      </c>
      <c r="AX720" s="25"/>
      <c r="AY720" s="25"/>
      <c r="AZ720" s="25"/>
    </row>
    <row r="721" spans="1:52" ht="31.2" x14ac:dyDescent="0.3">
      <c r="A721" s="103">
        <v>711</v>
      </c>
      <c r="B721" s="109" t="s">
        <v>1503</v>
      </c>
      <c r="C721" s="30" t="s">
        <v>1899</v>
      </c>
      <c r="D721" s="110" t="s">
        <v>1900</v>
      </c>
      <c r="E721" s="110" t="s">
        <v>1917</v>
      </c>
      <c r="F721" s="30" t="s">
        <v>2703</v>
      </c>
      <c r="G721" s="26" t="s">
        <v>145</v>
      </c>
      <c r="H721" s="24" t="s">
        <v>146</v>
      </c>
      <c r="I721" s="109">
        <v>0</v>
      </c>
      <c r="J721" s="109" t="s">
        <v>1918</v>
      </c>
      <c r="K721" s="109">
        <v>57</v>
      </c>
      <c r="L721" s="109" t="s">
        <v>1919</v>
      </c>
      <c r="M721" s="109" t="s">
        <v>1904</v>
      </c>
      <c r="N721" s="109" t="s">
        <v>529</v>
      </c>
      <c r="O721" s="109" t="s">
        <v>1920</v>
      </c>
      <c r="P721" s="109" t="s">
        <v>1920</v>
      </c>
      <c r="Q721" s="102">
        <v>0</v>
      </c>
      <c r="R721" s="109" t="s">
        <v>1907</v>
      </c>
      <c r="S721" s="109" t="s">
        <v>1922</v>
      </c>
      <c r="T721" s="25"/>
      <c r="U721" s="111" t="s">
        <v>1923</v>
      </c>
      <c r="V721" s="111" t="s">
        <v>1923</v>
      </c>
      <c r="W721" s="112" t="s">
        <v>2294</v>
      </c>
      <c r="X721" s="112" t="s">
        <v>1906</v>
      </c>
      <c r="Y721" s="112" t="s">
        <v>2294</v>
      </c>
      <c r="Z721" s="112" t="s">
        <v>1906</v>
      </c>
      <c r="AA721" s="112" t="s">
        <v>2294</v>
      </c>
      <c r="AB721" s="112" t="s">
        <v>1906</v>
      </c>
      <c r="AC721" s="112">
        <v>14.75</v>
      </c>
      <c r="AD721" s="112" t="s">
        <v>1906</v>
      </c>
      <c r="AE721" s="112">
        <v>4.28</v>
      </c>
      <c r="AF721" s="112" t="s">
        <v>1906</v>
      </c>
      <c r="AG721" s="112">
        <v>0</v>
      </c>
      <c r="AH721" s="112"/>
      <c r="AI721" s="112">
        <v>0</v>
      </c>
      <c r="AJ721" s="112"/>
      <c r="AK721" s="112">
        <v>0</v>
      </c>
      <c r="AL721" s="112"/>
      <c r="AM721" s="112">
        <v>3.24</v>
      </c>
      <c r="AN721" s="112" t="s">
        <v>1906</v>
      </c>
      <c r="AO721" s="112">
        <v>13.9</v>
      </c>
      <c r="AP721" s="112" t="s">
        <v>1906</v>
      </c>
      <c r="AQ721" s="112">
        <v>13.9</v>
      </c>
      <c r="AR721" s="112" t="s">
        <v>1906</v>
      </c>
      <c r="AS721" s="112">
        <v>13.9</v>
      </c>
      <c r="AT721" s="112" t="s">
        <v>1906</v>
      </c>
      <c r="AU721" s="112">
        <f t="shared" si="25"/>
        <v>108.22000000000001</v>
      </c>
      <c r="AV721" s="111">
        <v>6.8250000000000005E-2</v>
      </c>
      <c r="AW721" s="111" t="s">
        <v>1904</v>
      </c>
      <c r="AX721" s="25"/>
      <c r="AY721" s="25"/>
      <c r="AZ721" s="25"/>
    </row>
    <row r="722" spans="1:52" ht="31.2" x14ac:dyDescent="0.3">
      <c r="A722" s="103">
        <v>712</v>
      </c>
      <c r="B722" s="109" t="s">
        <v>1504</v>
      </c>
      <c r="C722" s="30" t="s">
        <v>1899</v>
      </c>
      <c r="D722" s="110" t="s">
        <v>1900</v>
      </c>
      <c r="E722" s="110" t="s">
        <v>1917</v>
      </c>
      <c r="F722" s="30" t="s">
        <v>2703</v>
      </c>
      <c r="G722" s="26" t="s">
        <v>145</v>
      </c>
      <c r="H722" s="24" t="s">
        <v>146</v>
      </c>
      <c r="I722" s="109">
        <v>0</v>
      </c>
      <c r="J722" s="109" t="s">
        <v>1918</v>
      </c>
      <c r="K722" s="109">
        <v>57</v>
      </c>
      <c r="L722" s="109" t="s">
        <v>1919</v>
      </c>
      <c r="M722" s="109" t="s">
        <v>1904</v>
      </c>
      <c r="N722" s="109" t="s">
        <v>529</v>
      </c>
      <c r="O722" s="109" t="s">
        <v>1920</v>
      </c>
      <c r="P722" s="109" t="s">
        <v>1920</v>
      </c>
      <c r="Q722" s="102">
        <v>0</v>
      </c>
      <c r="R722" s="109" t="s">
        <v>1907</v>
      </c>
      <c r="S722" s="109" t="s">
        <v>1922</v>
      </c>
      <c r="T722" s="25"/>
      <c r="U722" s="111" t="s">
        <v>1923</v>
      </c>
      <c r="V722" s="111" t="s">
        <v>1923</v>
      </c>
      <c r="W722" s="112" t="s">
        <v>2295</v>
      </c>
      <c r="X722" s="112" t="s">
        <v>1906</v>
      </c>
      <c r="Y722" s="112" t="s">
        <v>2295</v>
      </c>
      <c r="Z722" s="112" t="s">
        <v>1906</v>
      </c>
      <c r="AA722" s="112" t="s">
        <v>2295</v>
      </c>
      <c r="AB722" s="112" t="s">
        <v>1906</v>
      </c>
      <c r="AC722" s="112">
        <v>20.86</v>
      </c>
      <c r="AD722" s="112" t="s">
        <v>1906</v>
      </c>
      <c r="AE722" s="112">
        <v>6.05</v>
      </c>
      <c r="AF722" s="112" t="s">
        <v>1906</v>
      </c>
      <c r="AG722" s="112">
        <v>0</v>
      </c>
      <c r="AH722" s="112"/>
      <c r="AI722" s="112">
        <v>0</v>
      </c>
      <c r="AJ722" s="112"/>
      <c r="AK722" s="112">
        <v>0</v>
      </c>
      <c r="AL722" s="112"/>
      <c r="AM722" s="112">
        <v>4.54</v>
      </c>
      <c r="AN722" s="112" t="s">
        <v>1906</v>
      </c>
      <c r="AO722" s="112">
        <v>19.440000000000001</v>
      </c>
      <c r="AP722" s="112" t="s">
        <v>1906</v>
      </c>
      <c r="AQ722" s="112">
        <v>19.440000000000001</v>
      </c>
      <c r="AR722" s="112" t="s">
        <v>1906</v>
      </c>
      <c r="AS722" s="112">
        <v>19.440000000000001</v>
      </c>
      <c r="AT722" s="112" t="s">
        <v>1906</v>
      </c>
      <c r="AU722" s="112">
        <f t="shared" si="25"/>
        <v>152.35</v>
      </c>
      <c r="AV722" s="111">
        <v>9.0329999999999994E-2</v>
      </c>
      <c r="AW722" s="111" t="s">
        <v>1904</v>
      </c>
      <c r="AX722" s="25"/>
      <c r="AY722" s="25"/>
      <c r="AZ722" s="25"/>
    </row>
    <row r="723" spans="1:52" ht="31.2" x14ac:dyDescent="0.3">
      <c r="A723" s="103">
        <v>713</v>
      </c>
      <c r="B723" s="109" t="s">
        <v>1505</v>
      </c>
      <c r="C723" s="30" t="s">
        <v>1899</v>
      </c>
      <c r="D723" s="110" t="s">
        <v>1900</v>
      </c>
      <c r="E723" s="110" t="s">
        <v>1917</v>
      </c>
      <c r="F723" s="30" t="s">
        <v>2703</v>
      </c>
      <c r="G723" s="26" t="s">
        <v>145</v>
      </c>
      <c r="H723" s="24" t="s">
        <v>146</v>
      </c>
      <c r="I723" s="109">
        <v>1</v>
      </c>
      <c r="J723" s="109" t="s">
        <v>1918</v>
      </c>
      <c r="K723" s="109">
        <v>89</v>
      </c>
      <c r="L723" s="109" t="s">
        <v>1919</v>
      </c>
      <c r="M723" s="109" t="s">
        <v>1904</v>
      </c>
      <c r="N723" s="109" t="s">
        <v>529</v>
      </c>
      <c r="O723" s="109" t="s">
        <v>1920</v>
      </c>
      <c r="P723" s="109" t="s">
        <v>1921</v>
      </c>
      <c r="Q723" s="102">
        <v>0</v>
      </c>
      <c r="R723" s="109" t="s">
        <v>1907</v>
      </c>
      <c r="S723" s="109" t="s">
        <v>1922</v>
      </c>
      <c r="T723" s="25"/>
      <c r="U723" s="111" t="s">
        <v>1923</v>
      </c>
      <c r="V723" s="111" t="s">
        <v>1923</v>
      </c>
      <c r="W723" s="112" t="s">
        <v>2296</v>
      </c>
      <c r="X723" s="112" t="s">
        <v>208</v>
      </c>
      <c r="Y723" s="112" t="s">
        <v>2297</v>
      </c>
      <c r="Z723" s="112" t="s">
        <v>208</v>
      </c>
      <c r="AA723" s="112" t="s">
        <v>2298</v>
      </c>
      <c r="AB723" s="112" t="s">
        <v>208</v>
      </c>
      <c r="AC723" s="112">
        <v>38.99</v>
      </c>
      <c r="AD723" s="112" t="s">
        <v>208</v>
      </c>
      <c r="AE723" s="112">
        <v>18.739999999999998</v>
      </c>
      <c r="AF723" s="112" t="s">
        <v>208</v>
      </c>
      <c r="AG723" s="112">
        <v>0</v>
      </c>
      <c r="AH723" s="112"/>
      <c r="AI723" s="112">
        <v>0</v>
      </c>
      <c r="AJ723" s="112"/>
      <c r="AK723" s="112">
        <v>0</v>
      </c>
      <c r="AL723" s="112"/>
      <c r="AM723" s="112">
        <v>0</v>
      </c>
      <c r="AN723" s="112"/>
      <c r="AO723" s="112">
        <v>38.29</v>
      </c>
      <c r="AP723" s="112" t="s">
        <v>208</v>
      </c>
      <c r="AQ723" s="112">
        <v>40.14</v>
      </c>
      <c r="AR723" s="112" t="s">
        <v>208</v>
      </c>
      <c r="AS723" s="112">
        <v>60.34</v>
      </c>
      <c r="AT723" s="112" t="s">
        <v>208</v>
      </c>
      <c r="AU723" s="112">
        <f t="shared" si="25"/>
        <v>454.5</v>
      </c>
      <c r="AV723" s="111">
        <v>0.25492999999999999</v>
      </c>
      <c r="AW723" s="111" t="s">
        <v>1904</v>
      </c>
      <c r="AX723" s="25"/>
      <c r="AY723" s="25"/>
      <c r="AZ723" s="25"/>
    </row>
    <row r="724" spans="1:52" ht="31.2" x14ac:dyDescent="0.3">
      <c r="A724" s="103">
        <v>714</v>
      </c>
      <c r="B724" s="109" t="s">
        <v>1506</v>
      </c>
      <c r="C724" s="30" t="s">
        <v>1899</v>
      </c>
      <c r="D724" s="110" t="s">
        <v>1900</v>
      </c>
      <c r="E724" s="110" t="s">
        <v>1917</v>
      </c>
      <c r="F724" s="30" t="s">
        <v>2703</v>
      </c>
      <c r="G724" s="26" t="s">
        <v>145</v>
      </c>
      <c r="H724" s="24" t="s">
        <v>146</v>
      </c>
      <c r="I724" s="109">
        <v>1</v>
      </c>
      <c r="J724" s="109" t="s">
        <v>1918</v>
      </c>
      <c r="K724" s="109">
        <v>108</v>
      </c>
      <c r="L724" s="109" t="s">
        <v>1919</v>
      </c>
      <c r="M724" s="109" t="s">
        <v>1904</v>
      </c>
      <c r="N724" s="109" t="s">
        <v>529</v>
      </c>
      <c r="O724" s="109" t="s">
        <v>1920</v>
      </c>
      <c r="P724" s="109" t="s">
        <v>1921</v>
      </c>
      <c r="Q724" s="102">
        <v>0</v>
      </c>
      <c r="R724" s="109" t="s">
        <v>1907</v>
      </c>
      <c r="S724" s="109" t="s">
        <v>1922</v>
      </c>
      <c r="T724" s="25"/>
      <c r="U724" s="111" t="s">
        <v>1923</v>
      </c>
      <c r="V724" s="111" t="s">
        <v>1923</v>
      </c>
      <c r="W724" s="112" t="s">
        <v>2299</v>
      </c>
      <c r="X724" s="112" t="s">
        <v>1906</v>
      </c>
      <c r="Y724" s="112" t="s">
        <v>2300</v>
      </c>
      <c r="Z724" s="112" t="s">
        <v>1906</v>
      </c>
      <c r="AA724" s="112" t="s">
        <v>2301</v>
      </c>
      <c r="AB724" s="112" t="s">
        <v>1906</v>
      </c>
      <c r="AC724" s="112">
        <v>56.84</v>
      </c>
      <c r="AD724" s="112" t="s">
        <v>1906</v>
      </c>
      <c r="AE724" s="112">
        <v>28.19</v>
      </c>
      <c r="AF724" s="112" t="s">
        <v>1906</v>
      </c>
      <c r="AG724" s="112">
        <v>0</v>
      </c>
      <c r="AH724" s="112"/>
      <c r="AI724" s="112">
        <v>0</v>
      </c>
      <c r="AJ724" s="112"/>
      <c r="AK724" s="112">
        <v>0</v>
      </c>
      <c r="AL724" s="112"/>
      <c r="AM724" s="112">
        <v>0</v>
      </c>
      <c r="AN724" s="112"/>
      <c r="AO724" s="112">
        <v>48.55</v>
      </c>
      <c r="AP724" s="112" t="s">
        <v>208</v>
      </c>
      <c r="AQ724" s="112">
        <v>58.52</v>
      </c>
      <c r="AR724" s="112" t="s">
        <v>208</v>
      </c>
      <c r="AS724" s="112">
        <v>86.96</v>
      </c>
      <c r="AT724" s="112" t="s">
        <v>208</v>
      </c>
      <c r="AU724" s="112">
        <f t="shared" si="25"/>
        <v>656.30000000000007</v>
      </c>
      <c r="AV724" s="111">
        <v>0.36513000000000001</v>
      </c>
      <c r="AW724" s="111" t="s">
        <v>1904</v>
      </c>
      <c r="AX724" s="25"/>
      <c r="AY724" s="25"/>
      <c r="AZ724" s="25"/>
    </row>
    <row r="725" spans="1:52" ht="31.2" x14ac:dyDescent="0.3">
      <c r="A725" s="103">
        <v>715</v>
      </c>
      <c r="B725" s="109" t="s">
        <v>1507</v>
      </c>
      <c r="C725" s="30" t="s">
        <v>1899</v>
      </c>
      <c r="D725" s="110" t="s">
        <v>1900</v>
      </c>
      <c r="E725" s="110" t="s">
        <v>1917</v>
      </c>
      <c r="F725" s="30" t="s">
        <v>2703</v>
      </c>
      <c r="G725" s="26" t="s">
        <v>145</v>
      </c>
      <c r="H725" s="24" t="s">
        <v>146</v>
      </c>
      <c r="I725" s="109">
        <v>0</v>
      </c>
      <c r="J725" s="109" t="s">
        <v>1918</v>
      </c>
      <c r="K725" s="109">
        <v>57</v>
      </c>
      <c r="L725" s="109" t="s">
        <v>1919</v>
      </c>
      <c r="M725" s="109" t="s">
        <v>1904</v>
      </c>
      <c r="N725" s="109" t="s">
        <v>529</v>
      </c>
      <c r="O725" s="109" t="s">
        <v>1920</v>
      </c>
      <c r="P725" s="109" t="s">
        <v>1920</v>
      </c>
      <c r="Q725" s="102">
        <v>0</v>
      </c>
      <c r="R725" s="109" t="s">
        <v>1907</v>
      </c>
      <c r="S725" s="109" t="s">
        <v>1922</v>
      </c>
      <c r="T725" s="25"/>
      <c r="U725" s="111" t="s">
        <v>1923</v>
      </c>
      <c r="V725" s="111" t="s">
        <v>1923</v>
      </c>
      <c r="W725" s="112" t="s">
        <v>2302</v>
      </c>
      <c r="X725" s="112" t="s">
        <v>1906</v>
      </c>
      <c r="Y725" s="112" t="s">
        <v>2302</v>
      </c>
      <c r="Z725" s="112" t="s">
        <v>1906</v>
      </c>
      <c r="AA725" s="112" t="s">
        <v>2302</v>
      </c>
      <c r="AB725" s="112" t="s">
        <v>1906</v>
      </c>
      <c r="AC725" s="112">
        <v>17.059999999999999</v>
      </c>
      <c r="AD725" s="112" t="s">
        <v>1906</v>
      </c>
      <c r="AE725" s="112">
        <v>4.95</v>
      </c>
      <c r="AF725" s="112" t="s">
        <v>1906</v>
      </c>
      <c r="AG725" s="112">
        <v>0</v>
      </c>
      <c r="AH725" s="112"/>
      <c r="AI725" s="112">
        <v>0</v>
      </c>
      <c r="AJ725" s="112"/>
      <c r="AK725" s="112">
        <v>0</v>
      </c>
      <c r="AL725" s="112"/>
      <c r="AM725" s="112">
        <v>3.92</v>
      </c>
      <c r="AN725" s="112" t="s">
        <v>1906</v>
      </c>
      <c r="AO725" s="112">
        <v>16.78</v>
      </c>
      <c r="AP725" s="112" t="s">
        <v>1906</v>
      </c>
      <c r="AQ725" s="112">
        <v>16.78</v>
      </c>
      <c r="AR725" s="112" t="s">
        <v>1906</v>
      </c>
      <c r="AS725" s="112">
        <v>16.78</v>
      </c>
      <c r="AT725" s="112" t="s">
        <v>1906</v>
      </c>
      <c r="AU725" s="112">
        <f t="shared" si="25"/>
        <v>127.45</v>
      </c>
      <c r="AV725" s="111">
        <v>8.2299999999999998E-2</v>
      </c>
      <c r="AW725" s="111" t="s">
        <v>1904</v>
      </c>
      <c r="AX725" s="25"/>
      <c r="AY725" s="25"/>
      <c r="AZ725" s="25"/>
    </row>
    <row r="726" spans="1:52" ht="31.2" x14ac:dyDescent="0.3">
      <c r="A726" s="103">
        <v>716</v>
      </c>
      <c r="B726" s="109" t="s">
        <v>1508</v>
      </c>
      <c r="C726" s="30" t="s">
        <v>1899</v>
      </c>
      <c r="D726" s="110" t="s">
        <v>1900</v>
      </c>
      <c r="E726" s="110" t="s">
        <v>1917</v>
      </c>
      <c r="F726" s="30" t="s">
        <v>2703</v>
      </c>
      <c r="G726" s="26" t="s">
        <v>145</v>
      </c>
      <c r="H726" s="24" t="s">
        <v>146</v>
      </c>
      <c r="I726" s="109">
        <v>1</v>
      </c>
      <c r="J726" s="109" t="s">
        <v>1918</v>
      </c>
      <c r="K726" s="109">
        <v>76</v>
      </c>
      <c r="L726" s="109" t="s">
        <v>1919</v>
      </c>
      <c r="M726" s="109" t="s">
        <v>1904</v>
      </c>
      <c r="N726" s="109" t="s">
        <v>529</v>
      </c>
      <c r="O726" s="109" t="s">
        <v>1920</v>
      </c>
      <c r="P726" s="109" t="s">
        <v>1921</v>
      </c>
      <c r="Q726" s="102">
        <v>0</v>
      </c>
      <c r="R726" s="109" t="s">
        <v>1907</v>
      </c>
      <c r="S726" s="109" t="s">
        <v>1922</v>
      </c>
      <c r="T726" s="25"/>
      <c r="U726" s="111" t="s">
        <v>1923</v>
      </c>
      <c r="V726" s="111" t="s">
        <v>1923</v>
      </c>
      <c r="W726" s="112" t="s">
        <v>2303</v>
      </c>
      <c r="X726" s="112" t="s">
        <v>1906</v>
      </c>
      <c r="Y726" s="112" t="s">
        <v>2304</v>
      </c>
      <c r="Z726" s="112" t="s">
        <v>1906</v>
      </c>
      <c r="AA726" s="112" t="s">
        <v>2305</v>
      </c>
      <c r="AB726" s="112" t="s">
        <v>1906</v>
      </c>
      <c r="AC726" s="112">
        <v>30.46</v>
      </c>
      <c r="AD726" s="112" t="s">
        <v>1906</v>
      </c>
      <c r="AE726" s="112">
        <v>5.57</v>
      </c>
      <c r="AF726" s="112" t="s">
        <v>1906</v>
      </c>
      <c r="AG726" s="112">
        <v>0</v>
      </c>
      <c r="AH726" s="112"/>
      <c r="AI726" s="112">
        <v>0</v>
      </c>
      <c r="AJ726" s="112"/>
      <c r="AK726" s="112">
        <v>0</v>
      </c>
      <c r="AL726" s="112"/>
      <c r="AM726" s="112">
        <v>0</v>
      </c>
      <c r="AN726" s="112"/>
      <c r="AO726" s="112">
        <v>24.39</v>
      </c>
      <c r="AP726" s="112" t="s">
        <v>1906</v>
      </c>
      <c r="AQ726" s="112">
        <v>29.99</v>
      </c>
      <c r="AR726" s="112" t="s">
        <v>1906</v>
      </c>
      <c r="AS726" s="112">
        <v>35.9</v>
      </c>
      <c r="AT726" s="112" t="s">
        <v>1906</v>
      </c>
      <c r="AU726" s="112">
        <f t="shared" si="25"/>
        <v>246.93000000000004</v>
      </c>
      <c r="AV726" s="111">
        <v>0.13449</v>
      </c>
      <c r="AW726" s="111" t="s">
        <v>1904</v>
      </c>
      <c r="AX726" s="25"/>
      <c r="AY726" s="25"/>
      <c r="AZ726" s="25"/>
    </row>
    <row r="727" spans="1:52" ht="31.2" x14ac:dyDescent="0.3">
      <c r="A727" s="103">
        <v>717</v>
      </c>
      <c r="B727" s="109" t="s">
        <v>1509</v>
      </c>
      <c r="C727" s="30" t="s">
        <v>1899</v>
      </c>
      <c r="D727" s="110" t="s">
        <v>1900</v>
      </c>
      <c r="E727" s="110" t="s">
        <v>1917</v>
      </c>
      <c r="F727" s="30" t="s">
        <v>2703</v>
      </c>
      <c r="G727" s="26" t="s">
        <v>145</v>
      </c>
      <c r="H727" s="24" t="s">
        <v>146</v>
      </c>
      <c r="I727" s="109">
        <v>0</v>
      </c>
      <c r="J727" s="109" t="s">
        <v>1918</v>
      </c>
      <c r="K727" s="109">
        <v>76</v>
      </c>
      <c r="L727" s="109" t="s">
        <v>1919</v>
      </c>
      <c r="M727" s="109" t="s">
        <v>1904</v>
      </c>
      <c r="N727" s="109" t="s">
        <v>529</v>
      </c>
      <c r="O727" s="109" t="s">
        <v>1920</v>
      </c>
      <c r="P727" s="109" t="s">
        <v>1920</v>
      </c>
      <c r="Q727" s="102">
        <v>0</v>
      </c>
      <c r="R727" s="109" t="s">
        <v>1907</v>
      </c>
      <c r="S727" s="109" t="s">
        <v>1922</v>
      </c>
      <c r="T727" s="25"/>
      <c r="U727" s="111" t="s">
        <v>1923</v>
      </c>
      <c r="V727" s="111" t="s">
        <v>1923</v>
      </c>
      <c r="W727" s="112" t="s">
        <v>2306</v>
      </c>
      <c r="X727" s="112" t="s">
        <v>1906</v>
      </c>
      <c r="Y727" s="112" t="s">
        <v>2306</v>
      </c>
      <c r="Z727" s="112" t="s">
        <v>1906</v>
      </c>
      <c r="AA727" s="112" t="s">
        <v>2306</v>
      </c>
      <c r="AB727" s="112" t="s">
        <v>1906</v>
      </c>
      <c r="AC727" s="112">
        <v>25.13</v>
      </c>
      <c r="AD727" s="112" t="s">
        <v>1906</v>
      </c>
      <c r="AE727" s="112">
        <v>7.3</v>
      </c>
      <c r="AF727" s="112" t="s">
        <v>1906</v>
      </c>
      <c r="AG727" s="112">
        <v>0</v>
      </c>
      <c r="AH727" s="112"/>
      <c r="AI727" s="112">
        <v>0</v>
      </c>
      <c r="AJ727" s="112"/>
      <c r="AK727" s="112">
        <v>0</v>
      </c>
      <c r="AL727" s="112"/>
      <c r="AM727" s="112">
        <v>5.93</v>
      </c>
      <c r="AN727" s="112" t="s">
        <v>1906</v>
      </c>
      <c r="AO727" s="112">
        <v>25.43</v>
      </c>
      <c r="AP727" s="112" t="s">
        <v>1906</v>
      </c>
      <c r="AQ727" s="112">
        <v>25.43</v>
      </c>
      <c r="AR727" s="112" t="s">
        <v>1906</v>
      </c>
      <c r="AS727" s="112">
        <v>25.43</v>
      </c>
      <c r="AT727" s="112" t="s">
        <v>1906</v>
      </c>
      <c r="AU727" s="112">
        <f t="shared" si="25"/>
        <v>190.04000000000002</v>
      </c>
      <c r="AV727" s="111">
        <v>0.11441999999999999</v>
      </c>
      <c r="AW727" s="111" t="s">
        <v>1904</v>
      </c>
      <c r="AX727" s="25"/>
      <c r="AY727" s="25"/>
      <c r="AZ727" s="25"/>
    </row>
    <row r="728" spans="1:52" ht="31.2" x14ac:dyDescent="0.3">
      <c r="A728" s="103">
        <v>718</v>
      </c>
      <c r="B728" s="109" t="s">
        <v>1511</v>
      </c>
      <c r="C728" s="30" t="s">
        <v>1899</v>
      </c>
      <c r="D728" s="110" t="s">
        <v>1900</v>
      </c>
      <c r="E728" s="110" t="s">
        <v>1917</v>
      </c>
      <c r="F728" s="30" t="s">
        <v>2703</v>
      </c>
      <c r="G728" s="26" t="s">
        <v>145</v>
      </c>
      <c r="H728" s="24" t="s">
        <v>146</v>
      </c>
      <c r="I728" s="109">
        <v>1</v>
      </c>
      <c r="J728" s="109" t="s">
        <v>1918</v>
      </c>
      <c r="K728" s="109">
        <v>89</v>
      </c>
      <c r="L728" s="109" t="s">
        <v>1919</v>
      </c>
      <c r="M728" s="109" t="s">
        <v>1904</v>
      </c>
      <c r="N728" s="109" t="s">
        <v>529</v>
      </c>
      <c r="O728" s="109" t="s">
        <v>1920</v>
      </c>
      <c r="P728" s="109" t="s">
        <v>1921</v>
      </c>
      <c r="Q728" s="102">
        <v>0</v>
      </c>
      <c r="R728" s="109" t="s">
        <v>1907</v>
      </c>
      <c r="S728" s="109" t="s">
        <v>1922</v>
      </c>
      <c r="T728" s="25"/>
      <c r="U728" s="111" t="s">
        <v>1923</v>
      </c>
      <c r="V728" s="111" t="s">
        <v>1923</v>
      </c>
      <c r="W728" s="112" t="s">
        <v>2307</v>
      </c>
      <c r="X728" s="112" t="s">
        <v>208</v>
      </c>
      <c r="Y728" s="112" t="s">
        <v>2308</v>
      </c>
      <c r="Z728" s="112" t="s">
        <v>208</v>
      </c>
      <c r="AA728" s="112" t="s">
        <v>2309</v>
      </c>
      <c r="AB728" s="112" t="s">
        <v>208</v>
      </c>
      <c r="AC728" s="112">
        <v>29.35</v>
      </c>
      <c r="AD728" s="112" t="s">
        <v>208</v>
      </c>
      <c r="AE728" s="112">
        <v>13.78</v>
      </c>
      <c r="AF728" s="112" t="s">
        <v>208</v>
      </c>
      <c r="AG728" s="112">
        <v>0</v>
      </c>
      <c r="AH728" s="112"/>
      <c r="AI728" s="112">
        <v>0</v>
      </c>
      <c r="AJ728" s="112"/>
      <c r="AK728" s="112">
        <v>0</v>
      </c>
      <c r="AL728" s="112"/>
      <c r="AM728" s="112">
        <v>0</v>
      </c>
      <c r="AN728" s="112"/>
      <c r="AO728" s="112">
        <v>54.89</v>
      </c>
      <c r="AP728" s="112" t="s">
        <v>208</v>
      </c>
      <c r="AQ728" s="112">
        <v>54.89</v>
      </c>
      <c r="AR728" s="112" t="s">
        <v>208</v>
      </c>
      <c r="AS728" s="112">
        <v>54.89</v>
      </c>
      <c r="AT728" s="112" t="s">
        <v>208</v>
      </c>
      <c r="AU728" s="112">
        <f t="shared" si="25"/>
        <v>396.22999999999996</v>
      </c>
      <c r="AV728" s="111">
        <v>0.22683</v>
      </c>
      <c r="AW728" s="111" t="s">
        <v>1904</v>
      </c>
      <c r="AX728" s="25"/>
      <c r="AY728" s="25"/>
      <c r="AZ728" s="25"/>
    </row>
    <row r="729" spans="1:52" ht="31.2" x14ac:dyDescent="0.3">
      <c r="A729" s="103">
        <v>719</v>
      </c>
      <c r="B729" s="109" t="s">
        <v>1513</v>
      </c>
      <c r="C729" s="30" t="s">
        <v>1899</v>
      </c>
      <c r="D729" s="110" t="s">
        <v>1900</v>
      </c>
      <c r="E729" s="110" t="s">
        <v>1917</v>
      </c>
      <c r="F729" s="30" t="s">
        <v>2703</v>
      </c>
      <c r="G729" s="26" t="s">
        <v>145</v>
      </c>
      <c r="H729" s="24" t="s">
        <v>146</v>
      </c>
      <c r="I729" s="109">
        <v>1</v>
      </c>
      <c r="J729" s="109" t="s">
        <v>1918</v>
      </c>
      <c r="K729" s="109">
        <v>89</v>
      </c>
      <c r="L729" s="109" t="s">
        <v>1919</v>
      </c>
      <c r="M729" s="109" t="s">
        <v>1904</v>
      </c>
      <c r="N729" s="109" t="s">
        <v>529</v>
      </c>
      <c r="O729" s="109" t="s">
        <v>1920</v>
      </c>
      <c r="P729" s="109" t="s">
        <v>1921</v>
      </c>
      <c r="Q729" s="102">
        <v>0</v>
      </c>
      <c r="R729" s="109" t="s">
        <v>1907</v>
      </c>
      <c r="S729" s="109" t="s">
        <v>1922</v>
      </c>
      <c r="T729" s="25"/>
      <c r="U729" s="111" t="s">
        <v>1923</v>
      </c>
      <c r="V729" s="111" t="s">
        <v>1923</v>
      </c>
      <c r="W729" s="112" t="s">
        <v>2310</v>
      </c>
      <c r="X729" s="112" t="s">
        <v>1906</v>
      </c>
      <c r="Y729" s="112" t="s">
        <v>2311</v>
      </c>
      <c r="Z729" s="112" t="s">
        <v>1906</v>
      </c>
      <c r="AA729" s="112" t="s">
        <v>2312</v>
      </c>
      <c r="AB729" s="112" t="s">
        <v>1906</v>
      </c>
      <c r="AC729" s="112">
        <v>37.549999999999997</v>
      </c>
      <c r="AD729" s="112" t="s">
        <v>1906</v>
      </c>
      <c r="AE729" s="112">
        <v>17.7</v>
      </c>
      <c r="AF729" s="112" t="s">
        <v>1906</v>
      </c>
      <c r="AG729" s="112">
        <v>0</v>
      </c>
      <c r="AH729" s="112"/>
      <c r="AI729" s="112">
        <v>0</v>
      </c>
      <c r="AJ729" s="112"/>
      <c r="AK729" s="112">
        <v>0</v>
      </c>
      <c r="AL729" s="112"/>
      <c r="AM729" s="112">
        <v>0</v>
      </c>
      <c r="AN729" s="112"/>
      <c r="AO729" s="112">
        <v>66.22</v>
      </c>
      <c r="AP729" s="112" t="s">
        <v>208</v>
      </c>
      <c r="AQ729" s="112">
        <v>28.21</v>
      </c>
      <c r="AR729" s="112" t="s">
        <v>208</v>
      </c>
      <c r="AS729" s="112">
        <v>59.54</v>
      </c>
      <c r="AT729" s="112" t="s">
        <v>208</v>
      </c>
      <c r="AU729" s="112">
        <f t="shared" si="25"/>
        <v>488.51</v>
      </c>
      <c r="AV729" s="111">
        <v>0.26644000000000001</v>
      </c>
      <c r="AW729" s="111" t="s">
        <v>1904</v>
      </c>
      <c r="AX729" s="25"/>
      <c r="AY729" s="25"/>
      <c r="AZ729" s="25"/>
    </row>
    <row r="730" spans="1:52" ht="31.2" x14ac:dyDescent="0.3">
      <c r="A730" s="103">
        <v>720</v>
      </c>
      <c r="B730" s="109" t="s">
        <v>1515</v>
      </c>
      <c r="C730" s="30" t="s">
        <v>1899</v>
      </c>
      <c r="D730" s="110" t="s">
        <v>1900</v>
      </c>
      <c r="E730" s="110" t="s">
        <v>1917</v>
      </c>
      <c r="F730" s="30" t="s">
        <v>2703</v>
      </c>
      <c r="G730" s="26" t="s">
        <v>145</v>
      </c>
      <c r="H730" s="24" t="s">
        <v>146</v>
      </c>
      <c r="I730" s="109">
        <v>1</v>
      </c>
      <c r="J730" s="109" t="s">
        <v>1918</v>
      </c>
      <c r="K730" s="109">
        <v>100</v>
      </c>
      <c r="L730" s="109" t="s">
        <v>1919</v>
      </c>
      <c r="M730" s="109" t="s">
        <v>1904</v>
      </c>
      <c r="N730" s="109" t="s">
        <v>529</v>
      </c>
      <c r="O730" s="109" t="s">
        <v>1920</v>
      </c>
      <c r="P730" s="109" t="s">
        <v>1921</v>
      </c>
      <c r="Q730" s="102">
        <v>0</v>
      </c>
      <c r="R730" s="109" t="s">
        <v>1907</v>
      </c>
      <c r="S730" s="109" t="s">
        <v>1922</v>
      </c>
      <c r="T730" s="25"/>
      <c r="U730" s="111" t="s">
        <v>1923</v>
      </c>
      <c r="V730" s="111" t="s">
        <v>1923</v>
      </c>
      <c r="W730" s="112" t="s">
        <v>2313</v>
      </c>
      <c r="X730" s="112" t="s">
        <v>1906</v>
      </c>
      <c r="Y730" s="112" t="s">
        <v>2313</v>
      </c>
      <c r="Z730" s="112" t="s">
        <v>1906</v>
      </c>
      <c r="AA730" s="112" t="s">
        <v>2313</v>
      </c>
      <c r="AB730" s="112" t="s">
        <v>1906</v>
      </c>
      <c r="AC730" s="112">
        <v>105.22</v>
      </c>
      <c r="AD730" s="112" t="s">
        <v>1906</v>
      </c>
      <c r="AE730" s="112">
        <v>30.55</v>
      </c>
      <c r="AF730" s="112" t="s">
        <v>1906</v>
      </c>
      <c r="AG730" s="112">
        <v>0</v>
      </c>
      <c r="AH730" s="112"/>
      <c r="AI730" s="112">
        <v>0</v>
      </c>
      <c r="AJ730" s="112"/>
      <c r="AK730" s="112">
        <v>0</v>
      </c>
      <c r="AL730" s="112"/>
      <c r="AM730" s="112">
        <v>24.56</v>
      </c>
      <c r="AN730" s="112" t="s">
        <v>1906</v>
      </c>
      <c r="AO730" s="112">
        <v>110.1</v>
      </c>
      <c r="AP730" s="112" t="s">
        <v>1906</v>
      </c>
      <c r="AQ730" s="112">
        <v>105.27</v>
      </c>
      <c r="AR730" s="112" t="s">
        <v>1906</v>
      </c>
      <c r="AS730" s="112">
        <v>105.27</v>
      </c>
      <c r="AT730" s="112" t="s">
        <v>1906</v>
      </c>
      <c r="AU730" s="112">
        <f t="shared" si="25"/>
        <v>796.63</v>
      </c>
      <c r="AV730" s="111">
        <v>0.32680999999999999</v>
      </c>
      <c r="AW730" s="111" t="s">
        <v>1904</v>
      </c>
      <c r="AX730" s="25"/>
      <c r="AY730" s="25"/>
      <c r="AZ730" s="25"/>
    </row>
    <row r="731" spans="1:52" ht="31.2" x14ac:dyDescent="0.3">
      <c r="A731" s="103">
        <v>721</v>
      </c>
      <c r="B731" s="109" t="s">
        <v>1517</v>
      </c>
      <c r="C731" s="30" t="s">
        <v>1899</v>
      </c>
      <c r="D731" s="110" t="s">
        <v>1900</v>
      </c>
      <c r="E731" s="110" t="s">
        <v>1917</v>
      </c>
      <c r="F731" s="30" t="s">
        <v>2703</v>
      </c>
      <c r="G731" s="26" t="s">
        <v>145</v>
      </c>
      <c r="H731" s="24" t="s">
        <v>146</v>
      </c>
      <c r="I731" s="109">
        <v>1</v>
      </c>
      <c r="J731" s="109" t="s">
        <v>1918</v>
      </c>
      <c r="K731" s="109">
        <v>50</v>
      </c>
      <c r="L731" s="109" t="s">
        <v>1919</v>
      </c>
      <c r="M731" s="109" t="s">
        <v>1904</v>
      </c>
      <c r="N731" s="109" t="s">
        <v>529</v>
      </c>
      <c r="O731" s="109" t="s">
        <v>1920</v>
      </c>
      <c r="P731" s="109" t="s">
        <v>1921</v>
      </c>
      <c r="Q731" s="102">
        <v>0</v>
      </c>
      <c r="R731" s="109" t="s">
        <v>1907</v>
      </c>
      <c r="S731" s="109" t="s">
        <v>1922</v>
      </c>
      <c r="T731" s="25"/>
      <c r="U731" s="111" t="s">
        <v>1923</v>
      </c>
      <c r="V731" s="111" t="s">
        <v>1923</v>
      </c>
      <c r="W731" s="112" t="s">
        <v>2314</v>
      </c>
      <c r="X731" s="112" t="s">
        <v>1906</v>
      </c>
      <c r="Y731" s="112" t="s">
        <v>2315</v>
      </c>
      <c r="Z731" s="112" t="s">
        <v>1906</v>
      </c>
      <c r="AA731" s="112" t="s">
        <v>2316</v>
      </c>
      <c r="AB731" s="112" t="s">
        <v>1906</v>
      </c>
      <c r="AC731" s="112">
        <v>58.01</v>
      </c>
      <c r="AD731" s="112" t="s">
        <v>1906</v>
      </c>
      <c r="AE731" s="112">
        <v>34.76</v>
      </c>
      <c r="AF731" s="112" t="s">
        <v>1906</v>
      </c>
      <c r="AG731" s="112">
        <v>0</v>
      </c>
      <c r="AH731" s="112"/>
      <c r="AI731" s="112">
        <v>0</v>
      </c>
      <c r="AJ731" s="112"/>
      <c r="AK731" s="112">
        <v>0</v>
      </c>
      <c r="AL731" s="112"/>
      <c r="AM731" s="112">
        <v>0</v>
      </c>
      <c r="AN731" s="112"/>
      <c r="AO731" s="112">
        <v>47.27</v>
      </c>
      <c r="AP731" s="112" t="s">
        <v>208</v>
      </c>
      <c r="AQ731" s="112">
        <v>60.46</v>
      </c>
      <c r="AR731" s="112" t="s">
        <v>208</v>
      </c>
      <c r="AS731" s="112">
        <v>86.31</v>
      </c>
      <c r="AT731" s="112" t="s">
        <v>208</v>
      </c>
      <c r="AU731" s="112">
        <f t="shared" si="25"/>
        <v>664.18000000000006</v>
      </c>
      <c r="AV731" s="111">
        <v>0.23696999999999999</v>
      </c>
      <c r="AW731" s="111" t="s">
        <v>1904</v>
      </c>
      <c r="AX731" s="25"/>
      <c r="AY731" s="25"/>
      <c r="AZ731" s="25"/>
    </row>
    <row r="732" spans="1:52" ht="31.2" x14ac:dyDescent="0.3">
      <c r="A732" s="103">
        <v>722</v>
      </c>
      <c r="B732" s="109" t="s">
        <v>1519</v>
      </c>
      <c r="C732" s="30" t="s">
        <v>1899</v>
      </c>
      <c r="D732" s="110" t="s">
        <v>1900</v>
      </c>
      <c r="E732" s="110" t="s">
        <v>1917</v>
      </c>
      <c r="F732" s="30" t="s">
        <v>2703</v>
      </c>
      <c r="G732" s="26" t="s">
        <v>145</v>
      </c>
      <c r="H732" s="24" t="s">
        <v>146</v>
      </c>
      <c r="I732" s="109">
        <v>1</v>
      </c>
      <c r="J732" s="109" t="s">
        <v>1918</v>
      </c>
      <c r="K732" s="109">
        <v>50</v>
      </c>
      <c r="L732" s="109" t="s">
        <v>1919</v>
      </c>
      <c r="M732" s="109" t="s">
        <v>1904</v>
      </c>
      <c r="N732" s="109" t="s">
        <v>529</v>
      </c>
      <c r="O732" s="109" t="s">
        <v>1920</v>
      </c>
      <c r="P732" s="109" t="s">
        <v>1921</v>
      </c>
      <c r="Q732" s="102">
        <v>0</v>
      </c>
      <c r="R732" s="109" t="s">
        <v>1907</v>
      </c>
      <c r="S732" s="109" t="s">
        <v>1922</v>
      </c>
      <c r="T732" s="25"/>
      <c r="U732" s="111" t="s">
        <v>1923</v>
      </c>
      <c r="V732" s="111" t="s">
        <v>1923</v>
      </c>
      <c r="W732" s="112" t="s">
        <v>2317</v>
      </c>
      <c r="X732" s="112" t="s">
        <v>1906</v>
      </c>
      <c r="Y732" s="112" t="s">
        <v>2318</v>
      </c>
      <c r="Z732" s="112" t="s">
        <v>1906</v>
      </c>
      <c r="AA732" s="112" t="s">
        <v>2319</v>
      </c>
      <c r="AB732" s="112" t="s">
        <v>1906</v>
      </c>
      <c r="AC732" s="112">
        <v>28.91</v>
      </c>
      <c r="AD732" s="112" t="s">
        <v>1906</v>
      </c>
      <c r="AE732" s="112">
        <v>4.1900000000000004</v>
      </c>
      <c r="AF732" s="112" t="s">
        <v>1906</v>
      </c>
      <c r="AG732" s="112">
        <v>0</v>
      </c>
      <c r="AH732" s="112"/>
      <c r="AI732" s="112">
        <v>0</v>
      </c>
      <c r="AJ732" s="112"/>
      <c r="AK732" s="112">
        <v>0</v>
      </c>
      <c r="AL732" s="112"/>
      <c r="AM732" s="112">
        <v>0</v>
      </c>
      <c r="AN732" s="112"/>
      <c r="AO732" s="112">
        <v>10.83</v>
      </c>
      <c r="AP732" s="112" t="s">
        <v>208</v>
      </c>
      <c r="AQ732" s="112">
        <v>14.86</v>
      </c>
      <c r="AR732" s="112" t="s">
        <v>208</v>
      </c>
      <c r="AS732" s="112">
        <v>20.97</v>
      </c>
      <c r="AT732" s="112" t="s">
        <v>208</v>
      </c>
      <c r="AU732" s="112">
        <f t="shared" si="25"/>
        <v>166.44000000000003</v>
      </c>
      <c r="AV732" s="111">
        <v>0.21579000000000001</v>
      </c>
      <c r="AW732" s="111" t="s">
        <v>1904</v>
      </c>
      <c r="AX732" s="25"/>
      <c r="AY732" s="25"/>
      <c r="AZ732" s="25"/>
    </row>
    <row r="733" spans="1:52" ht="31.2" x14ac:dyDescent="0.3">
      <c r="A733" s="103">
        <v>723</v>
      </c>
      <c r="B733" s="109" t="s">
        <v>1520</v>
      </c>
      <c r="C733" s="30" t="s">
        <v>1899</v>
      </c>
      <c r="D733" s="110" t="s">
        <v>1900</v>
      </c>
      <c r="E733" s="110" t="s">
        <v>1917</v>
      </c>
      <c r="F733" s="30" t="s">
        <v>2703</v>
      </c>
      <c r="G733" s="26" t="s">
        <v>145</v>
      </c>
      <c r="H733" s="24" t="s">
        <v>146</v>
      </c>
      <c r="I733" s="109">
        <v>1</v>
      </c>
      <c r="J733" s="109" t="s">
        <v>1918</v>
      </c>
      <c r="K733" s="109">
        <v>76</v>
      </c>
      <c r="L733" s="109" t="s">
        <v>1919</v>
      </c>
      <c r="M733" s="109" t="s">
        <v>1904</v>
      </c>
      <c r="N733" s="109" t="s">
        <v>529</v>
      </c>
      <c r="O733" s="109" t="s">
        <v>1920</v>
      </c>
      <c r="P733" s="109" t="s">
        <v>1921</v>
      </c>
      <c r="Q733" s="102">
        <v>0</v>
      </c>
      <c r="R733" s="109" t="s">
        <v>1907</v>
      </c>
      <c r="S733" s="109" t="s">
        <v>1922</v>
      </c>
      <c r="T733" s="25"/>
      <c r="U733" s="111" t="s">
        <v>1923</v>
      </c>
      <c r="V733" s="111" t="s">
        <v>1923</v>
      </c>
      <c r="W733" s="112" t="s">
        <v>2320</v>
      </c>
      <c r="X733" s="112" t="s">
        <v>1906</v>
      </c>
      <c r="Y733" s="112" t="s">
        <v>2320</v>
      </c>
      <c r="Z733" s="112" t="s">
        <v>1906</v>
      </c>
      <c r="AA733" s="112" t="s">
        <v>2320</v>
      </c>
      <c r="AB733" s="112" t="s">
        <v>1906</v>
      </c>
      <c r="AC733" s="112">
        <v>7.32</v>
      </c>
      <c r="AD733" s="112" t="s">
        <v>1906</v>
      </c>
      <c r="AE733" s="112">
        <v>2.12</v>
      </c>
      <c r="AF733" s="112" t="s">
        <v>1906</v>
      </c>
      <c r="AG733" s="112">
        <v>0</v>
      </c>
      <c r="AH733" s="112"/>
      <c r="AI733" s="112">
        <v>0</v>
      </c>
      <c r="AJ733" s="112"/>
      <c r="AK733" s="112">
        <v>0</v>
      </c>
      <c r="AL733" s="112"/>
      <c r="AM733" s="112">
        <v>1.33</v>
      </c>
      <c r="AN733" s="112" t="s">
        <v>1906</v>
      </c>
      <c r="AO733" s="112">
        <v>5.7</v>
      </c>
      <c r="AP733" s="112" t="s">
        <v>1906</v>
      </c>
      <c r="AQ733" s="112">
        <v>5.7</v>
      </c>
      <c r="AR733" s="112" t="s">
        <v>1906</v>
      </c>
      <c r="AS733" s="112">
        <v>5.7</v>
      </c>
      <c r="AT733" s="112" t="s">
        <v>1906</v>
      </c>
      <c r="AU733" s="112">
        <f t="shared" si="25"/>
        <v>49.830000000000013</v>
      </c>
      <c r="AV733" s="111">
        <v>0.25803999999999999</v>
      </c>
      <c r="AW733" s="111" t="s">
        <v>1904</v>
      </c>
      <c r="AX733" s="25"/>
      <c r="AY733" s="25"/>
      <c r="AZ733" s="25"/>
    </row>
    <row r="734" spans="1:52" ht="31.2" x14ac:dyDescent="0.3">
      <c r="A734" s="103">
        <v>724</v>
      </c>
      <c r="B734" s="109" t="s">
        <v>1522</v>
      </c>
      <c r="C734" s="30" t="s">
        <v>1899</v>
      </c>
      <c r="D734" s="110" t="s">
        <v>1900</v>
      </c>
      <c r="E734" s="110" t="s">
        <v>1917</v>
      </c>
      <c r="F734" s="30" t="s">
        <v>2703</v>
      </c>
      <c r="G734" s="26" t="s">
        <v>145</v>
      </c>
      <c r="H734" s="24" t="s">
        <v>146</v>
      </c>
      <c r="I734" s="109">
        <v>1</v>
      </c>
      <c r="J734" s="109" t="s">
        <v>1918</v>
      </c>
      <c r="K734" s="109">
        <v>89</v>
      </c>
      <c r="L734" s="109" t="s">
        <v>1919</v>
      </c>
      <c r="M734" s="109" t="s">
        <v>1904</v>
      </c>
      <c r="N734" s="109" t="s">
        <v>529</v>
      </c>
      <c r="O734" s="109" t="s">
        <v>1920</v>
      </c>
      <c r="P734" s="109" t="s">
        <v>1921</v>
      </c>
      <c r="Q734" s="102">
        <v>0</v>
      </c>
      <c r="R734" s="109" t="s">
        <v>1907</v>
      </c>
      <c r="S734" s="109" t="s">
        <v>1922</v>
      </c>
      <c r="T734" s="25"/>
      <c r="U734" s="111" t="s">
        <v>1923</v>
      </c>
      <c r="V734" s="111" t="s">
        <v>1923</v>
      </c>
      <c r="W734" s="112" t="s">
        <v>2321</v>
      </c>
      <c r="X734" s="112" t="s">
        <v>1906</v>
      </c>
      <c r="Y734" s="112" t="s">
        <v>2321</v>
      </c>
      <c r="Z734" s="112" t="s">
        <v>1906</v>
      </c>
      <c r="AA734" s="112" t="s">
        <v>2321</v>
      </c>
      <c r="AB734" s="112" t="s">
        <v>1906</v>
      </c>
      <c r="AC734" s="112">
        <v>80.33</v>
      </c>
      <c r="AD734" s="112" t="s">
        <v>1906</v>
      </c>
      <c r="AE734" s="112">
        <v>25.91</v>
      </c>
      <c r="AF734" s="112" t="s">
        <v>1906</v>
      </c>
      <c r="AG734" s="112">
        <v>0</v>
      </c>
      <c r="AH734" s="112"/>
      <c r="AI734" s="112">
        <v>0</v>
      </c>
      <c r="AJ734" s="112"/>
      <c r="AK734" s="112">
        <v>0</v>
      </c>
      <c r="AL734" s="112"/>
      <c r="AM734" s="112">
        <v>0</v>
      </c>
      <c r="AN734" s="112"/>
      <c r="AO734" s="112">
        <v>78.510000000000005</v>
      </c>
      <c r="AP734" s="112" t="s">
        <v>1906</v>
      </c>
      <c r="AQ734" s="112">
        <v>78.510000000000005</v>
      </c>
      <c r="AR734" s="112" t="s">
        <v>1906</v>
      </c>
      <c r="AS734" s="112">
        <v>78.510000000000005</v>
      </c>
      <c r="AT734" s="112" t="s">
        <v>1906</v>
      </c>
      <c r="AU734" s="112">
        <f t="shared" si="25"/>
        <v>582.76</v>
      </c>
      <c r="AV734" s="111">
        <v>0.51688999999999996</v>
      </c>
      <c r="AW734" s="111" t="s">
        <v>1904</v>
      </c>
      <c r="AX734" s="25"/>
      <c r="AY734" s="25"/>
      <c r="AZ734" s="25"/>
    </row>
    <row r="735" spans="1:52" ht="31.2" x14ac:dyDescent="0.3">
      <c r="A735" s="103">
        <v>725</v>
      </c>
      <c r="B735" s="109" t="s">
        <v>1523</v>
      </c>
      <c r="C735" s="30" t="s">
        <v>1899</v>
      </c>
      <c r="D735" s="110" t="s">
        <v>1900</v>
      </c>
      <c r="E735" s="110" t="s">
        <v>1917</v>
      </c>
      <c r="F735" s="30" t="s">
        <v>2703</v>
      </c>
      <c r="G735" s="26" t="s">
        <v>145</v>
      </c>
      <c r="H735" s="24" t="s">
        <v>146</v>
      </c>
      <c r="I735" s="109">
        <v>1</v>
      </c>
      <c r="J735" s="109" t="s">
        <v>1918</v>
      </c>
      <c r="K735" s="109">
        <v>133</v>
      </c>
      <c r="L735" s="109" t="s">
        <v>1919</v>
      </c>
      <c r="M735" s="109" t="s">
        <v>1904</v>
      </c>
      <c r="N735" s="109" t="s">
        <v>529</v>
      </c>
      <c r="O735" s="109" t="s">
        <v>1920</v>
      </c>
      <c r="P735" s="109" t="s">
        <v>1921</v>
      </c>
      <c r="Q735" s="102">
        <v>0</v>
      </c>
      <c r="R735" s="109" t="s">
        <v>1907</v>
      </c>
      <c r="S735" s="109" t="s">
        <v>1922</v>
      </c>
      <c r="T735" s="25"/>
      <c r="U735" s="111" t="s">
        <v>1923</v>
      </c>
      <c r="V735" s="111" t="s">
        <v>1923</v>
      </c>
      <c r="W735" s="112" t="s">
        <v>2322</v>
      </c>
      <c r="X735" s="112" t="s">
        <v>1906</v>
      </c>
      <c r="Y735" s="112" t="s">
        <v>2322</v>
      </c>
      <c r="Z735" s="112" t="s">
        <v>1906</v>
      </c>
      <c r="AA735" s="112" t="s">
        <v>2322</v>
      </c>
      <c r="AB735" s="112" t="s">
        <v>1906</v>
      </c>
      <c r="AC735" s="112">
        <v>159.54</v>
      </c>
      <c r="AD735" s="112" t="s">
        <v>1906</v>
      </c>
      <c r="AE735" s="112">
        <v>51.47</v>
      </c>
      <c r="AF735" s="112" t="s">
        <v>1906</v>
      </c>
      <c r="AG735" s="112">
        <v>0</v>
      </c>
      <c r="AH735" s="112"/>
      <c r="AI735" s="112">
        <v>0</v>
      </c>
      <c r="AJ735" s="112"/>
      <c r="AK735" s="112">
        <v>0</v>
      </c>
      <c r="AL735" s="112"/>
      <c r="AM735" s="112">
        <v>36.07</v>
      </c>
      <c r="AN735" s="112" t="s">
        <v>1906</v>
      </c>
      <c r="AO735" s="112">
        <v>158.47999999999999</v>
      </c>
      <c r="AP735" s="112" t="s">
        <v>1906</v>
      </c>
      <c r="AQ735" s="112">
        <v>154.58000000000001</v>
      </c>
      <c r="AR735" s="112" t="s">
        <v>1906</v>
      </c>
      <c r="AS735" s="112">
        <v>154.58000000000001</v>
      </c>
      <c r="AT735" s="112" t="s">
        <v>1906</v>
      </c>
      <c r="AU735" s="112">
        <f t="shared" si="25"/>
        <v>1193.3399999999999</v>
      </c>
      <c r="AV735" s="111">
        <v>0.53303999999999996</v>
      </c>
      <c r="AW735" s="111" t="s">
        <v>1904</v>
      </c>
      <c r="AX735" s="25"/>
      <c r="AY735" s="25"/>
      <c r="AZ735" s="25"/>
    </row>
    <row r="736" spans="1:52" ht="31.2" x14ac:dyDescent="0.3">
      <c r="A736" s="103">
        <v>726</v>
      </c>
      <c r="B736" s="109" t="s">
        <v>1525</v>
      </c>
      <c r="C736" s="30" t="s">
        <v>1899</v>
      </c>
      <c r="D736" s="110" t="s">
        <v>1900</v>
      </c>
      <c r="E736" s="110" t="s">
        <v>1917</v>
      </c>
      <c r="F736" s="30" t="s">
        <v>2703</v>
      </c>
      <c r="G736" s="26" t="s">
        <v>145</v>
      </c>
      <c r="H736" s="24" t="s">
        <v>146</v>
      </c>
      <c r="I736" s="109">
        <v>1</v>
      </c>
      <c r="J736" s="109" t="s">
        <v>1918</v>
      </c>
      <c r="K736" s="109">
        <v>89</v>
      </c>
      <c r="L736" s="109" t="s">
        <v>1919</v>
      </c>
      <c r="M736" s="109" t="s">
        <v>1904</v>
      </c>
      <c r="N736" s="109" t="s">
        <v>529</v>
      </c>
      <c r="O736" s="109" t="s">
        <v>1920</v>
      </c>
      <c r="P736" s="109" t="s">
        <v>1921</v>
      </c>
      <c r="Q736" s="102">
        <v>0</v>
      </c>
      <c r="R736" s="109" t="s">
        <v>1907</v>
      </c>
      <c r="S736" s="109" t="s">
        <v>1922</v>
      </c>
      <c r="T736" s="25"/>
      <c r="U736" s="111" t="s">
        <v>1923</v>
      </c>
      <c r="V736" s="111" t="s">
        <v>1923</v>
      </c>
      <c r="W736" s="112" t="s">
        <v>2323</v>
      </c>
      <c r="X736" s="112" t="s">
        <v>1906</v>
      </c>
      <c r="Y736" s="112" t="s">
        <v>2324</v>
      </c>
      <c r="Z736" s="112" t="s">
        <v>1906</v>
      </c>
      <c r="AA736" s="112" t="s">
        <v>2325</v>
      </c>
      <c r="AB736" s="112" t="s">
        <v>1906</v>
      </c>
      <c r="AC736" s="112">
        <v>45.75</v>
      </c>
      <c r="AD736" s="112" t="s">
        <v>1906</v>
      </c>
      <c r="AE736" s="112">
        <v>25.89</v>
      </c>
      <c r="AF736" s="112" t="s">
        <v>1906</v>
      </c>
      <c r="AG736" s="112">
        <v>0</v>
      </c>
      <c r="AH736" s="112"/>
      <c r="AI736" s="112">
        <v>0</v>
      </c>
      <c r="AJ736" s="112"/>
      <c r="AK736" s="112">
        <v>0</v>
      </c>
      <c r="AL736" s="112"/>
      <c r="AM736" s="112">
        <v>0</v>
      </c>
      <c r="AN736" s="112"/>
      <c r="AO736" s="112">
        <v>56.21</v>
      </c>
      <c r="AP736" s="112" t="s">
        <v>208</v>
      </c>
      <c r="AQ736" s="112">
        <v>53.89</v>
      </c>
      <c r="AR736" s="112" t="s">
        <v>208</v>
      </c>
      <c r="AS736" s="112">
        <v>81.56</v>
      </c>
      <c r="AT736" s="112" t="s">
        <v>208</v>
      </c>
      <c r="AU736" s="112">
        <f t="shared" si="25"/>
        <v>574.82999999999993</v>
      </c>
      <c r="AV736" s="111">
        <v>0.26791999999999999</v>
      </c>
      <c r="AW736" s="111" t="s">
        <v>1904</v>
      </c>
      <c r="AX736" s="25"/>
      <c r="AY736" s="25"/>
      <c r="AZ736" s="25"/>
    </row>
    <row r="737" spans="1:52" ht="31.2" x14ac:dyDescent="0.3">
      <c r="A737" s="103">
        <v>727</v>
      </c>
      <c r="B737" s="109" t="s">
        <v>1526</v>
      </c>
      <c r="C737" s="30" t="s">
        <v>1899</v>
      </c>
      <c r="D737" s="110" t="s">
        <v>1900</v>
      </c>
      <c r="E737" s="110" t="s">
        <v>1917</v>
      </c>
      <c r="F737" s="30" t="s">
        <v>2703</v>
      </c>
      <c r="G737" s="26" t="s">
        <v>145</v>
      </c>
      <c r="H737" s="24" t="s">
        <v>146</v>
      </c>
      <c r="I737" s="109">
        <v>1</v>
      </c>
      <c r="J737" s="109" t="s">
        <v>1918</v>
      </c>
      <c r="K737" s="109">
        <v>76</v>
      </c>
      <c r="L737" s="109" t="s">
        <v>1919</v>
      </c>
      <c r="M737" s="109" t="s">
        <v>1904</v>
      </c>
      <c r="N737" s="109" t="s">
        <v>529</v>
      </c>
      <c r="O737" s="109" t="s">
        <v>1920</v>
      </c>
      <c r="P737" s="109" t="s">
        <v>1921</v>
      </c>
      <c r="Q737" s="102">
        <v>0</v>
      </c>
      <c r="R737" s="109" t="s">
        <v>1907</v>
      </c>
      <c r="S737" s="109" t="s">
        <v>1922</v>
      </c>
      <c r="T737" s="25"/>
      <c r="U737" s="111" t="s">
        <v>1923</v>
      </c>
      <c r="V737" s="111" t="s">
        <v>1923</v>
      </c>
      <c r="W737" s="112" t="s">
        <v>2326</v>
      </c>
      <c r="X737" s="112" t="s">
        <v>1906</v>
      </c>
      <c r="Y737" s="112" t="s">
        <v>2326</v>
      </c>
      <c r="Z737" s="112" t="s">
        <v>1906</v>
      </c>
      <c r="AA737" s="112" t="s">
        <v>2326</v>
      </c>
      <c r="AB737" s="112" t="s">
        <v>1906</v>
      </c>
      <c r="AC737" s="112">
        <v>38.28</v>
      </c>
      <c r="AD737" s="112" t="s">
        <v>1906</v>
      </c>
      <c r="AE737" s="112">
        <v>12.35</v>
      </c>
      <c r="AF737" s="112" t="s">
        <v>1906</v>
      </c>
      <c r="AG737" s="112">
        <v>0</v>
      </c>
      <c r="AH737" s="112"/>
      <c r="AI737" s="112">
        <v>0</v>
      </c>
      <c r="AJ737" s="112"/>
      <c r="AK737" s="112">
        <v>0</v>
      </c>
      <c r="AL737" s="112"/>
      <c r="AM737" s="112">
        <v>0</v>
      </c>
      <c r="AN737" s="112"/>
      <c r="AO737" s="112">
        <v>36.03</v>
      </c>
      <c r="AP737" s="112" t="s">
        <v>1906</v>
      </c>
      <c r="AQ737" s="112">
        <v>35.94</v>
      </c>
      <c r="AR737" s="112" t="s">
        <v>1906</v>
      </c>
      <c r="AS737" s="112">
        <v>35.94</v>
      </c>
      <c r="AT737" s="112" t="s">
        <v>1906</v>
      </c>
      <c r="AU737" s="112">
        <f t="shared" si="25"/>
        <v>273.38</v>
      </c>
      <c r="AV737" s="111">
        <v>0.14252000000000001</v>
      </c>
      <c r="AW737" s="111" t="s">
        <v>1904</v>
      </c>
      <c r="AX737" s="25"/>
      <c r="AY737" s="25"/>
      <c r="AZ737" s="25"/>
    </row>
    <row r="738" spans="1:52" ht="31.2" x14ac:dyDescent="0.3">
      <c r="A738" s="103">
        <v>728</v>
      </c>
      <c r="B738" s="109" t="s">
        <v>1528</v>
      </c>
      <c r="C738" s="30" t="s">
        <v>1899</v>
      </c>
      <c r="D738" s="110" t="s">
        <v>1900</v>
      </c>
      <c r="E738" s="110" t="s">
        <v>1917</v>
      </c>
      <c r="F738" s="30" t="s">
        <v>2703</v>
      </c>
      <c r="G738" s="26" t="s">
        <v>145</v>
      </c>
      <c r="H738" s="24" t="s">
        <v>146</v>
      </c>
      <c r="I738" s="109">
        <v>1</v>
      </c>
      <c r="J738" s="109" t="s">
        <v>1918</v>
      </c>
      <c r="K738" s="109">
        <v>89</v>
      </c>
      <c r="L738" s="109" t="s">
        <v>1919</v>
      </c>
      <c r="M738" s="109" t="s">
        <v>1904</v>
      </c>
      <c r="N738" s="109" t="s">
        <v>529</v>
      </c>
      <c r="O738" s="109" t="s">
        <v>1920</v>
      </c>
      <c r="P738" s="109" t="s">
        <v>1921</v>
      </c>
      <c r="Q738" s="102">
        <v>0</v>
      </c>
      <c r="R738" s="109" t="s">
        <v>1907</v>
      </c>
      <c r="S738" s="109" t="s">
        <v>1922</v>
      </c>
      <c r="T738" s="25"/>
      <c r="U738" s="111" t="s">
        <v>1923</v>
      </c>
      <c r="V738" s="111" t="s">
        <v>1923</v>
      </c>
      <c r="W738" s="112" t="s">
        <v>2327</v>
      </c>
      <c r="X738" s="112" t="s">
        <v>208</v>
      </c>
      <c r="Y738" s="112" t="s">
        <v>2328</v>
      </c>
      <c r="Z738" s="112" t="s">
        <v>208</v>
      </c>
      <c r="AA738" s="112" t="s">
        <v>2329</v>
      </c>
      <c r="AB738" s="112" t="s">
        <v>208</v>
      </c>
      <c r="AC738" s="112">
        <v>47.94</v>
      </c>
      <c r="AD738" s="112" t="s">
        <v>208</v>
      </c>
      <c r="AE738" s="112">
        <v>24.07</v>
      </c>
      <c r="AF738" s="112" t="s">
        <v>208</v>
      </c>
      <c r="AG738" s="112">
        <v>0</v>
      </c>
      <c r="AH738" s="112"/>
      <c r="AI738" s="112">
        <v>0</v>
      </c>
      <c r="AJ738" s="112"/>
      <c r="AK738" s="112">
        <v>0</v>
      </c>
      <c r="AL738" s="112"/>
      <c r="AM738" s="112">
        <v>0</v>
      </c>
      <c r="AN738" s="112"/>
      <c r="AO738" s="112">
        <v>77.87</v>
      </c>
      <c r="AP738" s="112" t="s">
        <v>208</v>
      </c>
      <c r="AQ738" s="112">
        <v>77.87</v>
      </c>
      <c r="AR738" s="112" t="s">
        <v>208</v>
      </c>
      <c r="AS738" s="112">
        <v>77.87</v>
      </c>
      <c r="AT738" s="112" t="s">
        <v>208</v>
      </c>
      <c r="AU738" s="112">
        <f t="shared" si="25"/>
        <v>587.57999999999993</v>
      </c>
      <c r="AV738" s="111">
        <v>0.25573000000000001</v>
      </c>
      <c r="AW738" s="111" t="s">
        <v>1904</v>
      </c>
      <c r="AX738" s="25"/>
      <c r="AY738" s="25"/>
      <c r="AZ738" s="25"/>
    </row>
    <row r="739" spans="1:52" ht="31.2" x14ac:dyDescent="0.3">
      <c r="A739" s="103">
        <v>729</v>
      </c>
      <c r="B739" s="109" t="s">
        <v>1529</v>
      </c>
      <c r="C739" s="30" t="s">
        <v>1899</v>
      </c>
      <c r="D739" s="110" t="s">
        <v>1900</v>
      </c>
      <c r="E739" s="110" t="s">
        <v>1917</v>
      </c>
      <c r="F739" s="30" t="s">
        <v>2703</v>
      </c>
      <c r="G739" s="26" t="s">
        <v>145</v>
      </c>
      <c r="H739" s="24" t="s">
        <v>146</v>
      </c>
      <c r="I739" s="109">
        <v>1</v>
      </c>
      <c r="J739" s="109" t="s">
        <v>1918</v>
      </c>
      <c r="K739" s="109">
        <v>76</v>
      </c>
      <c r="L739" s="109" t="s">
        <v>1919</v>
      </c>
      <c r="M739" s="109" t="s">
        <v>1904</v>
      </c>
      <c r="N739" s="109" t="s">
        <v>529</v>
      </c>
      <c r="O739" s="109" t="s">
        <v>1920</v>
      </c>
      <c r="P739" s="109" t="s">
        <v>1921</v>
      </c>
      <c r="Q739" s="102">
        <v>0</v>
      </c>
      <c r="R739" s="109" t="s">
        <v>1907</v>
      </c>
      <c r="S739" s="109" t="s">
        <v>1922</v>
      </c>
      <c r="T739" s="25"/>
      <c r="U739" s="111" t="s">
        <v>1923</v>
      </c>
      <c r="V739" s="111" t="s">
        <v>1923</v>
      </c>
      <c r="W739" s="112" t="s">
        <v>2327</v>
      </c>
      <c r="X739" s="112" t="s">
        <v>1906</v>
      </c>
      <c r="Y739" s="112" t="s">
        <v>2328</v>
      </c>
      <c r="Z739" s="112" t="s">
        <v>1906</v>
      </c>
      <c r="AA739" s="112" t="s">
        <v>2329</v>
      </c>
      <c r="AB739" s="112" t="s">
        <v>1906</v>
      </c>
      <c r="AC739" s="112">
        <v>47.94</v>
      </c>
      <c r="AD739" s="112" t="s">
        <v>1906</v>
      </c>
      <c r="AE739" s="112">
        <v>24.07</v>
      </c>
      <c r="AF739" s="112" t="s">
        <v>1906</v>
      </c>
      <c r="AG739" s="112">
        <v>0</v>
      </c>
      <c r="AH739" s="112"/>
      <c r="AI739" s="112">
        <v>0</v>
      </c>
      <c r="AJ739" s="112"/>
      <c r="AK739" s="112">
        <v>0</v>
      </c>
      <c r="AL739" s="112"/>
      <c r="AM739" s="112">
        <v>0</v>
      </c>
      <c r="AN739" s="112"/>
      <c r="AO739" s="112">
        <v>77.87</v>
      </c>
      <c r="AP739" s="112" t="s">
        <v>208</v>
      </c>
      <c r="AQ739" s="112">
        <v>77.87</v>
      </c>
      <c r="AR739" s="112" t="s">
        <v>208</v>
      </c>
      <c r="AS739" s="112">
        <v>77.87</v>
      </c>
      <c r="AT739" s="112" t="s">
        <v>208</v>
      </c>
      <c r="AU739" s="112">
        <f t="shared" si="25"/>
        <v>587.57999999999993</v>
      </c>
      <c r="AV739" s="111">
        <v>0.25573000000000001</v>
      </c>
      <c r="AW739" s="111" t="s">
        <v>1904</v>
      </c>
      <c r="AX739" s="25"/>
      <c r="AY739" s="25"/>
      <c r="AZ739" s="25"/>
    </row>
    <row r="740" spans="1:52" ht="31.2" x14ac:dyDescent="0.3">
      <c r="A740" s="103">
        <v>730</v>
      </c>
      <c r="B740" s="109" t="s">
        <v>1530</v>
      </c>
      <c r="C740" s="30" t="s">
        <v>1899</v>
      </c>
      <c r="D740" s="110" t="s">
        <v>1900</v>
      </c>
      <c r="E740" s="110" t="s">
        <v>1917</v>
      </c>
      <c r="F740" s="30" t="s">
        <v>2703</v>
      </c>
      <c r="G740" s="26" t="s">
        <v>145</v>
      </c>
      <c r="H740" s="24" t="s">
        <v>146</v>
      </c>
      <c r="I740" s="109">
        <v>0</v>
      </c>
      <c r="J740" s="109" t="s">
        <v>1918</v>
      </c>
      <c r="K740" s="109">
        <v>50</v>
      </c>
      <c r="L740" s="109" t="s">
        <v>1919</v>
      </c>
      <c r="M740" s="109" t="s">
        <v>1904</v>
      </c>
      <c r="N740" s="109" t="s">
        <v>529</v>
      </c>
      <c r="O740" s="109" t="s">
        <v>1920</v>
      </c>
      <c r="P740" s="109" t="s">
        <v>1920</v>
      </c>
      <c r="Q740" s="102">
        <v>0</v>
      </c>
      <c r="R740" s="109" t="s">
        <v>1907</v>
      </c>
      <c r="S740" s="109" t="s">
        <v>1922</v>
      </c>
      <c r="T740" s="25"/>
      <c r="U740" s="111" t="s">
        <v>1923</v>
      </c>
      <c r="V740" s="111" t="s">
        <v>1923</v>
      </c>
      <c r="W740" s="112" t="s">
        <v>2330</v>
      </c>
      <c r="X740" s="112" t="s">
        <v>1906</v>
      </c>
      <c r="Y740" s="112" t="s">
        <v>2330</v>
      </c>
      <c r="Z740" s="112" t="s">
        <v>1906</v>
      </c>
      <c r="AA740" s="112" t="s">
        <v>2330</v>
      </c>
      <c r="AB740" s="112" t="s">
        <v>1906</v>
      </c>
      <c r="AC740" s="112">
        <v>10.24</v>
      </c>
      <c r="AD740" s="112" t="s">
        <v>1906</v>
      </c>
      <c r="AE740" s="112">
        <v>3.31</v>
      </c>
      <c r="AF740" s="112" t="s">
        <v>1906</v>
      </c>
      <c r="AG740" s="112">
        <v>0</v>
      </c>
      <c r="AH740" s="112"/>
      <c r="AI740" s="112">
        <v>0</v>
      </c>
      <c r="AJ740" s="112"/>
      <c r="AK740" s="112">
        <v>0</v>
      </c>
      <c r="AL740" s="112"/>
      <c r="AM740" s="112">
        <v>2.29</v>
      </c>
      <c r="AN740" s="112" t="s">
        <v>1906</v>
      </c>
      <c r="AO740" s="112">
        <v>9.82</v>
      </c>
      <c r="AP740" s="112" t="s">
        <v>1906</v>
      </c>
      <c r="AQ740" s="112">
        <v>9.82</v>
      </c>
      <c r="AR740" s="112" t="s">
        <v>1906</v>
      </c>
      <c r="AS740" s="112">
        <v>9.82</v>
      </c>
      <c r="AT740" s="112" t="s">
        <v>1906</v>
      </c>
      <c r="AU740" s="112">
        <f t="shared" si="25"/>
        <v>76.02000000000001</v>
      </c>
      <c r="AV740" s="111">
        <v>5.4199999999999998E-2</v>
      </c>
      <c r="AW740" s="111" t="s">
        <v>1904</v>
      </c>
      <c r="AX740" s="25"/>
      <c r="AY740" s="25"/>
      <c r="AZ740" s="25"/>
    </row>
    <row r="741" spans="1:52" ht="31.2" x14ac:dyDescent="0.3">
      <c r="A741" s="103">
        <v>731</v>
      </c>
      <c r="B741" s="109" t="s">
        <v>1531</v>
      </c>
      <c r="C741" s="30" t="s">
        <v>1899</v>
      </c>
      <c r="D741" s="110" t="s">
        <v>1900</v>
      </c>
      <c r="E741" s="110" t="s">
        <v>1917</v>
      </c>
      <c r="F741" s="30" t="s">
        <v>2703</v>
      </c>
      <c r="G741" s="26" t="s">
        <v>145</v>
      </c>
      <c r="H741" s="24" t="s">
        <v>146</v>
      </c>
      <c r="I741" s="109">
        <v>1</v>
      </c>
      <c r="J741" s="109" t="s">
        <v>1918</v>
      </c>
      <c r="K741" s="109">
        <v>76</v>
      </c>
      <c r="L741" s="109" t="s">
        <v>1919</v>
      </c>
      <c r="M741" s="109" t="s">
        <v>1904</v>
      </c>
      <c r="N741" s="109" t="s">
        <v>529</v>
      </c>
      <c r="O741" s="109" t="s">
        <v>1920</v>
      </c>
      <c r="P741" s="109" t="s">
        <v>1921</v>
      </c>
      <c r="Q741" s="102">
        <v>0</v>
      </c>
      <c r="R741" s="109" t="s">
        <v>1907</v>
      </c>
      <c r="S741" s="109" t="s">
        <v>1922</v>
      </c>
      <c r="T741" s="25"/>
      <c r="U741" s="111" t="s">
        <v>1923</v>
      </c>
      <c r="V741" s="111" t="s">
        <v>1923</v>
      </c>
      <c r="W741" s="112" t="s">
        <v>2331</v>
      </c>
      <c r="X741" s="112" t="s">
        <v>208</v>
      </c>
      <c r="Y741" s="112" t="s">
        <v>2332</v>
      </c>
      <c r="Z741" s="112" t="s">
        <v>208</v>
      </c>
      <c r="AA741" s="112" t="s">
        <v>2333</v>
      </c>
      <c r="AB741" s="112" t="s">
        <v>208</v>
      </c>
      <c r="AC741" s="112">
        <v>39.4</v>
      </c>
      <c r="AD741" s="112" t="s">
        <v>208</v>
      </c>
      <c r="AE741" s="112">
        <v>12.71</v>
      </c>
      <c r="AF741" s="112" t="s">
        <v>208</v>
      </c>
      <c r="AG741" s="112">
        <v>0</v>
      </c>
      <c r="AH741" s="112"/>
      <c r="AI741" s="112">
        <v>0</v>
      </c>
      <c r="AJ741" s="112"/>
      <c r="AK741" s="112">
        <v>0</v>
      </c>
      <c r="AL741" s="112"/>
      <c r="AM741" s="112">
        <v>0</v>
      </c>
      <c r="AN741" s="112"/>
      <c r="AO741" s="112">
        <v>39.44</v>
      </c>
      <c r="AP741" s="112" t="s">
        <v>1906</v>
      </c>
      <c r="AQ741" s="112">
        <v>39.44</v>
      </c>
      <c r="AR741" s="112" t="s">
        <v>1906</v>
      </c>
      <c r="AS741" s="112">
        <v>39.44</v>
      </c>
      <c r="AT741" s="112" t="s">
        <v>1906</v>
      </c>
      <c r="AU741" s="112">
        <f t="shared" si="25"/>
        <v>332.09</v>
      </c>
      <c r="AV741" s="111">
        <v>0.13449</v>
      </c>
      <c r="AW741" s="111" t="s">
        <v>1904</v>
      </c>
      <c r="AX741" s="25"/>
      <c r="AY741" s="25"/>
      <c r="AZ741" s="25"/>
    </row>
    <row r="742" spans="1:52" ht="31.2" x14ac:dyDescent="0.3">
      <c r="A742" s="103">
        <v>732</v>
      </c>
      <c r="B742" s="109" t="s">
        <v>1533</v>
      </c>
      <c r="C742" s="30" t="s">
        <v>1899</v>
      </c>
      <c r="D742" s="110" t="s">
        <v>1900</v>
      </c>
      <c r="E742" s="110" t="s">
        <v>1917</v>
      </c>
      <c r="F742" s="30" t="s">
        <v>2703</v>
      </c>
      <c r="G742" s="26" t="s">
        <v>145</v>
      </c>
      <c r="H742" s="24" t="s">
        <v>146</v>
      </c>
      <c r="I742" s="109">
        <v>1</v>
      </c>
      <c r="J742" s="109" t="s">
        <v>1918</v>
      </c>
      <c r="K742" s="109">
        <v>76</v>
      </c>
      <c r="L742" s="109" t="s">
        <v>1919</v>
      </c>
      <c r="M742" s="109" t="s">
        <v>1904</v>
      </c>
      <c r="N742" s="109" t="s">
        <v>529</v>
      </c>
      <c r="O742" s="109" t="s">
        <v>1920</v>
      </c>
      <c r="P742" s="109" t="s">
        <v>1921</v>
      </c>
      <c r="Q742" s="102">
        <v>0</v>
      </c>
      <c r="R742" s="109" t="s">
        <v>1907</v>
      </c>
      <c r="S742" s="109" t="s">
        <v>1922</v>
      </c>
      <c r="T742" s="25"/>
      <c r="U742" s="111" t="s">
        <v>1923</v>
      </c>
      <c r="V742" s="111" t="s">
        <v>1923</v>
      </c>
      <c r="W742" s="112" t="s">
        <v>2334</v>
      </c>
      <c r="X742" s="112" t="s">
        <v>1906</v>
      </c>
      <c r="Y742" s="112" t="s">
        <v>2334</v>
      </c>
      <c r="Z742" s="112" t="s">
        <v>1906</v>
      </c>
      <c r="AA742" s="112" t="s">
        <v>2334</v>
      </c>
      <c r="AB742" s="112" t="s">
        <v>1906</v>
      </c>
      <c r="AC742" s="112">
        <v>25.37</v>
      </c>
      <c r="AD742" s="112" t="s">
        <v>1906</v>
      </c>
      <c r="AE742" s="112">
        <v>8.18</v>
      </c>
      <c r="AF742" s="112" t="s">
        <v>1906</v>
      </c>
      <c r="AG742" s="112">
        <v>0</v>
      </c>
      <c r="AH742" s="112"/>
      <c r="AI742" s="112">
        <v>0</v>
      </c>
      <c r="AJ742" s="112"/>
      <c r="AK742" s="112">
        <v>0</v>
      </c>
      <c r="AL742" s="112"/>
      <c r="AM742" s="112">
        <v>0</v>
      </c>
      <c r="AN742" s="112"/>
      <c r="AO742" s="112">
        <v>24.15</v>
      </c>
      <c r="AP742" s="112" t="s">
        <v>1906</v>
      </c>
      <c r="AQ742" s="112">
        <v>24.15</v>
      </c>
      <c r="AR742" s="112" t="s">
        <v>1906</v>
      </c>
      <c r="AS742" s="112">
        <v>24.15</v>
      </c>
      <c r="AT742" s="112" t="s">
        <v>1906</v>
      </c>
      <c r="AU742" s="112">
        <f t="shared" si="25"/>
        <v>182.11</v>
      </c>
      <c r="AV742" s="111">
        <v>0.10428</v>
      </c>
      <c r="AW742" s="111" t="s">
        <v>1904</v>
      </c>
      <c r="AX742" s="25"/>
      <c r="AY742" s="25"/>
      <c r="AZ742" s="25"/>
    </row>
    <row r="743" spans="1:52" ht="31.2" x14ac:dyDescent="0.3">
      <c r="A743" s="103">
        <v>733</v>
      </c>
      <c r="B743" s="109" t="s">
        <v>1535</v>
      </c>
      <c r="C743" s="30" t="s">
        <v>1899</v>
      </c>
      <c r="D743" s="110" t="s">
        <v>1900</v>
      </c>
      <c r="E743" s="110" t="s">
        <v>1917</v>
      </c>
      <c r="F743" s="30" t="s">
        <v>2703</v>
      </c>
      <c r="G743" s="26" t="s">
        <v>145</v>
      </c>
      <c r="H743" s="24" t="s">
        <v>146</v>
      </c>
      <c r="I743" s="109">
        <v>1</v>
      </c>
      <c r="J743" s="109" t="s">
        <v>1918</v>
      </c>
      <c r="K743" s="109">
        <v>108</v>
      </c>
      <c r="L743" s="109" t="s">
        <v>1919</v>
      </c>
      <c r="M743" s="109" t="s">
        <v>1904</v>
      </c>
      <c r="N743" s="109" t="s">
        <v>529</v>
      </c>
      <c r="O743" s="109" t="s">
        <v>1920</v>
      </c>
      <c r="P743" s="109" t="s">
        <v>1921</v>
      </c>
      <c r="Q743" s="102">
        <v>0</v>
      </c>
      <c r="R743" s="109" t="s">
        <v>1907</v>
      </c>
      <c r="S743" s="109" t="s">
        <v>1922</v>
      </c>
      <c r="T743" s="25"/>
      <c r="U743" s="111" t="s">
        <v>1923</v>
      </c>
      <c r="V743" s="111" t="s">
        <v>1923</v>
      </c>
      <c r="W743" s="112" t="s">
        <v>2335</v>
      </c>
      <c r="X743" s="112" t="s">
        <v>1906</v>
      </c>
      <c r="Y743" s="112" t="s">
        <v>2335</v>
      </c>
      <c r="Z743" s="112" t="s">
        <v>1906</v>
      </c>
      <c r="AA743" s="112" t="s">
        <v>2335</v>
      </c>
      <c r="AB743" s="112" t="s">
        <v>1906</v>
      </c>
      <c r="AC743" s="112">
        <v>85.7</v>
      </c>
      <c r="AD743" s="112" t="s">
        <v>1906</v>
      </c>
      <c r="AE743" s="112">
        <v>27.64</v>
      </c>
      <c r="AF743" s="112" t="s">
        <v>1906</v>
      </c>
      <c r="AG743" s="112">
        <v>0</v>
      </c>
      <c r="AH743" s="112"/>
      <c r="AI743" s="112">
        <v>0</v>
      </c>
      <c r="AJ743" s="112"/>
      <c r="AK743" s="112">
        <v>0</v>
      </c>
      <c r="AL743" s="112"/>
      <c r="AM743" s="112">
        <v>0</v>
      </c>
      <c r="AN743" s="112"/>
      <c r="AO743" s="112">
        <v>42.22</v>
      </c>
      <c r="AP743" s="112" t="s">
        <v>208</v>
      </c>
      <c r="AQ743" s="112">
        <v>55.48</v>
      </c>
      <c r="AR743" s="112" t="s">
        <v>208</v>
      </c>
      <c r="AS743" s="112">
        <v>80.69</v>
      </c>
      <c r="AT743" s="112" t="s">
        <v>208</v>
      </c>
      <c r="AU743" s="112">
        <f t="shared" si="25"/>
        <v>548.82999999999993</v>
      </c>
      <c r="AV743" s="111">
        <v>0.29176999999999997</v>
      </c>
      <c r="AW743" s="111" t="s">
        <v>1904</v>
      </c>
      <c r="AX743" s="25"/>
      <c r="AY743" s="25"/>
      <c r="AZ743" s="25"/>
    </row>
    <row r="744" spans="1:52" ht="31.2" x14ac:dyDescent="0.3">
      <c r="A744" s="103">
        <v>734</v>
      </c>
      <c r="B744" s="109" t="s">
        <v>1537</v>
      </c>
      <c r="C744" s="30" t="s">
        <v>1899</v>
      </c>
      <c r="D744" s="110" t="s">
        <v>1900</v>
      </c>
      <c r="E744" s="110" t="s">
        <v>1917</v>
      </c>
      <c r="F744" s="30" t="s">
        <v>2703</v>
      </c>
      <c r="G744" s="26" t="s">
        <v>145</v>
      </c>
      <c r="H744" s="24" t="s">
        <v>146</v>
      </c>
      <c r="I744" s="109">
        <v>0</v>
      </c>
      <c r="J744" s="109" t="s">
        <v>1918</v>
      </c>
      <c r="K744" s="109">
        <v>76</v>
      </c>
      <c r="L744" s="109" t="s">
        <v>1919</v>
      </c>
      <c r="M744" s="109" t="s">
        <v>1904</v>
      </c>
      <c r="N744" s="109" t="s">
        <v>529</v>
      </c>
      <c r="O744" s="109" t="s">
        <v>1920</v>
      </c>
      <c r="P744" s="109" t="s">
        <v>1920</v>
      </c>
      <c r="Q744" s="102">
        <v>0</v>
      </c>
      <c r="R744" s="109" t="s">
        <v>1907</v>
      </c>
      <c r="S744" s="109" t="s">
        <v>1922</v>
      </c>
      <c r="T744" s="25"/>
      <c r="U744" s="111" t="s">
        <v>1923</v>
      </c>
      <c r="V744" s="111" t="s">
        <v>1923</v>
      </c>
      <c r="W744" s="112" t="s">
        <v>2336</v>
      </c>
      <c r="X744" s="112" t="s">
        <v>1906</v>
      </c>
      <c r="Y744" s="112" t="s">
        <v>2336</v>
      </c>
      <c r="Z744" s="112" t="s">
        <v>1906</v>
      </c>
      <c r="AA744" s="112" t="s">
        <v>2336</v>
      </c>
      <c r="AB744" s="112" t="s">
        <v>1906</v>
      </c>
      <c r="AC744" s="112">
        <v>28.35</v>
      </c>
      <c r="AD744" s="112" t="s">
        <v>1906</v>
      </c>
      <c r="AE744" s="112">
        <v>9.15</v>
      </c>
      <c r="AF744" s="112" t="s">
        <v>1906</v>
      </c>
      <c r="AG744" s="112">
        <v>0</v>
      </c>
      <c r="AH744" s="112"/>
      <c r="AI744" s="112">
        <v>0</v>
      </c>
      <c r="AJ744" s="112"/>
      <c r="AK744" s="112">
        <v>0</v>
      </c>
      <c r="AL744" s="112"/>
      <c r="AM744" s="112">
        <v>6.44</v>
      </c>
      <c r="AN744" s="112" t="s">
        <v>1906</v>
      </c>
      <c r="AO744" s="112">
        <v>27.58</v>
      </c>
      <c r="AP744" s="112" t="s">
        <v>1906</v>
      </c>
      <c r="AQ744" s="112">
        <v>27.58</v>
      </c>
      <c r="AR744" s="112" t="s">
        <v>1906</v>
      </c>
      <c r="AS744" s="112">
        <v>27.58</v>
      </c>
      <c r="AT744" s="112" t="s">
        <v>1906</v>
      </c>
      <c r="AU744" s="112">
        <f t="shared" si="25"/>
        <v>211.72999999999996</v>
      </c>
      <c r="AV744" s="111">
        <v>0.10037</v>
      </c>
      <c r="AW744" s="111" t="s">
        <v>1904</v>
      </c>
      <c r="AX744" s="25"/>
      <c r="AY744" s="25"/>
      <c r="AZ744" s="25"/>
    </row>
    <row r="745" spans="1:52" ht="31.2" x14ac:dyDescent="0.3">
      <c r="A745" s="103">
        <v>735</v>
      </c>
      <c r="B745" s="109" t="s">
        <v>1538</v>
      </c>
      <c r="C745" s="30" t="s">
        <v>1899</v>
      </c>
      <c r="D745" s="110" t="s">
        <v>1900</v>
      </c>
      <c r="E745" s="110" t="s">
        <v>1917</v>
      </c>
      <c r="F745" s="30" t="s">
        <v>2703</v>
      </c>
      <c r="G745" s="26" t="s">
        <v>145</v>
      </c>
      <c r="H745" s="24" t="s">
        <v>146</v>
      </c>
      <c r="I745" s="109">
        <v>0</v>
      </c>
      <c r="J745" s="109" t="s">
        <v>1918</v>
      </c>
      <c r="K745" s="109">
        <v>57</v>
      </c>
      <c r="L745" s="109" t="s">
        <v>1919</v>
      </c>
      <c r="M745" s="109" t="s">
        <v>1904</v>
      </c>
      <c r="N745" s="109" t="s">
        <v>529</v>
      </c>
      <c r="O745" s="109" t="s">
        <v>1920</v>
      </c>
      <c r="P745" s="109" t="s">
        <v>1920</v>
      </c>
      <c r="Q745" s="102">
        <v>0</v>
      </c>
      <c r="R745" s="109" t="s">
        <v>1907</v>
      </c>
      <c r="S745" s="109" t="s">
        <v>1922</v>
      </c>
      <c r="T745" s="25"/>
      <c r="U745" s="111" t="s">
        <v>1923</v>
      </c>
      <c r="V745" s="111" t="s">
        <v>1923</v>
      </c>
      <c r="W745" s="112" t="s">
        <v>2336</v>
      </c>
      <c r="X745" s="112" t="s">
        <v>1906</v>
      </c>
      <c r="Y745" s="112" t="s">
        <v>2336</v>
      </c>
      <c r="Z745" s="112" t="s">
        <v>1906</v>
      </c>
      <c r="AA745" s="112" t="s">
        <v>2336</v>
      </c>
      <c r="AB745" s="112" t="s">
        <v>1906</v>
      </c>
      <c r="AC745" s="112">
        <v>28.35</v>
      </c>
      <c r="AD745" s="112" t="s">
        <v>1906</v>
      </c>
      <c r="AE745" s="112">
        <v>9.15</v>
      </c>
      <c r="AF745" s="112" t="s">
        <v>1906</v>
      </c>
      <c r="AG745" s="112">
        <v>0</v>
      </c>
      <c r="AH745" s="112"/>
      <c r="AI745" s="112">
        <v>0</v>
      </c>
      <c r="AJ745" s="112"/>
      <c r="AK745" s="112">
        <v>0</v>
      </c>
      <c r="AL745" s="112"/>
      <c r="AM745" s="112">
        <v>6.44</v>
      </c>
      <c r="AN745" s="112" t="s">
        <v>1906</v>
      </c>
      <c r="AO745" s="112">
        <v>27.58</v>
      </c>
      <c r="AP745" s="112" t="s">
        <v>1906</v>
      </c>
      <c r="AQ745" s="112">
        <v>27.58</v>
      </c>
      <c r="AR745" s="112" t="s">
        <v>1906</v>
      </c>
      <c r="AS745" s="112">
        <v>27.58</v>
      </c>
      <c r="AT745" s="112" t="s">
        <v>1906</v>
      </c>
      <c r="AU745" s="112">
        <f t="shared" si="25"/>
        <v>211.72999999999996</v>
      </c>
      <c r="AV745" s="111">
        <v>0.10037</v>
      </c>
      <c r="AW745" s="111" t="s">
        <v>1904</v>
      </c>
      <c r="AX745" s="25"/>
      <c r="AY745" s="25"/>
      <c r="AZ745" s="25"/>
    </row>
    <row r="746" spans="1:52" ht="31.2" x14ac:dyDescent="0.3">
      <c r="A746" s="103">
        <v>736</v>
      </c>
      <c r="B746" s="109" t="s">
        <v>1539</v>
      </c>
      <c r="C746" s="30" t="s">
        <v>1899</v>
      </c>
      <c r="D746" s="110" t="s">
        <v>1900</v>
      </c>
      <c r="E746" s="110" t="s">
        <v>1917</v>
      </c>
      <c r="F746" s="30" t="s">
        <v>2703</v>
      </c>
      <c r="G746" s="26" t="s">
        <v>145</v>
      </c>
      <c r="H746" s="24" t="s">
        <v>146</v>
      </c>
      <c r="I746" s="109">
        <v>0</v>
      </c>
      <c r="J746" s="109" t="s">
        <v>1918</v>
      </c>
      <c r="K746" s="109">
        <v>50</v>
      </c>
      <c r="L746" s="109" t="s">
        <v>1919</v>
      </c>
      <c r="M746" s="109" t="s">
        <v>1904</v>
      </c>
      <c r="N746" s="109" t="s">
        <v>529</v>
      </c>
      <c r="O746" s="109" t="s">
        <v>1920</v>
      </c>
      <c r="P746" s="109" t="s">
        <v>1920</v>
      </c>
      <c r="Q746" s="102">
        <v>0</v>
      </c>
      <c r="R746" s="109" t="s">
        <v>1907</v>
      </c>
      <c r="S746" s="109" t="s">
        <v>1922</v>
      </c>
      <c r="T746" s="25"/>
      <c r="U746" s="111" t="s">
        <v>1923</v>
      </c>
      <c r="V746" s="111" t="s">
        <v>1923</v>
      </c>
      <c r="W746" s="112" t="s">
        <v>2337</v>
      </c>
      <c r="X746" s="112" t="s">
        <v>1906</v>
      </c>
      <c r="Y746" s="112" t="s">
        <v>2337</v>
      </c>
      <c r="Z746" s="112" t="s">
        <v>1906</v>
      </c>
      <c r="AA746" s="112" t="s">
        <v>2337</v>
      </c>
      <c r="AB746" s="112" t="s">
        <v>1906</v>
      </c>
      <c r="AC746" s="112">
        <v>21.81</v>
      </c>
      <c r="AD746" s="112" t="s">
        <v>1906</v>
      </c>
      <c r="AE746" s="112">
        <v>7.04</v>
      </c>
      <c r="AF746" s="112" t="s">
        <v>1906</v>
      </c>
      <c r="AG746" s="112">
        <v>0</v>
      </c>
      <c r="AH746" s="112"/>
      <c r="AI746" s="112">
        <v>0</v>
      </c>
      <c r="AJ746" s="112"/>
      <c r="AK746" s="112">
        <v>0</v>
      </c>
      <c r="AL746" s="112"/>
      <c r="AM746" s="112">
        <v>4.8099999999999996</v>
      </c>
      <c r="AN746" s="112" t="s">
        <v>1906</v>
      </c>
      <c r="AO746" s="112">
        <v>21.69</v>
      </c>
      <c r="AP746" s="112" t="s">
        <v>1906</v>
      </c>
      <c r="AQ746" s="112">
        <v>20.61</v>
      </c>
      <c r="AR746" s="112" t="s">
        <v>1906</v>
      </c>
      <c r="AS746" s="112">
        <v>20.61</v>
      </c>
      <c r="AT746" s="112" t="s">
        <v>1906</v>
      </c>
      <c r="AU746" s="112">
        <f t="shared" si="25"/>
        <v>162</v>
      </c>
      <c r="AV746" s="111">
        <v>8.029E-2</v>
      </c>
      <c r="AW746" s="111" t="s">
        <v>1904</v>
      </c>
      <c r="AX746" s="25"/>
      <c r="AY746" s="25"/>
      <c r="AZ746" s="25"/>
    </row>
    <row r="747" spans="1:52" ht="31.2" x14ac:dyDescent="0.3">
      <c r="A747" s="103">
        <v>737</v>
      </c>
      <c r="B747" s="109" t="s">
        <v>1540</v>
      </c>
      <c r="C747" s="30" t="s">
        <v>1899</v>
      </c>
      <c r="D747" s="110" t="s">
        <v>1900</v>
      </c>
      <c r="E747" s="110" t="s">
        <v>1917</v>
      </c>
      <c r="F747" s="30" t="s">
        <v>2703</v>
      </c>
      <c r="G747" s="26" t="s">
        <v>145</v>
      </c>
      <c r="H747" s="24" t="s">
        <v>146</v>
      </c>
      <c r="I747" s="109">
        <v>0</v>
      </c>
      <c r="J747" s="109" t="s">
        <v>1918</v>
      </c>
      <c r="K747" s="109">
        <v>57</v>
      </c>
      <c r="L747" s="109" t="s">
        <v>1919</v>
      </c>
      <c r="M747" s="109" t="s">
        <v>1904</v>
      </c>
      <c r="N747" s="109" t="s">
        <v>529</v>
      </c>
      <c r="O747" s="109" t="s">
        <v>1920</v>
      </c>
      <c r="P747" s="109" t="s">
        <v>1920</v>
      </c>
      <c r="Q747" s="102">
        <v>0</v>
      </c>
      <c r="R747" s="109" t="s">
        <v>1907</v>
      </c>
      <c r="S747" s="109" t="s">
        <v>1922</v>
      </c>
      <c r="T747" s="25"/>
      <c r="U747" s="111" t="s">
        <v>1923</v>
      </c>
      <c r="V747" s="111" t="s">
        <v>1923</v>
      </c>
      <c r="W747" s="112" t="s">
        <v>1992</v>
      </c>
      <c r="X747" s="112" t="s">
        <v>1906</v>
      </c>
      <c r="Y747" s="112" t="s">
        <v>1992</v>
      </c>
      <c r="Z747" s="112" t="s">
        <v>1906</v>
      </c>
      <c r="AA747" s="112" t="s">
        <v>1992</v>
      </c>
      <c r="AB747" s="112" t="s">
        <v>1906</v>
      </c>
      <c r="AC747" s="112">
        <v>22.77</v>
      </c>
      <c r="AD747" s="112" t="s">
        <v>1906</v>
      </c>
      <c r="AE747" s="112">
        <v>7.34</v>
      </c>
      <c r="AF747" s="112" t="s">
        <v>1906</v>
      </c>
      <c r="AG747" s="112">
        <v>0</v>
      </c>
      <c r="AH747" s="112"/>
      <c r="AI747" s="112">
        <v>0</v>
      </c>
      <c r="AJ747" s="112"/>
      <c r="AK747" s="112">
        <v>0</v>
      </c>
      <c r="AL747" s="112"/>
      <c r="AM747" s="112">
        <v>5.29</v>
      </c>
      <c r="AN747" s="112" t="s">
        <v>1906</v>
      </c>
      <c r="AO747" s="112">
        <v>22.65</v>
      </c>
      <c r="AP747" s="112" t="s">
        <v>1906</v>
      </c>
      <c r="AQ747" s="112">
        <v>22.65</v>
      </c>
      <c r="AR747" s="112" t="s">
        <v>1906</v>
      </c>
      <c r="AS747" s="112">
        <v>22.65</v>
      </c>
      <c r="AT747" s="112" t="s">
        <v>1906</v>
      </c>
      <c r="AU747" s="112">
        <f t="shared" si="25"/>
        <v>171.66000000000003</v>
      </c>
      <c r="AV747" s="111">
        <v>9.0329999999999994E-2</v>
      </c>
      <c r="AW747" s="111" t="s">
        <v>1904</v>
      </c>
      <c r="AX747" s="25"/>
      <c r="AY747" s="25"/>
      <c r="AZ747" s="25"/>
    </row>
    <row r="748" spans="1:52" ht="31.2" x14ac:dyDescent="0.3">
      <c r="A748" s="103">
        <v>738</v>
      </c>
      <c r="B748" s="109" t="s">
        <v>1541</v>
      </c>
      <c r="C748" s="30" t="s">
        <v>1899</v>
      </c>
      <c r="D748" s="110" t="s">
        <v>1900</v>
      </c>
      <c r="E748" s="110" t="s">
        <v>1917</v>
      </c>
      <c r="F748" s="30" t="s">
        <v>2703</v>
      </c>
      <c r="G748" s="26" t="s">
        <v>145</v>
      </c>
      <c r="H748" s="24" t="s">
        <v>146</v>
      </c>
      <c r="I748" s="109">
        <v>0</v>
      </c>
      <c r="J748" s="109" t="s">
        <v>1918</v>
      </c>
      <c r="K748" s="109">
        <v>57</v>
      </c>
      <c r="L748" s="109" t="s">
        <v>1919</v>
      </c>
      <c r="M748" s="109" t="s">
        <v>1904</v>
      </c>
      <c r="N748" s="109" t="s">
        <v>529</v>
      </c>
      <c r="O748" s="109" t="s">
        <v>1920</v>
      </c>
      <c r="P748" s="109" t="s">
        <v>1920</v>
      </c>
      <c r="Q748" s="102">
        <v>0</v>
      </c>
      <c r="R748" s="109" t="s">
        <v>1907</v>
      </c>
      <c r="S748" s="109" t="s">
        <v>1922</v>
      </c>
      <c r="T748" s="25"/>
      <c r="U748" s="111" t="s">
        <v>1923</v>
      </c>
      <c r="V748" s="111" t="s">
        <v>1923</v>
      </c>
      <c r="W748" s="112" t="s">
        <v>2338</v>
      </c>
      <c r="X748" s="112" t="s">
        <v>1906</v>
      </c>
      <c r="Y748" s="112" t="s">
        <v>2338</v>
      </c>
      <c r="Z748" s="112" t="s">
        <v>1906</v>
      </c>
      <c r="AA748" s="112" t="s">
        <v>2338</v>
      </c>
      <c r="AB748" s="112" t="s">
        <v>1906</v>
      </c>
      <c r="AC748" s="112">
        <v>10.83</v>
      </c>
      <c r="AD748" s="112" t="s">
        <v>1906</v>
      </c>
      <c r="AE748" s="112">
        <v>3.49</v>
      </c>
      <c r="AF748" s="112" t="s">
        <v>1906</v>
      </c>
      <c r="AG748" s="112">
        <v>0</v>
      </c>
      <c r="AH748" s="112"/>
      <c r="AI748" s="112">
        <v>0</v>
      </c>
      <c r="AJ748" s="112"/>
      <c r="AK748" s="112">
        <v>0</v>
      </c>
      <c r="AL748" s="112"/>
      <c r="AM748" s="112">
        <v>2.4900000000000002</v>
      </c>
      <c r="AN748" s="112" t="s">
        <v>1906</v>
      </c>
      <c r="AO748" s="112">
        <v>10.68</v>
      </c>
      <c r="AP748" s="112" t="s">
        <v>1906</v>
      </c>
      <c r="AQ748" s="112">
        <v>10.68</v>
      </c>
      <c r="AR748" s="112" t="s">
        <v>1906</v>
      </c>
      <c r="AS748" s="112">
        <v>10.68</v>
      </c>
      <c r="AT748" s="112" t="s">
        <v>1906</v>
      </c>
      <c r="AU748" s="112">
        <f t="shared" si="25"/>
        <v>81.34</v>
      </c>
      <c r="AV748" s="111">
        <v>5.0180000000000002E-2</v>
      </c>
      <c r="AW748" s="111" t="s">
        <v>1904</v>
      </c>
      <c r="AX748" s="25"/>
      <c r="AY748" s="25"/>
      <c r="AZ748" s="25"/>
    </row>
    <row r="749" spans="1:52" ht="31.2" x14ac:dyDescent="0.3">
      <c r="A749" s="103">
        <v>739</v>
      </c>
      <c r="B749" s="109" t="s">
        <v>1543</v>
      </c>
      <c r="C749" s="30" t="s">
        <v>1899</v>
      </c>
      <c r="D749" s="110" t="s">
        <v>1900</v>
      </c>
      <c r="E749" s="110" t="s">
        <v>1917</v>
      </c>
      <c r="F749" s="30" t="s">
        <v>2703</v>
      </c>
      <c r="G749" s="26" t="s">
        <v>145</v>
      </c>
      <c r="H749" s="24" t="s">
        <v>146</v>
      </c>
      <c r="I749" s="109">
        <v>0</v>
      </c>
      <c r="J749" s="109" t="s">
        <v>1918</v>
      </c>
      <c r="K749" s="109">
        <v>76</v>
      </c>
      <c r="L749" s="109" t="s">
        <v>1919</v>
      </c>
      <c r="M749" s="109" t="s">
        <v>1904</v>
      </c>
      <c r="N749" s="109" t="s">
        <v>529</v>
      </c>
      <c r="O749" s="109" t="s">
        <v>1920</v>
      </c>
      <c r="P749" s="109" t="s">
        <v>1920</v>
      </c>
      <c r="Q749" s="102">
        <v>0</v>
      </c>
      <c r="R749" s="109" t="s">
        <v>1907</v>
      </c>
      <c r="S749" s="109" t="s">
        <v>1922</v>
      </c>
      <c r="T749" s="25"/>
      <c r="U749" s="111" t="s">
        <v>1923</v>
      </c>
      <c r="V749" s="111" t="s">
        <v>1923</v>
      </c>
      <c r="W749" s="112" t="s">
        <v>2339</v>
      </c>
      <c r="X749" s="112" t="s">
        <v>1906</v>
      </c>
      <c r="Y749" s="112" t="s">
        <v>2339</v>
      </c>
      <c r="Z749" s="112" t="s">
        <v>1906</v>
      </c>
      <c r="AA749" s="112" t="s">
        <v>2339</v>
      </c>
      <c r="AB749" s="112" t="s">
        <v>1906</v>
      </c>
      <c r="AC749" s="112">
        <v>41.07</v>
      </c>
      <c r="AD749" s="112" t="s">
        <v>1906</v>
      </c>
      <c r="AE749" s="112">
        <v>13.25</v>
      </c>
      <c r="AF749" s="112" t="s">
        <v>1906</v>
      </c>
      <c r="AG749" s="112">
        <v>0</v>
      </c>
      <c r="AH749" s="112"/>
      <c r="AI749" s="112">
        <v>0</v>
      </c>
      <c r="AJ749" s="112"/>
      <c r="AK749" s="112">
        <v>0</v>
      </c>
      <c r="AL749" s="112"/>
      <c r="AM749" s="112">
        <v>9.1300000000000008</v>
      </c>
      <c r="AN749" s="112" t="s">
        <v>1906</v>
      </c>
      <c r="AO749" s="112">
        <v>39.14</v>
      </c>
      <c r="AP749" s="112" t="s">
        <v>1906</v>
      </c>
      <c r="AQ749" s="112">
        <v>39.14</v>
      </c>
      <c r="AR749" s="112" t="s">
        <v>1906</v>
      </c>
      <c r="AS749" s="112">
        <v>39.14</v>
      </c>
      <c r="AT749" s="112" t="s">
        <v>1906</v>
      </c>
      <c r="AU749" s="112">
        <f t="shared" si="25"/>
        <v>304.08</v>
      </c>
      <c r="AV749" s="111">
        <v>0.14252000000000001</v>
      </c>
      <c r="AW749" s="111" t="s">
        <v>1904</v>
      </c>
      <c r="AX749" s="25"/>
      <c r="AY749" s="25"/>
      <c r="AZ749" s="25"/>
    </row>
    <row r="750" spans="1:52" ht="31.2" x14ac:dyDescent="0.3">
      <c r="A750" s="103">
        <v>740</v>
      </c>
      <c r="B750" s="109" t="s">
        <v>1544</v>
      </c>
      <c r="C750" s="30" t="s">
        <v>1899</v>
      </c>
      <c r="D750" s="110" t="s">
        <v>1900</v>
      </c>
      <c r="E750" s="110" t="s">
        <v>1917</v>
      </c>
      <c r="F750" s="30" t="s">
        <v>2703</v>
      </c>
      <c r="G750" s="26" t="s">
        <v>145</v>
      </c>
      <c r="H750" s="24" t="s">
        <v>146</v>
      </c>
      <c r="I750" s="109">
        <v>0</v>
      </c>
      <c r="J750" s="109" t="s">
        <v>1918</v>
      </c>
      <c r="K750" s="109">
        <v>76</v>
      </c>
      <c r="L750" s="109" t="s">
        <v>1919</v>
      </c>
      <c r="M750" s="109" t="s">
        <v>1904</v>
      </c>
      <c r="N750" s="109" t="s">
        <v>529</v>
      </c>
      <c r="O750" s="109" t="s">
        <v>1920</v>
      </c>
      <c r="P750" s="109" t="s">
        <v>1920</v>
      </c>
      <c r="Q750" s="102">
        <v>0</v>
      </c>
      <c r="R750" s="109" t="s">
        <v>1907</v>
      </c>
      <c r="S750" s="109" t="s">
        <v>1922</v>
      </c>
      <c r="T750" s="25"/>
      <c r="U750" s="111" t="s">
        <v>1923</v>
      </c>
      <c r="V750" s="111" t="s">
        <v>1923</v>
      </c>
      <c r="W750" s="112" t="s">
        <v>2340</v>
      </c>
      <c r="X750" s="112" t="s">
        <v>1906</v>
      </c>
      <c r="Y750" s="112" t="s">
        <v>2340</v>
      </c>
      <c r="Z750" s="112" t="s">
        <v>1906</v>
      </c>
      <c r="AA750" s="112" t="s">
        <v>2340</v>
      </c>
      <c r="AB750" s="112" t="s">
        <v>1906</v>
      </c>
      <c r="AC750" s="112">
        <v>40.479999999999997</v>
      </c>
      <c r="AD750" s="112" t="s">
        <v>1906</v>
      </c>
      <c r="AE750" s="112">
        <v>13.06</v>
      </c>
      <c r="AF750" s="112" t="s">
        <v>1906</v>
      </c>
      <c r="AG750" s="112">
        <v>0</v>
      </c>
      <c r="AH750" s="112"/>
      <c r="AI750" s="112">
        <v>0</v>
      </c>
      <c r="AJ750" s="112"/>
      <c r="AK750" s="112">
        <v>0</v>
      </c>
      <c r="AL750" s="112"/>
      <c r="AM750" s="112">
        <v>9.02</v>
      </c>
      <c r="AN750" s="112" t="s">
        <v>1906</v>
      </c>
      <c r="AO750" s="112">
        <v>41.67</v>
      </c>
      <c r="AP750" s="112" t="s">
        <v>1906</v>
      </c>
      <c r="AQ750" s="112">
        <v>38.65</v>
      </c>
      <c r="AR750" s="112" t="s">
        <v>1906</v>
      </c>
      <c r="AS750" s="112">
        <v>38.65</v>
      </c>
      <c r="AT750" s="112" t="s">
        <v>1906</v>
      </c>
      <c r="AU750" s="112">
        <f t="shared" si="25"/>
        <v>302.96999999999997</v>
      </c>
      <c r="AV750" s="111">
        <v>0.16142999999999999</v>
      </c>
      <c r="AW750" s="111" t="s">
        <v>1904</v>
      </c>
      <c r="AX750" s="25"/>
      <c r="AY750" s="25"/>
      <c r="AZ750" s="25"/>
    </row>
    <row r="751" spans="1:52" ht="31.2" x14ac:dyDescent="0.3">
      <c r="A751" s="103">
        <v>741</v>
      </c>
      <c r="B751" s="109" t="s">
        <v>1546</v>
      </c>
      <c r="C751" s="30" t="s">
        <v>1899</v>
      </c>
      <c r="D751" s="110" t="s">
        <v>1900</v>
      </c>
      <c r="E751" s="110" t="s">
        <v>1917</v>
      </c>
      <c r="F751" s="30" t="s">
        <v>2703</v>
      </c>
      <c r="G751" s="26" t="s">
        <v>145</v>
      </c>
      <c r="H751" s="24" t="s">
        <v>146</v>
      </c>
      <c r="I751" s="109">
        <v>1</v>
      </c>
      <c r="J751" s="109" t="s">
        <v>1918</v>
      </c>
      <c r="K751" s="109">
        <v>89</v>
      </c>
      <c r="L751" s="109" t="s">
        <v>1919</v>
      </c>
      <c r="M751" s="109" t="s">
        <v>1904</v>
      </c>
      <c r="N751" s="109" t="s">
        <v>529</v>
      </c>
      <c r="O751" s="109" t="s">
        <v>1920</v>
      </c>
      <c r="P751" s="109" t="s">
        <v>1921</v>
      </c>
      <c r="Q751" s="102">
        <v>0</v>
      </c>
      <c r="R751" s="109" t="s">
        <v>1907</v>
      </c>
      <c r="S751" s="109" t="s">
        <v>1922</v>
      </c>
      <c r="T751" s="25"/>
      <c r="U751" s="111" t="s">
        <v>1923</v>
      </c>
      <c r="V751" s="111" t="s">
        <v>1923</v>
      </c>
      <c r="W751" s="112" t="s">
        <v>2341</v>
      </c>
      <c r="X751" s="112" t="s">
        <v>1906</v>
      </c>
      <c r="Y751" s="112" t="s">
        <v>2341</v>
      </c>
      <c r="Z751" s="112" t="s">
        <v>1906</v>
      </c>
      <c r="AA751" s="112" t="s">
        <v>2341</v>
      </c>
      <c r="AB751" s="112" t="s">
        <v>1906</v>
      </c>
      <c r="AC751" s="112">
        <v>57.09</v>
      </c>
      <c r="AD751" s="112" t="s">
        <v>1906</v>
      </c>
      <c r="AE751" s="112">
        <v>18.420000000000002</v>
      </c>
      <c r="AF751" s="112" t="s">
        <v>1906</v>
      </c>
      <c r="AG751" s="112">
        <v>0</v>
      </c>
      <c r="AH751" s="112"/>
      <c r="AI751" s="112">
        <v>0</v>
      </c>
      <c r="AJ751" s="112"/>
      <c r="AK751" s="112">
        <v>0</v>
      </c>
      <c r="AL751" s="112"/>
      <c r="AM751" s="112">
        <v>0</v>
      </c>
      <c r="AN751" s="112"/>
      <c r="AO751" s="112">
        <v>57.12</v>
      </c>
      <c r="AP751" s="112" t="s">
        <v>1906</v>
      </c>
      <c r="AQ751" s="112">
        <v>57.12</v>
      </c>
      <c r="AR751" s="112" t="s">
        <v>1906</v>
      </c>
      <c r="AS751" s="112">
        <v>57.12</v>
      </c>
      <c r="AT751" s="112" t="s">
        <v>1906</v>
      </c>
      <c r="AU751" s="112">
        <f t="shared" si="25"/>
        <v>418.14000000000004</v>
      </c>
      <c r="AV751" s="111">
        <v>0.24890999999999999</v>
      </c>
      <c r="AW751" s="111" t="s">
        <v>1904</v>
      </c>
      <c r="AX751" s="25"/>
      <c r="AY751" s="25"/>
      <c r="AZ751" s="25"/>
    </row>
    <row r="752" spans="1:52" ht="31.2" x14ac:dyDescent="0.3">
      <c r="A752" s="103">
        <v>742</v>
      </c>
      <c r="B752" s="109" t="s">
        <v>1548</v>
      </c>
      <c r="C752" s="30" t="s">
        <v>1899</v>
      </c>
      <c r="D752" s="110" t="s">
        <v>1900</v>
      </c>
      <c r="E752" s="110" t="s">
        <v>1917</v>
      </c>
      <c r="F752" s="30" t="s">
        <v>2703</v>
      </c>
      <c r="G752" s="26" t="s">
        <v>145</v>
      </c>
      <c r="H752" s="24" t="s">
        <v>146</v>
      </c>
      <c r="I752" s="109">
        <v>1</v>
      </c>
      <c r="J752" s="109" t="s">
        <v>1918</v>
      </c>
      <c r="K752" s="109">
        <v>89</v>
      </c>
      <c r="L752" s="109" t="s">
        <v>1919</v>
      </c>
      <c r="M752" s="109" t="s">
        <v>1904</v>
      </c>
      <c r="N752" s="109" t="s">
        <v>529</v>
      </c>
      <c r="O752" s="109" t="s">
        <v>1920</v>
      </c>
      <c r="P752" s="109" t="s">
        <v>1921</v>
      </c>
      <c r="Q752" s="102">
        <v>0</v>
      </c>
      <c r="R752" s="109" t="s">
        <v>1907</v>
      </c>
      <c r="S752" s="109" t="s">
        <v>1922</v>
      </c>
      <c r="T752" s="25"/>
      <c r="U752" s="111" t="s">
        <v>1923</v>
      </c>
      <c r="V752" s="111" t="s">
        <v>1923</v>
      </c>
      <c r="W752" s="112" t="s">
        <v>2342</v>
      </c>
      <c r="X752" s="112" t="s">
        <v>1906</v>
      </c>
      <c r="Y752" s="112" t="s">
        <v>2194</v>
      </c>
      <c r="Z752" s="112" t="s">
        <v>1906</v>
      </c>
      <c r="AA752" s="112" t="s">
        <v>2194</v>
      </c>
      <c r="AB752" s="112" t="s">
        <v>1906</v>
      </c>
      <c r="AC752" s="112">
        <v>102.75</v>
      </c>
      <c r="AD752" s="112" t="s">
        <v>1906</v>
      </c>
      <c r="AE752" s="112">
        <v>33.15</v>
      </c>
      <c r="AF752" s="112" t="s">
        <v>1906</v>
      </c>
      <c r="AG752" s="112">
        <v>0</v>
      </c>
      <c r="AH752" s="112"/>
      <c r="AI752" s="112">
        <v>0</v>
      </c>
      <c r="AJ752" s="112"/>
      <c r="AK752" s="112">
        <v>0</v>
      </c>
      <c r="AL752" s="112"/>
      <c r="AM752" s="112">
        <v>23.52</v>
      </c>
      <c r="AN752" s="112" t="s">
        <v>1906</v>
      </c>
      <c r="AO752" s="112">
        <v>100.81</v>
      </c>
      <c r="AP752" s="112" t="s">
        <v>1906</v>
      </c>
      <c r="AQ752" s="112">
        <v>100.81</v>
      </c>
      <c r="AR752" s="112" t="s">
        <v>1906</v>
      </c>
      <c r="AS752" s="112">
        <v>100.81</v>
      </c>
      <c r="AT752" s="112" t="s">
        <v>1906</v>
      </c>
      <c r="AU752" s="112">
        <f t="shared" si="25"/>
        <v>770.25999999999976</v>
      </c>
      <c r="AV752" s="111">
        <v>0.28675</v>
      </c>
      <c r="AW752" s="111" t="s">
        <v>1904</v>
      </c>
      <c r="AX752" s="25"/>
      <c r="AY752" s="25"/>
      <c r="AZ752" s="25"/>
    </row>
    <row r="753" spans="1:52" ht="31.2" x14ac:dyDescent="0.3">
      <c r="A753" s="103">
        <v>743</v>
      </c>
      <c r="B753" s="109" t="s">
        <v>1549</v>
      </c>
      <c r="C753" s="30" t="s">
        <v>1899</v>
      </c>
      <c r="D753" s="110" t="s">
        <v>1900</v>
      </c>
      <c r="E753" s="110" t="s">
        <v>1917</v>
      </c>
      <c r="F753" s="30" t="s">
        <v>2703</v>
      </c>
      <c r="G753" s="26" t="s">
        <v>145</v>
      </c>
      <c r="H753" s="24" t="s">
        <v>146</v>
      </c>
      <c r="I753" s="109">
        <v>0</v>
      </c>
      <c r="J753" s="109" t="s">
        <v>1918</v>
      </c>
      <c r="K753" s="109">
        <v>57</v>
      </c>
      <c r="L753" s="109" t="s">
        <v>1919</v>
      </c>
      <c r="M753" s="109" t="s">
        <v>1904</v>
      </c>
      <c r="N753" s="109" t="s">
        <v>529</v>
      </c>
      <c r="O753" s="109" t="s">
        <v>1920</v>
      </c>
      <c r="P753" s="109" t="s">
        <v>1920</v>
      </c>
      <c r="Q753" s="102">
        <v>0</v>
      </c>
      <c r="R753" s="109" t="s">
        <v>1907</v>
      </c>
      <c r="S753" s="109" t="s">
        <v>1922</v>
      </c>
      <c r="T753" s="25"/>
      <c r="U753" s="111" t="s">
        <v>1923</v>
      </c>
      <c r="V753" s="111" t="s">
        <v>1923</v>
      </c>
      <c r="W753" s="112" t="s">
        <v>2343</v>
      </c>
      <c r="X753" s="112" t="s">
        <v>1906</v>
      </c>
      <c r="Y753" s="112" t="s">
        <v>2343</v>
      </c>
      <c r="Z753" s="112" t="s">
        <v>1906</v>
      </c>
      <c r="AA753" s="112" t="s">
        <v>2343</v>
      </c>
      <c r="AB753" s="112" t="s">
        <v>1906</v>
      </c>
      <c r="AC753" s="112">
        <v>37.53</v>
      </c>
      <c r="AD753" s="112" t="s">
        <v>1906</v>
      </c>
      <c r="AE753" s="112">
        <v>12.1</v>
      </c>
      <c r="AF753" s="112" t="s">
        <v>1906</v>
      </c>
      <c r="AG753" s="112">
        <v>0</v>
      </c>
      <c r="AH753" s="112"/>
      <c r="AI753" s="112">
        <v>0</v>
      </c>
      <c r="AJ753" s="112"/>
      <c r="AK753" s="112">
        <v>0</v>
      </c>
      <c r="AL753" s="112"/>
      <c r="AM753" s="112">
        <v>8.17</v>
      </c>
      <c r="AN753" s="112" t="s">
        <v>1906</v>
      </c>
      <c r="AO753" s="112">
        <v>35.03</v>
      </c>
      <c r="AP753" s="112" t="s">
        <v>1906</v>
      </c>
      <c r="AQ753" s="112">
        <v>35.03</v>
      </c>
      <c r="AR753" s="112" t="s">
        <v>1906</v>
      </c>
      <c r="AS753" s="112">
        <v>35.03</v>
      </c>
      <c r="AT753" s="112" t="s">
        <v>1906</v>
      </c>
      <c r="AU753" s="112">
        <f t="shared" si="25"/>
        <v>275.48</v>
      </c>
      <c r="AV753" s="111">
        <v>0.15557000000000001</v>
      </c>
      <c r="AW753" s="111" t="s">
        <v>1904</v>
      </c>
      <c r="AX753" s="25"/>
      <c r="AY753" s="25"/>
      <c r="AZ753" s="25"/>
    </row>
    <row r="754" spans="1:52" ht="31.2" x14ac:dyDescent="0.3">
      <c r="A754" s="103">
        <v>744</v>
      </c>
      <c r="B754" s="109" t="s">
        <v>1550</v>
      </c>
      <c r="C754" s="30" t="s">
        <v>1899</v>
      </c>
      <c r="D754" s="110" t="s">
        <v>1900</v>
      </c>
      <c r="E754" s="110" t="s">
        <v>1917</v>
      </c>
      <c r="F754" s="30" t="s">
        <v>2703</v>
      </c>
      <c r="G754" s="26" t="s">
        <v>145</v>
      </c>
      <c r="H754" s="24" t="s">
        <v>146</v>
      </c>
      <c r="I754" s="109">
        <v>0</v>
      </c>
      <c r="J754" s="109" t="s">
        <v>1918</v>
      </c>
      <c r="K754" s="109">
        <v>76</v>
      </c>
      <c r="L754" s="109" t="s">
        <v>1919</v>
      </c>
      <c r="M754" s="109" t="s">
        <v>1904</v>
      </c>
      <c r="N754" s="109" t="s">
        <v>529</v>
      </c>
      <c r="O754" s="109" t="s">
        <v>1920</v>
      </c>
      <c r="P754" s="109" t="s">
        <v>1920</v>
      </c>
      <c r="Q754" s="102">
        <v>0</v>
      </c>
      <c r="R754" s="109" t="s">
        <v>1907</v>
      </c>
      <c r="S754" s="109" t="s">
        <v>1922</v>
      </c>
      <c r="T754" s="25"/>
      <c r="U754" s="111" t="s">
        <v>1923</v>
      </c>
      <c r="V754" s="111" t="s">
        <v>1923</v>
      </c>
      <c r="W754" s="112" t="s">
        <v>2344</v>
      </c>
      <c r="X754" s="112" t="s">
        <v>1906</v>
      </c>
      <c r="Y754" s="112" t="s">
        <v>2344</v>
      </c>
      <c r="Z754" s="112" t="s">
        <v>1906</v>
      </c>
      <c r="AA754" s="112" t="s">
        <v>2344</v>
      </c>
      <c r="AB754" s="112" t="s">
        <v>1906</v>
      </c>
      <c r="AC754" s="112">
        <v>27.21</v>
      </c>
      <c r="AD754" s="112" t="s">
        <v>1906</v>
      </c>
      <c r="AE754" s="112">
        <v>8.7799999999999994</v>
      </c>
      <c r="AF754" s="112" t="s">
        <v>1906</v>
      </c>
      <c r="AG754" s="112">
        <v>0</v>
      </c>
      <c r="AH754" s="112"/>
      <c r="AI754" s="112">
        <v>0</v>
      </c>
      <c r="AJ754" s="112"/>
      <c r="AK754" s="112">
        <v>0</v>
      </c>
      <c r="AL754" s="112"/>
      <c r="AM754" s="112">
        <v>6.23</v>
      </c>
      <c r="AN754" s="112" t="s">
        <v>1906</v>
      </c>
      <c r="AO754" s="112">
        <v>26.68</v>
      </c>
      <c r="AP754" s="112" t="s">
        <v>1906</v>
      </c>
      <c r="AQ754" s="112">
        <v>26.68</v>
      </c>
      <c r="AR754" s="112" t="s">
        <v>1906</v>
      </c>
      <c r="AS754" s="112">
        <v>26.68</v>
      </c>
      <c r="AT754" s="112" t="s">
        <v>1906</v>
      </c>
      <c r="AU754" s="112">
        <f t="shared" si="25"/>
        <v>203.89000000000001</v>
      </c>
      <c r="AV754" s="111">
        <v>0.13821</v>
      </c>
      <c r="AW754" s="111" t="s">
        <v>1904</v>
      </c>
      <c r="AX754" s="25"/>
      <c r="AY754" s="25"/>
      <c r="AZ754" s="25"/>
    </row>
    <row r="755" spans="1:52" ht="31.2" x14ac:dyDescent="0.3">
      <c r="A755" s="103">
        <v>745</v>
      </c>
      <c r="B755" s="109" t="s">
        <v>1551</v>
      </c>
      <c r="C755" s="30" t="s">
        <v>1899</v>
      </c>
      <c r="D755" s="110" t="s">
        <v>1900</v>
      </c>
      <c r="E755" s="110" t="s">
        <v>1917</v>
      </c>
      <c r="F755" s="30" t="s">
        <v>2703</v>
      </c>
      <c r="G755" s="26" t="s">
        <v>145</v>
      </c>
      <c r="H755" s="24" t="s">
        <v>146</v>
      </c>
      <c r="I755" s="109">
        <v>0</v>
      </c>
      <c r="J755" s="109" t="s">
        <v>1918</v>
      </c>
      <c r="K755" s="109">
        <v>57</v>
      </c>
      <c r="L755" s="109" t="s">
        <v>1919</v>
      </c>
      <c r="M755" s="109" t="s">
        <v>1904</v>
      </c>
      <c r="N755" s="109" t="s">
        <v>529</v>
      </c>
      <c r="O755" s="109" t="s">
        <v>1920</v>
      </c>
      <c r="P755" s="109" t="s">
        <v>1920</v>
      </c>
      <c r="Q755" s="102">
        <v>0</v>
      </c>
      <c r="R755" s="109" t="s">
        <v>1907</v>
      </c>
      <c r="S755" s="109" t="s">
        <v>1922</v>
      </c>
      <c r="T755" s="25"/>
      <c r="U755" s="111" t="s">
        <v>1923</v>
      </c>
      <c r="V755" s="111" t="s">
        <v>1923</v>
      </c>
      <c r="W755" s="112" t="s">
        <v>2344</v>
      </c>
      <c r="X755" s="112" t="s">
        <v>1906</v>
      </c>
      <c r="Y755" s="112" t="s">
        <v>2344</v>
      </c>
      <c r="Z755" s="112" t="s">
        <v>1906</v>
      </c>
      <c r="AA755" s="112" t="s">
        <v>2344</v>
      </c>
      <c r="AB755" s="112" t="s">
        <v>1906</v>
      </c>
      <c r="AC755" s="112">
        <v>27.21</v>
      </c>
      <c r="AD755" s="112" t="s">
        <v>1906</v>
      </c>
      <c r="AE755" s="112">
        <v>8.7799999999999994</v>
      </c>
      <c r="AF755" s="112" t="s">
        <v>1906</v>
      </c>
      <c r="AG755" s="112">
        <v>0</v>
      </c>
      <c r="AH755" s="112"/>
      <c r="AI755" s="112">
        <v>0</v>
      </c>
      <c r="AJ755" s="112"/>
      <c r="AK755" s="112">
        <v>0</v>
      </c>
      <c r="AL755" s="112"/>
      <c r="AM755" s="112">
        <v>6.23</v>
      </c>
      <c r="AN755" s="112" t="s">
        <v>1906</v>
      </c>
      <c r="AO755" s="112">
        <v>26.68</v>
      </c>
      <c r="AP755" s="112" t="s">
        <v>1906</v>
      </c>
      <c r="AQ755" s="112">
        <v>26.68</v>
      </c>
      <c r="AR755" s="112" t="s">
        <v>1906</v>
      </c>
      <c r="AS755" s="112">
        <v>26.68</v>
      </c>
      <c r="AT755" s="112" t="s">
        <v>1906</v>
      </c>
      <c r="AU755" s="112">
        <f t="shared" si="25"/>
        <v>203.89000000000001</v>
      </c>
      <c r="AV755" s="111">
        <v>0.13821</v>
      </c>
      <c r="AW755" s="111" t="s">
        <v>1904</v>
      </c>
      <c r="AX755" s="25"/>
      <c r="AY755" s="25"/>
      <c r="AZ755" s="25"/>
    </row>
    <row r="756" spans="1:52" ht="31.2" x14ac:dyDescent="0.3">
      <c r="A756" s="103">
        <v>746</v>
      </c>
      <c r="B756" s="109" t="s">
        <v>1553</v>
      </c>
      <c r="C756" s="30" t="s">
        <v>1899</v>
      </c>
      <c r="D756" s="110" t="s">
        <v>1900</v>
      </c>
      <c r="E756" s="110" t="s">
        <v>1917</v>
      </c>
      <c r="F756" s="30" t="s">
        <v>2703</v>
      </c>
      <c r="G756" s="26" t="s">
        <v>145</v>
      </c>
      <c r="H756" s="24" t="s">
        <v>146</v>
      </c>
      <c r="I756" s="109">
        <v>0</v>
      </c>
      <c r="J756" s="109" t="s">
        <v>1918</v>
      </c>
      <c r="K756" s="109">
        <v>57</v>
      </c>
      <c r="L756" s="109" t="s">
        <v>1919</v>
      </c>
      <c r="M756" s="109" t="s">
        <v>1904</v>
      </c>
      <c r="N756" s="109" t="s">
        <v>529</v>
      </c>
      <c r="O756" s="109" t="s">
        <v>1920</v>
      </c>
      <c r="P756" s="109" t="s">
        <v>1920</v>
      </c>
      <c r="Q756" s="102">
        <v>0</v>
      </c>
      <c r="R756" s="109" t="s">
        <v>1907</v>
      </c>
      <c r="S756" s="109" t="s">
        <v>1922</v>
      </c>
      <c r="T756" s="25"/>
      <c r="U756" s="111" t="s">
        <v>1923</v>
      </c>
      <c r="V756" s="111" t="s">
        <v>1923</v>
      </c>
      <c r="W756" s="112" t="s">
        <v>2345</v>
      </c>
      <c r="X756" s="112" t="s">
        <v>1906</v>
      </c>
      <c r="Y756" s="112" t="s">
        <v>2345</v>
      </c>
      <c r="Z756" s="112" t="s">
        <v>1906</v>
      </c>
      <c r="AA756" s="112" t="s">
        <v>2345</v>
      </c>
      <c r="AB756" s="112" t="s">
        <v>1906</v>
      </c>
      <c r="AC756" s="112">
        <v>38.42</v>
      </c>
      <c r="AD756" s="112" t="s">
        <v>1906</v>
      </c>
      <c r="AE756" s="112">
        <v>12.39</v>
      </c>
      <c r="AF756" s="112" t="s">
        <v>1906</v>
      </c>
      <c r="AG756" s="112">
        <v>0</v>
      </c>
      <c r="AH756" s="112"/>
      <c r="AI756" s="112">
        <v>0</v>
      </c>
      <c r="AJ756" s="112"/>
      <c r="AK756" s="112">
        <v>0</v>
      </c>
      <c r="AL756" s="112"/>
      <c r="AM756" s="112">
        <v>8.4499999999999993</v>
      </c>
      <c r="AN756" s="112" t="s">
        <v>1906</v>
      </c>
      <c r="AO756" s="112">
        <v>38.049999999999997</v>
      </c>
      <c r="AP756" s="112" t="s">
        <v>1906</v>
      </c>
      <c r="AQ756" s="112">
        <v>36.200000000000003</v>
      </c>
      <c r="AR756" s="112" t="s">
        <v>1906</v>
      </c>
      <c r="AS756" s="112">
        <v>36.200000000000003</v>
      </c>
      <c r="AT756" s="112" t="s">
        <v>1906</v>
      </c>
      <c r="AU756" s="112">
        <f t="shared" si="25"/>
        <v>284.96999999999997</v>
      </c>
      <c r="AV756" s="111">
        <v>0.15978999999999999</v>
      </c>
      <c r="AW756" s="111" t="s">
        <v>1904</v>
      </c>
      <c r="AX756" s="25"/>
      <c r="AY756" s="25"/>
      <c r="AZ756" s="25"/>
    </row>
    <row r="757" spans="1:52" ht="31.2" x14ac:dyDescent="0.3">
      <c r="A757" s="103">
        <v>747</v>
      </c>
      <c r="B757" s="109" t="s">
        <v>1555</v>
      </c>
      <c r="C757" s="30" t="s">
        <v>1899</v>
      </c>
      <c r="D757" s="110" t="s">
        <v>1900</v>
      </c>
      <c r="E757" s="110" t="s">
        <v>1917</v>
      </c>
      <c r="F757" s="30" t="s">
        <v>2703</v>
      </c>
      <c r="G757" s="26" t="s">
        <v>145</v>
      </c>
      <c r="H757" s="24" t="s">
        <v>146</v>
      </c>
      <c r="I757" s="109">
        <v>0</v>
      </c>
      <c r="J757" s="109" t="s">
        <v>1918</v>
      </c>
      <c r="K757" s="109">
        <v>32</v>
      </c>
      <c r="L757" s="109" t="s">
        <v>1919</v>
      </c>
      <c r="M757" s="109" t="s">
        <v>1904</v>
      </c>
      <c r="N757" s="109" t="s">
        <v>529</v>
      </c>
      <c r="O757" s="109" t="s">
        <v>1920</v>
      </c>
      <c r="P757" s="109" t="s">
        <v>1920</v>
      </c>
      <c r="Q757" s="102">
        <v>0</v>
      </c>
      <c r="R757" s="109" t="s">
        <v>1907</v>
      </c>
      <c r="S757" s="109" t="s">
        <v>1922</v>
      </c>
      <c r="T757" s="25"/>
      <c r="U757" s="111" t="s">
        <v>1923</v>
      </c>
      <c r="V757" s="111" t="s">
        <v>1923</v>
      </c>
      <c r="W757" s="112" t="s">
        <v>2345</v>
      </c>
      <c r="X757" s="112" t="s">
        <v>1906</v>
      </c>
      <c r="Y757" s="112" t="s">
        <v>2345</v>
      </c>
      <c r="Z757" s="112" t="s">
        <v>1906</v>
      </c>
      <c r="AA757" s="112" t="s">
        <v>2345</v>
      </c>
      <c r="AB757" s="112" t="s">
        <v>1906</v>
      </c>
      <c r="AC757" s="112">
        <v>38.42</v>
      </c>
      <c r="AD757" s="112" t="s">
        <v>1906</v>
      </c>
      <c r="AE757" s="112">
        <v>12.39</v>
      </c>
      <c r="AF757" s="112" t="s">
        <v>1906</v>
      </c>
      <c r="AG757" s="112">
        <v>0</v>
      </c>
      <c r="AH757" s="112"/>
      <c r="AI757" s="112">
        <v>0</v>
      </c>
      <c r="AJ757" s="112"/>
      <c r="AK757" s="112">
        <v>0</v>
      </c>
      <c r="AL757" s="112"/>
      <c r="AM757" s="112">
        <v>8.4499999999999993</v>
      </c>
      <c r="AN757" s="112" t="s">
        <v>1906</v>
      </c>
      <c r="AO757" s="112">
        <v>38.049999999999997</v>
      </c>
      <c r="AP757" s="112" t="s">
        <v>1906</v>
      </c>
      <c r="AQ757" s="112">
        <v>36.200000000000003</v>
      </c>
      <c r="AR757" s="112" t="s">
        <v>1906</v>
      </c>
      <c r="AS757" s="112">
        <v>36.200000000000003</v>
      </c>
      <c r="AT757" s="112" t="s">
        <v>1906</v>
      </c>
      <c r="AU757" s="112">
        <f t="shared" si="25"/>
        <v>284.96999999999997</v>
      </c>
      <c r="AV757" s="111">
        <v>0.15978999999999999</v>
      </c>
      <c r="AW757" s="111" t="s">
        <v>1904</v>
      </c>
      <c r="AX757" s="25"/>
      <c r="AY757" s="25"/>
      <c r="AZ757" s="25"/>
    </row>
    <row r="758" spans="1:52" ht="31.2" x14ac:dyDescent="0.3">
      <c r="A758" s="103">
        <v>748</v>
      </c>
      <c r="B758" s="109" t="s">
        <v>1556</v>
      </c>
      <c r="C758" s="30" t="s">
        <v>1899</v>
      </c>
      <c r="D758" s="110" t="s">
        <v>1900</v>
      </c>
      <c r="E758" s="110" t="s">
        <v>1917</v>
      </c>
      <c r="F758" s="30" t="s">
        <v>2703</v>
      </c>
      <c r="G758" s="26" t="s">
        <v>145</v>
      </c>
      <c r="H758" s="24" t="s">
        <v>146</v>
      </c>
      <c r="I758" s="109">
        <v>1</v>
      </c>
      <c r="J758" s="109" t="s">
        <v>1918</v>
      </c>
      <c r="K758" s="109">
        <v>50</v>
      </c>
      <c r="L758" s="109" t="s">
        <v>1919</v>
      </c>
      <c r="M758" s="109" t="s">
        <v>1904</v>
      </c>
      <c r="N758" s="109" t="s">
        <v>529</v>
      </c>
      <c r="O758" s="109" t="s">
        <v>1920</v>
      </c>
      <c r="P758" s="109" t="s">
        <v>1921</v>
      </c>
      <c r="Q758" s="102">
        <v>0</v>
      </c>
      <c r="R758" s="109" t="s">
        <v>1907</v>
      </c>
      <c r="S758" s="109" t="s">
        <v>1922</v>
      </c>
      <c r="T758" s="25"/>
      <c r="U758" s="111" t="s">
        <v>1923</v>
      </c>
      <c r="V758" s="111" t="s">
        <v>1923</v>
      </c>
      <c r="W758" s="112" t="s">
        <v>2346</v>
      </c>
      <c r="X758" s="112" t="s">
        <v>1906</v>
      </c>
      <c r="Y758" s="112" t="s">
        <v>2347</v>
      </c>
      <c r="Z758" s="112" t="s">
        <v>1906</v>
      </c>
      <c r="AA758" s="112" t="s">
        <v>2348</v>
      </c>
      <c r="AB758" s="112" t="s">
        <v>1906</v>
      </c>
      <c r="AC758" s="112">
        <v>52.7</v>
      </c>
      <c r="AD758" s="112" t="s">
        <v>1906</v>
      </c>
      <c r="AE758" s="112">
        <v>17</v>
      </c>
      <c r="AF758" s="112" t="s">
        <v>1906</v>
      </c>
      <c r="AG758" s="112">
        <v>0</v>
      </c>
      <c r="AH758" s="112"/>
      <c r="AI758" s="112">
        <v>0</v>
      </c>
      <c r="AJ758" s="112"/>
      <c r="AK758" s="112">
        <v>0</v>
      </c>
      <c r="AL758" s="112"/>
      <c r="AM758" s="112">
        <v>0</v>
      </c>
      <c r="AN758" s="112"/>
      <c r="AO758" s="112">
        <v>51.03</v>
      </c>
      <c r="AP758" s="112" t="s">
        <v>208</v>
      </c>
      <c r="AQ758" s="112">
        <v>51.03</v>
      </c>
      <c r="AR758" s="112" t="s">
        <v>208</v>
      </c>
      <c r="AS758" s="112">
        <v>51.03</v>
      </c>
      <c r="AT758" s="112" t="s">
        <v>208</v>
      </c>
      <c r="AU758" s="112">
        <f t="shared" si="25"/>
        <v>423.21999999999991</v>
      </c>
      <c r="AV758" s="111">
        <v>0.17263000000000001</v>
      </c>
      <c r="AW758" s="111" t="s">
        <v>1904</v>
      </c>
      <c r="AX758" s="25"/>
      <c r="AY758" s="25"/>
      <c r="AZ758" s="25"/>
    </row>
    <row r="759" spans="1:52" ht="31.2" x14ac:dyDescent="0.3">
      <c r="A759" s="103">
        <v>749</v>
      </c>
      <c r="B759" s="109" t="s">
        <v>1558</v>
      </c>
      <c r="C759" s="30" t="s">
        <v>1899</v>
      </c>
      <c r="D759" s="110" t="s">
        <v>1900</v>
      </c>
      <c r="E759" s="110" t="s">
        <v>1917</v>
      </c>
      <c r="F759" s="30" t="s">
        <v>2703</v>
      </c>
      <c r="G759" s="26" t="s">
        <v>145</v>
      </c>
      <c r="H759" s="24" t="s">
        <v>146</v>
      </c>
      <c r="I759" s="109">
        <v>1</v>
      </c>
      <c r="J759" s="109" t="s">
        <v>1918</v>
      </c>
      <c r="K759" s="109">
        <v>89</v>
      </c>
      <c r="L759" s="109" t="s">
        <v>1919</v>
      </c>
      <c r="M759" s="109" t="s">
        <v>1904</v>
      </c>
      <c r="N759" s="109" t="s">
        <v>529</v>
      </c>
      <c r="O759" s="109" t="s">
        <v>1920</v>
      </c>
      <c r="P759" s="109" t="s">
        <v>1921</v>
      </c>
      <c r="Q759" s="102">
        <v>0</v>
      </c>
      <c r="R759" s="109" t="s">
        <v>1907</v>
      </c>
      <c r="S759" s="109" t="s">
        <v>1922</v>
      </c>
      <c r="T759" s="25"/>
      <c r="U759" s="111" t="s">
        <v>1923</v>
      </c>
      <c r="V759" s="111" t="s">
        <v>1923</v>
      </c>
      <c r="W759" s="112">
        <v>69</v>
      </c>
      <c r="X759" s="112" t="s">
        <v>1906</v>
      </c>
      <c r="Y759" s="112">
        <v>69</v>
      </c>
      <c r="Z759" s="112" t="s">
        <v>1906</v>
      </c>
      <c r="AA759" s="112">
        <v>69</v>
      </c>
      <c r="AB759" s="112" t="s">
        <v>1906</v>
      </c>
      <c r="AC759" s="112">
        <v>69</v>
      </c>
      <c r="AD759" s="112" t="s">
        <v>1906</v>
      </c>
      <c r="AE759" s="112">
        <v>22.26</v>
      </c>
      <c r="AF759" s="112" t="s">
        <v>1906</v>
      </c>
      <c r="AG759" s="112">
        <v>0</v>
      </c>
      <c r="AH759" s="112"/>
      <c r="AI759" s="112">
        <v>0</v>
      </c>
      <c r="AJ759" s="112"/>
      <c r="AK759" s="112">
        <v>0</v>
      </c>
      <c r="AL759" s="112"/>
      <c r="AM759" s="112">
        <v>14.82</v>
      </c>
      <c r="AN759" s="112" t="s">
        <v>1906</v>
      </c>
      <c r="AO759" s="112">
        <v>64.52</v>
      </c>
      <c r="AP759" s="112" t="s">
        <v>1906</v>
      </c>
      <c r="AQ759" s="112">
        <v>63.52</v>
      </c>
      <c r="AR759" s="112" t="s">
        <v>1906</v>
      </c>
      <c r="AS759" s="112">
        <v>63.52</v>
      </c>
      <c r="AT759" s="112" t="s">
        <v>1906</v>
      </c>
      <c r="AU759" s="112">
        <f t="shared" si="25"/>
        <v>504.63999999999993</v>
      </c>
      <c r="AV759" s="111">
        <v>0.21776999999999999</v>
      </c>
      <c r="AW759" s="111" t="s">
        <v>1904</v>
      </c>
      <c r="AX759" s="25"/>
      <c r="AY759" s="25"/>
      <c r="AZ759" s="25"/>
    </row>
    <row r="760" spans="1:52" ht="31.2" x14ac:dyDescent="0.3">
      <c r="A760" s="103">
        <v>750</v>
      </c>
      <c r="B760" s="109" t="s">
        <v>1560</v>
      </c>
      <c r="C760" s="30" t="s">
        <v>1899</v>
      </c>
      <c r="D760" s="110" t="s">
        <v>1900</v>
      </c>
      <c r="E760" s="110" t="s">
        <v>1917</v>
      </c>
      <c r="F760" s="30" t="s">
        <v>2703</v>
      </c>
      <c r="G760" s="26" t="s">
        <v>145</v>
      </c>
      <c r="H760" s="24" t="s">
        <v>146</v>
      </c>
      <c r="I760" s="109">
        <v>2</v>
      </c>
      <c r="J760" s="109" t="s">
        <v>1918</v>
      </c>
      <c r="K760" s="109">
        <v>76</v>
      </c>
      <c r="L760" s="109" t="s">
        <v>1919</v>
      </c>
      <c r="M760" s="109" t="s">
        <v>1904</v>
      </c>
      <c r="N760" s="109" t="s">
        <v>529</v>
      </c>
      <c r="O760" s="109" t="s">
        <v>1920</v>
      </c>
      <c r="P760" s="109" t="s">
        <v>1921</v>
      </c>
      <c r="Q760" s="102">
        <v>0</v>
      </c>
      <c r="R760" s="109" t="s">
        <v>1907</v>
      </c>
      <c r="S760" s="109" t="s">
        <v>1922</v>
      </c>
      <c r="T760" s="25"/>
      <c r="U760" s="111" t="s">
        <v>1923</v>
      </c>
      <c r="V760" s="111" t="s">
        <v>1923</v>
      </c>
      <c r="W760" s="112" t="s">
        <v>2349</v>
      </c>
      <c r="X760" s="112" t="s">
        <v>1906</v>
      </c>
      <c r="Y760" s="112" t="s">
        <v>2349</v>
      </c>
      <c r="Z760" s="112" t="s">
        <v>1906</v>
      </c>
      <c r="AA760" s="112" t="s">
        <v>2349</v>
      </c>
      <c r="AB760" s="112" t="s">
        <v>1906</v>
      </c>
      <c r="AC760" s="112">
        <v>47.15</v>
      </c>
      <c r="AD760" s="112" t="s">
        <v>1906</v>
      </c>
      <c r="AE760" s="112">
        <v>13.69</v>
      </c>
      <c r="AF760" s="112" t="s">
        <v>1906</v>
      </c>
      <c r="AG760" s="112">
        <v>0</v>
      </c>
      <c r="AH760" s="112"/>
      <c r="AI760" s="112">
        <v>0</v>
      </c>
      <c r="AJ760" s="112"/>
      <c r="AK760" s="112">
        <v>0</v>
      </c>
      <c r="AL760" s="112"/>
      <c r="AM760" s="112">
        <v>0</v>
      </c>
      <c r="AN760" s="112"/>
      <c r="AO760" s="112">
        <v>39</v>
      </c>
      <c r="AP760" s="112" t="s">
        <v>1906</v>
      </c>
      <c r="AQ760" s="112">
        <v>39</v>
      </c>
      <c r="AR760" s="112" t="s">
        <v>1906</v>
      </c>
      <c r="AS760" s="112">
        <v>39</v>
      </c>
      <c r="AT760" s="112" t="s">
        <v>1906</v>
      </c>
      <c r="AU760" s="112">
        <f t="shared" si="25"/>
        <v>319.28999999999996</v>
      </c>
      <c r="AV760" s="111">
        <v>0.28462900000000002</v>
      </c>
      <c r="AW760" s="111" t="s">
        <v>1904</v>
      </c>
      <c r="AX760" s="25"/>
      <c r="AY760" s="25"/>
      <c r="AZ760" s="25"/>
    </row>
    <row r="761" spans="1:52" ht="31.2" x14ac:dyDescent="0.3">
      <c r="A761" s="103">
        <v>751</v>
      </c>
      <c r="B761" s="109" t="s">
        <v>1561</v>
      </c>
      <c r="C761" s="30" t="s">
        <v>1899</v>
      </c>
      <c r="D761" s="110" t="s">
        <v>1900</v>
      </c>
      <c r="E761" s="110" t="s">
        <v>1917</v>
      </c>
      <c r="F761" s="30" t="s">
        <v>2703</v>
      </c>
      <c r="G761" s="26" t="s">
        <v>145</v>
      </c>
      <c r="H761" s="24" t="s">
        <v>146</v>
      </c>
      <c r="I761" s="109">
        <v>1</v>
      </c>
      <c r="J761" s="109" t="s">
        <v>1918</v>
      </c>
      <c r="K761" s="109">
        <v>76</v>
      </c>
      <c r="L761" s="109" t="s">
        <v>1919</v>
      </c>
      <c r="M761" s="109" t="s">
        <v>1904</v>
      </c>
      <c r="N761" s="109" t="s">
        <v>529</v>
      </c>
      <c r="O761" s="109" t="s">
        <v>1920</v>
      </c>
      <c r="P761" s="109" t="s">
        <v>1921</v>
      </c>
      <c r="Q761" s="102">
        <v>0</v>
      </c>
      <c r="R761" s="109" t="s">
        <v>1907</v>
      </c>
      <c r="S761" s="109" t="s">
        <v>1922</v>
      </c>
      <c r="T761" s="25"/>
      <c r="U761" s="111" t="s">
        <v>1923</v>
      </c>
      <c r="V761" s="111" t="s">
        <v>1923</v>
      </c>
      <c r="W761" s="112" t="s">
        <v>2350</v>
      </c>
      <c r="X761" s="112" t="s">
        <v>1906</v>
      </c>
      <c r="Y761" s="112" t="s">
        <v>2351</v>
      </c>
      <c r="Z761" s="112" t="s">
        <v>1906</v>
      </c>
      <c r="AA761" s="112" t="s">
        <v>2352</v>
      </c>
      <c r="AB761" s="112" t="s">
        <v>1906</v>
      </c>
      <c r="AC761" s="112">
        <v>37.520000000000003</v>
      </c>
      <c r="AD761" s="112" t="s">
        <v>1906</v>
      </c>
      <c r="AE761" s="112">
        <v>18.77</v>
      </c>
      <c r="AF761" s="112" t="s">
        <v>1906</v>
      </c>
      <c r="AG761" s="112">
        <v>0</v>
      </c>
      <c r="AH761" s="112"/>
      <c r="AI761" s="112">
        <v>0</v>
      </c>
      <c r="AJ761" s="112"/>
      <c r="AK761" s="112">
        <v>0</v>
      </c>
      <c r="AL761" s="112"/>
      <c r="AM761" s="112">
        <v>0</v>
      </c>
      <c r="AN761" s="112"/>
      <c r="AO761" s="112">
        <v>36.119999999999997</v>
      </c>
      <c r="AP761" s="112" t="s">
        <v>208</v>
      </c>
      <c r="AQ761" s="112">
        <v>43.35</v>
      </c>
      <c r="AR761" s="112" t="s">
        <v>208</v>
      </c>
      <c r="AS761" s="112">
        <v>66.63</v>
      </c>
      <c r="AT761" s="112" t="s">
        <v>208</v>
      </c>
      <c r="AU761" s="112">
        <f t="shared" si="25"/>
        <v>450.46999999999997</v>
      </c>
      <c r="AV761" s="111">
        <v>0.11842999999999999</v>
      </c>
      <c r="AW761" s="111" t="s">
        <v>1904</v>
      </c>
      <c r="AX761" s="25"/>
      <c r="AY761" s="25"/>
      <c r="AZ761" s="25"/>
    </row>
    <row r="762" spans="1:52" ht="31.2" x14ac:dyDescent="0.3">
      <c r="A762" s="103">
        <v>752</v>
      </c>
      <c r="B762" s="109" t="s">
        <v>1562</v>
      </c>
      <c r="C762" s="30" t="s">
        <v>1899</v>
      </c>
      <c r="D762" s="110" t="s">
        <v>1900</v>
      </c>
      <c r="E762" s="110" t="s">
        <v>1917</v>
      </c>
      <c r="F762" s="30" t="s">
        <v>2703</v>
      </c>
      <c r="G762" s="26" t="s">
        <v>145</v>
      </c>
      <c r="H762" s="24" t="s">
        <v>146</v>
      </c>
      <c r="I762" s="109">
        <v>1</v>
      </c>
      <c r="J762" s="109" t="s">
        <v>1918</v>
      </c>
      <c r="K762" s="109">
        <v>57</v>
      </c>
      <c r="L762" s="109" t="s">
        <v>1919</v>
      </c>
      <c r="M762" s="109" t="s">
        <v>1904</v>
      </c>
      <c r="N762" s="109" t="s">
        <v>529</v>
      </c>
      <c r="O762" s="109" t="s">
        <v>1920</v>
      </c>
      <c r="P762" s="109" t="s">
        <v>1921</v>
      </c>
      <c r="Q762" s="102">
        <v>0</v>
      </c>
      <c r="R762" s="109" t="s">
        <v>1907</v>
      </c>
      <c r="S762" s="109" t="s">
        <v>1922</v>
      </c>
      <c r="T762" s="25"/>
      <c r="U762" s="111" t="s">
        <v>1923</v>
      </c>
      <c r="V762" s="111" t="s">
        <v>1923</v>
      </c>
      <c r="W762" s="112" t="s">
        <v>2353</v>
      </c>
      <c r="X762" s="112" t="s">
        <v>1906</v>
      </c>
      <c r="Y762" s="112" t="s">
        <v>2354</v>
      </c>
      <c r="Z762" s="112" t="s">
        <v>1906</v>
      </c>
      <c r="AA762" s="112" t="s">
        <v>2355</v>
      </c>
      <c r="AB762" s="112" t="s">
        <v>1906</v>
      </c>
      <c r="AC762" s="112">
        <v>34.33</v>
      </c>
      <c r="AD762" s="112" t="s">
        <v>1906</v>
      </c>
      <c r="AE762" s="112">
        <v>9.9700000000000006</v>
      </c>
      <c r="AF762" s="112" t="s">
        <v>1906</v>
      </c>
      <c r="AG762" s="112">
        <v>0</v>
      </c>
      <c r="AH762" s="112"/>
      <c r="AI762" s="112">
        <v>0</v>
      </c>
      <c r="AJ762" s="112"/>
      <c r="AK762" s="112">
        <v>0</v>
      </c>
      <c r="AL762" s="112"/>
      <c r="AM762" s="112">
        <v>0</v>
      </c>
      <c r="AN762" s="112"/>
      <c r="AO762" s="112">
        <v>32.369999999999997</v>
      </c>
      <c r="AP762" s="112" t="s">
        <v>208</v>
      </c>
      <c r="AQ762" s="112">
        <v>32.369999999999997</v>
      </c>
      <c r="AR762" s="112" t="s">
        <v>208</v>
      </c>
      <c r="AS762" s="112">
        <v>32.369999999999997</v>
      </c>
      <c r="AT762" s="112" t="s">
        <v>208</v>
      </c>
      <c r="AU762" s="112">
        <f t="shared" si="25"/>
        <v>280.27999999999997</v>
      </c>
      <c r="AV762" s="111">
        <v>0.25291999999999998</v>
      </c>
      <c r="AW762" s="111" t="s">
        <v>1904</v>
      </c>
      <c r="AX762" s="25"/>
      <c r="AY762" s="25"/>
      <c r="AZ762" s="25"/>
    </row>
    <row r="763" spans="1:52" ht="31.2" x14ac:dyDescent="0.3">
      <c r="A763" s="103">
        <v>753</v>
      </c>
      <c r="B763" s="109" t="s">
        <v>1563</v>
      </c>
      <c r="C763" s="30" t="s">
        <v>1899</v>
      </c>
      <c r="D763" s="110" t="s">
        <v>1900</v>
      </c>
      <c r="E763" s="110" t="s">
        <v>1917</v>
      </c>
      <c r="F763" s="30" t="s">
        <v>2703</v>
      </c>
      <c r="G763" s="26" t="s">
        <v>145</v>
      </c>
      <c r="H763" s="24" t="s">
        <v>146</v>
      </c>
      <c r="I763" s="109">
        <v>1</v>
      </c>
      <c r="J763" s="109" t="s">
        <v>1918</v>
      </c>
      <c r="K763" s="109">
        <v>57</v>
      </c>
      <c r="L763" s="109" t="s">
        <v>1919</v>
      </c>
      <c r="M763" s="109" t="s">
        <v>1904</v>
      </c>
      <c r="N763" s="109" t="s">
        <v>529</v>
      </c>
      <c r="O763" s="109" t="s">
        <v>1920</v>
      </c>
      <c r="P763" s="109" t="s">
        <v>1921</v>
      </c>
      <c r="Q763" s="102">
        <v>0</v>
      </c>
      <c r="R763" s="109" t="s">
        <v>1907</v>
      </c>
      <c r="S763" s="109" t="s">
        <v>1922</v>
      </c>
      <c r="T763" s="25"/>
      <c r="U763" s="111" t="s">
        <v>1923</v>
      </c>
      <c r="V763" s="111" t="s">
        <v>1923</v>
      </c>
      <c r="W763" s="112" t="s">
        <v>2353</v>
      </c>
      <c r="X763" s="112" t="s">
        <v>1906</v>
      </c>
      <c r="Y763" s="112" t="s">
        <v>2354</v>
      </c>
      <c r="Z763" s="112" t="s">
        <v>1906</v>
      </c>
      <c r="AA763" s="112" t="s">
        <v>2355</v>
      </c>
      <c r="AB763" s="112" t="s">
        <v>1906</v>
      </c>
      <c r="AC763" s="112">
        <v>34.33</v>
      </c>
      <c r="AD763" s="112" t="s">
        <v>1906</v>
      </c>
      <c r="AE763" s="112">
        <v>9.9700000000000006</v>
      </c>
      <c r="AF763" s="112" t="s">
        <v>1906</v>
      </c>
      <c r="AG763" s="112">
        <v>0</v>
      </c>
      <c r="AH763" s="112"/>
      <c r="AI763" s="112">
        <v>0</v>
      </c>
      <c r="AJ763" s="112"/>
      <c r="AK763" s="112">
        <v>0</v>
      </c>
      <c r="AL763" s="112"/>
      <c r="AM763" s="112">
        <v>0</v>
      </c>
      <c r="AN763" s="112"/>
      <c r="AO763" s="112">
        <v>32.369999999999997</v>
      </c>
      <c r="AP763" s="112" t="s">
        <v>208</v>
      </c>
      <c r="AQ763" s="112">
        <v>32.369999999999997</v>
      </c>
      <c r="AR763" s="112" t="s">
        <v>208</v>
      </c>
      <c r="AS763" s="112">
        <v>32.369999999999997</v>
      </c>
      <c r="AT763" s="112" t="s">
        <v>208</v>
      </c>
      <c r="AU763" s="112">
        <f t="shared" si="25"/>
        <v>280.27999999999997</v>
      </c>
      <c r="AV763" s="111">
        <v>0.25291999999999998</v>
      </c>
      <c r="AW763" s="111" t="s">
        <v>1904</v>
      </c>
      <c r="AX763" s="25"/>
      <c r="AY763" s="25"/>
      <c r="AZ763" s="25"/>
    </row>
    <row r="764" spans="1:52" ht="31.2" x14ac:dyDescent="0.3">
      <c r="A764" s="103">
        <v>754</v>
      </c>
      <c r="B764" s="109" t="s">
        <v>1564</v>
      </c>
      <c r="C764" s="30" t="s">
        <v>1899</v>
      </c>
      <c r="D764" s="110" t="s">
        <v>1900</v>
      </c>
      <c r="E764" s="110" t="s">
        <v>1917</v>
      </c>
      <c r="F764" s="30" t="s">
        <v>2703</v>
      </c>
      <c r="G764" s="26" t="s">
        <v>145</v>
      </c>
      <c r="H764" s="24" t="s">
        <v>146</v>
      </c>
      <c r="I764" s="109">
        <v>1</v>
      </c>
      <c r="J764" s="109" t="s">
        <v>1918</v>
      </c>
      <c r="K764" s="109">
        <v>50</v>
      </c>
      <c r="L764" s="109" t="s">
        <v>1919</v>
      </c>
      <c r="M764" s="109" t="s">
        <v>1904</v>
      </c>
      <c r="N764" s="109" t="s">
        <v>529</v>
      </c>
      <c r="O764" s="109" t="s">
        <v>1920</v>
      </c>
      <c r="P764" s="109" t="s">
        <v>1921</v>
      </c>
      <c r="Q764" s="102">
        <v>0</v>
      </c>
      <c r="R764" s="109" t="s">
        <v>1907</v>
      </c>
      <c r="S764" s="109" t="s">
        <v>1922</v>
      </c>
      <c r="T764" s="25"/>
      <c r="U764" s="111" t="s">
        <v>1923</v>
      </c>
      <c r="V764" s="111" t="s">
        <v>1923</v>
      </c>
      <c r="W764" s="112" t="s">
        <v>2356</v>
      </c>
      <c r="X764" s="112" t="s">
        <v>1906</v>
      </c>
      <c r="Y764" s="112" t="s">
        <v>2357</v>
      </c>
      <c r="Z764" s="112" t="s">
        <v>1906</v>
      </c>
      <c r="AA764" s="112" t="s">
        <v>2358</v>
      </c>
      <c r="AB764" s="112" t="s">
        <v>1906</v>
      </c>
      <c r="AC764" s="112">
        <v>68.03</v>
      </c>
      <c r="AD764" s="112" t="s">
        <v>1906</v>
      </c>
      <c r="AE764" s="112">
        <v>19.75</v>
      </c>
      <c r="AF764" s="112" t="s">
        <v>1906</v>
      </c>
      <c r="AG764" s="112">
        <v>0</v>
      </c>
      <c r="AH764" s="112"/>
      <c r="AI764" s="112">
        <v>0</v>
      </c>
      <c r="AJ764" s="112"/>
      <c r="AK764" s="112">
        <v>0</v>
      </c>
      <c r="AL764" s="112"/>
      <c r="AM764" s="112">
        <v>0</v>
      </c>
      <c r="AN764" s="112"/>
      <c r="AO764" s="112">
        <v>68.040000000000006</v>
      </c>
      <c r="AP764" s="112" t="s">
        <v>208</v>
      </c>
      <c r="AQ764" s="112">
        <v>68.040000000000006</v>
      </c>
      <c r="AR764" s="112" t="s">
        <v>208</v>
      </c>
      <c r="AS764" s="112">
        <v>53.25</v>
      </c>
      <c r="AT764" s="112" t="s">
        <v>208</v>
      </c>
      <c r="AU764" s="112">
        <f t="shared" si="25"/>
        <v>503.25000000000006</v>
      </c>
      <c r="AV764" s="111">
        <v>0.24901699999999999</v>
      </c>
      <c r="AW764" s="111" t="s">
        <v>1904</v>
      </c>
      <c r="AX764" s="25"/>
      <c r="AY764" s="25"/>
      <c r="AZ764" s="25"/>
    </row>
    <row r="765" spans="1:52" ht="31.2" x14ac:dyDescent="0.3">
      <c r="A765" s="103">
        <v>755</v>
      </c>
      <c r="B765" s="109" t="s">
        <v>1565</v>
      </c>
      <c r="C765" s="30" t="s">
        <v>1899</v>
      </c>
      <c r="D765" s="110" t="s">
        <v>1900</v>
      </c>
      <c r="E765" s="110" t="s">
        <v>1917</v>
      </c>
      <c r="F765" s="30" t="s">
        <v>2703</v>
      </c>
      <c r="G765" s="26" t="s">
        <v>145</v>
      </c>
      <c r="H765" s="24" t="s">
        <v>146</v>
      </c>
      <c r="I765" s="109">
        <v>1</v>
      </c>
      <c r="J765" s="109" t="s">
        <v>1918</v>
      </c>
      <c r="K765" s="109">
        <v>50</v>
      </c>
      <c r="L765" s="109" t="s">
        <v>1919</v>
      </c>
      <c r="M765" s="109" t="s">
        <v>1904</v>
      </c>
      <c r="N765" s="109" t="s">
        <v>529</v>
      </c>
      <c r="O765" s="109" t="s">
        <v>1920</v>
      </c>
      <c r="P765" s="109" t="s">
        <v>1921</v>
      </c>
      <c r="Q765" s="102">
        <v>0</v>
      </c>
      <c r="R765" s="109" t="s">
        <v>1907</v>
      </c>
      <c r="S765" s="109" t="s">
        <v>1922</v>
      </c>
      <c r="T765" s="25"/>
      <c r="U765" s="111" t="s">
        <v>1923</v>
      </c>
      <c r="V765" s="111" t="s">
        <v>1923</v>
      </c>
      <c r="W765" s="112" t="s">
        <v>2356</v>
      </c>
      <c r="X765" s="112" t="s">
        <v>1906</v>
      </c>
      <c r="Y765" s="112" t="s">
        <v>2357</v>
      </c>
      <c r="Z765" s="112" t="s">
        <v>1906</v>
      </c>
      <c r="AA765" s="112" t="s">
        <v>2358</v>
      </c>
      <c r="AB765" s="112" t="s">
        <v>1906</v>
      </c>
      <c r="AC765" s="112">
        <v>68.03</v>
      </c>
      <c r="AD765" s="112" t="s">
        <v>1906</v>
      </c>
      <c r="AE765" s="112">
        <v>19.75</v>
      </c>
      <c r="AF765" s="112" t="s">
        <v>1906</v>
      </c>
      <c r="AG765" s="112">
        <v>0</v>
      </c>
      <c r="AH765" s="112"/>
      <c r="AI765" s="112">
        <v>0</v>
      </c>
      <c r="AJ765" s="112"/>
      <c r="AK765" s="112">
        <v>0</v>
      </c>
      <c r="AL765" s="112"/>
      <c r="AM765" s="112">
        <v>0</v>
      </c>
      <c r="AN765" s="112"/>
      <c r="AO765" s="112">
        <v>68.040000000000006</v>
      </c>
      <c r="AP765" s="112" t="s">
        <v>208</v>
      </c>
      <c r="AQ765" s="112">
        <v>68.040000000000006</v>
      </c>
      <c r="AR765" s="112" t="s">
        <v>208</v>
      </c>
      <c r="AS765" s="112">
        <v>53.25</v>
      </c>
      <c r="AT765" s="112" t="s">
        <v>208</v>
      </c>
      <c r="AU765" s="112">
        <f t="shared" si="25"/>
        <v>503.25000000000006</v>
      </c>
      <c r="AV765" s="111">
        <v>0.24901699999999999</v>
      </c>
      <c r="AW765" s="111" t="s">
        <v>1904</v>
      </c>
      <c r="AX765" s="25"/>
      <c r="AY765" s="25"/>
      <c r="AZ765" s="25"/>
    </row>
    <row r="766" spans="1:52" ht="31.2" x14ac:dyDescent="0.3">
      <c r="A766" s="103">
        <v>756</v>
      </c>
      <c r="B766" s="109" t="s">
        <v>1566</v>
      </c>
      <c r="C766" s="30" t="s">
        <v>1899</v>
      </c>
      <c r="D766" s="110" t="s">
        <v>1900</v>
      </c>
      <c r="E766" s="110" t="s">
        <v>1917</v>
      </c>
      <c r="F766" s="30" t="s">
        <v>2703</v>
      </c>
      <c r="G766" s="26" t="s">
        <v>145</v>
      </c>
      <c r="H766" s="24" t="s">
        <v>146</v>
      </c>
      <c r="I766" s="109">
        <v>0</v>
      </c>
      <c r="J766" s="109" t="s">
        <v>1918</v>
      </c>
      <c r="K766" s="109">
        <v>57</v>
      </c>
      <c r="L766" s="109" t="s">
        <v>1919</v>
      </c>
      <c r="M766" s="109" t="s">
        <v>1904</v>
      </c>
      <c r="N766" s="109" t="s">
        <v>529</v>
      </c>
      <c r="O766" s="109" t="s">
        <v>1920</v>
      </c>
      <c r="P766" s="109" t="s">
        <v>1920</v>
      </c>
      <c r="Q766" s="102">
        <v>0</v>
      </c>
      <c r="R766" s="109" t="s">
        <v>1907</v>
      </c>
      <c r="S766" s="109" t="s">
        <v>1922</v>
      </c>
      <c r="T766" s="25"/>
      <c r="U766" s="111" t="s">
        <v>1923</v>
      </c>
      <c r="V766" s="111" t="s">
        <v>1923</v>
      </c>
      <c r="W766" s="112" t="s">
        <v>2359</v>
      </c>
      <c r="X766" s="112" t="s">
        <v>1906</v>
      </c>
      <c r="Y766" s="112" t="s">
        <v>2359</v>
      </c>
      <c r="Z766" s="112" t="s">
        <v>1906</v>
      </c>
      <c r="AA766" s="112" t="s">
        <v>2359</v>
      </c>
      <c r="AB766" s="112" t="s">
        <v>1906</v>
      </c>
      <c r="AC766" s="112">
        <v>17.07</v>
      </c>
      <c r="AD766" s="112" t="s">
        <v>1906</v>
      </c>
      <c r="AE766" s="112">
        <v>4.96</v>
      </c>
      <c r="AF766" s="112" t="s">
        <v>1906</v>
      </c>
      <c r="AG766" s="112">
        <v>0</v>
      </c>
      <c r="AH766" s="112"/>
      <c r="AI766" s="112">
        <v>0</v>
      </c>
      <c r="AJ766" s="112"/>
      <c r="AK766" s="112">
        <v>0</v>
      </c>
      <c r="AL766" s="112"/>
      <c r="AM766" s="112">
        <v>3.57</v>
      </c>
      <c r="AN766" s="112" t="s">
        <v>1906</v>
      </c>
      <c r="AO766" s="112">
        <v>15.28</v>
      </c>
      <c r="AP766" s="112" t="s">
        <v>1906</v>
      </c>
      <c r="AQ766" s="112">
        <v>15.28</v>
      </c>
      <c r="AR766" s="112" t="s">
        <v>1906</v>
      </c>
      <c r="AS766" s="112">
        <v>15.28</v>
      </c>
      <c r="AT766" s="112" t="s">
        <v>1906</v>
      </c>
      <c r="AU766" s="112">
        <f t="shared" si="25"/>
        <v>122.64999999999999</v>
      </c>
      <c r="AV766" s="111">
        <v>2.308E-2</v>
      </c>
      <c r="AW766" s="111" t="s">
        <v>1904</v>
      </c>
      <c r="AX766" s="25"/>
      <c r="AY766" s="25"/>
      <c r="AZ766" s="25"/>
    </row>
    <row r="767" spans="1:52" ht="31.2" x14ac:dyDescent="0.3">
      <c r="A767" s="103">
        <v>757</v>
      </c>
      <c r="B767" s="109" t="s">
        <v>1567</v>
      </c>
      <c r="C767" s="30" t="s">
        <v>1899</v>
      </c>
      <c r="D767" s="110" t="s">
        <v>1900</v>
      </c>
      <c r="E767" s="110" t="s">
        <v>1917</v>
      </c>
      <c r="F767" s="30" t="s">
        <v>2703</v>
      </c>
      <c r="G767" s="26" t="s">
        <v>145</v>
      </c>
      <c r="H767" s="24" t="s">
        <v>146</v>
      </c>
      <c r="I767" s="109">
        <v>2</v>
      </c>
      <c r="J767" s="109" t="s">
        <v>1918</v>
      </c>
      <c r="K767" s="109">
        <v>76</v>
      </c>
      <c r="L767" s="109" t="s">
        <v>1919</v>
      </c>
      <c r="M767" s="109" t="s">
        <v>1904</v>
      </c>
      <c r="N767" s="109" t="s">
        <v>529</v>
      </c>
      <c r="O767" s="109" t="s">
        <v>1920</v>
      </c>
      <c r="P767" s="109" t="s">
        <v>1921</v>
      </c>
      <c r="Q767" s="102">
        <v>0</v>
      </c>
      <c r="R767" s="109" t="s">
        <v>1907</v>
      </c>
      <c r="S767" s="109" t="s">
        <v>1922</v>
      </c>
      <c r="T767" s="25"/>
      <c r="U767" s="111" t="s">
        <v>1923</v>
      </c>
      <c r="V767" s="111" t="s">
        <v>1923</v>
      </c>
      <c r="W767" s="112" t="s">
        <v>2360</v>
      </c>
      <c r="X767" s="112" t="s">
        <v>1906</v>
      </c>
      <c r="Y767" s="112" t="s">
        <v>2361</v>
      </c>
      <c r="Z767" s="112" t="s">
        <v>1906</v>
      </c>
      <c r="AA767" s="112" t="s">
        <v>2362</v>
      </c>
      <c r="AB767" s="112" t="s">
        <v>1906</v>
      </c>
      <c r="AC767" s="112">
        <v>22.38</v>
      </c>
      <c r="AD767" s="112" t="s">
        <v>1906</v>
      </c>
      <c r="AE767" s="112">
        <v>6.5</v>
      </c>
      <c r="AF767" s="112" t="s">
        <v>1906</v>
      </c>
      <c r="AG767" s="112">
        <v>0</v>
      </c>
      <c r="AH767" s="112"/>
      <c r="AI767" s="112">
        <v>0</v>
      </c>
      <c r="AJ767" s="112"/>
      <c r="AK767" s="112">
        <v>0</v>
      </c>
      <c r="AL767" s="112"/>
      <c r="AM767" s="112">
        <v>0</v>
      </c>
      <c r="AN767" s="112"/>
      <c r="AO767" s="112">
        <v>22.25</v>
      </c>
      <c r="AP767" s="112" t="s">
        <v>208</v>
      </c>
      <c r="AQ767" s="112">
        <v>22.25</v>
      </c>
      <c r="AR767" s="112" t="s">
        <v>208</v>
      </c>
      <c r="AS767" s="112">
        <v>22.25</v>
      </c>
      <c r="AT767" s="112" t="s">
        <v>208</v>
      </c>
      <c r="AU767" s="112">
        <f t="shared" si="25"/>
        <v>162.41999999999999</v>
      </c>
      <c r="AV767" s="111">
        <v>0.20364299999999999</v>
      </c>
      <c r="AW767" s="111" t="s">
        <v>1904</v>
      </c>
      <c r="AX767" s="25"/>
      <c r="AY767" s="25"/>
      <c r="AZ767" s="25"/>
    </row>
    <row r="768" spans="1:52" ht="31.2" x14ac:dyDescent="0.3">
      <c r="A768" s="103">
        <v>758</v>
      </c>
      <c r="B768" s="109" t="s">
        <v>1569</v>
      </c>
      <c r="C768" s="30" t="s">
        <v>1899</v>
      </c>
      <c r="D768" s="110" t="s">
        <v>1900</v>
      </c>
      <c r="E768" s="110" t="s">
        <v>1917</v>
      </c>
      <c r="F768" s="30" t="s">
        <v>2703</v>
      </c>
      <c r="G768" s="26" t="s">
        <v>145</v>
      </c>
      <c r="H768" s="24" t="s">
        <v>146</v>
      </c>
      <c r="I768" s="109">
        <v>1</v>
      </c>
      <c r="J768" s="109" t="s">
        <v>1918</v>
      </c>
      <c r="K768" s="109">
        <v>108</v>
      </c>
      <c r="L768" s="109" t="s">
        <v>1919</v>
      </c>
      <c r="M768" s="109" t="s">
        <v>1904</v>
      </c>
      <c r="N768" s="109" t="s">
        <v>529</v>
      </c>
      <c r="O768" s="109" t="s">
        <v>1920</v>
      </c>
      <c r="P768" s="109" t="s">
        <v>1921</v>
      </c>
      <c r="Q768" s="102">
        <v>0</v>
      </c>
      <c r="R768" s="109" t="s">
        <v>1907</v>
      </c>
      <c r="S768" s="109" t="s">
        <v>1922</v>
      </c>
      <c r="T768" s="25"/>
      <c r="U768" s="111" t="s">
        <v>1923</v>
      </c>
      <c r="V768" s="111" t="s">
        <v>1923</v>
      </c>
      <c r="W768" s="112" t="s">
        <v>2363</v>
      </c>
      <c r="X768" s="112" t="s">
        <v>1906</v>
      </c>
      <c r="Y768" s="112" t="s">
        <v>2364</v>
      </c>
      <c r="Z768" s="112" t="s">
        <v>1906</v>
      </c>
      <c r="AA768" s="112" t="s">
        <v>2365</v>
      </c>
      <c r="AB768" s="112" t="s">
        <v>1906</v>
      </c>
      <c r="AC768" s="112">
        <v>54.25</v>
      </c>
      <c r="AD768" s="112" t="s">
        <v>1906</v>
      </c>
      <c r="AE768" s="112">
        <v>26.19</v>
      </c>
      <c r="AF768" s="112" t="s">
        <v>1906</v>
      </c>
      <c r="AG768" s="112">
        <v>0</v>
      </c>
      <c r="AH768" s="112"/>
      <c r="AI768" s="112">
        <v>0</v>
      </c>
      <c r="AJ768" s="112"/>
      <c r="AK768" s="112">
        <v>0</v>
      </c>
      <c r="AL768" s="112"/>
      <c r="AM768" s="112">
        <v>0</v>
      </c>
      <c r="AN768" s="112"/>
      <c r="AO768" s="112">
        <v>51.84</v>
      </c>
      <c r="AP768" s="112" t="s">
        <v>208</v>
      </c>
      <c r="AQ768" s="112">
        <v>62.53</v>
      </c>
      <c r="AR768" s="112" t="s">
        <v>208</v>
      </c>
      <c r="AS768" s="112">
        <v>94.4</v>
      </c>
      <c r="AT768" s="112" t="s">
        <v>208</v>
      </c>
      <c r="AU768" s="112">
        <f t="shared" si="25"/>
        <v>678.4799999999999</v>
      </c>
      <c r="AV768" s="111">
        <v>0.28404000000000001</v>
      </c>
      <c r="AW768" s="111" t="s">
        <v>1904</v>
      </c>
      <c r="AX768" s="25"/>
      <c r="AY768" s="25"/>
      <c r="AZ768" s="25"/>
    </row>
    <row r="769" spans="1:52" ht="31.2" x14ac:dyDescent="0.3">
      <c r="A769" s="103">
        <v>759</v>
      </c>
      <c r="B769" s="109" t="s">
        <v>1570</v>
      </c>
      <c r="C769" s="30" t="s">
        <v>1899</v>
      </c>
      <c r="D769" s="110" t="s">
        <v>1900</v>
      </c>
      <c r="E769" s="110" t="s">
        <v>1917</v>
      </c>
      <c r="F769" s="30" t="s">
        <v>2703</v>
      </c>
      <c r="G769" s="26" t="s">
        <v>145</v>
      </c>
      <c r="H769" s="24" t="s">
        <v>146</v>
      </c>
      <c r="I769" s="109">
        <v>1</v>
      </c>
      <c r="J769" s="109" t="s">
        <v>1918</v>
      </c>
      <c r="K769" s="109">
        <v>76</v>
      </c>
      <c r="L769" s="109" t="s">
        <v>1919</v>
      </c>
      <c r="M769" s="109" t="s">
        <v>1904</v>
      </c>
      <c r="N769" s="109" t="s">
        <v>529</v>
      </c>
      <c r="O769" s="109" t="s">
        <v>1920</v>
      </c>
      <c r="P769" s="109" t="s">
        <v>1921</v>
      </c>
      <c r="Q769" s="102">
        <v>0</v>
      </c>
      <c r="R769" s="109" t="s">
        <v>1907</v>
      </c>
      <c r="S769" s="109" t="s">
        <v>1922</v>
      </c>
      <c r="T769" s="25"/>
      <c r="U769" s="111" t="s">
        <v>1923</v>
      </c>
      <c r="V769" s="111" t="s">
        <v>1923</v>
      </c>
      <c r="W769" s="112" t="s">
        <v>2366</v>
      </c>
      <c r="X769" s="112" t="s">
        <v>208</v>
      </c>
      <c r="Y769" s="112" t="s">
        <v>2367</v>
      </c>
      <c r="Z769" s="112" t="s">
        <v>208</v>
      </c>
      <c r="AA769" s="112" t="s">
        <v>2368</v>
      </c>
      <c r="AB769" s="112" t="s">
        <v>208</v>
      </c>
      <c r="AC769" s="112">
        <v>34.71</v>
      </c>
      <c r="AD769" s="112" t="s">
        <v>208</v>
      </c>
      <c r="AE769" s="112">
        <v>16.62</v>
      </c>
      <c r="AF769" s="112" t="s">
        <v>208</v>
      </c>
      <c r="AG769" s="112">
        <v>0</v>
      </c>
      <c r="AH769" s="112"/>
      <c r="AI769" s="112">
        <v>0</v>
      </c>
      <c r="AJ769" s="112"/>
      <c r="AK769" s="112">
        <v>0</v>
      </c>
      <c r="AL769" s="112"/>
      <c r="AM769" s="112">
        <v>0</v>
      </c>
      <c r="AN769" s="112"/>
      <c r="AO769" s="112">
        <v>30.63</v>
      </c>
      <c r="AP769" s="112" t="s">
        <v>208</v>
      </c>
      <c r="AQ769" s="112">
        <v>35</v>
      </c>
      <c r="AR769" s="112" t="s">
        <v>208</v>
      </c>
      <c r="AS769" s="112">
        <v>52.38</v>
      </c>
      <c r="AT769" s="112" t="s">
        <v>208</v>
      </c>
      <c r="AU769" s="112">
        <f t="shared" si="25"/>
        <v>399.35999999999996</v>
      </c>
      <c r="AV769" s="111">
        <v>0.21076</v>
      </c>
      <c r="AW769" s="111" t="s">
        <v>1904</v>
      </c>
      <c r="AX769" s="25"/>
      <c r="AY769" s="25"/>
      <c r="AZ769" s="25"/>
    </row>
    <row r="770" spans="1:52" ht="31.2" x14ac:dyDescent="0.3">
      <c r="A770" s="103">
        <v>760</v>
      </c>
      <c r="B770" s="109" t="s">
        <v>1571</v>
      </c>
      <c r="C770" s="30" t="s">
        <v>1899</v>
      </c>
      <c r="D770" s="110" t="s">
        <v>1900</v>
      </c>
      <c r="E770" s="110" t="s">
        <v>1917</v>
      </c>
      <c r="F770" s="30" t="s">
        <v>2703</v>
      </c>
      <c r="G770" s="26" t="s">
        <v>145</v>
      </c>
      <c r="H770" s="24" t="s">
        <v>146</v>
      </c>
      <c r="I770" s="109">
        <v>1</v>
      </c>
      <c r="J770" s="109" t="s">
        <v>1918</v>
      </c>
      <c r="K770" s="109">
        <v>76</v>
      </c>
      <c r="L770" s="109" t="s">
        <v>1919</v>
      </c>
      <c r="M770" s="109" t="s">
        <v>1904</v>
      </c>
      <c r="N770" s="109" t="s">
        <v>529</v>
      </c>
      <c r="O770" s="109" t="s">
        <v>1920</v>
      </c>
      <c r="P770" s="109" t="s">
        <v>1921</v>
      </c>
      <c r="Q770" s="102">
        <v>0</v>
      </c>
      <c r="R770" s="109" t="s">
        <v>1907</v>
      </c>
      <c r="S770" s="109" t="s">
        <v>1922</v>
      </c>
      <c r="T770" s="25"/>
      <c r="U770" s="111" t="s">
        <v>1923</v>
      </c>
      <c r="V770" s="111" t="s">
        <v>1923</v>
      </c>
      <c r="W770" s="112" t="s">
        <v>2369</v>
      </c>
      <c r="X770" s="112" t="s">
        <v>1906</v>
      </c>
      <c r="Y770" s="112" t="s">
        <v>2369</v>
      </c>
      <c r="Z770" s="112" t="s">
        <v>1906</v>
      </c>
      <c r="AA770" s="112" t="s">
        <v>2369</v>
      </c>
      <c r="AB770" s="112" t="s">
        <v>1906</v>
      </c>
      <c r="AC770" s="112">
        <v>30.54</v>
      </c>
      <c r="AD770" s="112" t="s">
        <v>1906</v>
      </c>
      <c r="AE770" s="112">
        <v>9.85</v>
      </c>
      <c r="AF770" s="112" t="s">
        <v>1906</v>
      </c>
      <c r="AG770" s="112">
        <v>0</v>
      </c>
      <c r="AH770" s="112"/>
      <c r="AI770" s="112">
        <v>0</v>
      </c>
      <c r="AJ770" s="112"/>
      <c r="AK770" s="112">
        <v>0</v>
      </c>
      <c r="AL770" s="112"/>
      <c r="AM770" s="112">
        <v>0</v>
      </c>
      <c r="AN770" s="112"/>
      <c r="AO770" s="112">
        <v>28.6</v>
      </c>
      <c r="AP770" s="112" t="s">
        <v>1906</v>
      </c>
      <c r="AQ770" s="112">
        <v>28.6</v>
      </c>
      <c r="AR770" s="112" t="s">
        <v>1906</v>
      </c>
      <c r="AS770" s="112">
        <v>28.6</v>
      </c>
      <c r="AT770" s="112" t="s">
        <v>1906</v>
      </c>
      <c r="AU770" s="112">
        <f t="shared" si="25"/>
        <v>217.80999999999997</v>
      </c>
      <c r="AV770" s="111">
        <v>0.13650000000000001</v>
      </c>
      <c r="AW770" s="111" t="s">
        <v>1904</v>
      </c>
      <c r="AX770" s="25"/>
      <c r="AY770" s="25"/>
      <c r="AZ770" s="25"/>
    </row>
    <row r="771" spans="1:52" ht="31.2" x14ac:dyDescent="0.3">
      <c r="A771" s="103">
        <v>761</v>
      </c>
      <c r="B771" s="109" t="s">
        <v>1572</v>
      </c>
      <c r="C771" s="30" t="s">
        <v>1899</v>
      </c>
      <c r="D771" s="110" t="s">
        <v>1900</v>
      </c>
      <c r="E771" s="110" t="s">
        <v>1917</v>
      </c>
      <c r="F771" s="30" t="s">
        <v>2703</v>
      </c>
      <c r="G771" s="26" t="s">
        <v>145</v>
      </c>
      <c r="H771" s="24" t="s">
        <v>146</v>
      </c>
      <c r="I771" s="109">
        <v>2</v>
      </c>
      <c r="J771" s="109" t="s">
        <v>1918</v>
      </c>
      <c r="K771" s="109">
        <v>89</v>
      </c>
      <c r="L771" s="109" t="s">
        <v>1919</v>
      </c>
      <c r="M771" s="109" t="s">
        <v>1904</v>
      </c>
      <c r="N771" s="109" t="s">
        <v>529</v>
      </c>
      <c r="O771" s="109" t="s">
        <v>1920</v>
      </c>
      <c r="P771" s="109" t="s">
        <v>1921</v>
      </c>
      <c r="Q771" s="102">
        <v>0</v>
      </c>
      <c r="R771" s="109" t="s">
        <v>1907</v>
      </c>
      <c r="S771" s="109" t="s">
        <v>1922</v>
      </c>
      <c r="T771" s="25"/>
      <c r="U771" s="111" t="s">
        <v>1923</v>
      </c>
      <c r="V771" s="111" t="s">
        <v>1923</v>
      </c>
      <c r="W771" s="112" t="s">
        <v>2370</v>
      </c>
      <c r="X771" s="112" t="s">
        <v>1906</v>
      </c>
      <c r="Y771" s="112" t="s">
        <v>2370</v>
      </c>
      <c r="Z771" s="112" t="s">
        <v>1906</v>
      </c>
      <c r="AA771" s="112" t="s">
        <v>2370</v>
      </c>
      <c r="AB771" s="112" t="s">
        <v>1906</v>
      </c>
      <c r="AC771" s="112">
        <v>88.07</v>
      </c>
      <c r="AD771" s="112" t="s">
        <v>1906</v>
      </c>
      <c r="AE771" s="112">
        <v>28.42</v>
      </c>
      <c r="AF771" s="112" t="s">
        <v>1906</v>
      </c>
      <c r="AG771" s="112">
        <v>0</v>
      </c>
      <c r="AH771" s="112"/>
      <c r="AI771" s="112">
        <v>0</v>
      </c>
      <c r="AJ771" s="112"/>
      <c r="AK771" s="112">
        <v>0</v>
      </c>
      <c r="AL771" s="112"/>
      <c r="AM771" s="112">
        <v>0</v>
      </c>
      <c r="AN771" s="112"/>
      <c r="AO771" s="112">
        <v>86.48</v>
      </c>
      <c r="AP771" s="112" t="s">
        <v>1906</v>
      </c>
      <c r="AQ771" s="112">
        <v>86.48</v>
      </c>
      <c r="AR771" s="112" t="s">
        <v>1906</v>
      </c>
      <c r="AS771" s="112">
        <v>86.48</v>
      </c>
      <c r="AT771" s="112" t="s">
        <v>1906</v>
      </c>
      <c r="AU771" s="112">
        <f t="shared" si="25"/>
        <v>640.14</v>
      </c>
      <c r="AV771" s="111">
        <v>0.20022999999999999</v>
      </c>
      <c r="AW771" s="111" t="s">
        <v>1904</v>
      </c>
      <c r="AX771" s="25"/>
      <c r="AY771" s="25"/>
      <c r="AZ771" s="25"/>
    </row>
    <row r="772" spans="1:52" ht="31.2" x14ac:dyDescent="0.3">
      <c r="A772" s="103">
        <v>762</v>
      </c>
      <c r="B772" s="109" t="s">
        <v>1574</v>
      </c>
      <c r="C772" s="30" t="s">
        <v>1899</v>
      </c>
      <c r="D772" s="110" t="s">
        <v>1900</v>
      </c>
      <c r="E772" s="110" t="s">
        <v>1917</v>
      </c>
      <c r="F772" s="30" t="s">
        <v>2703</v>
      </c>
      <c r="G772" s="26" t="s">
        <v>145</v>
      </c>
      <c r="H772" s="24" t="s">
        <v>146</v>
      </c>
      <c r="I772" s="109">
        <v>1</v>
      </c>
      <c r="J772" s="109" t="s">
        <v>1918</v>
      </c>
      <c r="K772" s="109">
        <v>76</v>
      </c>
      <c r="L772" s="109" t="s">
        <v>1919</v>
      </c>
      <c r="M772" s="109" t="s">
        <v>1904</v>
      </c>
      <c r="N772" s="109" t="s">
        <v>529</v>
      </c>
      <c r="O772" s="109" t="s">
        <v>1920</v>
      </c>
      <c r="P772" s="109" t="s">
        <v>1921</v>
      </c>
      <c r="Q772" s="102">
        <v>0</v>
      </c>
      <c r="R772" s="109" t="s">
        <v>1907</v>
      </c>
      <c r="S772" s="109" t="s">
        <v>1922</v>
      </c>
      <c r="T772" s="25"/>
      <c r="U772" s="111" t="s">
        <v>1923</v>
      </c>
      <c r="V772" s="111" t="s">
        <v>1923</v>
      </c>
      <c r="W772" s="112" t="s">
        <v>2371</v>
      </c>
      <c r="X772" s="112" t="s">
        <v>1906</v>
      </c>
      <c r="Y772" s="112" t="s">
        <v>2371</v>
      </c>
      <c r="Z772" s="112" t="s">
        <v>1906</v>
      </c>
      <c r="AA772" s="112" t="s">
        <v>2371</v>
      </c>
      <c r="AB772" s="112" t="s">
        <v>1906</v>
      </c>
      <c r="AC772" s="112">
        <v>24.48</v>
      </c>
      <c r="AD772" s="112" t="s">
        <v>1906</v>
      </c>
      <c r="AE772" s="112">
        <v>7.9</v>
      </c>
      <c r="AF772" s="112" t="s">
        <v>1906</v>
      </c>
      <c r="AG772" s="112">
        <v>0</v>
      </c>
      <c r="AH772" s="112"/>
      <c r="AI772" s="112">
        <v>0</v>
      </c>
      <c r="AJ772" s="112"/>
      <c r="AK772" s="112">
        <v>0</v>
      </c>
      <c r="AL772" s="112"/>
      <c r="AM772" s="112">
        <v>0</v>
      </c>
      <c r="AN772" s="112"/>
      <c r="AO772" s="112">
        <v>23</v>
      </c>
      <c r="AP772" s="112" t="s">
        <v>1906</v>
      </c>
      <c r="AQ772" s="112">
        <v>23</v>
      </c>
      <c r="AR772" s="112" t="s">
        <v>1906</v>
      </c>
      <c r="AS772" s="112">
        <v>23</v>
      </c>
      <c r="AT772" s="112" t="s">
        <v>1906</v>
      </c>
      <c r="AU772" s="112">
        <f t="shared" si="25"/>
        <v>174.82</v>
      </c>
      <c r="AV772" s="111">
        <v>0.15606999999999999</v>
      </c>
      <c r="AW772" s="111" t="s">
        <v>1904</v>
      </c>
      <c r="AX772" s="25"/>
      <c r="AY772" s="25"/>
      <c r="AZ772" s="25"/>
    </row>
    <row r="773" spans="1:52" ht="31.2" x14ac:dyDescent="0.3">
      <c r="A773" s="103">
        <v>763</v>
      </c>
      <c r="B773" s="109" t="s">
        <v>1576</v>
      </c>
      <c r="C773" s="30" t="s">
        <v>1899</v>
      </c>
      <c r="D773" s="110" t="s">
        <v>1900</v>
      </c>
      <c r="E773" s="110" t="s">
        <v>1917</v>
      </c>
      <c r="F773" s="30" t="s">
        <v>2703</v>
      </c>
      <c r="G773" s="26" t="s">
        <v>145</v>
      </c>
      <c r="H773" s="24" t="s">
        <v>146</v>
      </c>
      <c r="I773" s="109">
        <v>1</v>
      </c>
      <c r="J773" s="109" t="s">
        <v>1918</v>
      </c>
      <c r="K773" s="109">
        <v>50</v>
      </c>
      <c r="L773" s="109" t="s">
        <v>1919</v>
      </c>
      <c r="M773" s="109" t="s">
        <v>1904</v>
      </c>
      <c r="N773" s="109" t="s">
        <v>529</v>
      </c>
      <c r="O773" s="109" t="s">
        <v>1920</v>
      </c>
      <c r="P773" s="109" t="s">
        <v>1921</v>
      </c>
      <c r="Q773" s="102">
        <v>0</v>
      </c>
      <c r="R773" s="109" t="s">
        <v>1907</v>
      </c>
      <c r="S773" s="109" t="s">
        <v>1922</v>
      </c>
      <c r="T773" s="25"/>
      <c r="U773" s="111" t="s">
        <v>1923</v>
      </c>
      <c r="V773" s="111" t="s">
        <v>1923</v>
      </c>
      <c r="W773" s="112" t="s">
        <v>2372</v>
      </c>
      <c r="X773" s="112" t="s">
        <v>1906</v>
      </c>
      <c r="Y773" s="112" t="s">
        <v>2372</v>
      </c>
      <c r="Z773" s="112" t="s">
        <v>1906</v>
      </c>
      <c r="AA773" s="112" t="s">
        <v>2372</v>
      </c>
      <c r="AB773" s="112" t="s">
        <v>1906</v>
      </c>
      <c r="AC773" s="112">
        <v>33.14</v>
      </c>
      <c r="AD773" s="112" t="s">
        <v>1906</v>
      </c>
      <c r="AE773" s="112">
        <v>10.69</v>
      </c>
      <c r="AF773" s="112" t="s">
        <v>1906</v>
      </c>
      <c r="AG773" s="112">
        <v>0</v>
      </c>
      <c r="AH773" s="112"/>
      <c r="AI773" s="112">
        <v>0</v>
      </c>
      <c r="AJ773" s="112"/>
      <c r="AK773" s="112">
        <v>0</v>
      </c>
      <c r="AL773" s="112"/>
      <c r="AM773" s="112">
        <v>0</v>
      </c>
      <c r="AN773" s="112"/>
      <c r="AO773" s="112">
        <v>34.92</v>
      </c>
      <c r="AP773" s="112" t="s">
        <v>1906</v>
      </c>
      <c r="AQ773" s="112">
        <v>34.92</v>
      </c>
      <c r="AR773" s="112" t="s">
        <v>1906</v>
      </c>
      <c r="AS773" s="112">
        <v>34.92</v>
      </c>
      <c r="AT773" s="112" t="s">
        <v>1906</v>
      </c>
      <c r="AU773" s="112">
        <f t="shared" si="25"/>
        <v>248.01000000000005</v>
      </c>
      <c r="AV773" s="111">
        <v>0.14051</v>
      </c>
      <c r="AW773" s="111" t="s">
        <v>1904</v>
      </c>
      <c r="AX773" s="25"/>
      <c r="AY773" s="25"/>
      <c r="AZ773" s="25"/>
    </row>
    <row r="774" spans="1:52" ht="31.2" x14ac:dyDescent="0.3">
      <c r="A774" s="103">
        <v>764</v>
      </c>
      <c r="B774" s="109" t="s">
        <v>1577</v>
      </c>
      <c r="C774" s="30" t="s">
        <v>1899</v>
      </c>
      <c r="D774" s="110" t="s">
        <v>1900</v>
      </c>
      <c r="E774" s="110" t="s">
        <v>1917</v>
      </c>
      <c r="F774" s="30" t="s">
        <v>2703</v>
      </c>
      <c r="G774" s="26" t="s">
        <v>145</v>
      </c>
      <c r="H774" s="24" t="s">
        <v>146</v>
      </c>
      <c r="I774" s="109">
        <v>1</v>
      </c>
      <c r="J774" s="109" t="s">
        <v>1918</v>
      </c>
      <c r="K774" s="109">
        <v>133</v>
      </c>
      <c r="L774" s="109" t="s">
        <v>1919</v>
      </c>
      <c r="M774" s="109" t="s">
        <v>1904</v>
      </c>
      <c r="N774" s="109" t="s">
        <v>529</v>
      </c>
      <c r="O774" s="109" t="s">
        <v>1920</v>
      </c>
      <c r="P774" s="109" t="s">
        <v>1921</v>
      </c>
      <c r="Q774" s="102">
        <v>0</v>
      </c>
      <c r="R774" s="109" t="s">
        <v>1907</v>
      </c>
      <c r="S774" s="109" t="s">
        <v>1922</v>
      </c>
      <c r="T774" s="25"/>
      <c r="U774" s="111" t="s">
        <v>1923</v>
      </c>
      <c r="V774" s="111" t="s">
        <v>1923</v>
      </c>
      <c r="W774" s="112" t="s">
        <v>2373</v>
      </c>
      <c r="X774" s="112" t="s">
        <v>1906</v>
      </c>
      <c r="Y774" s="112" t="s">
        <v>2373</v>
      </c>
      <c r="Z774" s="112" t="s">
        <v>1906</v>
      </c>
      <c r="AA774" s="112" t="s">
        <v>2373</v>
      </c>
      <c r="AB774" s="112" t="s">
        <v>1906</v>
      </c>
      <c r="AC774" s="112">
        <v>164.96</v>
      </c>
      <c r="AD774" s="112" t="s">
        <v>1906</v>
      </c>
      <c r="AE774" s="112">
        <v>47.89</v>
      </c>
      <c r="AF774" s="112" t="s">
        <v>1906</v>
      </c>
      <c r="AG774" s="112">
        <v>0</v>
      </c>
      <c r="AH774" s="112"/>
      <c r="AI774" s="112">
        <v>0</v>
      </c>
      <c r="AJ774" s="112"/>
      <c r="AK774" s="112">
        <v>0</v>
      </c>
      <c r="AL774" s="112"/>
      <c r="AM774" s="112">
        <v>0</v>
      </c>
      <c r="AN774" s="112"/>
      <c r="AO774" s="112">
        <v>83.02</v>
      </c>
      <c r="AP774" s="112" t="s">
        <v>208</v>
      </c>
      <c r="AQ774" s="112">
        <v>101.9</v>
      </c>
      <c r="AR774" s="112" t="s">
        <v>208</v>
      </c>
      <c r="AS774" s="112">
        <v>155.88999999999999</v>
      </c>
      <c r="AT774" s="112" t="s">
        <v>208</v>
      </c>
      <c r="AU774" s="112">
        <f t="shared" si="25"/>
        <v>1048.54</v>
      </c>
      <c r="AV774" s="111">
        <v>0.53625999999999996</v>
      </c>
      <c r="AW774" s="111" t="s">
        <v>1904</v>
      </c>
      <c r="AX774" s="25"/>
      <c r="AY774" s="25"/>
      <c r="AZ774" s="25"/>
    </row>
    <row r="775" spans="1:52" ht="31.2" x14ac:dyDescent="0.3">
      <c r="A775" s="103">
        <v>765</v>
      </c>
      <c r="B775" s="109" t="s">
        <v>1579</v>
      </c>
      <c r="C775" s="30" t="s">
        <v>1899</v>
      </c>
      <c r="D775" s="110" t="s">
        <v>1900</v>
      </c>
      <c r="E775" s="110" t="s">
        <v>1917</v>
      </c>
      <c r="F775" s="30" t="s">
        <v>2703</v>
      </c>
      <c r="G775" s="26" t="s">
        <v>145</v>
      </c>
      <c r="H775" s="24" t="s">
        <v>146</v>
      </c>
      <c r="I775" s="109">
        <v>1</v>
      </c>
      <c r="J775" s="109" t="s">
        <v>1918</v>
      </c>
      <c r="K775" s="109">
        <v>100</v>
      </c>
      <c r="L775" s="109" t="s">
        <v>1919</v>
      </c>
      <c r="M775" s="109" t="s">
        <v>1904</v>
      </c>
      <c r="N775" s="109" t="s">
        <v>529</v>
      </c>
      <c r="O775" s="109" t="s">
        <v>1920</v>
      </c>
      <c r="P775" s="109" t="s">
        <v>1921</v>
      </c>
      <c r="Q775" s="102">
        <v>0</v>
      </c>
      <c r="R775" s="109" t="s">
        <v>1907</v>
      </c>
      <c r="S775" s="109" t="s">
        <v>1922</v>
      </c>
      <c r="T775" s="25"/>
      <c r="U775" s="111" t="s">
        <v>1923</v>
      </c>
      <c r="V775" s="111" t="s">
        <v>1923</v>
      </c>
      <c r="W775" s="112" t="s">
        <v>2374</v>
      </c>
      <c r="X775" s="112" t="s">
        <v>1906</v>
      </c>
      <c r="Y775" s="112" t="s">
        <v>2374</v>
      </c>
      <c r="Z775" s="112" t="s">
        <v>1906</v>
      </c>
      <c r="AA775" s="112" t="s">
        <v>2374</v>
      </c>
      <c r="AB775" s="112" t="s">
        <v>1906</v>
      </c>
      <c r="AC775" s="112">
        <v>118.59</v>
      </c>
      <c r="AD775" s="112" t="s">
        <v>1906</v>
      </c>
      <c r="AE775" s="112">
        <v>34.43</v>
      </c>
      <c r="AF775" s="112" t="s">
        <v>1906</v>
      </c>
      <c r="AG775" s="112">
        <v>0</v>
      </c>
      <c r="AH775" s="112"/>
      <c r="AI775" s="112">
        <v>0</v>
      </c>
      <c r="AJ775" s="112"/>
      <c r="AK775" s="112">
        <v>0</v>
      </c>
      <c r="AL775" s="112"/>
      <c r="AM775" s="112">
        <v>27.69</v>
      </c>
      <c r="AN775" s="112" t="s">
        <v>1906</v>
      </c>
      <c r="AO775" s="112">
        <v>118.65</v>
      </c>
      <c r="AP775" s="112" t="s">
        <v>1906</v>
      </c>
      <c r="AQ775" s="112">
        <v>118.65</v>
      </c>
      <c r="AR775" s="112" t="s">
        <v>1906</v>
      </c>
      <c r="AS775" s="112">
        <v>118.65</v>
      </c>
      <c r="AT775" s="112" t="s">
        <v>1906</v>
      </c>
      <c r="AU775" s="112">
        <f t="shared" si="25"/>
        <v>892.43</v>
      </c>
      <c r="AV775" s="111">
        <v>0.32188</v>
      </c>
      <c r="AW775" s="111" t="s">
        <v>1904</v>
      </c>
      <c r="AX775" s="25"/>
      <c r="AY775" s="25"/>
      <c r="AZ775" s="25"/>
    </row>
    <row r="776" spans="1:52" ht="31.2" x14ac:dyDescent="0.3">
      <c r="A776" s="103">
        <v>766</v>
      </c>
      <c r="B776" s="109" t="s">
        <v>1580</v>
      </c>
      <c r="C776" s="30" t="s">
        <v>1899</v>
      </c>
      <c r="D776" s="110" t="s">
        <v>1900</v>
      </c>
      <c r="E776" s="110" t="s">
        <v>1917</v>
      </c>
      <c r="F776" s="30" t="s">
        <v>2703</v>
      </c>
      <c r="G776" s="26" t="s">
        <v>145</v>
      </c>
      <c r="H776" s="24" t="s">
        <v>146</v>
      </c>
      <c r="I776" s="109">
        <v>0</v>
      </c>
      <c r="J776" s="109" t="s">
        <v>1918</v>
      </c>
      <c r="K776" s="109">
        <v>50</v>
      </c>
      <c r="L776" s="109" t="s">
        <v>1919</v>
      </c>
      <c r="M776" s="109" t="s">
        <v>1904</v>
      </c>
      <c r="N776" s="109" t="s">
        <v>529</v>
      </c>
      <c r="O776" s="109" t="s">
        <v>1920</v>
      </c>
      <c r="P776" s="109" t="s">
        <v>1920</v>
      </c>
      <c r="Q776" s="102">
        <v>0</v>
      </c>
      <c r="R776" s="109" t="s">
        <v>1907</v>
      </c>
      <c r="S776" s="109" t="s">
        <v>1922</v>
      </c>
      <c r="T776" s="25"/>
      <c r="U776" s="111" t="s">
        <v>1923</v>
      </c>
      <c r="V776" s="111" t="s">
        <v>1923</v>
      </c>
      <c r="W776" s="112" t="s">
        <v>2375</v>
      </c>
      <c r="X776" s="112" t="s">
        <v>1906</v>
      </c>
      <c r="Y776" s="112" t="s">
        <v>2375</v>
      </c>
      <c r="Z776" s="112" t="s">
        <v>1906</v>
      </c>
      <c r="AA776" s="112" t="s">
        <v>2375</v>
      </c>
      <c r="AB776" s="112" t="s">
        <v>1906</v>
      </c>
      <c r="AC776" s="112">
        <v>6.04</v>
      </c>
      <c r="AD776" s="112" t="s">
        <v>1906</v>
      </c>
      <c r="AE776" s="112">
        <v>1.95</v>
      </c>
      <c r="AF776" s="112" t="s">
        <v>1906</v>
      </c>
      <c r="AG776" s="112">
        <v>0</v>
      </c>
      <c r="AH776" s="112"/>
      <c r="AI776" s="112">
        <v>0</v>
      </c>
      <c r="AJ776" s="112"/>
      <c r="AK776" s="112">
        <v>0</v>
      </c>
      <c r="AL776" s="112"/>
      <c r="AM776" s="112">
        <v>1.3</v>
      </c>
      <c r="AN776" s="112" t="s">
        <v>1906</v>
      </c>
      <c r="AO776" s="112">
        <v>5.57</v>
      </c>
      <c r="AP776" s="112" t="s">
        <v>1906</v>
      </c>
      <c r="AQ776" s="112">
        <v>5.57</v>
      </c>
      <c r="AR776" s="112" t="s">
        <v>1906</v>
      </c>
      <c r="AS776" s="112">
        <v>5.57</v>
      </c>
      <c r="AT776" s="112" t="s">
        <v>1906</v>
      </c>
      <c r="AU776" s="112">
        <f t="shared" si="25"/>
        <v>44.120000000000005</v>
      </c>
      <c r="AV776" s="111">
        <v>3.1109999999999999E-2</v>
      </c>
      <c r="AW776" s="111" t="s">
        <v>1904</v>
      </c>
      <c r="AX776" s="25"/>
      <c r="AY776" s="25"/>
      <c r="AZ776" s="25"/>
    </row>
    <row r="777" spans="1:52" ht="31.2" x14ac:dyDescent="0.3">
      <c r="A777" s="103">
        <v>767</v>
      </c>
      <c r="B777" s="109" t="s">
        <v>1581</v>
      </c>
      <c r="C777" s="30" t="s">
        <v>1899</v>
      </c>
      <c r="D777" s="110" t="s">
        <v>1900</v>
      </c>
      <c r="E777" s="110" t="s">
        <v>1917</v>
      </c>
      <c r="F777" s="30" t="s">
        <v>2703</v>
      </c>
      <c r="G777" s="26" t="s">
        <v>145</v>
      </c>
      <c r="H777" s="24" t="s">
        <v>146</v>
      </c>
      <c r="I777" s="109">
        <v>0</v>
      </c>
      <c r="J777" s="109" t="s">
        <v>1918</v>
      </c>
      <c r="K777" s="109">
        <v>50</v>
      </c>
      <c r="L777" s="109" t="s">
        <v>1919</v>
      </c>
      <c r="M777" s="109" t="s">
        <v>1904</v>
      </c>
      <c r="N777" s="109" t="s">
        <v>529</v>
      </c>
      <c r="O777" s="109" t="s">
        <v>1920</v>
      </c>
      <c r="P777" s="109" t="s">
        <v>1920</v>
      </c>
      <c r="Q777" s="102">
        <v>0</v>
      </c>
      <c r="R777" s="109" t="s">
        <v>1907</v>
      </c>
      <c r="S777" s="109" t="s">
        <v>1922</v>
      </c>
      <c r="T777" s="25"/>
      <c r="U777" s="111" t="s">
        <v>1923</v>
      </c>
      <c r="V777" s="111" t="s">
        <v>1923</v>
      </c>
      <c r="W777" s="112" t="s">
        <v>2376</v>
      </c>
      <c r="X777" s="112" t="s">
        <v>1906</v>
      </c>
      <c r="Y777" s="112" t="s">
        <v>2376</v>
      </c>
      <c r="Z777" s="112" t="s">
        <v>1906</v>
      </c>
      <c r="AA777" s="112" t="s">
        <v>2376</v>
      </c>
      <c r="AB777" s="112" t="s">
        <v>1906</v>
      </c>
      <c r="AC777" s="112">
        <v>26.45</v>
      </c>
      <c r="AD777" s="112" t="s">
        <v>1906</v>
      </c>
      <c r="AE777" s="112">
        <v>7.68</v>
      </c>
      <c r="AF777" s="112" t="s">
        <v>1906</v>
      </c>
      <c r="AG777" s="112">
        <v>0</v>
      </c>
      <c r="AH777" s="112"/>
      <c r="AI777" s="112">
        <v>0</v>
      </c>
      <c r="AJ777" s="112"/>
      <c r="AK777" s="112">
        <v>0</v>
      </c>
      <c r="AL777" s="112"/>
      <c r="AM777" s="112">
        <v>6.32</v>
      </c>
      <c r="AN777" s="112" t="s">
        <v>1906</v>
      </c>
      <c r="AO777" s="112">
        <v>28.19</v>
      </c>
      <c r="AP777" s="112" t="s">
        <v>1906</v>
      </c>
      <c r="AQ777" s="112">
        <v>27.07</v>
      </c>
      <c r="AR777" s="112" t="s">
        <v>1906</v>
      </c>
      <c r="AS777" s="112">
        <v>27.07</v>
      </c>
      <c r="AT777" s="112" t="s">
        <v>1906</v>
      </c>
      <c r="AU777" s="112">
        <f t="shared" si="25"/>
        <v>202.12999999999997</v>
      </c>
      <c r="AV777" s="111">
        <v>0.13766999999999999</v>
      </c>
      <c r="AW777" s="111" t="s">
        <v>1904</v>
      </c>
      <c r="AX777" s="25"/>
      <c r="AY777" s="25"/>
      <c r="AZ777" s="25"/>
    </row>
    <row r="778" spans="1:52" ht="31.2" x14ac:dyDescent="0.3">
      <c r="A778" s="103">
        <v>768</v>
      </c>
      <c r="B778" s="109" t="s">
        <v>1584</v>
      </c>
      <c r="C778" s="30" t="s">
        <v>1899</v>
      </c>
      <c r="D778" s="110" t="s">
        <v>1900</v>
      </c>
      <c r="E778" s="110" t="s">
        <v>1917</v>
      </c>
      <c r="F778" s="30" t="s">
        <v>2703</v>
      </c>
      <c r="G778" s="26" t="s">
        <v>145</v>
      </c>
      <c r="H778" s="24" t="s">
        <v>146</v>
      </c>
      <c r="I778" s="109">
        <v>0</v>
      </c>
      <c r="J778" s="109" t="s">
        <v>1918</v>
      </c>
      <c r="K778" s="109">
        <v>76</v>
      </c>
      <c r="L778" s="109" t="s">
        <v>1919</v>
      </c>
      <c r="M778" s="109" t="s">
        <v>1904</v>
      </c>
      <c r="N778" s="109" t="s">
        <v>529</v>
      </c>
      <c r="O778" s="109" t="s">
        <v>1920</v>
      </c>
      <c r="P778" s="109" t="s">
        <v>1920</v>
      </c>
      <c r="Q778" s="102">
        <v>0</v>
      </c>
      <c r="R778" s="109" t="s">
        <v>1907</v>
      </c>
      <c r="S778" s="109" t="s">
        <v>1922</v>
      </c>
      <c r="T778" s="25"/>
      <c r="U778" s="111" t="s">
        <v>1923</v>
      </c>
      <c r="V778" s="111" t="s">
        <v>1923</v>
      </c>
      <c r="W778" s="112" t="s">
        <v>2304</v>
      </c>
      <c r="X778" s="112" t="s">
        <v>1906</v>
      </c>
      <c r="Y778" s="112" t="s">
        <v>2304</v>
      </c>
      <c r="Z778" s="112" t="s">
        <v>1906</v>
      </c>
      <c r="AA778" s="112" t="s">
        <v>2304</v>
      </c>
      <c r="AB778" s="112" t="s">
        <v>1906</v>
      </c>
      <c r="AC778" s="112">
        <v>38.89</v>
      </c>
      <c r="AD778" s="112" t="s">
        <v>1906</v>
      </c>
      <c r="AE778" s="112">
        <v>11.28</v>
      </c>
      <c r="AF778" s="112" t="s">
        <v>1906</v>
      </c>
      <c r="AG778" s="112">
        <v>0</v>
      </c>
      <c r="AH778" s="112"/>
      <c r="AI778" s="112">
        <v>0</v>
      </c>
      <c r="AJ778" s="112"/>
      <c r="AK778" s="112">
        <v>0</v>
      </c>
      <c r="AL778" s="112"/>
      <c r="AM778" s="112">
        <v>8.56</v>
      </c>
      <c r="AN778" s="112" t="s">
        <v>1906</v>
      </c>
      <c r="AO778" s="112">
        <v>36.67</v>
      </c>
      <c r="AP778" s="112" t="s">
        <v>1906</v>
      </c>
      <c r="AQ778" s="112">
        <v>36.67</v>
      </c>
      <c r="AR778" s="112" t="s">
        <v>1906</v>
      </c>
      <c r="AS778" s="112">
        <v>36.67</v>
      </c>
      <c r="AT778" s="112" t="s">
        <v>1906</v>
      </c>
      <c r="AU778" s="112">
        <f t="shared" si="25"/>
        <v>285.41000000000003</v>
      </c>
      <c r="AV778" s="111">
        <v>0.15439</v>
      </c>
      <c r="AW778" s="111" t="s">
        <v>1904</v>
      </c>
      <c r="AX778" s="25"/>
      <c r="AY778" s="25"/>
      <c r="AZ778" s="25"/>
    </row>
    <row r="779" spans="1:52" ht="31.2" x14ac:dyDescent="0.3">
      <c r="A779" s="103">
        <v>769</v>
      </c>
      <c r="B779" s="109" t="s">
        <v>1585</v>
      </c>
      <c r="C779" s="30" t="s">
        <v>1899</v>
      </c>
      <c r="D779" s="110" t="s">
        <v>1900</v>
      </c>
      <c r="E779" s="110" t="s">
        <v>1917</v>
      </c>
      <c r="F779" s="30" t="s">
        <v>2703</v>
      </c>
      <c r="G779" s="26" t="s">
        <v>145</v>
      </c>
      <c r="H779" s="24" t="s">
        <v>146</v>
      </c>
      <c r="I779" s="109">
        <v>0</v>
      </c>
      <c r="J779" s="109" t="s">
        <v>1918</v>
      </c>
      <c r="K779" s="109">
        <v>38</v>
      </c>
      <c r="L779" s="109" t="s">
        <v>1919</v>
      </c>
      <c r="M779" s="109" t="s">
        <v>1904</v>
      </c>
      <c r="N779" s="109" t="s">
        <v>529</v>
      </c>
      <c r="O779" s="109" t="s">
        <v>1920</v>
      </c>
      <c r="P779" s="109" t="s">
        <v>1920</v>
      </c>
      <c r="Q779" s="102">
        <v>0</v>
      </c>
      <c r="R779" s="109" t="s">
        <v>1907</v>
      </c>
      <c r="S779" s="109" t="s">
        <v>1922</v>
      </c>
      <c r="T779" s="25"/>
      <c r="U779" s="111" t="s">
        <v>1923</v>
      </c>
      <c r="V779" s="111" t="s">
        <v>1923</v>
      </c>
      <c r="W779" s="112" t="s">
        <v>2304</v>
      </c>
      <c r="X779" s="112" t="s">
        <v>1906</v>
      </c>
      <c r="Y779" s="112" t="s">
        <v>2304</v>
      </c>
      <c r="Z779" s="112" t="s">
        <v>1906</v>
      </c>
      <c r="AA779" s="112" t="s">
        <v>2304</v>
      </c>
      <c r="AB779" s="112" t="s">
        <v>1906</v>
      </c>
      <c r="AC779" s="112">
        <v>38.89</v>
      </c>
      <c r="AD779" s="112" t="s">
        <v>1906</v>
      </c>
      <c r="AE779" s="112">
        <v>11.28</v>
      </c>
      <c r="AF779" s="112" t="s">
        <v>1906</v>
      </c>
      <c r="AG779" s="112">
        <v>0</v>
      </c>
      <c r="AH779" s="112"/>
      <c r="AI779" s="112">
        <v>0</v>
      </c>
      <c r="AJ779" s="112"/>
      <c r="AK779" s="112">
        <v>0</v>
      </c>
      <c r="AL779" s="112"/>
      <c r="AM779" s="112">
        <v>8.56</v>
      </c>
      <c r="AN779" s="112" t="s">
        <v>1906</v>
      </c>
      <c r="AO779" s="112">
        <v>36.67</v>
      </c>
      <c r="AP779" s="112" t="s">
        <v>1906</v>
      </c>
      <c r="AQ779" s="112">
        <v>36.67</v>
      </c>
      <c r="AR779" s="112" t="s">
        <v>1906</v>
      </c>
      <c r="AS779" s="112">
        <v>36.67</v>
      </c>
      <c r="AT779" s="112" t="s">
        <v>1906</v>
      </c>
      <c r="AU779" s="112">
        <f t="shared" si="25"/>
        <v>285.41000000000003</v>
      </c>
      <c r="AV779" s="111">
        <v>0.15439</v>
      </c>
      <c r="AW779" s="111" t="s">
        <v>1904</v>
      </c>
      <c r="AX779" s="25"/>
      <c r="AY779" s="25"/>
      <c r="AZ779" s="25"/>
    </row>
    <row r="780" spans="1:52" ht="31.2" x14ac:dyDescent="0.3">
      <c r="A780" s="103">
        <v>770</v>
      </c>
      <c r="B780" s="109" t="s">
        <v>1586</v>
      </c>
      <c r="C780" s="30" t="s">
        <v>1899</v>
      </c>
      <c r="D780" s="110" t="s">
        <v>1900</v>
      </c>
      <c r="E780" s="110" t="s">
        <v>1917</v>
      </c>
      <c r="F780" s="30" t="s">
        <v>2703</v>
      </c>
      <c r="G780" s="26" t="s">
        <v>145</v>
      </c>
      <c r="H780" s="24" t="s">
        <v>146</v>
      </c>
      <c r="I780" s="109">
        <v>1</v>
      </c>
      <c r="J780" s="109" t="s">
        <v>1918</v>
      </c>
      <c r="K780" s="109">
        <v>50</v>
      </c>
      <c r="L780" s="109" t="s">
        <v>1919</v>
      </c>
      <c r="M780" s="109" t="s">
        <v>1904</v>
      </c>
      <c r="N780" s="109" t="s">
        <v>529</v>
      </c>
      <c r="O780" s="109" t="s">
        <v>1920</v>
      </c>
      <c r="P780" s="109" t="s">
        <v>1921</v>
      </c>
      <c r="Q780" s="102">
        <v>0</v>
      </c>
      <c r="R780" s="109" t="s">
        <v>1907</v>
      </c>
      <c r="S780" s="109" t="s">
        <v>1922</v>
      </c>
      <c r="T780" s="25"/>
      <c r="U780" s="111" t="s">
        <v>1923</v>
      </c>
      <c r="V780" s="111" t="s">
        <v>1923</v>
      </c>
      <c r="W780" s="112" t="s">
        <v>2377</v>
      </c>
      <c r="X780" s="112" t="s">
        <v>1906</v>
      </c>
      <c r="Y780" s="112" t="s">
        <v>2378</v>
      </c>
      <c r="Z780" s="112" t="s">
        <v>1906</v>
      </c>
      <c r="AA780" s="112" t="s">
        <v>2378</v>
      </c>
      <c r="AB780" s="112" t="s">
        <v>1906</v>
      </c>
      <c r="AC780" s="112">
        <v>61.6</v>
      </c>
      <c r="AD780" s="112" t="s">
        <v>1906</v>
      </c>
      <c r="AE780" s="112">
        <v>17.89</v>
      </c>
      <c r="AF780" s="112" t="s">
        <v>1906</v>
      </c>
      <c r="AG780" s="112">
        <v>0</v>
      </c>
      <c r="AH780" s="112"/>
      <c r="AI780" s="112">
        <v>0</v>
      </c>
      <c r="AJ780" s="112"/>
      <c r="AK780" s="112">
        <v>0</v>
      </c>
      <c r="AL780" s="112"/>
      <c r="AM780" s="112">
        <v>12.98</v>
      </c>
      <c r="AN780" s="112" t="s">
        <v>1906</v>
      </c>
      <c r="AO780" s="112">
        <v>18.91</v>
      </c>
      <c r="AP780" s="112" t="s">
        <v>208</v>
      </c>
      <c r="AQ780" s="112">
        <v>30.23</v>
      </c>
      <c r="AR780" s="112" t="s">
        <v>208</v>
      </c>
      <c r="AS780" s="112">
        <v>48.3</v>
      </c>
      <c r="AT780" s="112" t="s">
        <v>208</v>
      </c>
      <c r="AU780" s="112">
        <f t="shared" ref="AU780:AU843" si="26">W780+Y780+AA780+AC780+AE780+AG780+AI780+AK780+AM780+AO780+AQ780+AS780</f>
        <v>374.72000000000008</v>
      </c>
      <c r="AV780" s="111">
        <v>0.20913999999999999</v>
      </c>
      <c r="AW780" s="111" t="s">
        <v>1904</v>
      </c>
      <c r="AX780" s="25"/>
      <c r="AY780" s="25"/>
      <c r="AZ780" s="25"/>
    </row>
    <row r="781" spans="1:52" ht="31.2" x14ac:dyDescent="0.3">
      <c r="A781" s="103">
        <v>771</v>
      </c>
      <c r="B781" s="109" t="s">
        <v>1589</v>
      </c>
      <c r="C781" s="30" t="s">
        <v>1899</v>
      </c>
      <c r="D781" s="110" t="s">
        <v>1900</v>
      </c>
      <c r="E781" s="110" t="s">
        <v>1917</v>
      </c>
      <c r="F781" s="30" t="s">
        <v>2703</v>
      </c>
      <c r="G781" s="26" t="s">
        <v>145</v>
      </c>
      <c r="H781" s="24" t="s">
        <v>146</v>
      </c>
      <c r="I781" s="109">
        <v>1</v>
      </c>
      <c r="J781" s="109" t="s">
        <v>1918</v>
      </c>
      <c r="K781" s="109">
        <v>89</v>
      </c>
      <c r="L781" s="109" t="s">
        <v>1919</v>
      </c>
      <c r="M781" s="109" t="s">
        <v>1904</v>
      </c>
      <c r="N781" s="109" t="s">
        <v>529</v>
      </c>
      <c r="O781" s="109" t="s">
        <v>1920</v>
      </c>
      <c r="P781" s="109" t="s">
        <v>1921</v>
      </c>
      <c r="Q781" s="102">
        <v>0</v>
      </c>
      <c r="R781" s="109" t="s">
        <v>1907</v>
      </c>
      <c r="S781" s="109" t="s">
        <v>1922</v>
      </c>
      <c r="T781" s="25"/>
      <c r="U781" s="111" t="s">
        <v>1923</v>
      </c>
      <c r="V781" s="111" t="s">
        <v>1923</v>
      </c>
      <c r="W781" s="112" t="s">
        <v>2379</v>
      </c>
      <c r="X781" s="112" t="s">
        <v>1906</v>
      </c>
      <c r="Y781" s="112" t="s">
        <v>2380</v>
      </c>
      <c r="Z781" s="112" t="s">
        <v>1906</v>
      </c>
      <c r="AA781" s="112" t="s">
        <v>2381</v>
      </c>
      <c r="AB781" s="112" t="s">
        <v>1906</v>
      </c>
      <c r="AC781" s="112">
        <v>58.72</v>
      </c>
      <c r="AD781" s="112" t="s">
        <v>1906</v>
      </c>
      <c r="AE781" s="112">
        <v>31.36</v>
      </c>
      <c r="AF781" s="112" t="s">
        <v>1906</v>
      </c>
      <c r="AG781" s="112">
        <v>0</v>
      </c>
      <c r="AH781" s="112"/>
      <c r="AI781" s="112">
        <v>0</v>
      </c>
      <c r="AJ781" s="112"/>
      <c r="AK781" s="112">
        <v>0</v>
      </c>
      <c r="AL781" s="112"/>
      <c r="AM781" s="112">
        <v>0</v>
      </c>
      <c r="AN781" s="112"/>
      <c r="AO781" s="112">
        <v>43.21</v>
      </c>
      <c r="AP781" s="112" t="s">
        <v>208</v>
      </c>
      <c r="AQ781" s="112">
        <v>37.340000000000003</v>
      </c>
      <c r="AR781" s="112" t="s">
        <v>208</v>
      </c>
      <c r="AS781" s="112">
        <v>96.04</v>
      </c>
      <c r="AT781" s="112" t="s">
        <v>208</v>
      </c>
      <c r="AU781" s="112">
        <f t="shared" si="26"/>
        <v>631.12999999999988</v>
      </c>
      <c r="AV781" s="111">
        <v>0.36231999999999998</v>
      </c>
      <c r="AW781" s="111" t="s">
        <v>1904</v>
      </c>
      <c r="AX781" s="25"/>
      <c r="AY781" s="25"/>
      <c r="AZ781" s="25"/>
    </row>
    <row r="782" spans="1:52" ht="31.2" x14ac:dyDescent="0.3">
      <c r="A782" s="103">
        <v>772</v>
      </c>
      <c r="B782" s="109" t="s">
        <v>1590</v>
      </c>
      <c r="C782" s="30" t="s">
        <v>1899</v>
      </c>
      <c r="D782" s="110" t="s">
        <v>1900</v>
      </c>
      <c r="E782" s="110" t="s">
        <v>1917</v>
      </c>
      <c r="F782" s="30" t="s">
        <v>2703</v>
      </c>
      <c r="G782" s="26" t="s">
        <v>145</v>
      </c>
      <c r="H782" s="24" t="s">
        <v>146</v>
      </c>
      <c r="I782" s="109">
        <v>1</v>
      </c>
      <c r="J782" s="109" t="s">
        <v>1918</v>
      </c>
      <c r="K782" s="109">
        <v>76</v>
      </c>
      <c r="L782" s="109" t="s">
        <v>1919</v>
      </c>
      <c r="M782" s="109" t="s">
        <v>1904</v>
      </c>
      <c r="N782" s="109" t="s">
        <v>529</v>
      </c>
      <c r="O782" s="109" t="s">
        <v>1920</v>
      </c>
      <c r="P782" s="109" t="s">
        <v>1921</v>
      </c>
      <c r="Q782" s="102">
        <v>0</v>
      </c>
      <c r="R782" s="109" t="s">
        <v>1907</v>
      </c>
      <c r="S782" s="109" t="s">
        <v>1922</v>
      </c>
      <c r="T782" s="25"/>
      <c r="U782" s="111" t="s">
        <v>1923</v>
      </c>
      <c r="V782" s="111" t="s">
        <v>1923</v>
      </c>
      <c r="W782" s="112" t="s">
        <v>2382</v>
      </c>
      <c r="X782" s="112" t="s">
        <v>1906</v>
      </c>
      <c r="Y782" s="112" t="s">
        <v>2383</v>
      </c>
      <c r="Z782" s="112" t="s">
        <v>1906</v>
      </c>
      <c r="AA782" s="112" t="s">
        <v>2384</v>
      </c>
      <c r="AB782" s="112" t="s">
        <v>1906</v>
      </c>
      <c r="AC782" s="112">
        <v>39.659999999999997</v>
      </c>
      <c r="AD782" s="112" t="s">
        <v>1906</v>
      </c>
      <c r="AE782" s="112">
        <v>20.82</v>
      </c>
      <c r="AF782" s="112" t="s">
        <v>1906</v>
      </c>
      <c r="AG782" s="112">
        <v>0</v>
      </c>
      <c r="AH782" s="112"/>
      <c r="AI782" s="112">
        <v>0</v>
      </c>
      <c r="AJ782" s="112"/>
      <c r="AK782" s="112">
        <v>0</v>
      </c>
      <c r="AL782" s="112"/>
      <c r="AM782" s="112">
        <v>0</v>
      </c>
      <c r="AN782" s="112"/>
      <c r="AO782" s="112">
        <v>37.74</v>
      </c>
      <c r="AP782" s="112" t="s">
        <v>208</v>
      </c>
      <c r="AQ782" s="112">
        <v>42.38</v>
      </c>
      <c r="AR782" s="112" t="s">
        <v>208</v>
      </c>
      <c r="AS782" s="112">
        <v>68.83</v>
      </c>
      <c r="AT782" s="112" t="s">
        <v>208</v>
      </c>
      <c r="AU782" s="112">
        <f t="shared" si="26"/>
        <v>462.17999999999995</v>
      </c>
      <c r="AV782" s="111">
        <v>0.23546</v>
      </c>
      <c r="AW782" s="111" t="s">
        <v>1904</v>
      </c>
      <c r="AX782" s="25"/>
      <c r="AY782" s="25"/>
      <c r="AZ782" s="25"/>
    </row>
    <row r="783" spans="1:52" ht="31.2" x14ac:dyDescent="0.3">
      <c r="A783" s="103">
        <v>773</v>
      </c>
      <c r="B783" s="109" t="s">
        <v>1591</v>
      </c>
      <c r="C783" s="30" t="s">
        <v>1899</v>
      </c>
      <c r="D783" s="110" t="s">
        <v>1900</v>
      </c>
      <c r="E783" s="110" t="s">
        <v>1917</v>
      </c>
      <c r="F783" s="30" t="s">
        <v>2703</v>
      </c>
      <c r="G783" s="26" t="s">
        <v>145</v>
      </c>
      <c r="H783" s="24" t="s">
        <v>146</v>
      </c>
      <c r="I783" s="109">
        <v>0</v>
      </c>
      <c r="J783" s="109" t="s">
        <v>1918</v>
      </c>
      <c r="K783" s="109">
        <v>45</v>
      </c>
      <c r="L783" s="109" t="s">
        <v>1919</v>
      </c>
      <c r="M783" s="109" t="s">
        <v>1904</v>
      </c>
      <c r="N783" s="109" t="s">
        <v>529</v>
      </c>
      <c r="O783" s="109" t="s">
        <v>1920</v>
      </c>
      <c r="P783" s="109"/>
      <c r="Q783" s="102">
        <v>0</v>
      </c>
      <c r="R783" s="109" t="s">
        <v>1907</v>
      </c>
      <c r="S783" s="109" t="s">
        <v>1922</v>
      </c>
      <c r="T783" s="25"/>
      <c r="U783" s="111" t="s">
        <v>1923</v>
      </c>
      <c r="V783" s="111" t="s">
        <v>1923</v>
      </c>
      <c r="W783" s="112" t="s">
        <v>2385</v>
      </c>
      <c r="X783" s="112" t="s">
        <v>1906</v>
      </c>
      <c r="Y783" s="112" t="s">
        <v>2386</v>
      </c>
      <c r="Z783" s="112" t="s">
        <v>1906</v>
      </c>
      <c r="AA783" s="112" t="s">
        <v>2387</v>
      </c>
      <c r="AB783" s="112" t="s">
        <v>1906</v>
      </c>
      <c r="AC783" s="112">
        <v>14.25</v>
      </c>
      <c r="AD783" s="112" t="s">
        <v>1906</v>
      </c>
      <c r="AE783" s="112">
        <v>4.13</v>
      </c>
      <c r="AF783" s="112" t="s">
        <v>1906</v>
      </c>
      <c r="AG783" s="112">
        <v>0</v>
      </c>
      <c r="AH783" s="112"/>
      <c r="AI783" s="112">
        <v>0</v>
      </c>
      <c r="AJ783" s="112"/>
      <c r="AK783" s="112">
        <v>0</v>
      </c>
      <c r="AL783" s="112"/>
      <c r="AM783" s="112">
        <v>0</v>
      </c>
      <c r="AN783" s="112"/>
      <c r="AO783" s="112">
        <v>14.82</v>
      </c>
      <c r="AP783" s="112" t="s">
        <v>1906</v>
      </c>
      <c r="AQ783" s="112">
        <v>14.82</v>
      </c>
      <c r="AR783" s="112" t="s">
        <v>1906</v>
      </c>
      <c r="AS783" s="112">
        <v>14.82</v>
      </c>
      <c r="AT783" s="112" t="s">
        <v>1906</v>
      </c>
      <c r="AU783" s="112">
        <f t="shared" si="26"/>
        <v>122.18999999999997</v>
      </c>
      <c r="AV783" s="111">
        <v>6.4229999999999995E-2</v>
      </c>
      <c r="AW783" s="111" t="s">
        <v>1904</v>
      </c>
      <c r="AX783" s="25"/>
      <c r="AY783" s="25"/>
      <c r="AZ783" s="25"/>
    </row>
    <row r="784" spans="1:52" ht="31.2" x14ac:dyDescent="0.3">
      <c r="A784" s="103">
        <v>774</v>
      </c>
      <c r="B784" s="109" t="s">
        <v>1592</v>
      </c>
      <c r="C784" s="30" t="s">
        <v>1899</v>
      </c>
      <c r="D784" s="110" t="s">
        <v>1900</v>
      </c>
      <c r="E784" s="110" t="s">
        <v>1917</v>
      </c>
      <c r="F784" s="30" t="s">
        <v>2703</v>
      </c>
      <c r="G784" s="26" t="s">
        <v>145</v>
      </c>
      <c r="H784" s="24" t="s">
        <v>146</v>
      </c>
      <c r="I784" s="109">
        <v>0</v>
      </c>
      <c r="J784" s="109" t="s">
        <v>1918</v>
      </c>
      <c r="K784" s="109">
        <v>45</v>
      </c>
      <c r="L784" s="109" t="s">
        <v>1919</v>
      </c>
      <c r="M784" s="109" t="s">
        <v>1904</v>
      </c>
      <c r="N784" s="109" t="s">
        <v>529</v>
      </c>
      <c r="O784" s="109" t="s">
        <v>1920</v>
      </c>
      <c r="P784" s="109"/>
      <c r="Q784" s="102">
        <v>0</v>
      </c>
      <c r="R784" s="109" t="s">
        <v>1907</v>
      </c>
      <c r="S784" s="109" t="s">
        <v>1922</v>
      </c>
      <c r="T784" s="25"/>
      <c r="U784" s="111" t="s">
        <v>1923</v>
      </c>
      <c r="V784" s="111" t="s">
        <v>1923</v>
      </c>
      <c r="W784" s="112" t="s">
        <v>2385</v>
      </c>
      <c r="X784" s="112" t="s">
        <v>1906</v>
      </c>
      <c r="Y784" s="112" t="s">
        <v>2386</v>
      </c>
      <c r="Z784" s="112" t="s">
        <v>1906</v>
      </c>
      <c r="AA784" s="112" t="s">
        <v>2387</v>
      </c>
      <c r="AB784" s="112" t="s">
        <v>1906</v>
      </c>
      <c r="AC784" s="112">
        <v>14.25</v>
      </c>
      <c r="AD784" s="112" t="s">
        <v>1906</v>
      </c>
      <c r="AE784" s="112">
        <v>4.13</v>
      </c>
      <c r="AF784" s="112" t="s">
        <v>1906</v>
      </c>
      <c r="AG784" s="112">
        <v>0</v>
      </c>
      <c r="AH784" s="112"/>
      <c r="AI784" s="112">
        <v>0</v>
      </c>
      <c r="AJ784" s="112"/>
      <c r="AK784" s="112">
        <v>0</v>
      </c>
      <c r="AL784" s="112"/>
      <c r="AM784" s="112">
        <v>0</v>
      </c>
      <c r="AN784" s="112"/>
      <c r="AO784" s="112">
        <v>14.82</v>
      </c>
      <c r="AP784" s="112" t="s">
        <v>1906</v>
      </c>
      <c r="AQ784" s="112">
        <v>14.82</v>
      </c>
      <c r="AR784" s="112" t="s">
        <v>1906</v>
      </c>
      <c r="AS784" s="112">
        <v>14.82</v>
      </c>
      <c r="AT784" s="112" t="s">
        <v>1906</v>
      </c>
      <c r="AU784" s="112">
        <f t="shared" si="26"/>
        <v>122.18999999999997</v>
      </c>
      <c r="AV784" s="111">
        <v>6.4229999999999995E-2</v>
      </c>
      <c r="AW784" s="111" t="s">
        <v>1904</v>
      </c>
      <c r="AX784" s="25"/>
      <c r="AY784" s="25"/>
      <c r="AZ784" s="25"/>
    </row>
    <row r="785" spans="1:52" ht="31.2" x14ac:dyDescent="0.3">
      <c r="A785" s="103">
        <v>775</v>
      </c>
      <c r="B785" s="109" t="s">
        <v>1594</v>
      </c>
      <c r="C785" s="30" t="s">
        <v>1899</v>
      </c>
      <c r="D785" s="110" t="s">
        <v>1900</v>
      </c>
      <c r="E785" s="110" t="s">
        <v>1917</v>
      </c>
      <c r="F785" s="30" t="s">
        <v>2703</v>
      </c>
      <c r="G785" s="26" t="s">
        <v>145</v>
      </c>
      <c r="H785" s="24" t="s">
        <v>146</v>
      </c>
      <c r="I785" s="109">
        <v>1</v>
      </c>
      <c r="J785" s="109" t="s">
        <v>1918</v>
      </c>
      <c r="K785" s="109">
        <v>76</v>
      </c>
      <c r="L785" s="109" t="s">
        <v>1919</v>
      </c>
      <c r="M785" s="109" t="s">
        <v>1904</v>
      </c>
      <c r="N785" s="109" t="s">
        <v>529</v>
      </c>
      <c r="O785" s="109" t="s">
        <v>1920</v>
      </c>
      <c r="P785" s="109" t="s">
        <v>1921</v>
      </c>
      <c r="Q785" s="102">
        <v>0</v>
      </c>
      <c r="R785" s="109" t="s">
        <v>1907</v>
      </c>
      <c r="S785" s="109" t="s">
        <v>1922</v>
      </c>
      <c r="T785" s="25"/>
      <c r="U785" s="111" t="s">
        <v>1923</v>
      </c>
      <c r="V785" s="111" t="s">
        <v>1923</v>
      </c>
      <c r="W785" s="112" t="s">
        <v>2388</v>
      </c>
      <c r="X785" s="112" t="s">
        <v>1906</v>
      </c>
      <c r="Y785" s="112" t="s">
        <v>2389</v>
      </c>
      <c r="Z785" s="112" t="s">
        <v>1906</v>
      </c>
      <c r="AA785" s="112" t="s">
        <v>2390</v>
      </c>
      <c r="AB785" s="112" t="s">
        <v>1906</v>
      </c>
      <c r="AC785" s="112">
        <v>75.38</v>
      </c>
      <c r="AD785" s="112" t="s">
        <v>1906</v>
      </c>
      <c r="AE785" s="112">
        <v>40.229999999999997</v>
      </c>
      <c r="AF785" s="112" t="s">
        <v>1906</v>
      </c>
      <c r="AG785" s="112">
        <v>0</v>
      </c>
      <c r="AH785" s="112"/>
      <c r="AI785" s="112">
        <v>0</v>
      </c>
      <c r="AJ785" s="112"/>
      <c r="AK785" s="112">
        <v>0</v>
      </c>
      <c r="AL785" s="112"/>
      <c r="AM785" s="112">
        <v>0</v>
      </c>
      <c r="AN785" s="112"/>
      <c r="AO785" s="112">
        <v>68.66</v>
      </c>
      <c r="AP785" s="112" t="s">
        <v>208</v>
      </c>
      <c r="AQ785" s="112">
        <v>74.92</v>
      </c>
      <c r="AR785" s="112" t="s">
        <v>208</v>
      </c>
      <c r="AS785" s="112">
        <v>122.06</v>
      </c>
      <c r="AT785" s="112" t="s">
        <v>208</v>
      </c>
      <c r="AU785" s="112">
        <f t="shared" si="26"/>
        <v>829.84999999999991</v>
      </c>
      <c r="AV785" s="111">
        <v>0.39826</v>
      </c>
      <c r="AW785" s="111" t="s">
        <v>1904</v>
      </c>
      <c r="AX785" s="25"/>
      <c r="AY785" s="25"/>
      <c r="AZ785" s="25"/>
    </row>
    <row r="786" spans="1:52" ht="31.2" x14ac:dyDescent="0.3">
      <c r="A786" s="103">
        <v>776</v>
      </c>
      <c r="B786" s="109" t="s">
        <v>1595</v>
      </c>
      <c r="C786" s="30" t="s">
        <v>1899</v>
      </c>
      <c r="D786" s="110" t="s">
        <v>1900</v>
      </c>
      <c r="E786" s="110" t="s">
        <v>1917</v>
      </c>
      <c r="F786" s="30" t="s">
        <v>2703</v>
      </c>
      <c r="G786" s="26" t="s">
        <v>145</v>
      </c>
      <c r="H786" s="24" t="s">
        <v>146</v>
      </c>
      <c r="I786" s="109">
        <v>2</v>
      </c>
      <c r="J786" s="109" t="s">
        <v>1918</v>
      </c>
      <c r="K786" s="109">
        <v>76</v>
      </c>
      <c r="L786" s="109" t="s">
        <v>1919</v>
      </c>
      <c r="M786" s="109" t="s">
        <v>1904</v>
      </c>
      <c r="N786" s="109" t="s">
        <v>529</v>
      </c>
      <c r="O786" s="109" t="s">
        <v>1920</v>
      </c>
      <c r="P786" s="109" t="s">
        <v>1921</v>
      </c>
      <c r="Q786" s="102">
        <v>0</v>
      </c>
      <c r="R786" s="109" t="s">
        <v>1907</v>
      </c>
      <c r="S786" s="109" t="s">
        <v>1922</v>
      </c>
      <c r="T786" s="25"/>
      <c r="U786" s="111" t="s">
        <v>1923</v>
      </c>
      <c r="V786" s="111" t="s">
        <v>1923</v>
      </c>
      <c r="W786" s="112" t="s">
        <v>2391</v>
      </c>
      <c r="X786" s="112" t="s">
        <v>1906</v>
      </c>
      <c r="Y786" s="112" t="s">
        <v>2391</v>
      </c>
      <c r="Z786" s="112" t="s">
        <v>1906</v>
      </c>
      <c r="AA786" s="112" t="s">
        <v>2391</v>
      </c>
      <c r="AB786" s="112" t="s">
        <v>1906</v>
      </c>
      <c r="AC786" s="112">
        <v>153.32</v>
      </c>
      <c r="AD786" s="112" t="s">
        <v>1906</v>
      </c>
      <c r="AE786" s="112">
        <v>44.51</v>
      </c>
      <c r="AF786" s="112" t="s">
        <v>1906</v>
      </c>
      <c r="AG786" s="112">
        <v>0</v>
      </c>
      <c r="AH786" s="112"/>
      <c r="AI786" s="112">
        <v>0</v>
      </c>
      <c r="AJ786" s="112"/>
      <c r="AK786" s="112">
        <v>0</v>
      </c>
      <c r="AL786" s="112"/>
      <c r="AM786" s="112">
        <v>0</v>
      </c>
      <c r="AN786" s="112"/>
      <c r="AO786" s="112">
        <v>63.93</v>
      </c>
      <c r="AP786" s="112" t="s">
        <v>208</v>
      </c>
      <c r="AQ786" s="112">
        <v>43.04</v>
      </c>
      <c r="AR786" s="112" t="s">
        <v>208</v>
      </c>
      <c r="AS786" s="112">
        <v>72.11</v>
      </c>
      <c r="AT786" s="112" t="s">
        <v>208</v>
      </c>
      <c r="AU786" s="112">
        <f t="shared" si="26"/>
        <v>836.86999999999989</v>
      </c>
      <c r="AV786" s="111">
        <v>0.51898999999999995</v>
      </c>
      <c r="AW786" s="111" t="s">
        <v>1904</v>
      </c>
      <c r="AX786" s="25"/>
      <c r="AY786" s="25"/>
      <c r="AZ786" s="25"/>
    </row>
    <row r="787" spans="1:52" ht="31.2" x14ac:dyDescent="0.3">
      <c r="A787" s="103">
        <v>777</v>
      </c>
      <c r="B787" s="109" t="s">
        <v>1597</v>
      </c>
      <c r="C787" s="30" t="s">
        <v>1899</v>
      </c>
      <c r="D787" s="110" t="s">
        <v>1900</v>
      </c>
      <c r="E787" s="110" t="s">
        <v>1917</v>
      </c>
      <c r="F787" s="30" t="s">
        <v>2703</v>
      </c>
      <c r="G787" s="26" t="s">
        <v>145</v>
      </c>
      <c r="H787" s="24" t="s">
        <v>146</v>
      </c>
      <c r="I787" s="109">
        <v>0</v>
      </c>
      <c r="J787" s="109" t="s">
        <v>1918</v>
      </c>
      <c r="K787" s="109">
        <v>50</v>
      </c>
      <c r="L787" s="109" t="s">
        <v>1919</v>
      </c>
      <c r="M787" s="109" t="s">
        <v>1904</v>
      </c>
      <c r="N787" s="109" t="s">
        <v>529</v>
      </c>
      <c r="O787" s="109" t="s">
        <v>1920</v>
      </c>
      <c r="P787" s="109" t="s">
        <v>1920</v>
      </c>
      <c r="Q787" s="102">
        <v>0</v>
      </c>
      <c r="R787" s="109" t="s">
        <v>1907</v>
      </c>
      <c r="S787" s="109" t="s">
        <v>1922</v>
      </c>
      <c r="T787" s="25"/>
      <c r="U787" s="111" t="s">
        <v>1923</v>
      </c>
      <c r="V787" s="111" t="s">
        <v>1923</v>
      </c>
      <c r="W787" s="112" t="s">
        <v>2392</v>
      </c>
      <c r="X787" s="112" t="s">
        <v>1906</v>
      </c>
      <c r="Y787" s="112" t="s">
        <v>2392</v>
      </c>
      <c r="Z787" s="112" t="s">
        <v>1906</v>
      </c>
      <c r="AA787" s="112" t="s">
        <v>2392</v>
      </c>
      <c r="AB787" s="112" t="s">
        <v>1906</v>
      </c>
      <c r="AC787" s="112">
        <v>19.28</v>
      </c>
      <c r="AD787" s="112" t="s">
        <v>1906</v>
      </c>
      <c r="AE787" s="112">
        <v>5.6</v>
      </c>
      <c r="AF787" s="112" t="s">
        <v>1906</v>
      </c>
      <c r="AG787" s="112">
        <v>0</v>
      </c>
      <c r="AH787" s="112"/>
      <c r="AI787" s="112">
        <v>0</v>
      </c>
      <c r="AJ787" s="112"/>
      <c r="AK787" s="112">
        <v>0</v>
      </c>
      <c r="AL787" s="112"/>
      <c r="AM787" s="112">
        <v>4.1900000000000004</v>
      </c>
      <c r="AN787" s="112" t="s">
        <v>1906</v>
      </c>
      <c r="AO787" s="112">
        <v>21.07</v>
      </c>
      <c r="AP787" s="112" t="s">
        <v>1906</v>
      </c>
      <c r="AQ787" s="112">
        <v>17.940000000000001</v>
      </c>
      <c r="AR787" s="112" t="s">
        <v>1906</v>
      </c>
      <c r="AS787" s="112">
        <v>17.940000000000001</v>
      </c>
      <c r="AT787" s="112" t="s">
        <v>1906</v>
      </c>
      <c r="AU787" s="112">
        <f t="shared" si="26"/>
        <v>143.85999999999999</v>
      </c>
      <c r="AV787" s="111">
        <v>7.4469999999999995E-2</v>
      </c>
      <c r="AW787" s="111" t="s">
        <v>1904</v>
      </c>
      <c r="AX787" s="25"/>
      <c r="AY787" s="25"/>
      <c r="AZ787" s="25"/>
    </row>
    <row r="788" spans="1:52" ht="31.2" x14ac:dyDescent="0.3">
      <c r="A788" s="103">
        <v>778</v>
      </c>
      <c r="B788" s="109" t="s">
        <v>1598</v>
      </c>
      <c r="C788" s="30" t="s">
        <v>1899</v>
      </c>
      <c r="D788" s="110" t="s">
        <v>1900</v>
      </c>
      <c r="E788" s="110" t="s">
        <v>1917</v>
      </c>
      <c r="F788" s="30" t="s">
        <v>2703</v>
      </c>
      <c r="G788" s="26" t="s">
        <v>145</v>
      </c>
      <c r="H788" s="24" t="s">
        <v>146</v>
      </c>
      <c r="I788" s="109">
        <v>0</v>
      </c>
      <c r="J788" s="109" t="s">
        <v>1918</v>
      </c>
      <c r="K788" s="109">
        <v>50</v>
      </c>
      <c r="L788" s="109" t="s">
        <v>1919</v>
      </c>
      <c r="M788" s="109" t="s">
        <v>1904</v>
      </c>
      <c r="N788" s="109" t="s">
        <v>529</v>
      </c>
      <c r="O788" s="109" t="s">
        <v>1920</v>
      </c>
      <c r="P788" s="109" t="s">
        <v>1920</v>
      </c>
      <c r="Q788" s="102">
        <v>0</v>
      </c>
      <c r="R788" s="109" t="s">
        <v>1907</v>
      </c>
      <c r="S788" s="109" t="s">
        <v>1922</v>
      </c>
      <c r="T788" s="25"/>
      <c r="U788" s="111" t="s">
        <v>1923</v>
      </c>
      <c r="V788" s="111" t="s">
        <v>1923</v>
      </c>
      <c r="W788" s="112" t="s">
        <v>2392</v>
      </c>
      <c r="X788" s="112" t="s">
        <v>1906</v>
      </c>
      <c r="Y788" s="112" t="s">
        <v>2392</v>
      </c>
      <c r="Z788" s="112" t="s">
        <v>1906</v>
      </c>
      <c r="AA788" s="112" t="s">
        <v>2392</v>
      </c>
      <c r="AB788" s="112" t="s">
        <v>1906</v>
      </c>
      <c r="AC788" s="112">
        <v>19.28</v>
      </c>
      <c r="AD788" s="112" t="s">
        <v>1906</v>
      </c>
      <c r="AE788" s="112">
        <v>5.6</v>
      </c>
      <c r="AF788" s="112" t="s">
        <v>1906</v>
      </c>
      <c r="AG788" s="112">
        <v>0</v>
      </c>
      <c r="AH788" s="112"/>
      <c r="AI788" s="112">
        <v>0</v>
      </c>
      <c r="AJ788" s="112"/>
      <c r="AK788" s="112">
        <v>0</v>
      </c>
      <c r="AL788" s="112"/>
      <c r="AM788" s="112">
        <v>4.1900000000000004</v>
      </c>
      <c r="AN788" s="112" t="s">
        <v>1906</v>
      </c>
      <c r="AO788" s="112">
        <v>21.07</v>
      </c>
      <c r="AP788" s="112" t="s">
        <v>1906</v>
      </c>
      <c r="AQ788" s="112">
        <v>17.940000000000001</v>
      </c>
      <c r="AR788" s="112" t="s">
        <v>1906</v>
      </c>
      <c r="AS788" s="112">
        <v>17.940000000000001</v>
      </c>
      <c r="AT788" s="112" t="s">
        <v>1906</v>
      </c>
      <c r="AU788" s="112">
        <f t="shared" si="26"/>
        <v>143.85999999999999</v>
      </c>
      <c r="AV788" s="111">
        <v>7.4469999999999995E-2</v>
      </c>
      <c r="AW788" s="111" t="s">
        <v>1904</v>
      </c>
      <c r="AX788" s="25"/>
      <c r="AY788" s="25"/>
      <c r="AZ788" s="25"/>
    </row>
    <row r="789" spans="1:52" ht="31.2" x14ac:dyDescent="0.3">
      <c r="A789" s="103">
        <v>779</v>
      </c>
      <c r="B789" s="109" t="s">
        <v>1600</v>
      </c>
      <c r="C789" s="30" t="s">
        <v>1899</v>
      </c>
      <c r="D789" s="110" t="s">
        <v>1900</v>
      </c>
      <c r="E789" s="110" t="s">
        <v>1917</v>
      </c>
      <c r="F789" s="30" t="s">
        <v>2703</v>
      </c>
      <c r="G789" s="26" t="s">
        <v>145</v>
      </c>
      <c r="H789" s="24" t="s">
        <v>146</v>
      </c>
      <c r="I789" s="109">
        <v>1</v>
      </c>
      <c r="J789" s="109" t="s">
        <v>1918</v>
      </c>
      <c r="K789" s="109">
        <v>76</v>
      </c>
      <c r="L789" s="109" t="s">
        <v>1919</v>
      </c>
      <c r="M789" s="109" t="s">
        <v>1904</v>
      </c>
      <c r="N789" s="109" t="s">
        <v>529</v>
      </c>
      <c r="O789" s="109" t="s">
        <v>1920</v>
      </c>
      <c r="P789" s="109" t="s">
        <v>1921</v>
      </c>
      <c r="Q789" s="102">
        <v>0</v>
      </c>
      <c r="R789" s="109" t="s">
        <v>1907</v>
      </c>
      <c r="S789" s="109" t="s">
        <v>1922</v>
      </c>
      <c r="T789" s="25"/>
      <c r="U789" s="111" t="s">
        <v>1923</v>
      </c>
      <c r="V789" s="111" t="s">
        <v>1923</v>
      </c>
      <c r="W789" s="112" t="s">
        <v>2393</v>
      </c>
      <c r="X789" s="112" t="s">
        <v>208</v>
      </c>
      <c r="Y789" s="112" t="s">
        <v>2394</v>
      </c>
      <c r="Z789" s="112" t="s">
        <v>208</v>
      </c>
      <c r="AA789" s="112" t="s">
        <v>2395</v>
      </c>
      <c r="AB789" s="112" t="s">
        <v>208</v>
      </c>
      <c r="AC789" s="112">
        <v>21.72</v>
      </c>
      <c r="AD789" s="112" t="s">
        <v>208</v>
      </c>
      <c r="AE789" s="112">
        <v>10.28</v>
      </c>
      <c r="AF789" s="112" t="s">
        <v>208</v>
      </c>
      <c r="AG789" s="112">
        <v>0</v>
      </c>
      <c r="AH789" s="112"/>
      <c r="AI789" s="112">
        <v>0</v>
      </c>
      <c r="AJ789" s="112"/>
      <c r="AK789" s="112">
        <v>0</v>
      </c>
      <c r="AL789" s="112"/>
      <c r="AM789" s="112">
        <v>0</v>
      </c>
      <c r="AN789" s="112"/>
      <c r="AO789" s="112">
        <v>22.55</v>
      </c>
      <c r="AP789" s="112" t="s">
        <v>208</v>
      </c>
      <c r="AQ789" s="112">
        <v>25.19</v>
      </c>
      <c r="AR789" s="112" t="s">
        <v>208</v>
      </c>
      <c r="AS789" s="112">
        <v>39.76</v>
      </c>
      <c r="AT789" s="112" t="s">
        <v>208</v>
      </c>
      <c r="AU789" s="112">
        <f t="shared" si="26"/>
        <v>281.63</v>
      </c>
      <c r="AV789" s="111">
        <v>0.20374</v>
      </c>
      <c r="AW789" s="111" t="s">
        <v>1904</v>
      </c>
      <c r="AX789" s="25"/>
      <c r="AY789" s="25"/>
      <c r="AZ789" s="25"/>
    </row>
    <row r="790" spans="1:52" ht="31.2" x14ac:dyDescent="0.3">
      <c r="A790" s="103">
        <v>780</v>
      </c>
      <c r="B790" s="109" t="s">
        <v>1601</v>
      </c>
      <c r="C790" s="30" t="s">
        <v>1899</v>
      </c>
      <c r="D790" s="110" t="s">
        <v>1900</v>
      </c>
      <c r="E790" s="110" t="s">
        <v>1917</v>
      </c>
      <c r="F790" s="30" t="s">
        <v>2703</v>
      </c>
      <c r="G790" s="26" t="s">
        <v>145</v>
      </c>
      <c r="H790" s="24" t="s">
        <v>146</v>
      </c>
      <c r="I790" s="109">
        <v>1</v>
      </c>
      <c r="J790" s="109" t="s">
        <v>1918</v>
      </c>
      <c r="K790" s="109">
        <v>50</v>
      </c>
      <c r="L790" s="109" t="s">
        <v>1919</v>
      </c>
      <c r="M790" s="109" t="s">
        <v>1904</v>
      </c>
      <c r="N790" s="109" t="s">
        <v>529</v>
      </c>
      <c r="O790" s="109" t="s">
        <v>1920</v>
      </c>
      <c r="P790" s="109" t="s">
        <v>1921</v>
      </c>
      <c r="Q790" s="102">
        <v>0</v>
      </c>
      <c r="R790" s="109" t="s">
        <v>1907</v>
      </c>
      <c r="S790" s="109" t="s">
        <v>1922</v>
      </c>
      <c r="T790" s="25"/>
      <c r="U790" s="111" t="s">
        <v>1923</v>
      </c>
      <c r="V790" s="111" t="s">
        <v>1923</v>
      </c>
      <c r="W790" s="112" t="s">
        <v>2393</v>
      </c>
      <c r="X790" s="112" t="s">
        <v>208</v>
      </c>
      <c r="Y790" s="112" t="s">
        <v>2394</v>
      </c>
      <c r="Z790" s="112" t="s">
        <v>208</v>
      </c>
      <c r="AA790" s="112" t="s">
        <v>2395</v>
      </c>
      <c r="AB790" s="112" t="s">
        <v>208</v>
      </c>
      <c r="AC790" s="112">
        <v>21.72</v>
      </c>
      <c r="AD790" s="112" t="s">
        <v>208</v>
      </c>
      <c r="AE790" s="112">
        <v>10.28</v>
      </c>
      <c r="AF790" s="112" t="s">
        <v>208</v>
      </c>
      <c r="AG790" s="112">
        <v>0</v>
      </c>
      <c r="AH790" s="112"/>
      <c r="AI790" s="112">
        <v>0</v>
      </c>
      <c r="AJ790" s="112"/>
      <c r="AK790" s="112">
        <v>0</v>
      </c>
      <c r="AL790" s="112"/>
      <c r="AM790" s="112">
        <v>0</v>
      </c>
      <c r="AN790" s="112"/>
      <c r="AO790" s="112">
        <v>22.55</v>
      </c>
      <c r="AP790" s="112" t="s">
        <v>208</v>
      </c>
      <c r="AQ790" s="112">
        <v>25.19</v>
      </c>
      <c r="AR790" s="112" t="s">
        <v>208</v>
      </c>
      <c r="AS790" s="112">
        <v>39.76</v>
      </c>
      <c r="AT790" s="112" t="s">
        <v>208</v>
      </c>
      <c r="AU790" s="112">
        <f t="shared" si="26"/>
        <v>281.63</v>
      </c>
      <c r="AV790" s="111">
        <v>0.20374</v>
      </c>
      <c r="AW790" s="111" t="s">
        <v>1904</v>
      </c>
      <c r="AX790" s="25"/>
      <c r="AY790" s="25"/>
      <c r="AZ790" s="25"/>
    </row>
    <row r="791" spans="1:52" ht="31.2" x14ac:dyDescent="0.3">
      <c r="A791" s="103">
        <v>781</v>
      </c>
      <c r="B791" s="109" t="s">
        <v>1602</v>
      </c>
      <c r="C791" s="30" t="s">
        <v>1899</v>
      </c>
      <c r="D791" s="110" t="s">
        <v>1900</v>
      </c>
      <c r="E791" s="110" t="s">
        <v>1917</v>
      </c>
      <c r="F791" s="30" t="s">
        <v>2703</v>
      </c>
      <c r="G791" s="26" t="s">
        <v>145</v>
      </c>
      <c r="H791" s="24" t="s">
        <v>146</v>
      </c>
      <c r="I791" s="109">
        <v>1</v>
      </c>
      <c r="J791" s="109" t="s">
        <v>1918</v>
      </c>
      <c r="K791" s="109">
        <v>50</v>
      </c>
      <c r="L791" s="109" t="s">
        <v>1919</v>
      </c>
      <c r="M791" s="109" t="s">
        <v>1904</v>
      </c>
      <c r="N791" s="109" t="s">
        <v>529</v>
      </c>
      <c r="O791" s="109" t="s">
        <v>1920</v>
      </c>
      <c r="P791" s="109" t="s">
        <v>1921</v>
      </c>
      <c r="Q791" s="102">
        <v>0</v>
      </c>
      <c r="R791" s="109" t="s">
        <v>1907</v>
      </c>
      <c r="S791" s="109" t="s">
        <v>1922</v>
      </c>
      <c r="T791" s="25"/>
      <c r="U791" s="111" t="s">
        <v>1923</v>
      </c>
      <c r="V791" s="111" t="s">
        <v>1923</v>
      </c>
      <c r="W791" s="112" t="s">
        <v>2396</v>
      </c>
      <c r="X791" s="112" t="s">
        <v>1906</v>
      </c>
      <c r="Y791" s="112" t="s">
        <v>2397</v>
      </c>
      <c r="Z791" s="112" t="s">
        <v>1906</v>
      </c>
      <c r="AA791" s="112" t="s">
        <v>2398</v>
      </c>
      <c r="AB791" s="112" t="s">
        <v>1906</v>
      </c>
      <c r="AC791" s="112">
        <v>29.46</v>
      </c>
      <c r="AD791" s="112" t="s">
        <v>1906</v>
      </c>
      <c r="AE791" s="112">
        <v>8.5500000000000007</v>
      </c>
      <c r="AF791" s="112" t="s">
        <v>1906</v>
      </c>
      <c r="AG791" s="112">
        <v>0</v>
      </c>
      <c r="AH791" s="112"/>
      <c r="AI791" s="112">
        <v>0</v>
      </c>
      <c r="AJ791" s="112"/>
      <c r="AK791" s="112">
        <v>0</v>
      </c>
      <c r="AL791" s="112"/>
      <c r="AM791" s="112">
        <v>0</v>
      </c>
      <c r="AN791" s="112"/>
      <c r="AO791" s="112">
        <v>24.83</v>
      </c>
      <c r="AP791" s="112" t="s">
        <v>208</v>
      </c>
      <c r="AQ791" s="112">
        <v>24.83</v>
      </c>
      <c r="AR791" s="112" t="s">
        <v>208</v>
      </c>
      <c r="AS791" s="112">
        <v>24.83</v>
      </c>
      <c r="AT791" s="112" t="s">
        <v>208</v>
      </c>
      <c r="AU791" s="112">
        <f t="shared" si="26"/>
        <v>207.38</v>
      </c>
      <c r="AV791" s="111">
        <v>7.4270000000000003E-2</v>
      </c>
      <c r="AW791" s="111" t="s">
        <v>1904</v>
      </c>
      <c r="AX791" s="25"/>
      <c r="AY791" s="25"/>
      <c r="AZ791" s="25"/>
    </row>
    <row r="792" spans="1:52" ht="31.2" x14ac:dyDescent="0.3">
      <c r="A792" s="103">
        <v>782</v>
      </c>
      <c r="B792" s="109" t="s">
        <v>1603</v>
      </c>
      <c r="C792" s="30" t="s">
        <v>1899</v>
      </c>
      <c r="D792" s="110" t="s">
        <v>1900</v>
      </c>
      <c r="E792" s="110" t="s">
        <v>1917</v>
      </c>
      <c r="F792" s="30" t="s">
        <v>2703</v>
      </c>
      <c r="G792" s="26" t="s">
        <v>145</v>
      </c>
      <c r="H792" s="24" t="s">
        <v>146</v>
      </c>
      <c r="I792" s="109">
        <v>1</v>
      </c>
      <c r="J792" s="109" t="s">
        <v>1918</v>
      </c>
      <c r="K792" s="109">
        <v>89</v>
      </c>
      <c r="L792" s="109" t="s">
        <v>1919</v>
      </c>
      <c r="M792" s="109" t="s">
        <v>1904</v>
      </c>
      <c r="N792" s="109" t="s">
        <v>529</v>
      </c>
      <c r="O792" s="109" t="s">
        <v>1920</v>
      </c>
      <c r="P792" s="109" t="s">
        <v>1921</v>
      </c>
      <c r="Q792" s="102">
        <v>0</v>
      </c>
      <c r="R792" s="109" t="s">
        <v>1907</v>
      </c>
      <c r="S792" s="109" t="s">
        <v>1922</v>
      </c>
      <c r="T792" s="25"/>
      <c r="U792" s="111" t="s">
        <v>1923</v>
      </c>
      <c r="V792" s="111" t="s">
        <v>1923</v>
      </c>
      <c r="W792" s="112" t="s">
        <v>2399</v>
      </c>
      <c r="X792" s="112" t="s">
        <v>208</v>
      </c>
      <c r="Y792" s="112" t="s">
        <v>2400</v>
      </c>
      <c r="Z792" s="112" t="s">
        <v>208</v>
      </c>
      <c r="AA792" s="112" t="s">
        <v>2401</v>
      </c>
      <c r="AB792" s="112" t="s">
        <v>208</v>
      </c>
      <c r="AC792" s="112">
        <v>50.22</v>
      </c>
      <c r="AD792" s="112" t="s">
        <v>208</v>
      </c>
      <c r="AE792" s="112">
        <v>14.58</v>
      </c>
      <c r="AF792" s="112" t="s">
        <v>208</v>
      </c>
      <c r="AG792" s="112">
        <v>0</v>
      </c>
      <c r="AH792" s="112"/>
      <c r="AI792" s="112">
        <v>0</v>
      </c>
      <c r="AJ792" s="112"/>
      <c r="AK792" s="112">
        <v>0</v>
      </c>
      <c r="AL792" s="112"/>
      <c r="AM792" s="112">
        <v>0</v>
      </c>
      <c r="AN792" s="112"/>
      <c r="AO792" s="112">
        <v>47.91</v>
      </c>
      <c r="AP792" s="112" t="s">
        <v>1906</v>
      </c>
      <c r="AQ792" s="112">
        <v>47.91</v>
      </c>
      <c r="AR792" s="112" t="s">
        <v>1906</v>
      </c>
      <c r="AS792" s="112">
        <v>47.91</v>
      </c>
      <c r="AT792" s="112" t="s">
        <v>1906</v>
      </c>
      <c r="AU792" s="112">
        <f t="shared" si="26"/>
        <v>404.68999999999994</v>
      </c>
      <c r="AV792" s="111">
        <v>0.1646</v>
      </c>
      <c r="AW792" s="111" t="s">
        <v>1904</v>
      </c>
      <c r="AX792" s="25"/>
      <c r="AY792" s="25"/>
      <c r="AZ792" s="25"/>
    </row>
    <row r="793" spans="1:52" ht="31.2" x14ac:dyDescent="0.3">
      <c r="A793" s="103">
        <v>783</v>
      </c>
      <c r="B793" s="109" t="s">
        <v>1604</v>
      </c>
      <c r="C793" s="30" t="s">
        <v>1899</v>
      </c>
      <c r="D793" s="110" t="s">
        <v>1900</v>
      </c>
      <c r="E793" s="110" t="s">
        <v>1917</v>
      </c>
      <c r="F793" s="30" t="s">
        <v>2703</v>
      </c>
      <c r="G793" s="26" t="s">
        <v>145</v>
      </c>
      <c r="H793" s="24" t="s">
        <v>146</v>
      </c>
      <c r="I793" s="109">
        <v>1</v>
      </c>
      <c r="J793" s="109" t="s">
        <v>1918</v>
      </c>
      <c r="K793" s="109">
        <v>50</v>
      </c>
      <c r="L793" s="109" t="s">
        <v>1919</v>
      </c>
      <c r="M793" s="109" t="s">
        <v>1904</v>
      </c>
      <c r="N793" s="109" t="s">
        <v>529</v>
      </c>
      <c r="O793" s="109" t="s">
        <v>1920</v>
      </c>
      <c r="P793" s="109" t="s">
        <v>1921</v>
      </c>
      <c r="Q793" s="102">
        <v>0</v>
      </c>
      <c r="R793" s="109" t="s">
        <v>1907</v>
      </c>
      <c r="S793" s="109" t="s">
        <v>1922</v>
      </c>
      <c r="T793" s="25"/>
      <c r="U793" s="111" t="s">
        <v>1923</v>
      </c>
      <c r="V793" s="111" t="s">
        <v>1923</v>
      </c>
      <c r="W793" s="112" t="s">
        <v>2402</v>
      </c>
      <c r="X793" s="112" t="s">
        <v>1906</v>
      </c>
      <c r="Y793" s="112" t="s">
        <v>2403</v>
      </c>
      <c r="Z793" s="112" t="s">
        <v>1906</v>
      </c>
      <c r="AA793" s="112" t="s">
        <v>2090</v>
      </c>
      <c r="AB793" s="112" t="s">
        <v>1906</v>
      </c>
      <c r="AC793" s="112">
        <v>44.65</v>
      </c>
      <c r="AD793" s="112" t="s">
        <v>1906</v>
      </c>
      <c r="AE793" s="112">
        <v>12.96</v>
      </c>
      <c r="AF793" s="112" t="s">
        <v>1906</v>
      </c>
      <c r="AG793" s="112">
        <v>0</v>
      </c>
      <c r="AH793" s="112"/>
      <c r="AI793" s="112">
        <v>0</v>
      </c>
      <c r="AJ793" s="112"/>
      <c r="AK793" s="112">
        <v>0</v>
      </c>
      <c r="AL793" s="112"/>
      <c r="AM793" s="112">
        <v>0</v>
      </c>
      <c r="AN793" s="112"/>
      <c r="AO793" s="112">
        <v>42.8</v>
      </c>
      <c r="AP793" s="112" t="s">
        <v>208</v>
      </c>
      <c r="AQ793" s="112">
        <v>42.8</v>
      </c>
      <c r="AR793" s="112" t="s">
        <v>208</v>
      </c>
      <c r="AS793" s="112">
        <v>42.8</v>
      </c>
      <c r="AT793" s="112" t="s">
        <v>208</v>
      </c>
      <c r="AU793" s="112">
        <f t="shared" si="26"/>
        <v>335.49000000000007</v>
      </c>
      <c r="AV793" s="111">
        <v>0.17213000000000001</v>
      </c>
      <c r="AW793" s="111" t="s">
        <v>1904</v>
      </c>
      <c r="AX793" s="25"/>
      <c r="AY793" s="25"/>
      <c r="AZ793" s="25"/>
    </row>
    <row r="794" spans="1:52" ht="31.2" x14ac:dyDescent="0.3">
      <c r="A794" s="103">
        <v>784</v>
      </c>
      <c r="B794" s="109" t="s">
        <v>1605</v>
      </c>
      <c r="C794" s="30" t="s">
        <v>1899</v>
      </c>
      <c r="D794" s="110" t="s">
        <v>1900</v>
      </c>
      <c r="E794" s="110" t="s">
        <v>1917</v>
      </c>
      <c r="F794" s="30" t="s">
        <v>2703</v>
      </c>
      <c r="G794" s="26" t="s">
        <v>145</v>
      </c>
      <c r="H794" s="24" t="s">
        <v>146</v>
      </c>
      <c r="I794" s="109">
        <v>0</v>
      </c>
      <c r="J794" s="109" t="s">
        <v>1918</v>
      </c>
      <c r="K794" s="109">
        <v>76</v>
      </c>
      <c r="L794" s="109" t="s">
        <v>1919</v>
      </c>
      <c r="M794" s="109" t="s">
        <v>1904</v>
      </c>
      <c r="N794" s="109" t="s">
        <v>529</v>
      </c>
      <c r="O794" s="109" t="s">
        <v>1920</v>
      </c>
      <c r="P794" s="109" t="s">
        <v>1920</v>
      </c>
      <c r="Q794" s="102">
        <v>0</v>
      </c>
      <c r="R794" s="109" t="s">
        <v>1907</v>
      </c>
      <c r="S794" s="109" t="s">
        <v>1922</v>
      </c>
      <c r="T794" s="25"/>
      <c r="U794" s="111" t="s">
        <v>1923</v>
      </c>
      <c r="V794" s="111" t="s">
        <v>1923</v>
      </c>
      <c r="W794" s="112" t="s">
        <v>2404</v>
      </c>
      <c r="X794" s="112" t="s">
        <v>1906</v>
      </c>
      <c r="Y794" s="112" t="s">
        <v>2404</v>
      </c>
      <c r="Z794" s="112" t="s">
        <v>1906</v>
      </c>
      <c r="AA794" s="112" t="s">
        <v>2404</v>
      </c>
      <c r="AB794" s="112" t="s">
        <v>1906</v>
      </c>
      <c r="AC794" s="112">
        <v>35.15</v>
      </c>
      <c r="AD794" s="112" t="s">
        <v>1906</v>
      </c>
      <c r="AE794" s="112">
        <v>10.210000000000001</v>
      </c>
      <c r="AF794" s="112" t="s">
        <v>1906</v>
      </c>
      <c r="AG794" s="112">
        <v>0</v>
      </c>
      <c r="AH794" s="112"/>
      <c r="AI794" s="112">
        <v>0</v>
      </c>
      <c r="AJ794" s="112"/>
      <c r="AK794" s="112">
        <v>0</v>
      </c>
      <c r="AL794" s="112"/>
      <c r="AM794" s="112">
        <v>7.7</v>
      </c>
      <c r="AN794" s="112" t="s">
        <v>1906</v>
      </c>
      <c r="AO794" s="112">
        <v>33.020000000000003</v>
      </c>
      <c r="AP794" s="112" t="s">
        <v>1906</v>
      </c>
      <c r="AQ794" s="112">
        <v>33.020000000000003</v>
      </c>
      <c r="AR794" s="112" t="s">
        <v>1906</v>
      </c>
      <c r="AS794" s="112">
        <v>33.020000000000003</v>
      </c>
      <c r="AT794" s="112" t="s">
        <v>1906</v>
      </c>
      <c r="AU794" s="112">
        <f t="shared" si="26"/>
        <v>257.57</v>
      </c>
      <c r="AV794" s="111">
        <v>0.12545999999999999</v>
      </c>
      <c r="AW794" s="111" t="s">
        <v>1904</v>
      </c>
      <c r="AX794" s="25"/>
      <c r="AY794" s="25"/>
      <c r="AZ794" s="25"/>
    </row>
    <row r="795" spans="1:52" ht="31.2" x14ac:dyDescent="0.3">
      <c r="A795" s="103">
        <v>785</v>
      </c>
      <c r="B795" s="109" t="s">
        <v>1606</v>
      </c>
      <c r="C795" s="30" t="s">
        <v>1899</v>
      </c>
      <c r="D795" s="110" t="s">
        <v>1900</v>
      </c>
      <c r="E795" s="110" t="s">
        <v>1917</v>
      </c>
      <c r="F795" s="30" t="s">
        <v>2703</v>
      </c>
      <c r="G795" s="26" t="s">
        <v>145</v>
      </c>
      <c r="H795" s="24" t="s">
        <v>146</v>
      </c>
      <c r="I795" s="109">
        <v>1</v>
      </c>
      <c r="J795" s="109" t="s">
        <v>1918</v>
      </c>
      <c r="K795" s="109">
        <v>89</v>
      </c>
      <c r="L795" s="109" t="s">
        <v>1919</v>
      </c>
      <c r="M795" s="109" t="s">
        <v>1904</v>
      </c>
      <c r="N795" s="109" t="s">
        <v>529</v>
      </c>
      <c r="O795" s="109" t="s">
        <v>1920</v>
      </c>
      <c r="P795" s="109" t="s">
        <v>1921</v>
      </c>
      <c r="Q795" s="102">
        <v>0</v>
      </c>
      <c r="R795" s="109" t="s">
        <v>1907</v>
      </c>
      <c r="S795" s="109" t="s">
        <v>1922</v>
      </c>
      <c r="T795" s="25"/>
      <c r="U795" s="111" t="s">
        <v>1923</v>
      </c>
      <c r="V795" s="111" t="s">
        <v>1923</v>
      </c>
      <c r="W795" s="112" t="s">
        <v>2405</v>
      </c>
      <c r="X795" s="112" t="s">
        <v>1906</v>
      </c>
      <c r="Y795" s="112" t="s">
        <v>2406</v>
      </c>
      <c r="Z795" s="112" t="s">
        <v>1906</v>
      </c>
      <c r="AA795" s="112" t="s">
        <v>2407</v>
      </c>
      <c r="AB795" s="112" t="s">
        <v>1906</v>
      </c>
      <c r="AC795" s="112">
        <v>31.49</v>
      </c>
      <c r="AD795" s="112" t="s">
        <v>1906</v>
      </c>
      <c r="AE795" s="112">
        <v>12.44</v>
      </c>
      <c r="AF795" s="112" t="s">
        <v>1906</v>
      </c>
      <c r="AG795" s="112">
        <v>0</v>
      </c>
      <c r="AH795" s="112"/>
      <c r="AI795" s="112">
        <v>0</v>
      </c>
      <c r="AJ795" s="112"/>
      <c r="AK795" s="112">
        <v>0</v>
      </c>
      <c r="AL795" s="112"/>
      <c r="AM795" s="112">
        <v>0</v>
      </c>
      <c r="AN795" s="112"/>
      <c r="AO795" s="112">
        <v>67.989999999999995</v>
      </c>
      <c r="AP795" s="112" t="s">
        <v>208</v>
      </c>
      <c r="AQ795" s="112">
        <v>24.21</v>
      </c>
      <c r="AR795" s="112" t="s">
        <v>208</v>
      </c>
      <c r="AS795" s="112">
        <v>53.25</v>
      </c>
      <c r="AT795" s="112" t="s">
        <v>208</v>
      </c>
      <c r="AU795" s="112">
        <f t="shared" si="26"/>
        <v>397.9</v>
      </c>
      <c r="AV795" s="111">
        <v>0.23058000000000001</v>
      </c>
      <c r="AW795" s="111" t="s">
        <v>1904</v>
      </c>
      <c r="AX795" s="25"/>
      <c r="AY795" s="25"/>
      <c r="AZ795" s="25"/>
    </row>
    <row r="796" spans="1:52" ht="31.2" x14ac:dyDescent="0.3">
      <c r="A796" s="103">
        <v>786</v>
      </c>
      <c r="B796" s="109" t="s">
        <v>1607</v>
      </c>
      <c r="C796" s="30" t="s">
        <v>1899</v>
      </c>
      <c r="D796" s="110" t="s">
        <v>1900</v>
      </c>
      <c r="E796" s="110" t="s">
        <v>1917</v>
      </c>
      <c r="F796" s="30" t="s">
        <v>2703</v>
      </c>
      <c r="G796" s="26" t="s">
        <v>145</v>
      </c>
      <c r="H796" s="24" t="s">
        <v>146</v>
      </c>
      <c r="I796" s="109">
        <v>1</v>
      </c>
      <c r="J796" s="109" t="s">
        <v>1918</v>
      </c>
      <c r="K796" s="109">
        <v>38</v>
      </c>
      <c r="L796" s="109" t="s">
        <v>1919</v>
      </c>
      <c r="M796" s="109" t="s">
        <v>1904</v>
      </c>
      <c r="N796" s="109" t="s">
        <v>529</v>
      </c>
      <c r="O796" s="109" t="s">
        <v>1920</v>
      </c>
      <c r="P796" s="109" t="s">
        <v>1921</v>
      </c>
      <c r="Q796" s="102">
        <v>0</v>
      </c>
      <c r="R796" s="109" t="s">
        <v>1907</v>
      </c>
      <c r="S796" s="109" t="s">
        <v>1922</v>
      </c>
      <c r="T796" s="25"/>
      <c r="U796" s="111" t="s">
        <v>1923</v>
      </c>
      <c r="V796" s="111" t="s">
        <v>1923</v>
      </c>
      <c r="W796" s="112" t="s">
        <v>2405</v>
      </c>
      <c r="X796" s="112" t="s">
        <v>1906</v>
      </c>
      <c r="Y796" s="112" t="s">
        <v>2406</v>
      </c>
      <c r="Z796" s="112" t="s">
        <v>1906</v>
      </c>
      <c r="AA796" s="112" t="s">
        <v>2407</v>
      </c>
      <c r="AB796" s="112" t="s">
        <v>1906</v>
      </c>
      <c r="AC796" s="112">
        <v>31.49</v>
      </c>
      <c r="AD796" s="112" t="s">
        <v>1906</v>
      </c>
      <c r="AE796" s="112">
        <v>12.44</v>
      </c>
      <c r="AF796" s="112" t="s">
        <v>1906</v>
      </c>
      <c r="AG796" s="112">
        <v>0</v>
      </c>
      <c r="AH796" s="112"/>
      <c r="AI796" s="112">
        <v>0</v>
      </c>
      <c r="AJ796" s="112"/>
      <c r="AK796" s="112">
        <v>0</v>
      </c>
      <c r="AL796" s="112"/>
      <c r="AM796" s="112">
        <v>0</v>
      </c>
      <c r="AN796" s="112"/>
      <c r="AO796" s="112">
        <v>67.989999999999995</v>
      </c>
      <c r="AP796" s="112" t="s">
        <v>208</v>
      </c>
      <c r="AQ796" s="112">
        <v>24.21</v>
      </c>
      <c r="AR796" s="112" t="s">
        <v>208</v>
      </c>
      <c r="AS796" s="112">
        <v>53.25</v>
      </c>
      <c r="AT796" s="112" t="s">
        <v>208</v>
      </c>
      <c r="AU796" s="112">
        <f t="shared" si="26"/>
        <v>397.9</v>
      </c>
      <c r="AV796" s="111">
        <v>0.23058000000000001</v>
      </c>
      <c r="AW796" s="111" t="s">
        <v>1904</v>
      </c>
      <c r="AX796" s="25"/>
      <c r="AY796" s="25"/>
      <c r="AZ796" s="25"/>
    </row>
    <row r="797" spans="1:52" ht="31.2" x14ac:dyDescent="0.3">
      <c r="A797" s="103">
        <v>787</v>
      </c>
      <c r="B797" s="109" t="s">
        <v>1608</v>
      </c>
      <c r="C797" s="30" t="s">
        <v>1899</v>
      </c>
      <c r="D797" s="110" t="s">
        <v>1900</v>
      </c>
      <c r="E797" s="110" t="s">
        <v>1917</v>
      </c>
      <c r="F797" s="30" t="s">
        <v>2703</v>
      </c>
      <c r="G797" s="26" t="s">
        <v>145</v>
      </c>
      <c r="H797" s="24" t="s">
        <v>146</v>
      </c>
      <c r="I797" s="109">
        <v>1</v>
      </c>
      <c r="J797" s="109" t="s">
        <v>1918</v>
      </c>
      <c r="K797" s="109">
        <v>89</v>
      </c>
      <c r="L797" s="109" t="s">
        <v>1919</v>
      </c>
      <c r="M797" s="109" t="s">
        <v>1904</v>
      </c>
      <c r="N797" s="109" t="s">
        <v>529</v>
      </c>
      <c r="O797" s="109" t="s">
        <v>1920</v>
      </c>
      <c r="P797" s="109" t="s">
        <v>1921</v>
      </c>
      <c r="Q797" s="102">
        <v>0</v>
      </c>
      <c r="R797" s="109" t="s">
        <v>1907</v>
      </c>
      <c r="S797" s="109" t="s">
        <v>1922</v>
      </c>
      <c r="T797" s="25"/>
      <c r="U797" s="111" t="s">
        <v>1923</v>
      </c>
      <c r="V797" s="111" t="s">
        <v>1923</v>
      </c>
      <c r="W797" s="112" t="s">
        <v>2408</v>
      </c>
      <c r="X797" s="112" t="s">
        <v>1906</v>
      </c>
      <c r="Y797" s="112" t="s">
        <v>2409</v>
      </c>
      <c r="Z797" s="112" t="s">
        <v>1906</v>
      </c>
      <c r="AA797" s="112" t="s">
        <v>2410</v>
      </c>
      <c r="AB797" s="112" t="s">
        <v>1906</v>
      </c>
      <c r="AC797" s="112">
        <v>29.69</v>
      </c>
      <c r="AD797" s="112" t="s">
        <v>1906</v>
      </c>
      <c r="AE797" s="112">
        <v>11.69</v>
      </c>
      <c r="AF797" s="112" t="s">
        <v>1906</v>
      </c>
      <c r="AG797" s="112">
        <v>0</v>
      </c>
      <c r="AH797" s="112"/>
      <c r="AI797" s="112">
        <v>0</v>
      </c>
      <c r="AJ797" s="112"/>
      <c r="AK797" s="112">
        <v>0</v>
      </c>
      <c r="AL797" s="112"/>
      <c r="AM797" s="112">
        <v>0</v>
      </c>
      <c r="AN797" s="112"/>
      <c r="AO797" s="112">
        <v>28.24</v>
      </c>
      <c r="AP797" s="112" t="s">
        <v>208</v>
      </c>
      <c r="AQ797" s="112">
        <v>34.6</v>
      </c>
      <c r="AR797" s="112" t="s">
        <v>208</v>
      </c>
      <c r="AS797" s="112">
        <v>52.36</v>
      </c>
      <c r="AT797" s="112" t="s">
        <v>208</v>
      </c>
      <c r="AU797" s="112">
        <f t="shared" si="26"/>
        <v>347.89000000000004</v>
      </c>
      <c r="AV797" s="111">
        <v>0.20050000000000001</v>
      </c>
      <c r="AW797" s="111" t="s">
        <v>1904</v>
      </c>
      <c r="AX797" s="25"/>
      <c r="AY797" s="25"/>
      <c r="AZ797" s="25"/>
    </row>
    <row r="798" spans="1:52" ht="31.2" x14ac:dyDescent="0.3">
      <c r="A798" s="103">
        <v>788</v>
      </c>
      <c r="B798" s="109" t="s">
        <v>1610</v>
      </c>
      <c r="C798" s="30" t="s">
        <v>1899</v>
      </c>
      <c r="D798" s="110" t="s">
        <v>1900</v>
      </c>
      <c r="E798" s="110" t="s">
        <v>1917</v>
      </c>
      <c r="F798" s="30" t="s">
        <v>2703</v>
      </c>
      <c r="G798" s="26" t="s">
        <v>145</v>
      </c>
      <c r="H798" s="24" t="s">
        <v>146</v>
      </c>
      <c r="I798" s="109">
        <v>1</v>
      </c>
      <c r="J798" s="109" t="s">
        <v>1991</v>
      </c>
      <c r="K798" s="109">
        <v>76</v>
      </c>
      <c r="L798" s="109" t="s">
        <v>1919</v>
      </c>
      <c r="M798" s="109" t="s">
        <v>1904</v>
      </c>
      <c r="N798" s="109" t="s">
        <v>528</v>
      </c>
      <c r="O798" s="109" t="s">
        <v>1920</v>
      </c>
      <c r="P798" s="109" t="s">
        <v>1921</v>
      </c>
      <c r="Q798" s="102">
        <v>0</v>
      </c>
      <c r="R798" s="109" t="s">
        <v>1907</v>
      </c>
      <c r="S798" s="109" t="s">
        <v>1922</v>
      </c>
      <c r="T798" s="25"/>
      <c r="U798" s="111" t="s">
        <v>1923</v>
      </c>
      <c r="V798" s="111" t="s">
        <v>1923</v>
      </c>
      <c r="W798" s="112" t="s">
        <v>2411</v>
      </c>
      <c r="X798" s="112" t="s">
        <v>1906</v>
      </c>
      <c r="Y798" s="112" t="s">
        <v>2412</v>
      </c>
      <c r="Z798" s="112" t="s">
        <v>1906</v>
      </c>
      <c r="AA798" s="112" t="s">
        <v>2412</v>
      </c>
      <c r="AB798" s="112" t="s">
        <v>1906</v>
      </c>
      <c r="AC798" s="112">
        <v>26.56</v>
      </c>
      <c r="AD798" s="112" t="s">
        <v>1906</v>
      </c>
      <c r="AE798" s="112">
        <v>26.56</v>
      </c>
      <c r="AF798" s="112" t="s">
        <v>1906</v>
      </c>
      <c r="AG798" s="112">
        <v>24.99</v>
      </c>
      <c r="AH798" s="112" t="s">
        <v>1906</v>
      </c>
      <c r="AI798" s="112">
        <v>24.99</v>
      </c>
      <c r="AJ798" s="112" t="s">
        <v>1906</v>
      </c>
      <c r="AK798" s="112">
        <v>24.99</v>
      </c>
      <c r="AL798" s="112" t="s">
        <v>1906</v>
      </c>
      <c r="AM798" s="112">
        <v>24.99</v>
      </c>
      <c r="AN798" s="112" t="s">
        <v>1906</v>
      </c>
      <c r="AO798" s="112">
        <v>24.99</v>
      </c>
      <c r="AP798" s="112" t="s">
        <v>1906</v>
      </c>
      <c r="AQ798" s="112">
        <v>24.99</v>
      </c>
      <c r="AR798" s="112" t="s">
        <v>1906</v>
      </c>
      <c r="AS798" s="112">
        <v>24.99</v>
      </c>
      <c r="AT798" s="112" t="s">
        <v>1906</v>
      </c>
      <c r="AU798" s="112">
        <f t="shared" si="26"/>
        <v>305.86000000000007</v>
      </c>
      <c r="AV798" s="111">
        <v>0.14637</v>
      </c>
      <c r="AW798" s="111" t="s">
        <v>1904</v>
      </c>
      <c r="AX798" s="25"/>
      <c r="AY798" s="25"/>
      <c r="AZ798" s="25"/>
    </row>
    <row r="799" spans="1:52" ht="31.2" x14ac:dyDescent="0.3">
      <c r="A799" s="103">
        <v>789</v>
      </c>
      <c r="B799" s="109" t="s">
        <v>1611</v>
      </c>
      <c r="C799" s="30" t="s">
        <v>1899</v>
      </c>
      <c r="D799" s="110" t="s">
        <v>1900</v>
      </c>
      <c r="E799" s="110" t="s">
        <v>1917</v>
      </c>
      <c r="F799" s="30" t="s">
        <v>2703</v>
      </c>
      <c r="G799" s="26" t="s">
        <v>145</v>
      </c>
      <c r="H799" s="24" t="s">
        <v>146</v>
      </c>
      <c r="I799" s="109">
        <v>1</v>
      </c>
      <c r="J799" s="109" t="s">
        <v>1918</v>
      </c>
      <c r="K799" s="109">
        <v>89</v>
      </c>
      <c r="L799" s="109" t="s">
        <v>1919</v>
      </c>
      <c r="M799" s="109" t="s">
        <v>1904</v>
      </c>
      <c r="N799" s="109" t="s">
        <v>529</v>
      </c>
      <c r="O799" s="109" t="s">
        <v>1920</v>
      </c>
      <c r="P799" s="109" t="s">
        <v>1921</v>
      </c>
      <c r="Q799" s="102">
        <v>0</v>
      </c>
      <c r="R799" s="109" t="s">
        <v>1907</v>
      </c>
      <c r="S799" s="109" t="s">
        <v>1922</v>
      </c>
      <c r="T799" s="25"/>
      <c r="U799" s="111" t="s">
        <v>1923</v>
      </c>
      <c r="V799" s="111" t="s">
        <v>1923</v>
      </c>
      <c r="W799" s="112" t="s">
        <v>2413</v>
      </c>
      <c r="X799" s="112" t="s">
        <v>1906</v>
      </c>
      <c r="Y799" s="112" t="s">
        <v>2414</v>
      </c>
      <c r="Z799" s="112" t="s">
        <v>1906</v>
      </c>
      <c r="AA799" s="112" t="s">
        <v>2415</v>
      </c>
      <c r="AB799" s="112" t="s">
        <v>1906</v>
      </c>
      <c r="AC799" s="112">
        <v>63.29</v>
      </c>
      <c r="AD799" s="112" t="s">
        <v>1906</v>
      </c>
      <c r="AE799" s="112">
        <v>30.8</v>
      </c>
      <c r="AF799" s="112" t="s">
        <v>1906</v>
      </c>
      <c r="AG799" s="112">
        <v>0</v>
      </c>
      <c r="AH799" s="112"/>
      <c r="AI799" s="112">
        <v>0</v>
      </c>
      <c r="AJ799" s="112"/>
      <c r="AK799" s="112">
        <v>0</v>
      </c>
      <c r="AL799" s="112"/>
      <c r="AM799" s="112">
        <v>0</v>
      </c>
      <c r="AN799" s="112"/>
      <c r="AO799" s="112">
        <v>55.03</v>
      </c>
      <c r="AP799" s="112" t="s">
        <v>208</v>
      </c>
      <c r="AQ799" s="112">
        <v>45.72</v>
      </c>
      <c r="AR799" s="112" t="s">
        <v>208</v>
      </c>
      <c r="AS799" s="112">
        <v>98.55</v>
      </c>
      <c r="AT799" s="112" t="s">
        <v>208</v>
      </c>
      <c r="AU799" s="112">
        <f t="shared" si="26"/>
        <v>697.42</v>
      </c>
      <c r="AV799" s="111">
        <v>0.27700999999999998</v>
      </c>
      <c r="AW799" s="111" t="s">
        <v>1904</v>
      </c>
      <c r="AX799" s="25"/>
      <c r="AY799" s="25"/>
      <c r="AZ799" s="25"/>
    </row>
    <row r="800" spans="1:52" ht="31.2" x14ac:dyDescent="0.3">
      <c r="A800" s="103">
        <v>790</v>
      </c>
      <c r="B800" s="109" t="s">
        <v>1613</v>
      </c>
      <c r="C800" s="30" t="s">
        <v>1899</v>
      </c>
      <c r="D800" s="110" t="s">
        <v>1900</v>
      </c>
      <c r="E800" s="110" t="s">
        <v>1917</v>
      </c>
      <c r="F800" s="30" t="s">
        <v>2703</v>
      </c>
      <c r="G800" s="26" t="s">
        <v>145</v>
      </c>
      <c r="H800" s="24" t="s">
        <v>146</v>
      </c>
      <c r="I800" s="109">
        <v>0</v>
      </c>
      <c r="J800" s="109" t="s">
        <v>1918</v>
      </c>
      <c r="K800" s="109">
        <v>45</v>
      </c>
      <c r="L800" s="109" t="s">
        <v>1919</v>
      </c>
      <c r="M800" s="109" t="s">
        <v>1904</v>
      </c>
      <c r="N800" s="109" t="s">
        <v>529</v>
      </c>
      <c r="O800" s="109" t="s">
        <v>1920</v>
      </c>
      <c r="P800" s="109" t="s">
        <v>1920</v>
      </c>
      <c r="Q800" s="102">
        <v>0</v>
      </c>
      <c r="R800" s="109" t="s">
        <v>1907</v>
      </c>
      <c r="S800" s="109" t="s">
        <v>1922</v>
      </c>
      <c r="T800" s="25"/>
      <c r="U800" s="111" t="s">
        <v>1923</v>
      </c>
      <c r="V800" s="111" t="s">
        <v>1923</v>
      </c>
      <c r="W800" s="112" t="s">
        <v>2416</v>
      </c>
      <c r="X800" s="112" t="s">
        <v>1906</v>
      </c>
      <c r="Y800" s="112" t="s">
        <v>2416</v>
      </c>
      <c r="Z800" s="112" t="s">
        <v>1906</v>
      </c>
      <c r="AA800" s="112" t="s">
        <v>2416</v>
      </c>
      <c r="AB800" s="112" t="s">
        <v>1906</v>
      </c>
      <c r="AC800" s="112">
        <v>10.79</v>
      </c>
      <c r="AD800" s="112" t="s">
        <v>1906</v>
      </c>
      <c r="AE800" s="112">
        <v>3.13</v>
      </c>
      <c r="AF800" s="112" t="s">
        <v>1906</v>
      </c>
      <c r="AG800" s="112">
        <v>0</v>
      </c>
      <c r="AH800" s="112"/>
      <c r="AI800" s="112">
        <v>0</v>
      </c>
      <c r="AJ800" s="112"/>
      <c r="AK800" s="112">
        <v>0</v>
      </c>
      <c r="AL800" s="112"/>
      <c r="AM800" s="112">
        <v>2.09</v>
      </c>
      <c r="AN800" s="112" t="s">
        <v>1906</v>
      </c>
      <c r="AO800" s="112">
        <v>8.9600000000000009</v>
      </c>
      <c r="AP800" s="112" t="s">
        <v>1906</v>
      </c>
      <c r="AQ800" s="112">
        <v>8.9600000000000009</v>
      </c>
      <c r="AR800" s="112" t="s">
        <v>1906</v>
      </c>
      <c r="AS800" s="112">
        <v>8.9600000000000009</v>
      </c>
      <c r="AT800" s="112" t="s">
        <v>1906</v>
      </c>
      <c r="AU800" s="112">
        <f t="shared" si="26"/>
        <v>75.259999999999991</v>
      </c>
      <c r="AV800" s="111">
        <v>5.5199999999999999E-2</v>
      </c>
      <c r="AW800" s="111" t="s">
        <v>1904</v>
      </c>
      <c r="AX800" s="25"/>
      <c r="AY800" s="25"/>
      <c r="AZ800" s="25"/>
    </row>
    <row r="801" spans="1:52" ht="31.2" x14ac:dyDescent="0.3">
      <c r="A801" s="103">
        <v>791</v>
      </c>
      <c r="B801" s="109" t="s">
        <v>1615</v>
      </c>
      <c r="C801" s="30" t="s">
        <v>1899</v>
      </c>
      <c r="D801" s="110" t="s">
        <v>1900</v>
      </c>
      <c r="E801" s="110" t="s">
        <v>1917</v>
      </c>
      <c r="F801" s="30" t="s">
        <v>2703</v>
      </c>
      <c r="G801" s="26" t="s">
        <v>145</v>
      </c>
      <c r="H801" s="24" t="s">
        <v>146</v>
      </c>
      <c r="I801" s="109">
        <v>1</v>
      </c>
      <c r="J801" s="109" t="s">
        <v>1918</v>
      </c>
      <c r="K801" s="109">
        <v>76</v>
      </c>
      <c r="L801" s="109" t="s">
        <v>1919</v>
      </c>
      <c r="M801" s="109" t="s">
        <v>1904</v>
      </c>
      <c r="N801" s="109" t="s">
        <v>529</v>
      </c>
      <c r="O801" s="109" t="s">
        <v>1920</v>
      </c>
      <c r="P801" s="109" t="s">
        <v>1921</v>
      </c>
      <c r="Q801" s="102">
        <v>0</v>
      </c>
      <c r="R801" s="109" t="s">
        <v>1907</v>
      </c>
      <c r="S801" s="109" t="s">
        <v>1922</v>
      </c>
      <c r="T801" s="25"/>
      <c r="U801" s="111" t="s">
        <v>1923</v>
      </c>
      <c r="V801" s="111" t="s">
        <v>1923</v>
      </c>
      <c r="W801" s="112" t="s">
        <v>2417</v>
      </c>
      <c r="X801" s="112" t="s">
        <v>1906</v>
      </c>
      <c r="Y801" s="112" t="s">
        <v>2418</v>
      </c>
      <c r="Z801" s="112" t="s">
        <v>1906</v>
      </c>
      <c r="AA801" s="112" t="s">
        <v>2419</v>
      </c>
      <c r="AB801" s="112" t="s">
        <v>1906</v>
      </c>
      <c r="AC801" s="112">
        <v>23.88</v>
      </c>
      <c r="AD801" s="112" t="s">
        <v>1906</v>
      </c>
      <c r="AE801" s="112">
        <v>9.14</v>
      </c>
      <c r="AF801" s="112" t="s">
        <v>1906</v>
      </c>
      <c r="AG801" s="112">
        <v>0</v>
      </c>
      <c r="AH801" s="112"/>
      <c r="AI801" s="112">
        <v>0</v>
      </c>
      <c r="AJ801" s="112"/>
      <c r="AK801" s="112">
        <v>0</v>
      </c>
      <c r="AL801" s="112"/>
      <c r="AM801" s="112">
        <v>0</v>
      </c>
      <c r="AN801" s="112"/>
      <c r="AO801" s="112">
        <v>21.61</v>
      </c>
      <c r="AP801" s="112" t="s">
        <v>208</v>
      </c>
      <c r="AQ801" s="112">
        <v>25.21</v>
      </c>
      <c r="AR801" s="112" t="s">
        <v>208</v>
      </c>
      <c r="AS801" s="112">
        <v>37.33</v>
      </c>
      <c r="AT801" s="112" t="s">
        <v>208</v>
      </c>
      <c r="AU801" s="112">
        <f t="shared" si="26"/>
        <v>278.94</v>
      </c>
      <c r="AV801" s="111">
        <v>0.26496999999999998</v>
      </c>
      <c r="AW801" s="111" t="s">
        <v>1904</v>
      </c>
      <c r="AX801" s="25"/>
      <c r="AY801" s="25"/>
      <c r="AZ801" s="25"/>
    </row>
    <row r="802" spans="1:52" ht="31.2" x14ac:dyDescent="0.3">
      <c r="A802" s="103">
        <v>792</v>
      </c>
      <c r="B802" s="109" t="s">
        <v>1616</v>
      </c>
      <c r="C802" s="30" t="s">
        <v>1899</v>
      </c>
      <c r="D802" s="110" t="s">
        <v>1900</v>
      </c>
      <c r="E802" s="110" t="s">
        <v>1917</v>
      </c>
      <c r="F802" s="30" t="s">
        <v>2703</v>
      </c>
      <c r="G802" s="26" t="s">
        <v>145</v>
      </c>
      <c r="H802" s="24" t="s">
        <v>146</v>
      </c>
      <c r="I802" s="109">
        <v>0</v>
      </c>
      <c r="J802" s="109" t="s">
        <v>1918</v>
      </c>
      <c r="K802" s="109">
        <v>50</v>
      </c>
      <c r="L802" s="109" t="s">
        <v>1919</v>
      </c>
      <c r="M802" s="109" t="s">
        <v>1904</v>
      </c>
      <c r="N802" s="109" t="s">
        <v>529</v>
      </c>
      <c r="O802" s="109" t="s">
        <v>1920</v>
      </c>
      <c r="P802" s="109" t="s">
        <v>1920</v>
      </c>
      <c r="Q802" s="102">
        <v>0</v>
      </c>
      <c r="R802" s="109" t="s">
        <v>1907</v>
      </c>
      <c r="S802" s="109" t="s">
        <v>1922</v>
      </c>
      <c r="T802" s="25"/>
      <c r="U802" s="111" t="s">
        <v>1923</v>
      </c>
      <c r="V802" s="111" t="s">
        <v>1923</v>
      </c>
      <c r="W802" s="112" t="s">
        <v>2420</v>
      </c>
      <c r="X802" s="112" t="s">
        <v>1906</v>
      </c>
      <c r="Y802" s="112" t="s">
        <v>2420</v>
      </c>
      <c r="Z802" s="112" t="s">
        <v>1906</v>
      </c>
      <c r="AA802" s="112" t="s">
        <v>2420</v>
      </c>
      <c r="AB802" s="112" t="s">
        <v>1906</v>
      </c>
      <c r="AC802" s="112">
        <v>17.91</v>
      </c>
      <c r="AD802" s="112" t="s">
        <v>1906</v>
      </c>
      <c r="AE802" s="112">
        <v>5.19</v>
      </c>
      <c r="AF802" s="112" t="s">
        <v>1906</v>
      </c>
      <c r="AG802" s="112">
        <v>0</v>
      </c>
      <c r="AH802" s="112"/>
      <c r="AI802" s="112">
        <v>0</v>
      </c>
      <c r="AJ802" s="112"/>
      <c r="AK802" s="112">
        <v>0</v>
      </c>
      <c r="AL802" s="112"/>
      <c r="AM802" s="112">
        <v>4.01</v>
      </c>
      <c r="AN802" s="112" t="s">
        <v>1906</v>
      </c>
      <c r="AO802" s="112">
        <v>17.190000000000001</v>
      </c>
      <c r="AP802" s="112" t="s">
        <v>1906</v>
      </c>
      <c r="AQ802" s="112">
        <v>17.190000000000001</v>
      </c>
      <c r="AR802" s="112" t="s">
        <v>1906</v>
      </c>
      <c r="AS802" s="112">
        <v>17.190000000000001</v>
      </c>
      <c r="AT802" s="112" t="s">
        <v>1906</v>
      </c>
      <c r="AU802" s="112">
        <f t="shared" si="26"/>
        <v>132.41</v>
      </c>
      <c r="AV802" s="111">
        <v>0.11541999999999999</v>
      </c>
      <c r="AW802" s="111" t="s">
        <v>1904</v>
      </c>
      <c r="AX802" s="25"/>
      <c r="AY802" s="25"/>
      <c r="AZ802" s="25"/>
    </row>
    <row r="803" spans="1:52" ht="31.2" x14ac:dyDescent="0.3">
      <c r="A803" s="103">
        <v>793</v>
      </c>
      <c r="B803" s="109" t="s">
        <v>1617</v>
      </c>
      <c r="C803" s="30" t="s">
        <v>1899</v>
      </c>
      <c r="D803" s="110" t="s">
        <v>1900</v>
      </c>
      <c r="E803" s="110" t="s">
        <v>1917</v>
      </c>
      <c r="F803" s="30" t="s">
        <v>2703</v>
      </c>
      <c r="G803" s="26" t="s">
        <v>145</v>
      </c>
      <c r="H803" s="24" t="s">
        <v>146</v>
      </c>
      <c r="I803" s="109">
        <v>0</v>
      </c>
      <c r="J803" s="109" t="s">
        <v>1918</v>
      </c>
      <c r="K803" s="109">
        <v>40</v>
      </c>
      <c r="L803" s="109" t="s">
        <v>1919</v>
      </c>
      <c r="M803" s="109" t="s">
        <v>1904</v>
      </c>
      <c r="N803" s="109" t="s">
        <v>529</v>
      </c>
      <c r="O803" s="109" t="s">
        <v>1920</v>
      </c>
      <c r="P803" s="109" t="s">
        <v>1920</v>
      </c>
      <c r="Q803" s="102">
        <v>0</v>
      </c>
      <c r="R803" s="109" t="s">
        <v>1907</v>
      </c>
      <c r="S803" s="109" t="s">
        <v>1922</v>
      </c>
      <c r="T803" s="25"/>
      <c r="U803" s="111" t="s">
        <v>1923</v>
      </c>
      <c r="V803" s="111" t="s">
        <v>1923</v>
      </c>
      <c r="W803" s="112" t="s">
        <v>2421</v>
      </c>
      <c r="X803" s="112" t="s">
        <v>1906</v>
      </c>
      <c r="Y803" s="112" t="s">
        <v>2421</v>
      </c>
      <c r="Z803" s="112" t="s">
        <v>1906</v>
      </c>
      <c r="AA803" s="112" t="s">
        <v>2421</v>
      </c>
      <c r="AB803" s="112" t="s">
        <v>1906</v>
      </c>
      <c r="AC803" s="112">
        <v>22.04</v>
      </c>
      <c r="AD803" s="112" t="s">
        <v>1906</v>
      </c>
      <c r="AE803" s="112">
        <v>6.4</v>
      </c>
      <c r="AF803" s="112" t="s">
        <v>1906</v>
      </c>
      <c r="AG803" s="112">
        <v>0</v>
      </c>
      <c r="AH803" s="112"/>
      <c r="AI803" s="112">
        <v>0</v>
      </c>
      <c r="AJ803" s="112"/>
      <c r="AK803" s="112">
        <v>0</v>
      </c>
      <c r="AL803" s="112"/>
      <c r="AM803" s="112">
        <v>5.19</v>
      </c>
      <c r="AN803" s="112" t="s">
        <v>1906</v>
      </c>
      <c r="AO803" s="112">
        <v>22.24</v>
      </c>
      <c r="AP803" s="112" t="s">
        <v>1906</v>
      </c>
      <c r="AQ803" s="112">
        <v>22.24</v>
      </c>
      <c r="AR803" s="112" t="s">
        <v>1906</v>
      </c>
      <c r="AS803" s="112">
        <v>22.24</v>
      </c>
      <c r="AT803" s="112" t="s">
        <v>1906</v>
      </c>
      <c r="AU803" s="112">
        <f t="shared" si="26"/>
        <v>166.47</v>
      </c>
      <c r="AV803" s="111">
        <v>7.528E-2</v>
      </c>
      <c r="AW803" s="111" t="s">
        <v>1904</v>
      </c>
      <c r="AX803" s="25"/>
      <c r="AY803" s="25"/>
      <c r="AZ803" s="25"/>
    </row>
    <row r="804" spans="1:52" ht="31.2" x14ac:dyDescent="0.3">
      <c r="A804" s="103">
        <v>794</v>
      </c>
      <c r="B804" s="109" t="s">
        <v>1618</v>
      </c>
      <c r="C804" s="30" t="s">
        <v>1899</v>
      </c>
      <c r="D804" s="110" t="s">
        <v>1900</v>
      </c>
      <c r="E804" s="110" t="s">
        <v>1917</v>
      </c>
      <c r="F804" s="30" t="s">
        <v>2703</v>
      </c>
      <c r="G804" s="26" t="s">
        <v>145</v>
      </c>
      <c r="H804" s="24" t="s">
        <v>146</v>
      </c>
      <c r="I804" s="109">
        <v>0</v>
      </c>
      <c r="J804" s="109" t="s">
        <v>1918</v>
      </c>
      <c r="K804" s="109">
        <v>50</v>
      </c>
      <c r="L804" s="109" t="s">
        <v>1919</v>
      </c>
      <c r="M804" s="109" t="s">
        <v>1904</v>
      </c>
      <c r="N804" s="109" t="s">
        <v>529</v>
      </c>
      <c r="O804" s="109" t="s">
        <v>1920</v>
      </c>
      <c r="P804" s="109" t="s">
        <v>1920</v>
      </c>
      <c r="Q804" s="102">
        <v>0</v>
      </c>
      <c r="R804" s="109" t="s">
        <v>1907</v>
      </c>
      <c r="S804" s="109" t="s">
        <v>1922</v>
      </c>
      <c r="T804" s="25"/>
      <c r="U804" s="111" t="s">
        <v>1923</v>
      </c>
      <c r="V804" s="111" t="s">
        <v>1923</v>
      </c>
      <c r="W804" s="112" t="s">
        <v>2422</v>
      </c>
      <c r="X804" s="112" t="s">
        <v>1906</v>
      </c>
      <c r="Y804" s="112" t="s">
        <v>2422</v>
      </c>
      <c r="Z804" s="112" t="s">
        <v>1906</v>
      </c>
      <c r="AA804" s="112" t="s">
        <v>2422</v>
      </c>
      <c r="AB804" s="112" t="s">
        <v>1906</v>
      </c>
      <c r="AC804" s="112">
        <v>42.84</v>
      </c>
      <c r="AD804" s="112" t="s">
        <v>1906</v>
      </c>
      <c r="AE804" s="112">
        <v>12.44</v>
      </c>
      <c r="AF804" s="112" t="s">
        <v>1906</v>
      </c>
      <c r="AG804" s="112">
        <v>0</v>
      </c>
      <c r="AH804" s="112"/>
      <c r="AI804" s="112">
        <v>0</v>
      </c>
      <c r="AJ804" s="112"/>
      <c r="AK804" s="112">
        <v>0</v>
      </c>
      <c r="AL804" s="112"/>
      <c r="AM804" s="112">
        <v>8.83</v>
      </c>
      <c r="AN804" s="112" t="s">
        <v>1906</v>
      </c>
      <c r="AO804" s="112">
        <v>37.840000000000003</v>
      </c>
      <c r="AP804" s="112" t="s">
        <v>1906</v>
      </c>
      <c r="AQ804" s="112">
        <v>37.840000000000003</v>
      </c>
      <c r="AR804" s="112" t="s">
        <v>1906</v>
      </c>
      <c r="AS804" s="112">
        <v>37.840000000000003</v>
      </c>
      <c r="AT804" s="112" t="s">
        <v>1906</v>
      </c>
      <c r="AU804" s="112">
        <f t="shared" si="26"/>
        <v>306.15000000000009</v>
      </c>
      <c r="AV804" s="111">
        <v>3.1109999999999999E-2</v>
      </c>
      <c r="AW804" s="111" t="s">
        <v>1904</v>
      </c>
      <c r="AX804" s="25"/>
      <c r="AY804" s="25"/>
      <c r="AZ804" s="25"/>
    </row>
    <row r="805" spans="1:52" ht="31.2" x14ac:dyDescent="0.3">
      <c r="A805" s="103">
        <v>795</v>
      </c>
      <c r="B805" s="109" t="s">
        <v>1620</v>
      </c>
      <c r="C805" s="30" t="s">
        <v>1899</v>
      </c>
      <c r="D805" s="110" t="s">
        <v>1900</v>
      </c>
      <c r="E805" s="110" t="s">
        <v>1917</v>
      </c>
      <c r="F805" s="30" t="s">
        <v>2703</v>
      </c>
      <c r="G805" s="26" t="s">
        <v>145</v>
      </c>
      <c r="H805" s="24" t="s">
        <v>146</v>
      </c>
      <c r="I805" s="109">
        <v>2</v>
      </c>
      <c r="J805" s="109" t="s">
        <v>1918</v>
      </c>
      <c r="K805" s="109">
        <v>76</v>
      </c>
      <c r="L805" s="109" t="s">
        <v>1919</v>
      </c>
      <c r="M805" s="109" t="s">
        <v>1904</v>
      </c>
      <c r="N805" s="109" t="s">
        <v>529</v>
      </c>
      <c r="O805" s="109" t="s">
        <v>1920</v>
      </c>
      <c r="P805" s="109" t="s">
        <v>1921</v>
      </c>
      <c r="Q805" s="102">
        <v>0</v>
      </c>
      <c r="R805" s="109" t="s">
        <v>1907</v>
      </c>
      <c r="S805" s="109" t="s">
        <v>1922</v>
      </c>
      <c r="T805" s="25"/>
      <c r="U805" s="111" t="s">
        <v>1923</v>
      </c>
      <c r="V805" s="111" t="s">
        <v>1923</v>
      </c>
      <c r="W805" s="112" t="s">
        <v>2423</v>
      </c>
      <c r="X805" s="112" t="s">
        <v>1906</v>
      </c>
      <c r="Y805" s="112" t="s">
        <v>2424</v>
      </c>
      <c r="Z805" s="112" t="s">
        <v>1906</v>
      </c>
      <c r="AA805" s="112" t="s">
        <v>2423</v>
      </c>
      <c r="AB805" s="112" t="s">
        <v>1906</v>
      </c>
      <c r="AC805" s="112">
        <v>23.53</v>
      </c>
      <c r="AD805" s="112" t="s">
        <v>1906</v>
      </c>
      <c r="AE805" s="112">
        <v>6.83</v>
      </c>
      <c r="AF805" s="112" t="s">
        <v>1906</v>
      </c>
      <c r="AG805" s="112">
        <v>0</v>
      </c>
      <c r="AH805" s="112"/>
      <c r="AI805" s="112">
        <v>0</v>
      </c>
      <c r="AJ805" s="112"/>
      <c r="AK805" s="112">
        <v>0</v>
      </c>
      <c r="AL805" s="112"/>
      <c r="AM805" s="112">
        <v>0</v>
      </c>
      <c r="AN805" s="112"/>
      <c r="AO805" s="112">
        <v>23.28</v>
      </c>
      <c r="AP805" s="112" t="s">
        <v>208</v>
      </c>
      <c r="AQ805" s="112">
        <v>23.28</v>
      </c>
      <c r="AR805" s="112" t="s">
        <v>208</v>
      </c>
      <c r="AS805" s="112">
        <v>23.28</v>
      </c>
      <c r="AT805" s="112" t="s">
        <v>208</v>
      </c>
      <c r="AU805" s="112">
        <f t="shared" si="26"/>
        <v>166.10999999999999</v>
      </c>
      <c r="AV805" s="111">
        <v>0.18749199999999999</v>
      </c>
      <c r="AW805" s="111" t="s">
        <v>1904</v>
      </c>
      <c r="AX805" s="25"/>
      <c r="AY805" s="25"/>
      <c r="AZ805" s="25"/>
    </row>
    <row r="806" spans="1:52" ht="31.2" x14ac:dyDescent="0.3">
      <c r="A806" s="103">
        <v>796</v>
      </c>
      <c r="B806" s="109" t="s">
        <v>1621</v>
      </c>
      <c r="C806" s="30" t="s">
        <v>1899</v>
      </c>
      <c r="D806" s="110" t="s">
        <v>1900</v>
      </c>
      <c r="E806" s="110" t="s">
        <v>1917</v>
      </c>
      <c r="F806" s="30" t="s">
        <v>2703</v>
      </c>
      <c r="G806" s="26" t="s">
        <v>145</v>
      </c>
      <c r="H806" s="24" t="s">
        <v>146</v>
      </c>
      <c r="I806" s="109">
        <v>2</v>
      </c>
      <c r="J806" s="109" t="s">
        <v>1918</v>
      </c>
      <c r="K806" s="109">
        <v>50</v>
      </c>
      <c r="L806" s="109" t="s">
        <v>1919</v>
      </c>
      <c r="M806" s="109" t="s">
        <v>1904</v>
      </c>
      <c r="N806" s="109" t="s">
        <v>529</v>
      </c>
      <c r="O806" s="109" t="s">
        <v>1920</v>
      </c>
      <c r="P806" s="109" t="s">
        <v>1921</v>
      </c>
      <c r="Q806" s="102">
        <v>0</v>
      </c>
      <c r="R806" s="109" t="s">
        <v>1907</v>
      </c>
      <c r="S806" s="109" t="s">
        <v>1922</v>
      </c>
      <c r="T806" s="25"/>
      <c r="U806" s="111" t="s">
        <v>1923</v>
      </c>
      <c r="V806" s="111" t="s">
        <v>1923</v>
      </c>
      <c r="W806" s="112" t="s">
        <v>2423</v>
      </c>
      <c r="X806" s="112" t="s">
        <v>1906</v>
      </c>
      <c r="Y806" s="112" t="s">
        <v>2424</v>
      </c>
      <c r="Z806" s="112" t="s">
        <v>1906</v>
      </c>
      <c r="AA806" s="112" t="s">
        <v>2423</v>
      </c>
      <c r="AB806" s="112" t="s">
        <v>1906</v>
      </c>
      <c r="AC806" s="112">
        <v>23.53</v>
      </c>
      <c r="AD806" s="112" t="s">
        <v>1906</v>
      </c>
      <c r="AE806" s="112">
        <v>6.83</v>
      </c>
      <c r="AF806" s="112" t="s">
        <v>1906</v>
      </c>
      <c r="AG806" s="112">
        <v>0</v>
      </c>
      <c r="AH806" s="112"/>
      <c r="AI806" s="112">
        <v>0</v>
      </c>
      <c r="AJ806" s="112"/>
      <c r="AK806" s="112">
        <v>0</v>
      </c>
      <c r="AL806" s="112"/>
      <c r="AM806" s="112">
        <v>0</v>
      </c>
      <c r="AN806" s="112"/>
      <c r="AO806" s="112">
        <v>23.28</v>
      </c>
      <c r="AP806" s="112" t="s">
        <v>208</v>
      </c>
      <c r="AQ806" s="112">
        <v>23.28</v>
      </c>
      <c r="AR806" s="112" t="s">
        <v>208</v>
      </c>
      <c r="AS806" s="112">
        <v>23.28</v>
      </c>
      <c r="AT806" s="112" t="s">
        <v>208</v>
      </c>
      <c r="AU806" s="112">
        <f t="shared" si="26"/>
        <v>166.10999999999999</v>
      </c>
      <c r="AV806" s="111">
        <v>0.18749199999999999</v>
      </c>
      <c r="AW806" s="111" t="s">
        <v>1904</v>
      </c>
      <c r="AX806" s="25"/>
      <c r="AY806" s="25"/>
      <c r="AZ806" s="25"/>
    </row>
    <row r="807" spans="1:52" ht="31.2" x14ac:dyDescent="0.3">
      <c r="A807" s="103">
        <v>797</v>
      </c>
      <c r="B807" s="109" t="s">
        <v>1622</v>
      </c>
      <c r="C807" s="30" t="s">
        <v>1899</v>
      </c>
      <c r="D807" s="110" t="s">
        <v>1900</v>
      </c>
      <c r="E807" s="110" t="s">
        <v>1917</v>
      </c>
      <c r="F807" s="30" t="s">
        <v>2703</v>
      </c>
      <c r="G807" s="26" t="s">
        <v>145</v>
      </c>
      <c r="H807" s="24" t="s">
        <v>146</v>
      </c>
      <c r="I807" s="109">
        <v>0</v>
      </c>
      <c r="J807" s="109" t="s">
        <v>1918</v>
      </c>
      <c r="K807" s="109">
        <v>50</v>
      </c>
      <c r="L807" s="109" t="s">
        <v>1919</v>
      </c>
      <c r="M807" s="109" t="s">
        <v>1904</v>
      </c>
      <c r="N807" s="109" t="s">
        <v>529</v>
      </c>
      <c r="O807" s="109" t="s">
        <v>1920</v>
      </c>
      <c r="P807" s="109" t="s">
        <v>1920</v>
      </c>
      <c r="Q807" s="102">
        <v>0</v>
      </c>
      <c r="R807" s="109" t="s">
        <v>1907</v>
      </c>
      <c r="S807" s="109" t="s">
        <v>1922</v>
      </c>
      <c r="T807" s="25"/>
      <c r="U807" s="111" t="s">
        <v>1923</v>
      </c>
      <c r="V807" s="111" t="s">
        <v>1923</v>
      </c>
      <c r="W807" s="112" t="s">
        <v>2425</v>
      </c>
      <c r="X807" s="112" t="s">
        <v>1906</v>
      </c>
      <c r="Y807" s="112" t="s">
        <v>2425</v>
      </c>
      <c r="Z807" s="112" t="s">
        <v>1906</v>
      </c>
      <c r="AA807" s="112" t="s">
        <v>2425</v>
      </c>
      <c r="AB807" s="112" t="s">
        <v>1906</v>
      </c>
      <c r="AC807" s="112">
        <v>15.03</v>
      </c>
      <c r="AD807" s="112" t="s">
        <v>1906</v>
      </c>
      <c r="AE807" s="112">
        <v>4.3600000000000003</v>
      </c>
      <c r="AF807" s="112" t="s">
        <v>1906</v>
      </c>
      <c r="AG807" s="112">
        <v>0</v>
      </c>
      <c r="AH807" s="112"/>
      <c r="AI807" s="112">
        <v>0</v>
      </c>
      <c r="AJ807" s="112"/>
      <c r="AK807" s="112">
        <v>0</v>
      </c>
      <c r="AL807" s="112"/>
      <c r="AM807" s="112">
        <v>3.41</v>
      </c>
      <c r="AN807" s="112" t="s">
        <v>1906</v>
      </c>
      <c r="AO807" s="112">
        <v>14.63</v>
      </c>
      <c r="AP807" s="112" t="s">
        <v>1906</v>
      </c>
      <c r="AQ807" s="112">
        <v>14.63</v>
      </c>
      <c r="AR807" s="112" t="s">
        <v>1906</v>
      </c>
      <c r="AS807" s="112">
        <v>14.63</v>
      </c>
      <c r="AT807" s="112" t="s">
        <v>1906</v>
      </c>
      <c r="AU807" s="112">
        <f t="shared" si="26"/>
        <v>111.77999999999999</v>
      </c>
      <c r="AV807" s="111">
        <v>8.2299999999999998E-2</v>
      </c>
      <c r="AW807" s="111" t="s">
        <v>1904</v>
      </c>
      <c r="AX807" s="25"/>
      <c r="AY807" s="25"/>
      <c r="AZ807" s="25"/>
    </row>
    <row r="808" spans="1:52" ht="31.2" x14ac:dyDescent="0.3">
      <c r="A808" s="103">
        <v>798</v>
      </c>
      <c r="B808" s="109" t="s">
        <v>1623</v>
      </c>
      <c r="C808" s="30" t="s">
        <v>1899</v>
      </c>
      <c r="D808" s="110" t="s">
        <v>1900</v>
      </c>
      <c r="E808" s="110" t="s">
        <v>1917</v>
      </c>
      <c r="F808" s="30" t="s">
        <v>2703</v>
      </c>
      <c r="G808" s="26" t="s">
        <v>145</v>
      </c>
      <c r="H808" s="24" t="s">
        <v>146</v>
      </c>
      <c r="I808" s="109">
        <v>1</v>
      </c>
      <c r="J808" s="109" t="s">
        <v>1918</v>
      </c>
      <c r="K808" s="109">
        <v>89</v>
      </c>
      <c r="L808" s="109" t="s">
        <v>1919</v>
      </c>
      <c r="M808" s="109" t="s">
        <v>1904</v>
      </c>
      <c r="N808" s="109" t="s">
        <v>529</v>
      </c>
      <c r="O808" s="109" t="s">
        <v>1920</v>
      </c>
      <c r="P808" s="109" t="s">
        <v>1921</v>
      </c>
      <c r="Q808" s="102">
        <v>0</v>
      </c>
      <c r="R808" s="109" t="s">
        <v>1907</v>
      </c>
      <c r="S808" s="109" t="s">
        <v>1922</v>
      </c>
      <c r="T808" s="25"/>
      <c r="U808" s="111" t="s">
        <v>1923</v>
      </c>
      <c r="V808" s="111" t="s">
        <v>1923</v>
      </c>
      <c r="W808" s="112" t="s">
        <v>2426</v>
      </c>
      <c r="X808" s="112" t="s">
        <v>1906</v>
      </c>
      <c r="Y808" s="112" t="s">
        <v>2426</v>
      </c>
      <c r="Z808" s="112" t="s">
        <v>1906</v>
      </c>
      <c r="AA808" s="112" t="s">
        <v>2426</v>
      </c>
      <c r="AB808" s="112" t="s">
        <v>1906</v>
      </c>
      <c r="AC808" s="112">
        <v>81.67</v>
      </c>
      <c r="AD808" s="112" t="s">
        <v>1906</v>
      </c>
      <c r="AE808" s="112">
        <v>23.71</v>
      </c>
      <c r="AF808" s="112" t="s">
        <v>1906</v>
      </c>
      <c r="AG808" s="112">
        <v>0</v>
      </c>
      <c r="AH808" s="112"/>
      <c r="AI808" s="112">
        <v>0</v>
      </c>
      <c r="AJ808" s="112"/>
      <c r="AK808" s="112">
        <v>0</v>
      </c>
      <c r="AL808" s="112"/>
      <c r="AM808" s="112">
        <v>0</v>
      </c>
      <c r="AN808" s="112"/>
      <c r="AO808" s="112">
        <v>91.75</v>
      </c>
      <c r="AP808" s="112" t="s">
        <v>1906</v>
      </c>
      <c r="AQ808" s="112">
        <v>81.37</v>
      </c>
      <c r="AR808" s="112" t="s">
        <v>1906</v>
      </c>
      <c r="AS808" s="112">
        <v>81.37</v>
      </c>
      <c r="AT808" s="112" t="s">
        <v>1906</v>
      </c>
      <c r="AU808" s="112">
        <f t="shared" si="26"/>
        <v>604.88</v>
      </c>
      <c r="AV808" s="111">
        <v>0.53434000000000004</v>
      </c>
      <c r="AW808" s="111" t="s">
        <v>1904</v>
      </c>
      <c r="AX808" s="25"/>
      <c r="AY808" s="25"/>
      <c r="AZ808" s="25"/>
    </row>
    <row r="809" spans="1:52" ht="31.2" x14ac:dyDescent="0.3">
      <c r="A809" s="103">
        <v>799</v>
      </c>
      <c r="B809" s="109" t="s">
        <v>1624</v>
      </c>
      <c r="C809" s="30" t="s">
        <v>1899</v>
      </c>
      <c r="D809" s="110" t="s">
        <v>1900</v>
      </c>
      <c r="E809" s="110" t="s">
        <v>1917</v>
      </c>
      <c r="F809" s="30" t="s">
        <v>2703</v>
      </c>
      <c r="G809" s="26" t="s">
        <v>145</v>
      </c>
      <c r="H809" s="24" t="s">
        <v>146</v>
      </c>
      <c r="I809" s="109">
        <v>0</v>
      </c>
      <c r="J809" s="109" t="s">
        <v>1918</v>
      </c>
      <c r="K809" s="109">
        <v>50</v>
      </c>
      <c r="L809" s="109" t="s">
        <v>1919</v>
      </c>
      <c r="M809" s="109" t="s">
        <v>1904</v>
      </c>
      <c r="N809" s="109" t="s">
        <v>529</v>
      </c>
      <c r="O809" s="109" t="s">
        <v>1920</v>
      </c>
      <c r="P809" s="109" t="s">
        <v>1920</v>
      </c>
      <c r="Q809" s="102">
        <v>0</v>
      </c>
      <c r="R809" s="109" t="s">
        <v>1907</v>
      </c>
      <c r="S809" s="109" t="s">
        <v>1922</v>
      </c>
      <c r="T809" s="25"/>
      <c r="U809" s="111" t="s">
        <v>1923</v>
      </c>
      <c r="V809" s="111" t="s">
        <v>1923</v>
      </c>
      <c r="W809" s="112" t="s">
        <v>2427</v>
      </c>
      <c r="X809" s="112" t="s">
        <v>1906</v>
      </c>
      <c r="Y809" s="112" t="s">
        <v>2427</v>
      </c>
      <c r="Z809" s="112" t="s">
        <v>1906</v>
      </c>
      <c r="AA809" s="112" t="s">
        <v>2427</v>
      </c>
      <c r="AB809" s="112" t="s">
        <v>1906</v>
      </c>
      <c r="AC809" s="112">
        <v>53.9</v>
      </c>
      <c r="AD809" s="112" t="s">
        <v>1906</v>
      </c>
      <c r="AE809" s="112">
        <v>15.65</v>
      </c>
      <c r="AF809" s="112" t="s">
        <v>1906</v>
      </c>
      <c r="AG809" s="112">
        <v>0</v>
      </c>
      <c r="AH809" s="112"/>
      <c r="AI809" s="112">
        <v>0</v>
      </c>
      <c r="AJ809" s="112"/>
      <c r="AK809" s="112">
        <v>0</v>
      </c>
      <c r="AL809" s="112"/>
      <c r="AM809" s="112">
        <v>10.29</v>
      </c>
      <c r="AN809" s="112" t="s">
        <v>1906</v>
      </c>
      <c r="AO809" s="112">
        <v>51.47</v>
      </c>
      <c r="AP809" s="112" t="s">
        <v>1906</v>
      </c>
      <c r="AQ809" s="112">
        <v>51.47</v>
      </c>
      <c r="AR809" s="112" t="s">
        <v>1906</v>
      </c>
      <c r="AS809" s="112">
        <v>51.47</v>
      </c>
      <c r="AT809" s="112" t="s">
        <v>1906</v>
      </c>
      <c r="AU809" s="112">
        <f t="shared" si="26"/>
        <v>395.95000000000005</v>
      </c>
      <c r="AV809" s="111">
        <v>0.19972999999999999</v>
      </c>
      <c r="AW809" s="111" t="s">
        <v>1904</v>
      </c>
      <c r="AX809" s="25"/>
      <c r="AY809" s="25"/>
      <c r="AZ809" s="25"/>
    </row>
    <row r="810" spans="1:52" ht="31.2" x14ac:dyDescent="0.3">
      <c r="A810" s="103">
        <v>800</v>
      </c>
      <c r="B810" s="109" t="s">
        <v>1625</v>
      </c>
      <c r="C810" s="30" t="s">
        <v>1899</v>
      </c>
      <c r="D810" s="110" t="s">
        <v>1900</v>
      </c>
      <c r="E810" s="110" t="s">
        <v>1917</v>
      </c>
      <c r="F810" s="30" t="s">
        <v>2703</v>
      </c>
      <c r="G810" s="26" t="s">
        <v>145</v>
      </c>
      <c r="H810" s="24" t="s">
        <v>146</v>
      </c>
      <c r="I810" s="109">
        <v>1</v>
      </c>
      <c r="J810" s="109" t="s">
        <v>1918</v>
      </c>
      <c r="K810" s="109">
        <v>108</v>
      </c>
      <c r="L810" s="109" t="s">
        <v>1919</v>
      </c>
      <c r="M810" s="109" t="s">
        <v>1904</v>
      </c>
      <c r="N810" s="109" t="s">
        <v>529</v>
      </c>
      <c r="O810" s="109" t="s">
        <v>1920</v>
      </c>
      <c r="P810" s="109" t="s">
        <v>1921</v>
      </c>
      <c r="Q810" s="102">
        <v>0</v>
      </c>
      <c r="R810" s="109" t="s">
        <v>1907</v>
      </c>
      <c r="S810" s="109" t="s">
        <v>1922</v>
      </c>
      <c r="T810" s="25"/>
      <c r="U810" s="111" t="s">
        <v>1923</v>
      </c>
      <c r="V810" s="111" t="s">
        <v>1923</v>
      </c>
      <c r="W810" s="112" t="s">
        <v>2428</v>
      </c>
      <c r="X810" s="112" t="s">
        <v>208</v>
      </c>
      <c r="Y810" s="112" t="s">
        <v>2429</v>
      </c>
      <c r="Z810" s="112" t="s">
        <v>208</v>
      </c>
      <c r="AA810" s="112" t="s">
        <v>2430</v>
      </c>
      <c r="AB810" s="112" t="s">
        <v>208</v>
      </c>
      <c r="AC810" s="112">
        <v>71.930000000000007</v>
      </c>
      <c r="AD810" s="112" t="s">
        <v>208</v>
      </c>
      <c r="AE810" s="112">
        <v>25.34</v>
      </c>
      <c r="AF810" s="112" t="s">
        <v>208</v>
      </c>
      <c r="AG810" s="112">
        <v>0</v>
      </c>
      <c r="AH810" s="112"/>
      <c r="AI810" s="112">
        <v>0</v>
      </c>
      <c r="AJ810" s="112"/>
      <c r="AK810" s="112">
        <v>0</v>
      </c>
      <c r="AL810" s="112"/>
      <c r="AM810" s="112">
        <v>0</v>
      </c>
      <c r="AN810" s="112"/>
      <c r="AO810" s="112">
        <v>55.99</v>
      </c>
      <c r="AP810" s="112" t="s">
        <v>208</v>
      </c>
      <c r="AQ810" s="112">
        <v>68.31</v>
      </c>
      <c r="AR810" s="112" t="s">
        <v>208</v>
      </c>
      <c r="AS810" s="112">
        <v>97.77</v>
      </c>
      <c r="AT810" s="112" t="s">
        <v>208</v>
      </c>
      <c r="AU810" s="112">
        <f t="shared" si="26"/>
        <v>759.56000000000017</v>
      </c>
      <c r="AV810" s="111">
        <v>0.44272</v>
      </c>
      <c r="AW810" s="111" t="s">
        <v>1904</v>
      </c>
      <c r="AX810" s="25"/>
      <c r="AY810" s="25"/>
      <c r="AZ810" s="25"/>
    </row>
    <row r="811" spans="1:52" ht="31.2" x14ac:dyDescent="0.3">
      <c r="A811" s="103">
        <v>801</v>
      </c>
      <c r="B811" s="109" t="s">
        <v>1626</v>
      </c>
      <c r="C811" s="30" t="s">
        <v>1899</v>
      </c>
      <c r="D811" s="110" t="s">
        <v>1900</v>
      </c>
      <c r="E811" s="110" t="s">
        <v>1917</v>
      </c>
      <c r="F811" s="30" t="s">
        <v>2703</v>
      </c>
      <c r="G811" s="26" t="s">
        <v>145</v>
      </c>
      <c r="H811" s="24" t="s">
        <v>146</v>
      </c>
      <c r="I811" s="109">
        <v>1</v>
      </c>
      <c r="J811" s="109" t="s">
        <v>1918</v>
      </c>
      <c r="K811" s="109">
        <v>76</v>
      </c>
      <c r="L811" s="109" t="s">
        <v>1919</v>
      </c>
      <c r="M811" s="109" t="s">
        <v>1904</v>
      </c>
      <c r="N811" s="109" t="s">
        <v>529</v>
      </c>
      <c r="O811" s="109" t="s">
        <v>1920</v>
      </c>
      <c r="P811" s="109" t="s">
        <v>1921</v>
      </c>
      <c r="Q811" s="102">
        <v>0</v>
      </c>
      <c r="R811" s="109" t="s">
        <v>1907</v>
      </c>
      <c r="S811" s="109" t="s">
        <v>1922</v>
      </c>
      <c r="T811" s="25"/>
      <c r="U811" s="111" t="s">
        <v>1923</v>
      </c>
      <c r="V811" s="111" t="s">
        <v>1923</v>
      </c>
      <c r="W811" s="112" t="s">
        <v>2431</v>
      </c>
      <c r="X811" s="112" t="s">
        <v>208</v>
      </c>
      <c r="Y811" s="112" t="s">
        <v>2333</v>
      </c>
      <c r="Z811" s="112" t="s">
        <v>208</v>
      </c>
      <c r="AA811" s="112" t="s">
        <v>2432</v>
      </c>
      <c r="AB811" s="112" t="s">
        <v>208</v>
      </c>
      <c r="AC811" s="112">
        <v>39.15</v>
      </c>
      <c r="AD811" s="112" t="s">
        <v>208</v>
      </c>
      <c r="AE811" s="112">
        <v>14.26</v>
      </c>
      <c r="AF811" s="112" t="s">
        <v>208</v>
      </c>
      <c r="AG811" s="112">
        <v>0</v>
      </c>
      <c r="AH811" s="112"/>
      <c r="AI811" s="112">
        <v>0</v>
      </c>
      <c r="AJ811" s="112"/>
      <c r="AK811" s="112">
        <v>0</v>
      </c>
      <c r="AL811" s="112"/>
      <c r="AM811" s="112">
        <v>0</v>
      </c>
      <c r="AN811" s="112"/>
      <c r="AO811" s="112">
        <v>56.05</v>
      </c>
      <c r="AP811" s="112" t="s">
        <v>208</v>
      </c>
      <c r="AQ811" s="112">
        <v>56.05</v>
      </c>
      <c r="AR811" s="112" t="s">
        <v>208</v>
      </c>
      <c r="AS811" s="112">
        <v>56.05</v>
      </c>
      <c r="AT811" s="112" t="s">
        <v>208</v>
      </c>
      <c r="AU811" s="112">
        <f t="shared" si="26"/>
        <v>450.67</v>
      </c>
      <c r="AV811" s="111">
        <v>0.22983999999999999</v>
      </c>
      <c r="AW811" s="111" t="s">
        <v>1904</v>
      </c>
      <c r="AX811" s="25"/>
      <c r="AY811" s="25"/>
      <c r="AZ811" s="25"/>
    </row>
    <row r="812" spans="1:52" ht="31.2" x14ac:dyDescent="0.3">
      <c r="A812" s="103">
        <v>802</v>
      </c>
      <c r="B812" s="109" t="s">
        <v>1627</v>
      </c>
      <c r="C812" s="30" t="s">
        <v>1899</v>
      </c>
      <c r="D812" s="110" t="s">
        <v>1900</v>
      </c>
      <c r="E812" s="110" t="s">
        <v>1917</v>
      </c>
      <c r="F812" s="30" t="s">
        <v>2703</v>
      </c>
      <c r="G812" s="26" t="s">
        <v>145</v>
      </c>
      <c r="H812" s="24" t="s">
        <v>146</v>
      </c>
      <c r="I812" s="109">
        <v>1</v>
      </c>
      <c r="J812" s="109" t="s">
        <v>1918</v>
      </c>
      <c r="K812" s="109">
        <v>100</v>
      </c>
      <c r="L812" s="109" t="s">
        <v>1919</v>
      </c>
      <c r="M812" s="109" t="s">
        <v>1904</v>
      </c>
      <c r="N812" s="109" t="s">
        <v>529</v>
      </c>
      <c r="O812" s="109" t="s">
        <v>1920</v>
      </c>
      <c r="P812" s="109" t="s">
        <v>1921</v>
      </c>
      <c r="Q812" s="102">
        <v>0</v>
      </c>
      <c r="R812" s="109" t="s">
        <v>1907</v>
      </c>
      <c r="S812" s="109" t="s">
        <v>1922</v>
      </c>
      <c r="T812" s="25"/>
      <c r="U812" s="111" t="s">
        <v>1923</v>
      </c>
      <c r="V812" s="111" t="s">
        <v>1923</v>
      </c>
      <c r="W812" s="112" t="s">
        <v>2433</v>
      </c>
      <c r="X812" s="112" t="s">
        <v>208</v>
      </c>
      <c r="Y812" s="112" t="s">
        <v>2434</v>
      </c>
      <c r="Z812" s="112" t="s">
        <v>208</v>
      </c>
      <c r="AA812" s="112" t="s">
        <v>2435</v>
      </c>
      <c r="AB812" s="112" t="s">
        <v>208</v>
      </c>
      <c r="AC812" s="112">
        <v>84.72</v>
      </c>
      <c r="AD812" s="112" t="s">
        <v>208</v>
      </c>
      <c r="AE812" s="112">
        <v>50.09</v>
      </c>
      <c r="AF812" s="112" t="s">
        <v>208</v>
      </c>
      <c r="AG812" s="112">
        <v>0</v>
      </c>
      <c r="AH812" s="112"/>
      <c r="AI812" s="112">
        <v>0</v>
      </c>
      <c r="AJ812" s="112"/>
      <c r="AK812" s="112">
        <v>0</v>
      </c>
      <c r="AL812" s="112"/>
      <c r="AM812" s="112">
        <v>0</v>
      </c>
      <c r="AN812" s="112"/>
      <c r="AO812" s="112">
        <v>77.44</v>
      </c>
      <c r="AP812" s="112" t="s">
        <v>208</v>
      </c>
      <c r="AQ812" s="112">
        <v>82.98</v>
      </c>
      <c r="AR812" s="112" t="s">
        <v>208</v>
      </c>
      <c r="AS812" s="112">
        <v>118.54</v>
      </c>
      <c r="AT812" s="112" t="s">
        <v>208</v>
      </c>
      <c r="AU812" s="112">
        <f t="shared" si="26"/>
        <v>977.01</v>
      </c>
      <c r="AV812" s="111">
        <v>0.32117000000000001</v>
      </c>
      <c r="AW812" s="111" t="s">
        <v>1904</v>
      </c>
      <c r="AX812" s="25"/>
      <c r="AY812" s="25"/>
      <c r="AZ812" s="25"/>
    </row>
    <row r="813" spans="1:52" ht="31.2" x14ac:dyDescent="0.3">
      <c r="A813" s="103">
        <v>803</v>
      </c>
      <c r="B813" s="109" t="s">
        <v>1629</v>
      </c>
      <c r="C813" s="30" t="s">
        <v>1899</v>
      </c>
      <c r="D813" s="110" t="s">
        <v>1900</v>
      </c>
      <c r="E813" s="110" t="s">
        <v>1917</v>
      </c>
      <c r="F813" s="30" t="s">
        <v>2703</v>
      </c>
      <c r="G813" s="26" t="s">
        <v>145</v>
      </c>
      <c r="H813" s="24" t="s">
        <v>146</v>
      </c>
      <c r="I813" s="109">
        <v>0</v>
      </c>
      <c r="J813" s="109" t="s">
        <v>1918</v>
      </c>
      <c r="K813" s="109">
        <v>76</v>
      </c>
      <c r="L813" s="109" t="s">
        <v>1919</v>
      </c>
      <c r="M813" s="109" t="s">
        <v>1904</v>
      </c>
      <c r="N813" s="109" t="s">
        <v>529</v>
      </c>
      <c r="O813" s="109" t="s">
        <v>1920</v>
      </c>
      <c r="P813" s="109" t="s">
        <v>1920</v>
      </c>
      <c r="Q813" s="102">
        <v>0</v>
      </c>
      <c r="R813" s="109" t="s">
        <v>1907</v>
      </c>
      <c r="S813" s="109" t="s">
        <v>1922</v>
      </c>
      <c r="T813" s="25"/>
      <c r="U813" s="111" t="s">
        <v>1923</v>
      </c>
      <c r="V813" s="111" t="s">
        <v>1923</v>
      </c>
      <c r="W813" s="112" t="s">
        <v>2436</v>
      </c>
      <c r="X813" s="112" t="s">
        <v>1906</v>
      </c>
      <c r="Y813" s="112" t="s">
        <v>2437</v>
      </c>
      <c r="Z813" s="112" t="s">
        <v>1906</v>
      </c>
      <c r="AA813" s="112" t="s">
        <v>2437</v>
      </c>
      <c r="AB813" s="112" t="s">
        <v>1906</v>
      </c>
      <c r="AC813" s="112">
        <v>32.06</v>
      </c>
      <c r="AD813" s="112" t="s">
        <v>1906</v>
      </c>
      <c r="AE813" s="112">
        <v>9.31</v>
      </c>
      <c r="AF813" s="112" t="s">
        <v>1906</v>
      </c>
      <c r="AG813" s="112">
        <v>0</v>
      </c>
      <c r="AH813" s="112"/>
      <c r="AI813" s="112">
        <v>0</v>
      </c>
      <c r="AJ813" s="112"/>
      <c r="AK813" s="112">
        <v>0</v>
      </c>
      <c r="AL813" s="112"/>
      <c r="AM813" s="112">
        <v>5.76</v>
      </c>
      <c r="AN813" s="112" t="s">
        <v>1906</v>
      </c>
      <c r="AO813" s="112">
        <v>28.79</v>
      </c>
      <c r="AP813" s="112" t="s">
        <v>1906</v>
      </c>
      <c r="AQ813" s="112">
        <v>28.79</v>
      </c>
      <c r="AR813" s="112" t="s">
        <v>1906</v>
      </c>
      <c r="AS813" s="112">
        <v>28.79</v>
      </c>
      <c r="AT813" s="112" t="s">
        <v>1906</v>
      </c>
      <c r="AU813" s="112">
        <f t="shared" si="26"/>
        <v>229.68999999999997</v>
      </c>
      <c r="AV813" s="111">
        <v>0.15256</v>
      </c>
      <c r="AW813" s="111" t="s">
        <v>1904</v>
      </c>
      <c r="AX813" s="25"/>
      <c r="AY813" s="25"/>
      <c r="AZ813" s="25"/>
    </row>
    <row r="814" spans="1:52" ht="31.2" x14ac:dyDescent="0.3">
      <c r="A814" s="103">
        <v>804</v>
      </c>
      <c r="B814" s="109" t="s">
        <v>1630</v>
      </c>
      <c r="C814" s="30" t="s">
        <v>1899</v>
      </c>
      <c r="D814" s="110" t="s">
        <v>1900</v>
      </c>
      <c r="E814" s="110" t="s">
        <v>1917</v>
      </c>
      <c r="F814" s="30" t="s">
        <v>2703</v>
      </c>
      <c r="G814" s="26" t="s">
        <v>145</v>
      </c>
      <c r="H814" s="24" t="s">
        <v>146</v>
      </c>
      <c r="I814" s="109">
        <v>1</v>
      </c>
      <c r="J814" s="109" t="s">
        <v>1918</v>
      </c>
      <c r="K814" s="109">
        <v>108</v>
      </c>
      <c r="L814" s="109" t="s">
        <v>1919</v>
      </c>
      <c r="M814" s="109" t="s">
        <v>1904</v>
      </c>
      <c r="N814" s="109" t="s">
        <v>529</v>
      </c>
      <c r="O814" s="109" t="s">
        <v>1920</v>
      </c>
      <c r="P814" s="109" t="s">
        <v>1921</v>
      </c>
      <c r="Q814" s="102">
        <v>0</v>
      </c>
      <c r="R814" s="109" t="s">
        <v>1907</v>
      </c>
      <c r="S814" s="109" t="s">
        <v>1922</v>
      </c>
      <c r="T814" s="25"/>
      <c r="U814" s="111" t="s">
        <v>1923</v>
      </c>
      <c r="V814" s="111" t="s">
        <v>1923</v>
      </c>
      <c r="W814" s="112" t="s">
        <v>2438</v>
      </c>
      <c r="X814" s="112" t="s">
        <v>1906</v>
      </c>
      <c r="Y814" s="112" t="s">
        <v>2210</v>
      </c>
      <c r="Z814" s="112" t="s">
        <v>1906</v>
      </c>
      <c r="AA814" s="112" t="s">
        <v>2439</v>
      </c>
      <c r="AB814" s="112" t="s">
        <v>1906</v>
      </c>
      <c r="AC814" s="112">
        <v>59.2</v>
      </c>
      <c r="AD814" s="112" t="s">
        <v>1906</v>
      </c>
      <c r="AE814" s="112">
        <v>19.97</v>
      </c>
      <c r="AF814" s="112" t="s">
        <v>1906</v>
      </c>
      <c r="AG814" s="112">
        <v>0</v>
      </c>
      <c r="AH814" s="112"/>
      <c r="AI814" s="112">
        <v>0</v>
      </c>
      <c r="AJ814" s="112"/>
      <c r="AK814" s="112">
        <v>0</v>
      </c>
      <c r="AL814" s="112"/>
      <c r="AM814" s="112">
        <v>0</v>
      </c>
      <c r="AN814" s="112"/>
      <c r="AO814" s="112">
        <v>47.6</v>
      </c>
      <c r="AP814" s="112" t="s">
        <v>208</v>
      </c>
      <c r="AQ814" s="112">
        <v>59.24</v>
      </c>
      <c r="AR814" s="112" t="s">
        <v>208</v>
      </c>
      <c r="AS814" s="112">
        <v>82.16</v>
      </c>
      <c r="AT814" s="112" t="s">
        <v>208</v>
      </c>
      <c r="AU814" s="112">
        <f t="shared" si="26"/>
        <v>588.49</v>
      </c>
      <c r="AV814" s="111">
        <v>0.35241</v>
      </c>
      <c r="AW814" s="111" t="s">
        <v>1904</v>
      </c>
      <c r="AX814" s="25"/>
      <c r="AY814" s="25"/>
      <c r="AZ814" s="25"/>
    </row>
    <row r="815" spans="1:52" ht="31.2" x14ac:dyDescent="0.3">
      <c r="A815" s="103">
        <v>805</v>
      </c>
      <c r="B815" s="109" t="s">
        <v>1632</v>
      </c>
      <c r="C815" s="30" t="s">
        <v>1899</v>
      </c>
      <c r="D815" s="110" t="s">
        <v>1900</v>
      </c>
      <c r="E815" s="110" t="s">
        <v>1917</v>
      </c>
      <c r="F815" s="30" t="s">
        <v>2703</v>
      </c>
      <c r="G815" s="26" t="s">
        <v>145</v>
      </c>
      <c r="H815" s="24" t="s">
        <v>146</v>
      </c>
      <c r="I815" s="109">
        <v>1</v>
      </c>
      <c r="J815" s="109" t="s">
        <v>1918</v>
      </c>
      <c r="K815" s="109">
        <v>76</v>
      </c>
      <c r="L815" s="109" t="s">
        <v>1919</v>
      </c>
      <c r="M815" s="109" t="s">
        <v>1904</v>
      </c>
      <c r="N815" s="109" t="s">
        <v>529</v>
      </c>
      <c r="O815" s="109" t="s">
        <v>1920</v>
      </c>
      <c r="P815" s="109" t="s">
        <v>1921</v>
      </c>
      <c r="Q815" s="102">
        <v>0</v>
      </c>
      <c r="R815" s="109" t="s">
        <v>1907</v>
      </c>
      <c r="S815" s="109" t="s">
        <v>1922</v>
      </c>
      <c r="T815" s="25"/>
      <c r="U815" s="111" t="s">
        <v>1923</v>
      </c>
      <c r="V815" s="111" t="s">
        <v>1923</v>
      </c>
      <c r="W815" s="112" t="s">
        <v>2440</v>
      </c>
      <c r="X815" s="112" t="s">
        <v>208</v>
      </c>
      <c r="Y815" s="112" t="s">
        <v>2441</v>
      </c>
      <c r="Z815" s="112" t="s">
        <v>208</v>
      </c>
      <c r="AA815" s="112" t="s">
        <v>2442</v>
      </c>
      <c r="AB815" s="112" t="s">
        <v>208</v>
      </c>
      <c r="AC815" s="112">
        <v>47.81</v>
      </c>
      <c r="AD815" s="112" t="s">
        <v>208</v>
      </c>
      <c r="AE815" s="112">
        <v>13.88</v>
      </c>
      <c r="AF815" s="112" t="s">
        <v>208</v>
      </c>
      <c r="AG815" s="112">
        <v>0</v>
      </c>
      <c r="AH815" s="112"/>
      <c r="AI815" s="112">
        <v>0</v>
      </c>
      <c r="AJ815" s="112"/>
      <c r="AK815" s="112">
        <v>0</v>
      </c>
      <c r="AL815" s="112"/>
      <c r="AM815" s="112">
        <v>0</v>
      </c>
      <c r="AN815" s="112"/>
      <c r="AO815" s="112">
        <v>47.02</v>
      </c>
      <c r="AP815" s="112" t="s">
        <v>208</v>
      </c>
      <c r="AQ815" s="112">
        <v>47.02</v>
      </c>
      <c r="AR815" s="112" t="s">
        <v>208</v>
      </c>
      <c r="AS815" s="112">
        <v>47.02</v>
      </c>
      <c r="AT815" s="112" t="s">
        <v>208</v>
      </c>
      <c r="AU815" s="112">
        <f t="shared" si="26"/>
        <v>367.92999999999995</v>
      </c>
      <c r="AV815" s="111">
        <v>0.17249999999999999</v>
      </c>
      <c r="AW815" s="111" t="s">
        <v>1904</v>
      </c>
      <c r="AX815" s="25"/>
      <c r="AY815" s="25"/>
      <c r="AZ815" s="25"/>
    </row>
    <row r="816" spans="1:52" ht="31.2" x14ac:dyDescent="0.3">
      <c r="A816" s="103">
        <v>806</v>
      </c>
      <c r="B816" s="109" t="s">
        <v>1634</v>
      </c>
      <c r="C816" s="30" t="s">
        <v>1899</v>
      </c>
      <c r="D816" s="110" t="s">
        <v>1900</v>
      </c>
      <c r="E816" s="110" t="s">
        <v>1917</v>
      </c>
      <c r="F816" s="30" t="s">
        <v>2703</v>
      </c>
      <c r="G816" s="26" t="s">
        <v>145</v>
      </c>
      <c r="H816" s="24" t="s">
        <v>146</v>
      </c>
      <c r="I816" s="109">
        <v>1</v>
      </c>
      <c r="J816" s="109" t="s">
        <v>1918</v>
      </c>
      <c r="K816" s="109">
        <v>108</v>
      </c>
      <c r="L816" s="109" t="s">
        <v>1919</v>
      </c>
      <c r="M816" s="109" t="s">
        <v>1904</v>
      </c>
      <c r="N816" s="109" t="s">
        <v>529</v>
      </c>
      <c r="O816" s="109" t="s">
        <v>1920</v>
      </c>
      <c r="P816" s="109" t="s">
        <v>1921</v>
      </c>
      <c r="Q816" s="102">
        <v>0</v>
      </c>
      <c r="R816" s="109" t="s">
        <v>1907</v>
      </c>
      <c r="S816" s="109" t="s">
        <v>1922</v>
      </c>
      <c r="T816" s="25"/>
      <c r="U816" s="111" t="s">
        <v>1923</v>
      </c>
      <c r="V816" s="111" t="s">
        <v>1923</v>
      </c>
      <c r="W816" s="112" t="s">
        <v>2443</v>
      </c>
      <c r="X816" s="112" t="s">
        <v>1906</v>
      </c>
      <c r="Y816" s="112" t="s">
        <v>2443</v>
      </c>
      <c r="Z816" s="112" t="s">
        <v>1906</v>
      </c>
      <c r="AA816" s="112" t="s">
        <v>2443</v>
      </c>
      <c r="AB816" s="112" t="s">
        <v>1906</v>
      </c>
      <c r="AC816" s="112">
        <v>149.13999999999999</v>
      </c>
      <c r="AD816" s="112" t="s">
        <v>1906</v>
      </c>
      <c r="AE816" s="112">
        <v>43.3</v>
      </c>
      <c r="AF816" s="112" t="s">
        <v>1906</v>
      </c>
      <c r="AG816" s="112">
        <v>0</v>
      </c>
      <c r="AH816" s="112"/>
      <c r="AI816" s="112">
        <v>0</v>
      </c>
      <c r="AJ816" s="112"/>
      <c r="AK816" s="112">
        <v>0</v>
      </c>
      <c r="AL816" s="112"/>
      <c r="AM816" s="112">
        <v>0</v>
      </c>
      <c r="AN816" s="112"/>
      <c r="AO816" s="112">
        <v>67.37</v>
      </c>
      <c r="AP816" s="112" t="s">
        <v>208</v>
      </c>
      <c r="AQ816" s="112">
        <v>80.239999999999995</v>
      </c>
      <c r="AR816" s="112" t="s">
        <v>208</v>
      </c>
      <c r="AS816" s="112">
        <v>121.15</v>
      </c>
      <c r="AT816" s="112" t="s">
        <v>208</v>
      </c>
      <c r="AU816" s="112">
        <f t="shared" si="26"/>
        <v>908.61999999999989</v>
      </c>
      <c r="AV816" s="111">
        <v>0.45356000000000002</v>
      </c>
      <c r="AW816" s="111" t="s">
        <v>1904</v>
      </c>
      <c r="AX816" s="25"/>
      <c r="AY816" s="25"/>
      <c r="AZ816" s="25"/>
    </row>
    <row r="817" spans="1:52" ht="31.2" x14ac:dyDescent="0.3">
      <c r="A817" s="103">
        <v>807</v>
      </c>
      <c r="B817" s="109" t="s">
        <v>1635</v>
      </c>
      <c r="C817" s="30" t="s">
        <v>1899</v>
      </c>
      <c r="D817" s="110" t="s">
        <v>1900</v>
      </c>
      <c r="E817" s="110" t="s">
        <v>1917</v>
      </c>
      <c r="F817" s="30" t="s">
        <v>2703</v>
      </c>
      <c r="G817" s="26" t="s">
        <v>145</v>
      </c>
      <c r="H817" s="24" t="s">
        <v>146</v>
      </c>
      <c r="I817" s="109">
        <v>1</v>
      </c>
      <c r="J817" s="109" t="s">
        <v>1918</v>
      </c>
      <c r="K817" s="109">
        <v>50</v>
      </c>
      <c r="L817" s="109" t="s">
        <v>1919</v>
      </c>
      <c r="M817" s="109" t="s">
        <v>1904</v>
      </c>
      <c r="N817" s="109" t="s">
        <v>529</v>
      </c>
      <c r="O817" s="109" t="s">
        <v>1920</v>
      </c>
      <c r="P817" s="109" t="s">
        <v>1921</v>
      </c>
      <c r="Q817" s="102">
        <v>0</v>
      </c>
      <c r="R817" s="109" t="s">
        <v>1907</v>
      </c>
      <c r="S817" s="109" t="s">
        <v>1922</v>
      </c>
      <c r="T817" s="25"/>
      <c r="U817" s="111" t="s">
        <v>1923</v>
      </c>
      <c r="V817" s="111" t="s">
        <v>1923</v>
      </c>
      <c r="W817" s="112" t="s">
        <v>2444</v>
      </c>
      <c r="X817" s="112" t="s">
        <v>1906</v>
      </c>
      <c r="Y817" s="112" t="s">
        <v>2444</v>
      </c>
      <c r="Z817" s="112" t="s">
        <v>1906</v>
      </c>
      <c r="AA817" s="112" t="s">
        <v>2444</v>
      </c>
      <c r="AB817" s="112" t="s">
        <v>1906</v>
      </c>
      <c r="AC817" s="112">
        <v>38.93</v>
      </c>
      <c r="AD817" s="112" t="s">
        <v>1906</v>
      </c>
      <c r="AE817" s="112">
        <v>12.56</v>
      </c>
      <c r="AF817" s="112" t="s">
        <v>1906</v>
      </c>
      <c r="AG817" s="112">
        <v>0</v>
      </c>
      <c r="AH817" s="112"/>
      <c r="AI817" s="112">
        <v>0</v>
      </c>
      <c r="AJ817" s="112"/>
      <c r="AK817" s="112">
        <v>0</v>
      </c>
      <c r="AL817" s="112"/>
      <c r="AM817" s="112">
        <v>0</v>
      </c>
      <c r="AN817" s="112"/>
      <c r="AO817" s="112">
        <v>38.340000000000003</v>
      </c>
      <c r="AP817" s="112" t="s">
        <v>1906</v>
      </c>
      <c r="AQ817" s="112">
        <v>38.340000000000003</v>
      </c>
      <c r="AR817" s="112" t="s">
        <v>1906</v>
      </c>
      <c r="AS817" s="112">
        <v>38.340000000000003</v>
      </c>
      <c r="AT817" s="112" t="s">
        <v>1906</v>
      </c>
      <c r="AU817" s="112">
        <f t="shared" si="26"/>
        <v>283.3</v>
      </c>
      <c r="AV817" s="111">
        <v>0.23901</v>
      </c>
      <c r="AW817" s="111" t="s">
        <v>1904</v>
      </c>
      <c r="AX817" s="25"/>
      <c r="AY817" s="25"/>
      <c r="AZ817" s="25"/>
    </row>
    <row r="818" spans="1:52" ht="31.2" x14ac:dyDescent="0.3">
      <c r="A818" s="103">
        <v>808</v>
      </c>
      <c r="B818" s="109" t="s">
        <v>1636</v>
      </c>
      <c r="C818" s="30" t="s">
        <v>1899</v>
      </c>
      <c r="D818" s="110" t="s">
        <v>1900</v>
      </c>
      <c r="E818" s="110" t="s">
        <v>1917</v>
      </c>
      <c r="F818" s="30" t="s">
        <v>2703</v>
      </c>
      <c r="G818" s="26" t="s">
        <v>145</v>
      </c>
      <c r="H818" s="24" t="s">
        <v>146</v>
      </c>
      <c r="I818" s="109">
        <v>1</v>
      </c>
      <c r="J818" s="109" t="s">
        <v>1918</v>
      </c>
      <c r="K818" s="109">
        <v>89</v>
      </c>
      <c r="L818" s="109" t="s">
        <v>1919</v>
      </c>
      <c r="M818" s="109" t="s">
        <v>1904</v>
      </c>
      <c r="N818" s="109" t="s">
        <v>529</v>
      </c>
      <c r="O818" s="109" t="s">
        <v>1920</v>
      </c>
      <c r="P818" s="109" t="s">
        <v>1921</v>
      </c>
      <c r="Q818" s="102">
        <v>0</v>
      </c>
      <c r="R818" s="109" t="s">
        <v>1907</v>
      </c>
      <c r="S818" s="109" t="s">
        <v>1922</v>
      </c>
      <c r="T818" s="25"/>
      <c r="U818" s="111" t="s">
        <v>1923</v>
      </c>
      <c r="V818" s="111" t="s">
        <v>1923</v>
      </c>
      <c r="W818" s="112" t="s">
        <v>2445</v>
      </c>
      <c r="X818" s="112" t="s">
        <v>1906</v>
      </c>
      <c r="Y818" s="112" t="s">
        <v>2445</v>
      </c>
      <c r="Z818" s="112" t="s">
        <v>1906</v>
      </c>
      <c r="AA818" s="112" t="s">
        <v>2445</v>
      </c>
      <c r="AB818" s="112" t="s">
        <v>1906</v>
      </c>
      <c r="AC818" s="112">
        <v>42.58</v>
      </c>
      <c r="AD818" s="112" t="s">
        <v>1906</v>
      </c>
      <c r="AE818" s="112">
        <v>12.37</v>
      </c>
      <c r="AF818" s="112" t="s">
        <v>1906</v>
      </c>
      <c r="AG818" s="112">
        <v>0</v>
      </c>
      <c r="AH818" s="112"/>
      <c r="AI818" s="112">
        <v>0</v>
      </c>
      <c r="AJ818" s="112"/>
      <c r="AK818" s="112">
        <v>0</v>
      </c>
      <c r="AL818" s="112"/>
      <c r="AM818" s="112">
        <v>0</v>
      </c>
      <c r="AN818" s="112"/>
      <c r="AO818" s="112">
        <v>40.97</v>
      </c>
      <c r="AP818" s="112" t="s">
        <v>1906</v>
      </c>
      <c r="AQ818" s="112">
        <v>40.97</v>
      </c>
      <c r="AR818" s="112" t="s">
        <v>1906</v>
      </c>
      <c r="AS818" s="112">
        <v>40.97</v>
      </c>
      <c r="AT818" s="112" t="s">
        <v>1906</v>
      </c>
      <c r="AU818" s="112">
        <f t="shared" si="26"/>
        <v>305.60000000000002</v>
      </c>
      <c r="AV818" s="111">
        <v>0.16159000000000001</v>
      </c>
      <c r="AW818" s="111" t="s">
        <v>1904</v>
      </c>
      <c r="AX818" s="25"/>
      <c r="AY818" s="25"/>
      <c r="AZ818" s="25"/>
    </row>
    <row r="819" spans="1:52" ht="31.2" x14ac:dyDescent="0.3">
      <c r="A819" s="103">
        <v>809</v>
      </c>
      <c r="B819" s="109" t="s">
        <v>1637</v>
      </c>
      <c r="C819" s="30" t="s">
        <v>1899</v>
      </c>
      <c r="D819" s="110" t="s">
        <v>1900</v>
      </c>
      <c r="E819" s="110" t="s">
        <v>1917</v>
      </c>
      <c r="F819" s="30" t="s">
        <v>2703</v>
      </c>
      <c r="G819" s="26" t="s">
        <v>145</v>
      </c>
      <c r="H819" s="24" t="s">
        <v>146</v>
      </c>
      <c r="I819" s="109">
        <v>0</v>
      </c>
      <c r="J819" s="109" t="s">
        <v>1918</v>
      </c>
      <c r="K819" s="109">
        <v>57</v>
      </c>
      <c r="L819" s="109" t="s">
        <v>1919</v>
      </c>
      <c r="M819" s="109" t="s">
        <v>1904</v>
      </c>
      <c r="N819" s="109" t="s">
        <v>529</v>
      </c>
      <c r="O819" s="109" t="s">
        <v>1920</v>
      </c>
      <c r="P819" s="109" t="s">
        <v>1920</v>
      </c>
      <c r="Q819" s="102">
        <v>0</v>
      </c>
      <c r="R819" s="109" t="s">
        <v>1907</v>
      </c>
      <c r="S819" s="109" t="s">
        <v>1922</v>
      </c>
      <c r="T819" s="25"/>
      <c r="U819" s="111" t="s">
        <v>1923</v>
      </c>
      <c r="V819" s="111" t="s">
        <v>1923</v>
      </c>
      <c r="W819" s="112" t="s">
        <v>2446</v>
      </c>
      <c r="X819" s="112" t="s">
        <v>1906</v>
      </c>
      <c r="Y819" s="112" t="s">
        <v>2446</v>
      </c>
      <c r="Z819" s="112" t="s">
        <v>1906</v>
      </c>
      <c r="AA819" s="112" t="s">
        <v>2446</v>
      </c>
      <c r="AB819" s="112" t="s">
        <v>1906</v>
      </c>
      <c r="AC819" s="112">
        <v>21.83</v>
      </c>
      <c r="AD819" s="112" t="s">
        <v>1906</v>
      </c>
      <c r="AE819" s="112">
        <v>6.34</v>
      </c>
      <c r="AF819" s="112" t="s">
        <v>1906</v>
      </c>
      <c r="AG819" s="112">
        <v>0</v>
      </c>
      <c r="AH819" s="112"/>
      <c r="AI819" s="112">
        <v>0</v>
      </c>
      <c r="AJ819" s="112"/>
      <c r="AK819" s="112">
        <v>0</v>
      </c>
      <c r="AL819" s="112"/>
      <c r="AM819" s="112">
        <v>4.2300000000000004</v>
      </c>
      <c r="AN819" s="112" t="s">
        <v>1906</v>
      </c>
      <c r="AO819" s="112">
        <v>21.16</v>
      </c>
      <c r="AP819" s="112" t="s">
        <v>1906</v>
      </c>
      <c r="AQ819" s="112">
        <v>21.16</v>
      </c>
      <c r="AR819" s="112" t="s">
        <v>1906</v>
      </c>
      <c r="AS819" s="112">
        <v>21.16</v>
      </c>
      <c r="AT819" s="112" t="s">
        <v>1906</v>
      </c>
      <c r="AU819" s="112">
        <f t="shared" si="26"/>
        <v>161.37</v>
      </c>
      <c r="AV819" s="111">
        <v>8.2900000000000001E-2</v>
      </c>
      <c r="AW819" s="111" t="s">
        <v>1904</v>
      </c>
      <c r="AX819" s="25"/>
      <c r="AY819" s="25"/>
      <c r="AZ819" s="25"/>
    </row>
    <row r="820" spans="1:52" ht="31.2" x14ac:dyDescent="0.3">
      <c r="A820" s="103">
        <v>810</v>
      </c>
      <c r="B820" s="109" t="s">
        <v>1638</v>
      </c>
      <c r="C820" s="30" t="s">
        <v>1899</v>
      </c>
      <c r="D820" s="110" t="s">
        <v>1900</v>
      </c>
      <c r="E820" s="110" t="s">
        <v>1917</v>
      </c>
      <c r="F820" s="30" t="s">
        <v>2703</v>
      </c>
      <c r="G820" s="26" t="s">
        <v>145</v>
      </c>
      <c r="H820" s="24" t="s">
        <v>146</v>
      </c>
      <c r="I820" s="109">
        <v>1</v>
      </c>
      <c r="J820" s="109" t="s">
        <v>1918</v>
      </c>
      <c r="K820" s="109">
        <v>50</v>
      </c>
      <c r="L820" s="109" t="s">
        <v>1919</v>
      </c>
      <c r="M820" s="109" t="s">
        <v>1904</v>
      </c>
      <c r="N820" s="109" t="s">
        <v>529</v>
      </c>
      <c r="O820" s="109" t="s">
        <v>1920</v>
      </c>
      <c r="P820" s="109" t="s">
        <v>1921</v>
      </c>
      <c r="Q820" s="102">
        <v>0</v>
      </c>
      <c r="R820" s="109" t="s">
        <v>1907</v>
      </c>
      <c r="S820" s="109" t="s">
        <v>1922</v>
      </c>
      <c r="T820" s="25"/>
      <c r="U820" s="111" t="s">
        <v>1923</v>
      </c>
      <c r="V820" s="111" t="s">
        <v>1923</v>
      </c>
      <c r="W820" s="112">
        <v>62</v>
      </c>
      <c r="X820" s="112" t="s">
        <v>1906</v>
      </c>
      <c r="Y820" s="112">
        <v>62</v>
      </c>
      <c r="Z820" s="112" t="s">
        <v>1906</v>
      </c>
      <c r="AA820" s="112">
        <v>62</v>
      </c>
      <c r="AB820" s="112" t="s">
        <v>1906</v>
      </c>
      <c r="AC820" s="112">
        <v>62</v>
      </c>
      <c r="AD820" s="112" t="s">
        <v>1906</v>
      </c>
      <c r="AE820" s="112">
        <v>18</v>
      </c>
      <c r="AF820" s="112" t="s">
        <v>1906</v>
      </c>
      <c r="AG820" s="112">
        <v>0</v>
      </c>
      <c r="AH820" s="112"/>
      <c r="AI820" s="112">
        <v>0</v>
      </c>
      <c r="AJ820" s="112"/>
      <c r="AK820" s="112">
        <v>0</v>
      </c>
      <c r="AL820" s="112"/>
      <c r="AM820" s="112">
        <v>0</v>
      </c>
      <c r="AN820" s="112"/>
      <c r="AO820" s="112">
        <v>60.61</v>
      </c>
      <c r="AP820" s="112" t="s">
        <v>1906</v>
      </c>
      <c r="AQ820" s="112">
        <v>60.61</v>
      </c>
      <c r="AR820" s="112" t="s">
        <v>1906</v>
      </c>
      <c r="AS820" s="112">
        <v>60.61</v>
      </c>
      <c r="AT820" s="112" t="s">
        <v>1906</v>
      </c>
      <c r="AU820" s="112">
        <f t="shared" si="26"/>
        <v>447.83000000000004</v>
      </c>
      <c r="AV820" s="111">
        <v>0.21879999999999999</v>
      </c>
      <c r="AW820" s="111" t="s">
        <v>1904</v>
      </c>
      <c r="AX820" s="25"/>
      <c r="AY820" s="25"/>
      <c r="AZ820" s="25"/>
    </row>
    <row r="821" spans="1:52" ht="31.2" x14ac:dyDescent="0.3">
      <c r="A821" s="103">
        <v>811</v>
      </c>
      <c r="B821" s="109" t="s">
        <v>1640</v>
      </c>
      <c r="C821" s="30" t="s">
        <v>1899</v>
      </c>
      <c r="D821" s="110" t="s">
        <v>1900</v>
      </c>
      <c r="E821" s="110" t="s">
        <v>1917</v>
      </c>
      <c r="F821" s="30" t="s">
        <v>2703</v>
      </c>
      <c r="G821" s="26" t="s">
        <v>145</v>
      </c>
      <c r="H821" s="24" t="s">
        <v>146</v>
      </c>
      <c r="I821" s="109">
        <v>0</v>
      </c>
      <c r="J821" s="109" t="s">
        <v>1918</v>
      </c>
      <c r="K821" s="109">
        <v>50</v>
      </c>
      <c r="L821" s="109" t="s">
        <v>1919</v>
      </c>
      <c r="M821" s="109" t="s">
        <v>1904</v>
      </c>
      <c r="N821" s="109" t="s">
        <v>529</v>
      </c>
      <c r="O821" s="109" t="s">
        <v>1920</v>
      </c>
      <c r="P821" s="109" t="s">
        <v>1920</v>
      </c>
      <c r="Q821" s="102">
        <v>0</v>
      </c>
      <c r="R821" s="109" t="s">
        <v>1907</v>
      </c>
      <c r="S821" s="109" t="s">
        <v>1922</v>
      </c>
      <c r="T821" s="25"/>
      <c r="U821" s="111" t="s">
        <v>1923</v>
      </c>
      <c r="V821" s="111" t="s">
        <v>1923</v>
      </c>
      <c r="W821" s="112" t="s">
        <v>2422</v>
      </c>
      <c r="X821" s="112" t="s">
        <v>1906</v>
      </c>
      <c r="Y821" s="112" t="s">
        <v>2422</v>
      </c>
      <c r="Z821" s="112" t="s">
        <v>1906</v>
      </c>
      <c r="AA821" s="112" t="s">
        <v>2422</v>
      </c>
      <c r="AB821" s="112" t="s">
        <v>1906</v>
      </c>
      <c r="AC821" s="112">
        <v>42.84</v>
      </c>
      <c r="AD821" s="112" t="s">
        <v>1906</v>
      </c>
      <c r="AE821" s="112">
        <v>12.44</v>
      </c>
      <c r="AF821" s="112" t="s">
        <v>1906</v>
      </c>
      <c r="AG821" s="112">
        <v>0</v>
      </c>
      <c r="AH821" s="112"/>
      <c r="AI821" s="112">
        <v>0</v>
      </c>
      <c r="AJ821" s="112"/>
      <c r="AK821" s="112">
        <v>0</v>
      </c>
      <c r="AL821" s="112"/>
      <c r="AM821" s="112">
        <v>8.23</v>
      </c>
      <c r="AN821" s="112" t="s">
        <v>1906</v>
      </c>
      <c r="AO821" s="112">
        <v>41.17</v>
      </c>
      <c r="AP821" s="112" t="s">
        <v>1906</v>
      </c>
      <c r="AQ821" s="112">
        <v>41.17</v>
      </c>
      <c r="AR821" s="112" t="s">
        <v>1906</v>
      </c>
      <c r="AS821" s="112">
        <v>41.17</v>
      </c>
      <c r="AT821" s="112" t="s">
        <v>1906</v>
      </c>
      <c r="AU821" s="112">
        <f t="shared" si="26"/>
        <v>315.54000000000002</v>
      </c>
      <c r="AV821" s="111">
        <v>0.15758</v>
      </c>
      <c r="AW821" s="111" t="s">
        <v>1904</v>
      </c>
      <c r="AX821" s="25"/>
      <c r="AY821" s="25"/>
      <c r="AZ821" s="25"/>
    </row>
    <row r="822" spans="1:52" ht="31.2" x14ac:dyDescent="0.3">
      <c r="A822" s="103">
        <v>812</v>
      </c>
      <c r="B822" s="109" t="s">
        <v>1641</v>
      </c>
      <c r="C822" s="30" t="s">
        <v>1899</v>
      </c>
      <c r="D822" s="110" t="s">
        <v>1900</v>
      </c>
      <c r="E822" s="110" t="s">
        <v>1917</v>
      </c>
      <c r="F822" s="30" t="s">
        <v>2703</v>
      </c>
      <c r="G822" s="26" t="s">
        <v>145</v>
      </c>
      <c r="H822" s="24" t="s">
        <v>146</v>
      </c>
      <c r="I822" s="109">
        <v>1</v>
      </c>
      <c r="J822" s="109" t="s">
        <v>1918</v>
      </c>
      <c r="K822" s="109">
        <v>50</v>
      </c>
      <c r="L822" s="109" t="s">
        <v>1919</v>
      </c>
      <c r="M822" s="109" t="s">
        <v>1904</v>
      </c>
      <c r="N822" s="109" t="s">
        <v>529</v>
      </c>
      <c r="O822" s="109" t="s">
        <v>1920</v>
      </c>
      <c r="P822" s="109" t="s">
        <v>1921</v>
      </c>
      <c r="Q822" s="102">
        <v>0</v>
      </c>
      <c r="R822" s="109" t="s">
        <v>1907</v>
      </c>
      <c r="S822" s="109" t="s">
        <v>1922</v>
      </c>
      <c r="T822" s="25"/>
      <c r="U822" s="111" t="s">
        <v>1923</v>
      </c>
      <c r="V822" s="111" t="s">
        <v>1923</v>
      </c>
      <c r="W822" s="112" t="s">
        <v>2412</v>
      </c>
      <c r="X822" s="112" t="s">
        <v>1906</v>
      </c>
      <c r="Y822" s="112" t="s">
        <v>2412</v>
      </c>
      <c r="Z822" s="112" t="s">
        <v>1906</v>
      </c>
      <c r="AA822" s="112" t="s">
        <v>2412</v>
      </c>
      <c r="AB822" s="112" t="s">
        <v>1906</v>
      </c>
      <c r="AC822" s="112">
        <v>26.56</v>
      </c>
      <c r="AD822" s="112" t="s">
        <v>1906</v>
      </c>
      <c r="AE822" s="112">
        <v>7.71</v>
      </c>
      <c r="AF822" s="112" t="s">
        <v>1906</v>
      </c>
      <c r="AG822" s="112">
        <v>0</v>
      </c>
      <c r="AH822" s="112"/>
      <c r="AI822" s="112">
        <v>0</v>
      </c>
      <c r="AJ822" s="112"/>
      <c r="AK822" s="112">
        <v>0</v>
      </c>
      <c r="AL822" s="112"/>
      <c r="AM822" s="112">
        <v>0</v>
      </c>
      <c r="AN822" s="112"/>
      <c r="AO822" s="112">
        <v>26.24</v>
      </c>
      <c r="AP822" s="112" t="s">
        <v>1906</v>
      </c>
      <c r="AQ822" s="112">
        <v>26.24</v>
      </c>
      <c r="AR822" s="112" t="s">
        <v>1906</v>
      </c>
      <c r="AS822" s="112">
        <v>26.24</v>
      </c>
      <c r="AT822" s="112" t="s">
        <v>1906</v>
      </c>
      <c r="AU822" s="112">
        <f t="shared" si="26"/>
        <v>192.67000000000002</v>
      </c>
      <c r="AV822" s="111">
        <v>0.10739</v>
      </c>
      <c r="AW822" s="111" t="s">
        <v>1904</v>
      </c>
      <c r="AX822" s="25"/>
      <c r="AY822" s="25"/>
      <c r="AZ822" s="25"/>
    </row>
    <row r="823" spans="1:52" ht="31.2" x14ac:dyDescent="0.3">
      <c r="A823" s="103">
        <v>813</v>
      </c>
      <c r="B823" s="109" t="s">
        <v>1642</v>
      </c>
      <c r="C823" s="30" t="s">
        <v>1899</v>
      </c>
      <c r="D823" s="110" t="s">
        <v>1900</v>
      </c>
      <c r="E823" s="110" t="s">
        <v>1917</v>
      </c>
      <c r="F823" s="30" t="s">
        <v>2703</v>
      </c>
      <c r="G823" s="26" t="s">
        <v>145</v>
      </c>
      <c r="H823" s="24" t="s">
        <v>146</v>
      </c>
      <c r="I823" s="109">
        <v>1</v>
      </c>
      <c r="J823" s="109" t="s">
        <v>1918</v>
      </c>
      <c r="K823" s="109">
        <v>76</v>
      </c>
      <c r="L823" s="109" t="s">
        <v>1919</v>
      </c>
      <c r="M823" s="109" t="s">
        <v>1904</v>
      </c>
      <c r="N823" s="109" t="s">
        <v>529</v>
      </c>
      <c r="O823" s="109" t="s">
        <v>1920</v>
      </c>
      <c r="P823" s="109" t="s">
        <v>1921</v>
      </c>
      <c r="Q823" s="102">
        <v>0</v>
      </c>
      <c r="R823" s="109" t="s">
        <v>1907</v>
      </c>
      <c r="S823" s="109" t="s">
        <v>1922</v>
      </c>
      <c r="T823" s="25"/>
      <c r="U823" s="111" t="s">
        <v>1923</v>
      </c>
      <c r="V823" s="111" t="s">
        <v>1923</v>
      </c>
      <c r="W823" s="112" t="s">
        <v>2447</v>
      </c>
      <c r="X823" s="112" t="s">
        <v>1906</v>
      </c>
      <c r="Y823" s="112" t="s">
        <v>2448</v>
      </c>
      <c r="Z823" s="112" t="s">
        <v>1906</v>
      </c>
      <c r="AA823" s="112" t="s">
        <v>2449</v>
      </c>
      <c r="AB823" s="112" t="s">
        <v>1906</v>
      </c>
      <c r="AC823" s="112">
        <v>48.58</v>
      </c>
      <c r="AD823" s="112" t="s">
        <v>1906</v>
      </c>
      <c r="AE823" s="112">
        <v>17.86</v>
      </c>
      <c r="AF823" s="112" t="s">
        <v>1906</v>
      </c>
      <c r="AG823" s="112">
        <v>0</v>
      </c>
      <c r="AH823" s="112"/>
      <c r="AI823" s="112">
        <v>0</v>
      </c>
      <c r="AJ823" s="112"/>
      <c r="AK823" s="112">
        <v>0</v>
      </c>
      <c r="AL823" s="112"/>
      <c r="AM823" s="112">
        <v>0</v>
      </c>
      <c r="AN823" s="112"/>
      <c r="AO823" s="112">
        <v>71.040000000000006</v>
      </c>
      <c r="AP823" s="112" t="s">
        <v>208</v>
      </c>
      <c r="AQ823" s="112">
        <v>70.34</v>
      </c>
      <c r="AR823" s="112" t="s">
        <v>208</v>
      </c>
      <c r="AS823" s="112">
        <v>70.34</v>
      </c>
      <c r="AT823" s="112" t="s">
        <v>208</v>
      </c>
      <c r="AU823" s="112">
        <f t="shared" si="26"/>
        <v>569.88000000000011</v>
      </c>
      <c r="AV823" s="111">
        <v>0.24790999999999999</v>
      </c>
      <c r="AW823" s="111" t="s">
        <v>1904</v>
      </c>
      <c r="AX823" s="25"/>
      <c r="AY823" s="25"/>
      <c r="AZ823" s="25"/>
    </row>
    <row r="824" spans="1:52" ht="31.2" x14ac:dyDescent="0.3">
      <c r="A824" s="103">
        <v>814</v>
      </c>
      <c r="B824" s="109" t="s">
        <v>1644</v>
      </c>
      <c r="C824" s="30" t="s">
        <v>1899</v>
      </c>
      <c r="D824" s="110" t="s">
        <v>1900</v>
      </c>
      <c r="E824" s="110" t="s">
        <v>1917</v>
      </c>
      <c r="F824" s="30" t="s">
        <v>2703</v>
      </c>
      <c r="G824" s="26" t="s">
        <v>145</v>
      </c>
      <c r="H824" s="24" t="s">
        <v>146</v>
      </c>
      <c r="I824" s="109">
        <v>1</v>
      </c>
      <c r="J824" s="109" t="s">
        <v>1918</v>
      </c>
      <c r="K824" s="109">
        <v>76</v>
      </c>
      <c r="L824" s="109" t="s">
        <v>1919</v>
      </c>
      <c r="M824" s="109" t="s">
        <v>1904</v>
      </c>
      <c r="N824" s="109" t="s">
        <v>529</v>
      </c>
      <c r="O824" s="109" t="s">
        <v>1920</v>
      </c>
      <c r="P824" s="109" t="s">
        <v>1921</v>
      </c>
      <c r="Q824" s="102">
        <v>0</v>
      </c>
      <c r="R824" s="109" t="s">
        <v>1907</v>
      </c>
      <c r="S824" s="109" t="s">
        <v>1922</v>
      </c>
      <c r="T824" s="25"/>
      <c r="U824" s="111" t="s">
        <v>1923</v>
      </c>
      <c r="V824" s="111" t="s">
        <v>1923</v>
      </c>
      <c r="W824" s="112" t="s">
        <v>2450</v>
      </c>
      <c r="X824" s="112" t="s">
        <v>208</v>
      </c>
      <c r="Y824" s="112" t="s">
        <v>2451</v>
      </c>
      <c r="Z824" s="112" t="s">
        <v>208</v>
      </c>
      <c r="AA824" s="112" t="s">
        <v>2452</v>
      </c>
      <c r="AB824" s="112" t="s">
        <v>208</v>
      </c>
      <c r="AC824" s="112">
        <v>57.8</v>
      </c>
      <c r="AD824" s="112" t="s">
        <v>208</v>
      </c>
      <c r="AE824" s="112">
        <v>19.149999999999999</v>
      </c>
      <c r="AF824" s="112" t="s">
        <v>208</v>
      </c>
      <c r="AG824" s="112">
        <v>0</v>
      </c>
      <c r="AH824" s="112"/>
      <c r="AI824" s="112">
        <v>0</v>
      </c>
      <c r="AJ824" s="112"/>
      <c r="AK824" s="112">
        <v>0</v>
      </c>
      <c r="AL824" s="112"/>
      <c r="AM824" s="112">
        <v>0</v>
      </c>
      <c r="AN824" s="112"/>
      <c r="AO824" s="112">
        <v>83.34</v>
      </c>
      <c r="AP824" s="112" t="s">
        <v>208</v>
      </c>
      <c r="AQ824" s="112">
        <v>43.61</v>
      </c>
      <c r="AR824" s="112" t="s">
        <v>208</v>
      </c>
      <c r="AS824" s="112">
        <v>80.11</v>
      </c>
      <c r="AT824" s="112" t="s">
        <v>208</v>
      </c>
      <c r="AU824" s="112">
        <f t="shared" si="26"/>
        <v>636.45000000000005</v>
      </c>
      <c r="AV824" s="111">
        <v>0.27500000000000002</v>
      </c>
      <c r="AW824" s="111" t="s">
        <v>1904</v>
      </c>
      <c r="AX824" s="25"/>
      <c r="AY824" s="25"/>
      <c r="AZ824" s="25"/>
    </row>
    <row r="825" spans="1:52" ht="31.2" x14ac:dyDescent="0.3">
      <c r="A825" s="103">
        <v>815</v>
      </c>
      <c r="B825" s="109" t="s">
        <v>1645</v>
      </c>
      <c r="C825" s="30" t="s">
        <v>1899</v>
      </c>
      <c r="D825" s="110" t="s">
        <v>1900</v>
      </c>
      <c r="E825" s="110" t="s">
        <v>1917</v>
      </c>
      <c r="F825" s="30" t="s">
        <v>2703</v>
      </c>
      <c r="G825" s="26" t="s">
        <v>145</v>
      </c>
      <c r="H825" s="24" t="s">
        <v>146</v>
      </c>
      <c r="I825" s="109">
        <v>1</v>
      </c>
      <c r="J825" s="109" t="s">
        <v>1918</v>
      </c>
      <c r="K825" s="109">
        <v>76</v>
      </c>
      <c r="L825" s="109" t="s">
        <v>1919</v>
      </c>
      <c r="M825" s="109" t="s">
        <v>1904</v>
      </c>
      <c r="N825" s="109" t="s">
        <v>529</v>
      </c>
      <c r="O825" s="109" t="s">
        <v>1920</v>
      </c>
      <c r="P825" s="109" t="s">
        <v>1921</v>
      </c>
      <c r="Q825" s="102">
        <v>0</v>
      </c>
      <c r="R825" s="109" t="s">
        <v>1907</v>
      </c>
      <c r="S825" s="109" t="s">
        <v>1922</v>
      </c>
      <c r="T825" s="25"/>
      <c r="U825" s="111" t="s">
        <v>1923</v>
      </c>
      <c r="V825" s="111" t="s">
        <v>1923</v>
      </c>
      <c r="W825" s="112" t="s">
        <v>2453</v>
      </c>
      <c r="X825" s="112" t="s">
        <v>1906</v>
      </c>
      <c r="Y825" s="112" t="s">
        <v>2453</v>
      </c>
      <c r="Z825" s="112" t="s">
        <v>1906</v>
      </c>
      <c r="AA825" s="112" t="s">
        <v>2453</v>
      </c>
      <c r="AB825" s="112" t="s">
        <v>1906</v>
      </c>
      <c r="AC825" s="112">
        <v>48.44</v>
      </c>
      <c r="AD825" s="112" t="s">
        <v>1906</v>
      </c>
      <c r="AE825" s="112">
        <v>14.07</v>
      </c>
      <c r="AF825" s="112" t="s">
        <v>1906</v>
      </c>
      <c r="AG825" s="112">
        <v>0</v>
      </c>
      <c r="AH825" s="112"/>
      <c r="AI825" s="112">
        <v>0</v>
      </c>
      <c r="AJ825" s="112"/>
      <c r="AK825" s="112">
        <v>0</v>
      </c>
      <c r="AL825" s="112"/>
      <c r="AM825" s="112">
        <v>0</v>
      </c>
      <c r="AN825" s="112"/>
      <c r="AO825" s="112">
        <v>44.87</v>
      </c>
      <c r="AP825" s="112" t="s">
        <v>1906</v>
      </c>
      <c r="AQ825" s="112">
        <v>44.87</v>
      </c>
      <c r="AR825" s="112" t="s">
        <v>1906</v>
      </c>
      <c r="AS825" s="112">
        <v>44.87</v>
      </c>
      <c r="AT825" s="112" t="s">
        <v>1906</v>
      </c>
      <c r="AU825" s="112">
        <f t="shared" si="26"/>
        <v>342.44</v>
      </c>
      <c r="AV825" s="111">
        <v>0.1646</v>
      </c>
      <c r="AW825" s="111" t="s">
        <v>1904</v>
      </c>
      <c r="AX825" s="25"/>
      <c r="AY825" s="25"/>
      <c r="AZ825" s="25"/>
    </row>
    <row r="826" spans="1:52" ht="31.2" x14ac:dyDescent="0.3">
      <c r="A826" s="103">
        <v>816</v>
      </c>
      <c r="B826" s="109" t="s">
        <v>1647</v>
      </c>
      <c r="C826" s="30" t="s">
        <v>1899</v>
      </c>
      <c r="D826" s="110" t="s">
        <v>1900</v>
      </c>
      <c r="E826" s="110" t="s">
        <v>1917</v>
      </c>
      <c r="F826" s="30" t="s">
        <v>2703</v>
      </c>
      <c r="G826" s="26" t="s">
        <v>145</v>
      </c>
      <c r="H826" s="24" t="s">
        <v>146</v>
      </c>
      <c r="I826" s="109">
        <v>1</v>
      </c>
      <c r="J826" s="109" t="s">
        <v>1918</v>
      </c>
      <c r="K826" s="109">
        <v>76</v>
      </c>
      <c r="L826" s="109" t="s">
        <v>1919</v>
      </c>
      <c r="M826" s="109" t="s">
        <v>1904</v>
      </c>
      <c r="N826" s="109" t="s">
        <v>529</v>
      </c>
      <c r="O826" s="109" t="s">
        <v>1920</v>
      </c>
      <c r="P826" s="109" t="s">
        <v>1921</v>
      </c>
      <c r="Q826" s="102">
        <v>0</v>
      </c>
      <c r="R826" s="109" t="s">
        <v>1907</v>
      </c>
      <c r="S826" s="109" t="s">
        <v>1922</v>
      </c>
      <c r="T826" s="25"/>
      <c r="U826" s="111" t="s">
        <v>1923</v>
      </c>
      <c r="V826" s="111" t="s">
        <v>1923</v>
      </c>
      <c r="W826" s="112" t="s">
        <v>2454</v>
      </c>
      <c r="X826" s="112" t="s">
        <v>1906</v>
      </c>
      <c r="Y826" s="112" t="s">
        <v>2455</v>
      </c>
      <c r="Z826" s="112" t="s">
        <v>1906</v>
      </c>
      <c r="AA826" s="112" t="s">
        <v>2456</v>
      </c>
      <c r="AB826" s="112" t="s">
        <v>1906</v>
      </c>
      <c r="AC826" s="112">
        <v>51.47</v>
      </c>
      <c r="AD826" s="112" t="s">
        <v>1906</v>
      </c>
      <c r="AE826" s="112">
        <v>14.94</v>
      </c>
      <c r="AF826" s="112" t="s">
        <v>1906</v>
      </c>
      <c r="AG826" s="112">
        <v>0</v>
      </c>
      <c r="AH826" s="112"/>
      <c r="AI826" s="112">
        <v>0</v>
      </c>
      <c r="AJ826" s="112"/>
      <c r="AK826" s="112">
        <v>0</v>
      </c>
      <c r="AL826" s="112"/>
      <c r="AM826" s="112">
        <v>0</v>
      </c>
      <c r="AN826" s="112"/>
      <c r="AO826" s="112">
        <v>52.84</v>
      </c>
      <c r="AP826" s="112" t="s">
        <v>1906</v>
      </c>
      <c r="AQ826" s="112">
        <v>50.13</v>
      </c>
      <c r="AR826" s="112" t="s">
        <v>1906</v>
      </c>
      <c r="AS826" s="112">
        <v>50.13</v>
      </c>
      <c r="AT826" s="112" t="s">
        <v>1906</v>
      </c>
      <c r="AU826" s="112">
        <f t="shared" si="26"/>
        <v>408</v>
      </c>
      <c r="AV826" s="111">
        <v>0.18065999999999999</v>
      </c>
      <c r="AW826" s="111" t="s">
        <v>1904</v>
      </c>
      <c r="AX826" s="25"/>
      <c r="AY826" s="25"/>
      <c r="AZ826" s="25"/>
    </row>
    <row r="827" spans="1:52" ht="31.2" x14ac:dyDescent="0.3">
      <c r="A827" s="103">
        <v>817</v>
      </c>
      <c r="B827" s="109" t="s">
        <v>1648</v>
      </c>
      <c r="C827" s="30" t="s">
        <v>1899</v>
      </c>
      <c r="D827" s="110" t="s">
        <v>1900</v>
      </c>
      <c r="E827" s="110" t="s">
        <v>1917</v>
      </c>
      <c r="F827" s="30" t="s">
        <v>2703</v>
      </c>
      <c r="G827" s="26" t="s">
        <v>145</v>
      </c>
      <c r="H827" s="24" t="s">
        <v>146</v>
      </c>
      <c r="I827" s="109">
        <v>2</v>
      </c>
      <c r="J827" s="109" t="s">
        <v>1918</v>
      </c>
      <c r="K827" s="109">
        <v>76</v>
      </c>
      <c r="L827" s="109" t="s">
        <v>1919</v>
      </c>
      <c r="M827" s="109" t="s">
        <v>1904</v>
      </c>
      <c r="N827" s="109" t="s">
        <v>529</v>
      </c>
      <c r="O827" s="109" t="s">
        <v>1920</v>
      </c>
      <c r="P827" s="109" t="s">
        <v>1921</v>
      </c>
      <c r="Q827" s="102">
        <v>0</v>
      </c>
      <c r="R827" s="109" t="s">
        <v>1907</v>
      </c>
      <c r="S827" s="109" t="s">
        <v>1922</v>
      </c>
      <c r="T827" s="25"/>
      <c r="U827" s="111" t="s">
        <v>1923</v>
      </c>
      <c r="V827" s="111" t="s">
        <v>1923</v>
      </c>
      <c r="W827" s="112" t="s">
        <v>2457</v>
      </c>
      <c r="X827" s="112" t="s">
        <v>1906</v>
      </c>
      <c r="Y827" s="112" t="s">
        <v>2457</v>
      </c>
      <c r="Z827" s="112" t="s">
        <v>1906</v>
      </c>
      <c r="AA827" s="112" t="s">
        <v>2457</v>
      </c>
      <c r="AB827" s="112" t="s">
        <v>1906</v>
      </c>
      <c r="AC827" s="112">
        <v>52.84</v>
      </c>
      <c r="AD827" s="112" t="s">
        <v>1906</v>
      </c>
      <c r="AE827" s="112">
        <v>17.05</v>
      </c>
      <c r="AF827" s="112" t="s">
        <v>1906</v>
      </c>
      <c r="AG827" s="112">
        <v>0</v>
      </c>
      <c r="AH827" s="112"/>
      <c r="AI827" s="112">
        <v>0</v>
      </c>
      <c r="AJ827" s="112"/>
      <c r="AK827" s="112">
        <v>0</v>
      </c>
      <c r="AL827" s="112"/>
      <c r="AM827" s="112">
        <v>0</v>
      </c>
      <c r="AN827" s="112"/>
      <c r="AO827" s="112">
        <v>52.65</v>
      </c>
      <c r="AP827" s="112" t="s">
        <v>1906</v>
      </c>
      <c r="AQ827" s="112">
        <v>52.65</v>
      </c>
      <c r="AR827" s="112" t="s">
        <v>1906</v>
      </c>
      <c r="AS827" s="112">
        <v>52.65</v>
      </c>
      <c r="AT827" s="112" t="s">
        <v>1906</v>
      </c>
      <c r="AU827" s="112">
        <f t="shared" si="26"/>
        <v>386.35999999999996</v>
      </c>
      <c r="AV827" s="111">
        <v>0.31213999999999997</v>
      </c>
      <c r="AW827" s="111" t="s">
        <v>1904</v>
      </c>
      <c r="AX827" s="25"/>
      <c r="AY827" s="25"/>
      <c r="AZ827" s="25"/>
    </row>
    <row r="828" spans="1:52" ht="31.2" x14ac:dyDescent="0.3">
      <c r="A828" s="103">
        <v>818</v>
      </c>
      <c r="B828" s="109" t="s">
        <v>1649</v>
      </c>
      <c r="C828" s="30" t="s">
        <v>1899</v>
      </c>
      <c r="D828" s="110" t="s">
        <v>1900</v>
      </c>
      <c r="E828" s="110" t="s">
        <v>1917</v>
      </c>
      <c r="F828" s="30" t="s">
        <v>2703</v>
      </c>
      <c r="G828" s="26" t="s">
        <v>145</v>
      </c>
      <c r="H828" s="24" t="s">
        <v>146</v>
      </c>
      <c r="I828" s="109">
        <v>0</v>
      </c>
      <c r="J828" s="109" t="s">
        <v>1918</v>
      </c>
      <c r="K828" s="109">
        <v>76</v>
      </c>
      <c r="L828" s="109" t="s">
        <v>1919</v>
      </c>
      <c r="M828" s="109" t="s">
        <v>1904</v>
      </c>
      <c r="N828" s="109" t="s">
        <v>529</v>
      </c>
      <c r="O828" s="109" t="s">
        <v>1920</v>
      </c>
      <c r="P828" s="109" t="s">
        <v>1920</v>
      </c>
      <c r="Q828" s="102">
        <v>0</v>
      </c>
      <c r="R828" s="109" t="s">
        <v>1907</v>
      </c>
      <c r="S828" s="109" t="s">
        <v>1922</v>
      </c>
      <c r="T828" s="25"/>
      <c r="U828" s="111" t="s">
        <v>1923</v>
      </c>
      <c r="V828" s="111" t="s">
        <v>1923</v>
      </c>
      <c r="W828" s="112" t="s">
        <v>2458</v>
      </c>
      <c r="X828" s="112" t="s">
        <v>1906</v>
      </c>
      <c r="Y828" s="112" t="s">
        <v>2459</v>
      </c>
      <c r="Z828" s="112" t="s">
        <v>1906</v>
      </c>
      <c r="AA828" s="112" t="s">
        <v>2459</v>
      </c>
      <c r="AB828" s="112" t="s">
        <v>1906</v>
      </c>
      <c r="AC828" s="112">
        <v>34.47</v>
      </c>
      <c r="AD828" s="112" t="s">
        <v>1906</v>
      </c>
      <c r="AE828" s="112">
        <v>11.12</v>
      </c>
      <c r="AF828" s="112" t="s">
        <v>1906</v>
      </c>
      <c r="AG828" s="112">
        <v>0</v>
      </c>
      <c r="AH828" s="112"/>
      <c r="AI828" s="112">
        <v>0</v>
      </c>
      <c r="AJ828" s="112"/>
      <c r="AK828" s="112">
        <v>0</v>
      </c>
      <c r="AL828" s="112"/>
      <c r="AM828" s="112">
        <v>8.1</v>
      </c>
      <c r="AN828" s="112" t="s">
        <v>1906</v>
      </c>
      <c r="AO828" s="112">
        <v>35.33</v>
      </c>
      <c r="AP828" s="112" t="s">
        <v>1906</v>
      </c>
      <c r="AQ828" s="112">
        <v>34.72</v>
      </c>
      <c r="AR828" s="112" t="s">
        <v>1906</v>
      </c>
      <c r="AS828" s="112">
        <v>34.72</v>
      </c>
      <c r="AT828" s="112" t="s">
        <v>1906</v>
      </c>
      <c r="AU828" s="112">
        <f t="shared" si="26"/>
        <v>261.88</v>
      </c>
      <c r="AV828" s="111">
        <v>0.12988</v>
      </c>
      <c r="AW828" s="111" t="s">
        <v>1904</v>
      </c>
      <c r="AX828" s="25"/>
      <c r="AY828" s="25"/>
      <c r="AZ828" s="25"/>
    </row>
    <row r="829" spans="1:52" ht="31.2" x14ac:dyDescent="0.3">
      <c r="A829" s="103">
        <v>819</v>
      </c>
      <c r="B829" s="109" t="s">
        <v>1651</v>
      </c>
      <c r="C829" s="30" t="s">
        <v>1899</v>
      </c>
      <c r="D829" s="110" t="s">
        <v>1900</v>
      </c>
      <c r="E829" s="110" t="s">
        <v>1917</v>
      </c>
      <c r="F829" s="30" t="s">
        <v>2703</v>
      </c>
      <c r="G829" s="26" t="s">
        <v>145</v>
      </c>
      <c r="H829" s="24" t="s">
        <v>146</v>
      </c>
      <c r="I829" s="109">
        <v>1</v>
      </c>
      <c r="J829" s="109" t="s">
        <v>1918</v>
      </c>
      <c r="K829" s="109">
        <v>76</v>
      </c>
      <c r="L829" s="109" t="s">
        <v>1919</v>
      </c>
      <c r="M829" s="109" t="s">
        <v>1904</v>
      </c>
      <c r="N829" s="109" t="s">
        <v>529</v>
      </c>
      <c r="O829" s="109" t="s">
        <v>1920</v>
      </c>
      <c r="P829" s="109" t="s">
        <v>1921</v>
      </c>
      <c r="Q829" s="102">
        <v>0</v>
      </c>
      <c r="R829" s="109" t="s">
        <v>1907</v>
      </c>
      <c r="S829" s="109" t="s">
        <v>1922</v>
      </c>
      <c r="T829" s="25"/>
      <c r="U829" s="111" t="s">
        <v>1923</v>
      </c>
      <c r="V829" s="111" t="s">
        <v>1923</v>
      </c>
      <c r="W829" s="112">
        <v>36</v>
      </c>
      <c r="X829" s="112" t="s">
        <v>1906</v>
      </c>
      <c r="Y829" s="112">
        <v>36</v>
      </c>
      <c r="Z829" s="112" t="s">
        <v>1906</v>
      </c>
      <c r="AA829" s="112">
        <v>36</v>
      </c>
      <c r="AB829" s="112" t="s">
        <v>1906</v>
      </c>
      <c r="AC829" s="112">
        <v>36</v>
      </c>
      <c r="AD829" s="112" t="s">
        <v>1906</v>
      </c>
      <c r="AE829" s="112">
        <v>10.45</v>
      </c>
      <c r="AF829" s="112" t="s">
        <v>1906</v>
      </c>
      <c r="AG829" s="112">
        <v>0</v>
      </c>
      <c r="AH829" s="112"/>
      <c r="AI829" s="112">
        <v>0</v>
      </c>
      <c r="AJ829" s="112"/>
      <c r="AK829" s="112">
        <v>0</v>
      </c>
      <c r="AL829" s="112"/>
      <c r="AM829" s="112">
        <v>0</v>
      </c>
      <c r="AN829" s="112"/>
      <c r="AO829" s="112">
        <v>34.340000000000003</v>
      </c>
      <c r="AP829" s="112" t="s">
        <v>1906</v>
      </c>
      <c r="AQ829" s="112">
        <v>34.340000000000003</v>
      </c>
      <c r="AR829" s="112" t="s">
        <v>1906</v>
      </c>
      <c r="AS829" s="112">
        <v>34.340000000000003</v>
      </c>
      <c r="AT829" s="112" t="s">
        <v>1906</v>
      </c>
      <c r="AU829" s="112">
        <f t="shared" si="26"/>
        <v>257.47000000000003</v>
      </c>
      <c r="AV829" s="111">
        <v>0.11541999999999999</v>
      </c>
      <c r="AW829" s="111" t="s">
        <v>1904</v>
      </c>
      <c r="AX829" s="25"/>
      <c r="AY829" s="25"/>
      <c r="AZ829" s="25"/>
    </row>
    <row r="830" spans="1:52" ht="31.2" x14ac:dyDescent="0.3">
      <c r="A830" s="103">
        <v>820</v>
      </c>
      <c r="B830" s="109" t="s">
        <v>1653</v>
      </c>
      <c r="C830" s="30" t="s">
        <v>1899</v>
      </c>
      <c r="D830" s="110" t="s">
        <v>1900</v>
      </c>
      <c r="E830" s="110" t="s">
        <v>1917</v>
      </c>
      <c r="F830" s="30" t="s">
        <v>2703</v>
      </c>
      <c r="G830" s="26" t="s">
        <v>145</v>
      </c>
      <c r="H830" s="24" t="s">
        <v>146</v>
      </c>
      <c r="I830" s="109">
        <v>0</v>
      </c>
      <c r="J830" s="109" t="s">
        <v>1918</v>
      </c>
      <c r="K830" s="109">
        <v>89</v>
      </c>
      <c r="L830" s="109" t="s">
        <v>1919</v>
      </c>
      <c r="M830" s="109" t="s">
        <v>1904</v>
      </c>
      <c r="N830" s="109" t="s">
        <v>529</v>
      </c>
      <c r="O830" s="109" t="s">
        <v>1920</v>
      </c>
      <c r="P830" s="109" t="s">
        <v>1920</v>
      </c>
      <c r="Q830" s="102">
        <v>0</v>
      </c>
      <c r="R830" s="109" t="s">
        <v>1907</v>
      </c>
      <c r="S830" s="109" t="s">
        <v>1922</v>
      </c>
      <c r="T830" s="25"/>
      <c r="U830" s="111" t="s">
        <v>1923</v>
      </c>
      <c r="V830" s="111" t="s">
        <v>1923</v>
      </c>
      <c r="W830" s="112" t="s">
        <v>2460</v>
      </c>
      <c r="X830" s="112" t="s">
        <v>1906</v>
      </c>
      <c r="Y830" s="112" t="s">
        <v>2460</v>
      </c>
      <c r="Z830" s="112" t="s">
        <v>1906</v>
      </c>
      <c r="AA830" s="112" t="s">
        <v>2460</v>
      </c>
      <c r="AB830" s="112" t="s">
        <v>1906</v>
      </c>
      <c r="AC830" s="112">
        <v>43.1</v>
      </c>
      <c r="AD830" s="112" t="s">
        <v>1906</v>
      </c>
      <c r="AE830" s="112">
        <v>12.51</v>
      </c>
      <c r="AF830" s="112" t="s">
        <v>1906</v>
      </c>
      <c r="AG830" s="112">
        <v>0</v>
      </c>
      <c r="AH830" s="112"/>
      <c r="AI830" s="112">
        <v>0</v>
      </c>
      <c r="AJ830" s="112"/>
      <c r="AK830" s="112">
        <v>0</v>
      </c>
      <c r="AL830" s="112"/>
      <c r="AM830" s="112">
        <v>10.24</v>
      </c>
      <c r="AN830" s="112" t="s">
        <v>1906</v>
      </c>
      <c r="AO830" s="112">
        <v>43.87</v>
      </c>
      <c r="AP830" s="112" t="s">
        <v>1906</v>
      </c>
      <c r="AQ830" s="112">
        <v>43.87</v>
      </c>
      <c r="AR830" s="112" t="s">
        <v>1906</v>
      </c>
      <c r="AS830" s="112">
        <v>43.87</v>
      </c>
      <c r="AT830" s="112" t="s">
        <v>1906</v>
      </c>
      <c r="AU830" s="112">
        <f t="shared" si="26"/>
        <v>326.76</v>
      </c>
      <c r="AV830" s="111">
        <v>0.1656</v>
      </c>
      <c r="AW830" s="111" t="s">
        <v>1904</v>
      </c>
      <c r="AX830" s="25"/>
      <c r="AY830" s="25"/>
      <c r="AZ830" s="25"/>
    </row>
    <row r="831" spans="1:52" ht="31.2" x14ac:dyDescent="0.3">
      <c r="A831" s="103">
        <v>821</v>
      </c>
      <c r="B831" s="109" t="s">
        <v>1655</v>
      </c>
      <c r="C831" s="30" t="s">
        <v>1899</v>
      </c>
      <c r="D831" s="110" t="s">
        <v>1900</v>
      </c>
      <c r="E831" s="110" t="s">
        <v>1917</v>
      </c>
      <c r="F831" s="30" t="s">
        <v>2703</v>
      </c>
      <c r="G831" s="26" t="s">
        <v>145</v>
      </c>
      <c r="H831" s="24" t="s">
        <v>146</v>
      </c>
      <c r="I831" s="109">
        <v>0</v>
      </c>
      <c r="J831" s="109" t="s">
        <v>1918</v>
      </c>
      <c r="K831" s="109">
        <v>89</v>
      </c>
      <c r="L831" s="109" t="s">
        <v>1919</v>
      </c>
      <c r="M831" s="109" t="s">
        <v>1904</v>
      </c>
      <c r="N831" s="109" t="s">
        <v>529</v>
      </c>
      <c r="O831" s="109" t="s">
        <v>1920</v>
      </c>
      <c r="P831" s="109" t="s">
        <v>1920</v>
      </c>
      <c r="Q831" s="102">
        <v>0</v>
      </c>
      <c r="R831" s="109" t="s">
        <v>1907</v>
      </c>
      <c r="S831" s="109" t="s">
        <v>1922</v>
      </c>
      <c r="T831" s="25"/>
      <c r="U831" s="111" t="s">
        <v>1923</v>
      </c>
      <c r="V831" s="111" t="s">
        <v>1923</v>
      </c>
      <c r="W831" s="112" t="s">
        <v>2461</v>
      </c>
      <c r="X831" s="112" t="s">
        <v>1906</v>
      </c>
      <c r="Y831" s="112" t="s">
        <v>2461</v>
      </c>
      <c r="Z831" s="112" t="s">
        <v>1906</v>
      </c>
      <c r="AA831" s="112" t="s">
        <v>2461</v>
      </c>
      <c r="AB831" s="112" t="s">
        <v>1906</v>
      </c>
      <c r="AC831" s="112">
        <v>30.64</v>
      </c>
      <c r="AD831" s="112" t="s">
        <v>1906</v>
      </c>
      <c r="AE831" s="112">
        <v>8.9</v>
      </c>
      <c r="AF831" s="112" t="s">
        <v>1906</v>
      </c>
      <c r="AG831" s="112">
        <v>0</v>
      </c>
      <c r="AH831" s="112"/>
      <c r="AI831" s="112">
        <v>0</v>
      </c>
      <c r="AJ831" s="112"/>
      <c r="AK831" s="112">
        <v>0</v>
      </c>
      <c r="AL831" s="112"/>
      <c r="AM831" s="112">
        <v>7.17</v>
      </c>
      <c r="AN831" s="112" t="s">
        <v>1906</v>
      </c>
      <c r="AO831" s="112">
        <v>30.74</v>
      </c>
      <c r="AP831" s="112" t="s">
        <v>1906</v>
      </c>
      <c r="AQ831" s="112">
        <v>30.74</v>
      </c>
      <c r="AR831" s="112" t="s">
        <v>1906</v>
      </c>
      <c r="AS831" s="112">
        <v>30.74</v>
      </c>
      <c r="AT831" s="112" t="s">
        <v>1906</v>
      </c>
      <c r="AU831" s="112">
        <f t="shared" si="26"/>
        <v>230.85000000000002</v>
      </c>
      <c r="AV831" s="111">
        <v>0.15456</v>
      </c>
      <c r="AW831" s="111" t="s">
        <v>1904</v>
      </c>
      <c r="AX831" s="25"/>
      <c r="AY831" s="25"/>
      <c r="AZ831" s="25"/>
    </row>
    <row r="832" spans="1:52" ht="31.2" x14ac:dyDescent="0.3">
      <c r="A832" s="103">
        <v>822</v>
      </c>
      <c r="B832" s="109" t="s">
        <v>1656</v>
      </c>
      <c r="C832" s="30" t="s">
        <v>1899</v>
      </c>
      <c r="D832" s="110" t="s">
        <v>1900</v>
      </c>
      <c r="E832" s="110" t="s">
        <v>1917</v>
      </c>
      <c r="F832" s="30" t="s">
        <v>2703</v>
      </c>
      <c r="G832" s="26" t="s">
        <v>145</v>
      </c>
      <c r="H832" s="24" t="s">
        <v>146</v>
      </c>
      <c r="I832" s="109">
        <v>0</v>
      </c>
      <c r="J832" s="109" t="s">
        <v>1918</v>
      </c>
      <c r="K832" s="109">
        <v>76</v>
      </c>
      <c r="L832" s="109" t="s">
        <v>1919</v>
      </c>
      <c r="M832" s="109" t="s">
        <v>1904</v>
      </c>
      <c r="N832" s="109" t="s">
        <v>529</v>
      </c>
      <c r="O832" s="109" t="s">
        <v>1920</v>
      </c>
      <c r="P832" s="109" t="s">
        <v>1920</v>
      </c>
      <c r="Q832" s="102">
        <v>0</v>
      </c>
      <c r="R832" s="109" t="s">
        <v>1907</v>
      </c>
      <c r="S832" s="109" t="s">
        <v>1922</v>
      </c>
      <c r="T832" s="25"/>
      <c r="U832" s="111" t="s">
        <v>1923</v>
      </c>
      <c r="V832" s="111" t="s">
        <v>1923</v>
      </c>
      <c r="W832" s="112" t="s">
        <v>2462</v>
      </c>
      <c r="X832" s="112" t="s">
        <v>1906</v>
      </c>
      <c r="Y832" s="112" t="s">
        <v>2462</v>
      </c>
      <c r="Z832" s="112" t="s">
        <v>1906</v>
      </c>
      <c r="AA832" s="112" t="s">
        <v>2462</v>
      </c>
      <c r="AB832" s="112" t="s">
        <v>1906</v>
      </c>
      <c r="AC832" s="112">
        <v>33.909999999999997</v>
      </c>
      <c r="AD832" s="112" t="s">
        <v>1906</v>
      </c>
      <c r="AE832" s="112">
        <v>9.85</v>
      </c>
      <c r="AF832" s="112" t="s">
        <v>1906</v>
      </c>
      <c r="AG832" s="112">
        <v>0</v>
      </c>
      <c r="AH832" s="112"/>
      <c r="AI832" s="112">
        <v>0</v>
      </c>
      <c r="AJ832" s="112"/>
      <c r="AK832" s="112">
        <v>0</v>
      </c>
      <c r="AL832" s="112"/>
      <c r="AM832" s="112">
        <v>7.54</v>
      </c>
      <c r="AN832" s="112" t="s">
        <v>1906</v>
      </c>
      <c r="AO832" s="112">
        <v>32.31</v>
      </c>
      <c r="AP832" s="112" t="s">
        <v>1906</v>
      </c>
      <c r="AQ832" s="112">
        <v>32.31</v>
      </c>
      <c r="AR832" s="112" t="s">
        <v>1906</v>
      </c>
      <c r="AS832" s="112">
        <v>32.31</v>
      </c>
      <c r="AT832" s="112" t="s">
        <v>1906</v>
      </c>
      <c r="AU832" s="112">
        <f t="shared" si="26"/>
        <v>249.95999999999998</v>
      </c>
      <c r="AV832" s="111">
        <v>0.13750000000000001</v>
      </c>
      <c r="AW832" s="111" t="s">
        <v>1904</v>
      </c>
      <c r="AX832" s="25"/>
      <c r="AY832" s="25"/>
      <c r="AZ832" s="25"/>
    </row>
    <row r="833" spans="1:52" ht="31.2" x14ac:dyDescent="0.3">
      <c r="A833" s="103">
        <v>823</v>
      </c>
      <c r="B833" s="109" t="s">
        <v>1657</v>
      </c>
      <c r="C833" s="30" t="s">
        <v>1899</v>
      </c>
      <c r="D833" s="110" t="s">
        <v>1900</v>
      </c>
      <c r="E833" s="110" t="s">
        <v>1917</v>
      </c>
      <c r="F833" s="30" t="s">
        <v>2703</v>
      </c>
      <c r="G833" s="26" t="s">
        <v>145</v>
      </c>
      <c r="H833" s="24" t="s">
        <v>146</v>
      </c>
      <c r="I833" s="109">
        <v>1</v>
      </c>
      <c r="J833" s="109" t="s">
        <v>1918</v>
      </c>
      <c r="K833" s="109">
        <v>89</v>
      </c>
      <c r="L833" s="109" t="s">
        <v>1919</v>
      </c>
      <c r="M833" s="109" t="s">
        <v>1904</v>
      </c>
      <c r="N833" s="109" t="s">
        <v>529</v>
      </c>
      <c r="O833" s="109" t="s">
        <v>1920</v>
      </c>
      <c r="P833" s="109" t="s">
        <v>1921</v>
      </c>
      <c r="Q833" s="102">
        <v>0</v>
      </c>
      <c r="R833" s="109" t="s">
        <v>1907</v>
      </c>
      <c r="S833" s="109" t="s">
        <v>1922</v>
      </c>
      <c r="T833" s="25"/>
      <c r="U833" s="111" t="s">
        <v>1923</v>
      </c>
      <c r="V833" s="111" t="s">
        <v>1923</v>
      </c>
      <c r="W833" s="112" t="s">
        <v>2463</v>
      </c>
      <c r="X833" s="112" t="s">
        <v>208</v>
      </c>
      <c r="Y833" s="112" t="s">
        <v>2464</v>
      </c>
      <c r="Z833" s="112" t="s">
        <v>208</v>
      </c>
      <c r="AA833" s="112" t="s">
        <v>2465</v>
      </c>
      <c r="AB833" s="112" t="s">
        <v>208</v>
      </c>
      <c r="AC833" s="112">
        <v>53.28</v>
      </c>
      <c r="AD833" s="112" t="s">
        <v>208</v>
      </c>
      <c r="AE833" s="112">
        <v>15.47</v>
      </c>
      <c r="AF833" s="112" t="s">
        <v>208</v>
      </c>
      <c r="AG833" s="112">
        <v>0</v>
      </c>
      <c r="AH833" s="112"/>
      <c r="AI833" s="112">
        <v>0</v>
      </c>
      <c r="AJ833" s="112"/>
      <c r="AK833" s="112">
        <v>0</v>
      </c>
      <c r="AL833" s="112"/>
      <c r="AM833" s="112">
        <v>0</v>
      </c>
      <c r="AN833" s="112"/>
      <c r="AO833" s="112">
        <v>54.15</v>
      </c>
      <c r="AP833" s="112" t="s">
        <v>1906</v>
      </c>
      <c r="AQ833" s="112">
        <v>54.15</v>
      </c>
      <c r="AR833" s="112" t="s">
        <v>1906</v>
      </c>
      <c r="AS833" s="112">
        <v>54.15</v>
      </c>
      <c r="AT833" s="112" t="s">
        <v>1906</v>
      </c>
      <c r="AU833" s="112">
        <f t="shared" si="26"/>
        <v>400.34999999999997</v>
      </c>
      <c r="AV833" s="111">
        <v>0.18668000000000001</v>
      </c>
      <c r="AW833" s="111" t="s">
        <v>1904</v>
      </c>
      <c r="AX833" s="25"/>
      <c r="AY833" s="25"/>
      <c r="AZ833" s="25"/>
    </row>
    <row r="834" spans="1:52" ht="31.2" x14ac:dyDescent="0.3">
      <c r="A834" s="103">
        <v>824</v>
      </c>
      <c r="B834" s="109" t="s">
        <v>1659</v>
      </c>
      <c r="C834" s="30" t="s">
        <v>1899</v>
      </c>
      <c r="D834" s="110" t="s">
        <v>1900</v>
      </c>
      <c r="E834" s="110" t="s">
        <v>1917</v>
      </c>
      <c r="F834" s="30" t="s">
        <v>2703</v>
      </c>
      <c r="G834" s="26" t="s">
        <v>145</v>
      </c>
      <c r="H834" s="24" t="s">
        <v>146</v>
      </c>
      <c r="I834" s="109">
        <v>0</v>
      </c>
      <c r="J834" s="109" t="s">
        <v>1918</v>
      </c>
      <c r="K834" s="109">
        <v>76</v>
      </c>
      <c r="L834" s="109" t="s">
        <v>1919</v>
      </c>
      <c r="M834" s="109" t="s">
        <v>1904</v>
      </c>
      <c r="N834" s="109" t="s">
        <v>529</v>
      </c>
      <c r="O834" s="109" t="s">
        <v>1920</v>
      </c>
      <c r="P834" s="109" t="s">
        <v>1920</v>
      </c>
      <c r="Q834" s="102">
        <v>0</v>
      </c>
      <c r="R834" s="109" t="s">
        <v>1907</v>
      </c>
      <c r="S834" s="109" t="s">
        <v>1922</v>
      </c>
      <c r="T834" s="25"/>
      <c r="U834" s="111" t="s">
        <v>1923</v>
      </c>
      <c r="V834" s="111" t="s">
        <v>1923</v>
      </c>
      <c r="W834" s="112" t="s">
        <v>2225</v>
      </c>
      <c r="X834" s="112" t="s">
        <v>1906</v>
      </c>
      <c r="Y834" s="112" t="s">
        <v>2225</v>
      </c>
      <c r="Z834" s="112" t="s">
        <v>1906</v>
      </c>
      <c r="AA834" s="112" t="s">
        <v>2225</v>
      </c>
      <c r="AB834" s="112" t="s">
        <v>1906</v>
      </c>
      <c r="AC834" s="112">
        <v>44.19</v>
      </c>
      <c r="AD834" s="112" t="s">
        <v>1906</v>
      </c>
      <c r="AE834" s="112">
        <v>12.83</v>
      </c>
      <c r="AF834" s="112" t="s">
        <v>1906</v>
      </c>
      <c r="AG834" s="112">
        <v>0</v>
      </c>
      <c r="AH834" s="112"/>
      <c r="AI834" s="112">
        <v>0</v>
      </c>
      <c r="AJ834" s="112"/>
      <c r="AK834" s="112">
        <v>0</v>
      </c>
      <c r="AL834" s="112"/>
      <c r="AM834" s="112">
        <v>10.29</v>
      </c>
      <c r="AN834" s="112" t="s">
        <v>1906</v>
      </c>
      <c r="AO834" s="112">
        <v>45.81</v>
      </c>
      <c r="AP834" s="112" t="s">
        <v>1906</v>
      </c>
      <c r="AQ834" s="112">
        <v>44.09</v>
      </c>
      <c r="AR834" s="112" t="s">
        <v>1906</v>
      </c>
      <c r="AS834" s="112">
        <v>44.09</v>
      </c>
      <c r="AT834" s="112" t="s">
        <v>1906</v>
      </c>
      <c r="AU834" s="112">
        <f t="shared" si="26"/>
        <v>333.87</v>
      </c>
      <c r="AV834" s="111">
        <v>0.15085999999999999</v>
      </c>
      <c r="AW834" s="111" t="s">
        <v>1904</v>
      </c>
      <c r="AX834" s="25"/>
      <c r="AY834" s="25"/>
      <c r="AZ834" s="25"/>
    </row>
    <row r="835" spans="1:52" ht="31.2" x14ac:dyDescent="0.3">
      <c r="A835" s="103">
        <v>825</v>
      </c>
      <c r="B835" s="109" t="s">
        <v>1661</v>
      </c>
      <c r="C835" s="30" t="s">
        <v>1899</v>
      </c>
      <c r="D835" s="110" t="s">
        <v>1900</v>
      </c>
      <c r="E835" s="110" t="s">
        <v>1917</v>
      </c>
      <c r="F835" s="30" t="s">
        <v>2703</v>
      </c>
      <c r="G835" s="26" t="s">
        <v>145</v>
      </c>
      <c r="H835" s="24" t="s">
        <v>146</v>
      </c>
      <c r="I835" s="109">
        <v>0</v>
      </c>
      <c r="J835" s="109" t="s">
        <v>1918</v>
      </c>
      <c r="K835" s="109">
        <v>50</v>
      </c>
      <c r="L835" s="109" t="s">
        <v>1919</v>
      </c>
      <c r="M835" s="109" t="s">
        <v>1904</v>
      </c>
      <c r="N835" s="109" t="s">
        <v>529</v>
      </c>
      <c r="O835" s="109" t="s">
        <v>1920</v>
      </c>
      <c r="P835" s="109" t="s">
        <v>1920</v>
      </c>
      <c r="Q835" s="102">
        <v>0</v>
      </c>
      <c r="R835" s="109" t="s">
        <v>1907</v>
      </c>
      <c r="S835" s="109" t="s">
        <v>1922</v>
      </c>
      <c r="T835" s="25"/>
      <c r="U835" s="111" t="s">
        <v>1923</v>
      </c>
      <c r="V835" s="111" t="s">
        <v>1923</v>
      </c>
      <c r="W835" s="112" t="s">
        <v>2466</v>
      </c>
      <c r="X835" s="112" t="s">
        <v>1906</v>
      </c>
      <c r="Y835" s="112" t="s">
        <v>2467</v>
      </c>
      <c r="Z835" s="112" t="s">
        <v>1906</v>
      </c>
      <c r="AA835" s="112" t="s">
        <v>2467</v>
      </c>
      <c r="AB835" s="112" t="s">
        <v>1906</v>
      </c>
      <c r="AC835" s="112">
        <v>17.96</v>
      </c>
      <c r="AD835" s="112" t="s">
        <v>1906</v>
      </c>
      <c r="AE835" s="112">
        <v>5.21</v>
      </c>
      <c r="AF835" s="112" t="s">
        <v>1906</v>
      </c>
      <c r="AG835" s="112">
        <v>0</v>
      </c>
      <c r="AH835" s="112"/>
      <c r="AI835" s="112">
        <v>0</v>
      </c>
      <c r="AJ835" s="112"/>
      <c r="AK835" s="112">
        <v>0</v>
      </c>
      <c r="AL835" s="112"/>
      <c r="AM835" s="112">
        <v>4</v>
      </c>
      <c r="AN835" s="112" t="s">
        <v>1906</v>
      </c>
      <c r="AO835" s="112">
        <v>17.13</v>
      </c>
      <c r="AP835" s="112" t="s">
        <v>1906</v>
      </c>
      <c r="AQ835" s="112">
        <v>17.13</v>
      </c>
      <c r="AR835" s="112" t="s">
        <v>1906</v>
      </c>
      <c r="AS835" s="112">
        <v>17.13</v>
      </c>
      <c r="AT835" s="112" t="s">
        <v>1906</v>
      </c>
      <c r="AU835" s="112">
        <f t="shared" si="26"/>
        <v>132.82999999999998</v>
      </c>
      <c r="AV835" s="111">
        <v>6.5240000000000006E-2</v>
      </c>
      <c r="AW835" s="111" t="s">
        <v>1904</v>
      </c>
      <c r="AX835" s="25"/>
      <c r="AY835" s="25"/>
      <c r="AZ835" s="25"/>
    </row>
    <row r="836" spans="1:52" ht="31.2" x14ac:dyDescent="0.3">
      <c r="A836" s="103">
        <v>826</v>
      </c>
      <c r="B836" s="109" t="s">
        <v>1662</v>
      </c>
      <c r="C836" s="30" t="s">
        <v>1899</v>
      </c>
      <c r="D836" s="110" t="s">
        <v>1900</v>
      </c>
      <c r="E836" s="110" t="s">
        <v>1917</v>
      </c>
      <c r="F836" s="30" t="s">
        <v>2703</v>
      </c>
      <c r="G836" s="26" t="s">
        <v>145</v>
      </c>
      <c r="H836" s="24" t="s">
        <v>146</v>
      </c>
      <c r="I836" s="109">
        <v>0</v>
      </c>
      <c r="J836" s="109" t="s">
        <v>1918</v>
      </c>
      <c r="K836" s="109">
        <v>50</v>
      </c>
      <c r="L836" s="109" t="s">
        <v>1919</v>
      </c>
      <c r="M836" s="109" t="s">
        <v>1904</v>
      </c>
      <c r="N836" s="109" t="s">
        <v>529</v>
      </c>
      <c r="O836" s="109" t="s">
        <v>1920</v>
      </c>
      <c r="P836" s="109" t="s">
        <v>1920</v>
      </c>
      <c r="Q836" s="102">
        <v>0</v>
      </c>
      <c r="R836" s="109" t="s">
        <v>1907</v>
      </c>
      <c r="S836" s="109" t="s">
        <v>1922</v>
      </c>
      <c r="T836" s="25"/>
      <c r="U836" s="111" t="s">
        <v>1923</v>
      </c>
      <c r="V836" s="111" t="s">
        <v>1923</v>
      </c>
      <c r="W836" s="112" t="s">
        <v>2466</v>
      </c>
      <c r="X836" s="112" t="s">
        <v>1906</v>
      </c>
      <c r="Y836" s="112" t="s">
        <v>2467</v>
      </c>
      <c r="Z836" s="112" t="s">
        <v>1906</v>
      </c>
      <c r="AA836" s="112" t="s">
        <v>2467</v>
      </c>
      <c r="AB836" s="112" t="s">
        <v>1906</v>
      </c>
      <c r="AC836" s="112">
        <v>17.96</v>
      </c>
      <c r="AD836" s="112" t="s">
        <v>1906</v>
      </c>
      <c r="AE836" s="112">
        <v>5.21</v>
      </c>
      <c r="AF836" s="112" t="s">
        <v>1906</v>
      </c>
      <c r="AG836" s="112">
        <v>0</v>
      </c>
      <c r="AH836" s="112"/>
      <c r="AI836" s="112">
        <v>0</v>
      </c>
      <c r="AJ836" s="112"/>
      <c r="AK836" s="112">
        <v>0</v>
      </c>
      <c r="AL836" s="112"/>
      <c r="AM836" s="112">
        <v>4</v>
      </c>
      <c r="AN836" s="112" t="s">
        <v>1906</v>
      </c>
      <c r="AO836" s="112">
        <v>17.13</v>
      </c>
      <c r="AP836" s="112" t="s">
        <v>1906</v>
      </c>
      <c r="AQ836" s="112">
        <v>17.13</v>
      </c>
      <c r="AR836" s="112" t="s">
        <v>1906</v>
      </c>
      <c r="AS836" s="112">
        <v>17.13</v>
      </c>
      <c r="AT836" s="112" t="s">
        <v>1906</v>
      </c>
      <c r="AU836" s="112">
        <f t="shared" si="26"/>
        <v>132.82999999999998</v>
      </c>
      <c r="AV836" s="111">
        <v>6.5240000000000006E-2</v>
      </c>
      <c r="AW836" s="111" t="s">
        <v>1904</v>
      </c>
      <c r="AX836" s="25"/>
      <c r="AY836" s="25"/>
      <c r="AZ836" s="25"/>
    </row>
    <row r="837" spans="1:52" ht="31.2" x14ac:dyDescent="0.3">
      <c r="A837" s="103">
        <v>827</v>
      </c>
      <c r="B837" s="109" t="s">
        <v>1663</v>
      </c>
      <c r="C837" s="30" t="s">
        <v>1899</v>
      </c>
      <c r="D837" s="110" t="s">
        <v>1900</v>
      </c>
      <c r="E837" s="110" t="s">
        <v>1917</v>
      </c>
      <c r="F837" s="30" t="s">
        <v>2703</v>
      </c>
      <c r="G837" s="26" t="s">
        <v>145</v>
      </c>
      <c r="H837" s="24" t="s">
        <v>146</v>
      </c>
      <c r="I837" s="109">
        <v>0</v>
      </c>
      <c r="J837" s="109" t="s">
        <v>1918</v>
      </c>
      <c r="K837" s="109">
        <v>50</v>
      </c>
      <c r="L837" s="109" t="s">
        <v>1919</v>
      </c>
      <c r="M837" s="109" t="s">
        <v>1904</v>
      </c>
      <c r="N837" s="109" t="s">
        <v>529</v>
      </c>
      <c r="O837" s="109" t="s">
        <v>1920</v>
      </c>
      <c r="P837" s="109" t="s">
        <v>1920</v>
      </c>
      <c r="Q837" s="102">
        <v>0</v>
      </c>
      <c r="R837" s="109" t="s">
        <v>1907</v>
      </c>
      <c r="S837" s="109" t="s">
        <v>1922</v>
      </c>
      <c r="T837" s="25"/>
      <c r="U837" s="111" t="s">
        <v>1923</v>
      </c>
      <c r="V837" s="111" t="s">
        <v>1923</v>
      </c>
      <c r="W837" s="112" t="s">
        <v>2468</v>
      </c>
      <c r="X837" s="112" t="s">
        <v>1906</v>
      </c>
      <c r="Y837" s="112" t="s">
        <v>2468</v>
      </c>
      <c r="Z837" s="112" t="s">
        <v>1906</v>
      </c>
      <c r="AA837" s="112" t="s">
        <v>2468</v>
      </c>
      <c r="AB837" s="112" t="s">
        <v>1906</v>
      </c>
      <c r="AC837" s="112">
        <v>20.09</v>
      </c>
      <c r="AD837" s="112" t="s">
        <v>1906</v>
      </c>
      <c r="AE837" s="112">
        <v>5.83</v>
      </c>
      <c r="AF837" s="112" t="s">
        <v>1906</v>
      </c>
      <c r="AG837" s="112">
        <v>0</v>
      </c>
      <c r="AH837" s="112"/>
      <c r="AI837" s="112">
        <v>0</v>
      </c>
      <c r="AJ837" s="112"/>
      <c r="AK837" s="112">
        <v>0</v>
      </c>
      <c r="AL837" s="112"/>
      <c r="AM837" s="112">
        <v>4.5</v>
      </c>
      <c r="AN837" s="112" t="s">
        <v>1906</v>
      </c>
      <c r="AO837" s="112">
        <v>19.3</v>
      </c>
      <c r="AP837" s="112" t="s">
        <v>1906</v>
      </c>
      <c r="AQ837" s="112">
        <v>19.3</v>
      </c>
      <c r="AR837" s="112" t="s">
        <v>1906</v>
      </c>
      <c r="AS837" s="112">
        <v>19.3</v>
      </c>
      <c r="AT837" s="112" t="s">
        <v>1906</v>
      </c>
      <c r="AU837" s="112">
        <f t="shared" si="26"/>
        <v>148.59</v>
      </c>
      <c r="AV837" s="111">
        <v>8.4309999999999996E-2</v>
      </c>
      <c r="AW837" s="111" t="s">
        <v>1904</v>
      </c>
      <c r="AX837" s="25"/>
      <c r="AY837" s="25"/>
      <c r="AZ837" s="25"/>
    </row>
    <row r="838" spans="1:52" ht="31.2" x14ac:dyDescent="0.3">
      <c r="A838" s="103">
        <v>828</v>
      </c>
      <c r="B838" s="109" t="s">
        <v>1665</v>
      </c>
      <c r="C838" s="30" t="s">
        <v>1899</v>
      </c>
      <c r="D838" s="110" t="s">
        <v>1900</v>
      </c>
      <c r="E838" s="110" t="s">
        <v>1917</v>
      </c>
      <c r="F838" s="30" t="s">
        <v>2703</v>
      </c>
      <c r="G838" s="26" t="s">
        <v>145</v>
      </c>
      <c r="H838" s="24" t="s">
        <v>146</v>
      </c>
      <c r="I838" s="109">
        <v>0</v>
      </c>
      <c r="J838" s="109" t="s">
        <v>1918</v>
      </c>
      <c r="K838" s="109">
        <v>50</v>
      </c>
      <c r="L838" s="109" t="s">
        <v>1919</v>
      </c>
      <c r="M838" s="109" t="s">
        <v>1904</v>
      </c>
      <c r="N838" s="109" t="s">
        <v>529</v>
      </c>
      <c r="O838" s="109" t="s">
        <v>1920</v>
      </c>
      <c r="P838" s="109" t="s">
        <v>1920</v>
      </c>
      <c r="Q838" s="102">
        <v>0</v>
      </c>
      <c r="R838" s="109" t="s">
        <v>1907</v>
      </c>
      <c r="S838" s="109" t="s">
        <v>1922</v>
      </c>
      <c r="T838" s="25"/>
      <c r="U838" s="111" t="s">
        <v>1923</v>
      </c>
      <c r="V838" s="111" t="s">
        <v>1923</v>
      </c>
      <c r="W838" s="112" t="s">
        <v>2469</v>
      </c>
      <c r="X838" s="112" t="s">
        <v>1906</v>
      </c>
      <c r="Y838" s="112" t="s">
        <v>2469</v>
      </c>
      <c r="Z838" s="112" t="s">
        <v>1906</v>
      </c>
      <c r="AA838" s="112" t="s">
        <v>2469</v>
      </c>
      <c r="AB838" s="112" t="s">
        <v>1906</v>
      </c>
      <c r="AC838" s="112">
        <v>33.450000000000003</v>
      </c>
      <c r="AD838" s="112" t="s">
        <v>1906</v>
      </c>
      <c r="AE838" s="112">
        <v>9.7100000000000009</v>
      </c>
      <c r="AF838" s="112" t="s">
        <v>1906</v>
      </c>
      <c r="AG838" s="112">
        <v>0</v>
      </c>
      <c r="AH838" s="112"/>
      <c r="AI838" s="112">
        <v>0</v>
      </c>
      <c r="AJ838" s="112"/>
      <c r="AK838" s="112">
        <v>0</v>
      </c>
      <c r="AL838" s="112"/>
      <c r="AM838" s="112">
        <v>7.39</v>
      </c>
      <c r="AN838" s="112" t="s">
        <v>1906</v>
      </c>
      <c r="AO838" s="112">
        <v>31.69</v>
      </c>
      <c r="AP838" s="112" t="s">
        <v>1906</v>
      </c>
      <c r="AQ838" s="112">
        <v>31.69</v>
      </c>
      <c r="AR838" s="112" t="s">
        <v>1906</v>
      </c>
      <c r="AS838" s="112">
        <v>31.69</v>
      </c>
      <c r="AT838" s="112" t="s">
        <v>1906</v>
      </c>
      <c r="AU838" s="112">
        <f t="shared" si="26"/>
        <v>245.97</v>
      </c>
      <c r="AV838" s="111">
        <v>0.11842999999999999</v>
      </c>
      <c r="AW838" s="111" t="s">
        <v>1904</v>
      </c>
      <c r="AX838" s="25"/>
      <c r="AY838" s="25"/>
      <c r="AZ838" s="25"/>
    </row>
    <row r="839" spans="1:52" ht="31.2" x14ac:dyDescent="0.3">
      <c r="A839" s="103">
        <v>829</v>
      </c>
      <c r="B839" s="109" t="s">
        <v>1667</v>
      </c>
      <c r="C839" s="30" t="s">
        <v>1899</v>
      </c>
      <c r="D839" s="110" t="s">
        <v>1900</v>
      </c>
      <c r="E839" s="110" t="s">
        <v>1917</v>
      </c>
      <c r="F839" s="30" t="s">
        <v>2703</v>
      </c>
      <c r="G839" s="26" t="s">
        <v>145</v>
      </c>
      <c r="H839" s="24" t="s">
        <v>146</v>
      </c>
      <c r="I839" s="109">
        <v>0</v>
      </c>
      <c r="J839" s="109" t="s">
        <v>1918</v>
      </c>
      <c r="K839" s="109">
        <v>50</v>
      </c>
      <c r="L839" s="109" t="s">
        <v>1919</v>
      </c>
      <c r="M839" s="109" t="s">
        <v>1904</v>
      </c>
      <c r="N839" s="109" t="s">
        <v>529</v>
      </c>
      <c r="O839" s="109" t="s">
        <v>1920</v>
      </c>
      <c r="P839" s="109" t="s">
        <v>1920</v>
      </c>
      <c r="Q839" s="102">
        <v>0</v>
      </c>
      <c r="R839" s="109" t="s">
        <v>1907</v>
      </c>
      <c r="S839" s="109" t="s">
        <v>1922</v>
      </c>
      <c r="T839" s="25"/>
      <c r="U839" s="111" t="s">
        <v>1923</v>
      </c>
      <c r="V839" s="111" t="s">
        <v>1923</v>
      </c>
      <c r="W839" s="112" t="s">
        <v>2470</v>
      </c>
      <c r="X839" s="112" t="s">
        <v>1906</v>
      </c>
      <c r="Y839" s="112" t="s">
        <v>2470</v>
      </c>
      <c r="Z839" s="112" t="s">
        <v>1906</v>
      </c>
      <c r="AA839" s="112" t="s">
        <v>2470</v>
      </c>
      <c r="AB839" s="112" t="s">
        <v>1906</v>
      </c>
      <c r="AC839" s="112">
        <v>24.2</v>
      </c>
      <c r="AD839" s="112" t="s">
        <v>1906</v>
      </c>
      <c r="AE839" s="112">
        <v>7.03</v>
      </c>
      <c r="AF839" s="112" t="s">
        <v>1906</v>
      </c>
      <c r="AG839" s="112">
        <v>0</v>
      </c>
      <c r="AH839" s="112"/>
      <c r="AI839" s="112">
        <v>0</v>
      </c>
      <c r="AJ839" s="112"/>
      <c r="AK839" s="112">
        <v>0</v>
      </c>
      <c r="AL839" s="112"/>
      <c r="AM839" s="112">
        <v>5.59</v>
      </c>
      <c r="AN839" s="112" t="s">
        <v>1906</v>
      </c>
      <c r="AO839" s="112">
        <v>23.94</v>
      </c>
      <c r="AP839" s="112" t="s">
        <v>1906</v>
      </c>
      <c r="AQ839" s="112">
        <v>23.94</v>
      </c>
      <c r="AR839" s="112" t="s">
        <v>1906</v>
      </c>
      <c r="AS839" s="112">
        <v>23.94</v>
      </c>
      <c r="AT839" s="112" t="s">
        <v>1906</v>
      </c>
      <c r="AU839" s="112">
        <f t="shared" si="26"/>
        <v>181.24</v>
      </c>
      <c r="AV839" s="111">
        <v>0.1094</v>
      </c>
      <c r="AW839" s="111" t="s">
        <v>1904</v>
      </c>
      <c r="AX839" s="25"/>
      <c r="AY839" s="25"/>
      <c r="AZ839" s="25"/>
    </row>
    <row r="840" spans="1:52" ht="31.2" x14ac:dyDescent="0.3">
      <c r="A840" s="103">
        <v>830</v>
      </c>
      <c r="B840" s="109" t="s">
        <v>1669</v>
      </c>
      <c r="C840" s="30" t="s">
        <v>1899</v>
      </c>
      <c r="D840" s="110" t="s">
        <v>1900</v>
      </c>
      <c r="E840" s="110" t="s">
        <v>1917</v>
      </c>
      <c r="F840" s="30" t="s">
        <v>2703</v>
      </c>
      <c r="G840" s="26" t="s">
        <v>145</v>
      </c>
      <c r="H840" s="24" t="s">
        <v>146</v>
      </c>
      <c r="I840" s="109">
        <v>0</v>
      </c>
      <c r="J840" s="109" t="s">
        <v>1918</v>
      </c>
      <c r="K840" s="109">
        <v>76</v>
      </c>
      <c r="L840" s="109" t="s">
        <v>1919</v>
      </c>
      <c r="M840" s="109" t="s">
        <v>1904</v>
      </c>
      <c r="N840" s="109" t="s">
        <v>529</v>
      </c>
      <c r="O840" s="109" t="s">
        <v>1920</v>
      </c>
      <c r="P840" s="109" t="s">
        <v>1920</v>
      </c>
      <c r="Q840" s="102">
        <v>0</v>
      </c>
      <c r="R840" s="109" t="s">
        <v>1907</v>
      </c>
      <c r="S840" s="109" t="s">
        <v>1922</v>
      </c>
      <c r="T840" s="25"/>
      <c r="U840" s="111" t="s">
        <v>1923</v>
      </c>
      <c r="V840" s="111" t="s">
        <v>1923</v>
      </c>
      <c r="W840" s="112" t="s">
        <v>2471</v>
      </c>
      <c r="X840" s="112" t="s">
        <v>1906</v>
      </c>
      <c r="Y840" s="112" t="s">
        <v>2471</v>
      </c>
      <c r="Z840" s="112" t="s">
        <v>1906</v>
      </c>
      <c r="AA840" s="112" t="s">
        <v>2471</v>
      </c>
      <c r="AB840" s="112" t="s">
        <v>1906</v>
      </c>
      <c r="AC840" s="112">
        <v>49.7</v>
      </c>
      <c r="AD840" s="112" t="s">
        <v>1906</v>
      </c>
      <c r="AE840" s="112">
        <v>14.43</v>
      </c>
      <c r="AF840" s="112" t="s">
        <v>1906</v>
      </c>
      <c r="AG840" s="112">
        <v>0</v>
      </c>
      <c r="AH840" s="112"/>
      <c r="AI840" s="112">
        <v>0</v>
      </c>
      <c r="AJ840" s="112"/>
      <c r="AK840" s="112">
        <v>0</v>
      </c>
      <c r="AL840" s="112"/>
      <c r="AM840" s="112">
        <v>11.55</v>
      </c>
      <c r="AN840" s="112" t="s">
        <v>1906</v>
      </c>
      <c r="AO840" s="112">
        <v>49.49</v>
      </c>
      <c r="AP840" s="112" t="s">
        <v>1906</v>
      </c>
      <c r="AQ840" s="112">
        <v>49.49</v>
      </c>
      <c r="AR840" s="112" t="s">
        <v>1906</v>
      </c>
      <c r="AS840" s="112">
        <v>49.49</v>
      </c>
      <c r="AT840" s="112" t="s">
        <v>1906</v>
      </c>
      <c r="AU840" s="112">
        <f t="shared" si="26"/>
        <v>373.25000000000006</v>
      </c>
      <c r="AV840" s="111">
        <v>0.17463999999999999</v>
      </c>
      <c r="AW840" s="111" t="s">
        <v>1904</v>
      </c>
      <c r="AX840" s="25"/>
      <c r="AY840" s="25"/>
      <c r="AZ840" s="25"/>
    </row>
    <row r="841" spans="1:52" ht="31.2" x14ac:dyDescent="0.3">
      <c r="A841" s="103">
        <v>831</v>
      </c>
      <c r="B841" s="109" t="s">
        <v>1670</v>
      </c>
      <c r="C841" s="30" t="s">
        <v>1899</v>
      </c>
      <c r="D841" s="110" t="s">
        <v>1900</v>
      </c>
      <c r="E841" s="110" t="s">
        <v>1917</v>
      </c>
      <c r="F841" s="30" t="s">
        <v>2703</v>
      </c>
      <c r="G841" s="26" t="s">
        <v>145</v>
      </c>
      <c r="H841" s="24" t="s">
        <v>146</v>
      </c>
      <c r="I841" s="109">
        <v>0</v>
      </c>
      <c r="J841" s="109" t="s">
        <v>1918</v>
      </c>
      <c r="K841" s="109">
        <v>50</v>
      </c>
      <c r="L841" s="109" t="s">
        <v>1919</v>
      </c>
      <c r="M841" s="109" t="s">
        <v>1904</v>
      </c>
      <c r="N841" s="109" t="s">
        <v>529</v>
      </c>
      <c r="O841" s="109" t="s">
        <v>1920</v>
      </c>
      <c r="P841" s="109" t="s">
        <v>1920</v>
      </c>
      <c r="Q841" s="102">
        <v>0</v>
      </c>
      <c r="R841" s="109" t="s">
        <v>1907</v>
      </c>
      <c r="S841" s="109" t="s">
        <v>1922</v>
      </c>
      <c r="T841" s="25"/>
      <c r="U841" s="111" t="s">
        <v>1923</v>
      </c>
      <c r="V841" s="111" t="s">
        <v>1923</v>
      </c>
      <c r="W841" s="112" t="s">
        <v>2472</v>
      </c>
      <c r="X841" s="112" t="s">
        <v>1906</v>
      </c>
      <c r="Y841" s="112" t="s">
        <v>2472</v>
      </c>
      <c r="Z841" s="112" t="s">
        <v>1906</v>
      </c>
      <c r="AA841" s="112" t="s">
        <v>2472</v>
      </c>
      <c r="AB841" s="112" t="s">
        <v>1906</v>
      </c>
      <c r="AC841" s="112">
        <v>13.08</v>
      </c>
      <c r="AD841" s="112" t="s">
        <v>1906</v>
      </c>
      <c r="AE841" s="112">
        <v>3.8</v>
      </c>
      <c r="AF841" s="112" t="s">
        <v>1906</v>
      </c>
      <c r="AG841" s="112">
        <v>0</v>
      </c>
      <c r="AH841" s="112"/>
      <c r="AI841" s="112">
        <v>0</v>
      </c>
      <c r="AJ841" s="112"/>
      <c r="AK841" s="112">
        <v>0</v>
      </c>
      <c r="AL841" s="112"/>
      <c r="AM841" s="112">
        <v>2.95</v>
      </c>
      <c r="AN841" s="112" t="s">
        <v>1906</v>
      </c>
      <c r="AO841" s="112">
        <v>12.65</v>
      </c>
      <c r="AP841" s="112" t="s">
        <v>1906</v>
      </c>
      <c r="AQ841" s="112">
        <v>12.65</v>
      </c>
      <c r="AR841" s="112" t="s">
        <v>1906</v>
      </c>
      <c r="AS841" s="112">
        <v>12.65</v>
      </c>
      <c r="AT841" s="112" t="s">
        <v>1906</v>
      </c>
      <c r="AU841" s="112">
        <f t="shared" si="26"/>
        <v>97.02000000000001</v>
      </c>
      <c r="AV841" s="111">
        <v>5.6210000000000003E-2</v>
      </c>
      <c r="AW841" s="111" t="s">
        <v>1904</v>
      </c>
      <c r="AX841" s="25"/>
      <c r="AY841" s="25"/>
      <c r="AZ841" s="25"/>
    </row>
    <row r="842" spans="1:52" ht="31.2" x14ac:dyDescent="0.3">
      <c r="A842" s="103">
        <v>832</v>
      </c>
      <c r="B842" s="109" t="s">
        <v>1671</v>
      </c>
      <c r="C842" s="30" t="s">
        <v>1899</v>
      </c>
      <c r="D842" s="110" t="s">
        <v>1900</v>
      </c>
      <c r="E842" s="110" t="s">
        <v>1917</v>
      </c>
      <c r="F842" s="30" t="s">
        <v>2703</v>
      </c>
      <c r="G842" s="26" t="s">
        <v>145</v>
      </c>
      <c r="H842" s="24" t="s">
        <v>146</v>
      </c>
      <c r="I842" s="109">
        <v>1</v>
      </c>
      <c r="J842" s="109" t="s">
        <v>1918</v>
      </c>
      <c r="K842" s="109">
        <v>108</v>
      </c>
      <c r="L842" s="109" t="s">
        <v>1919</v>
      </c>
      <c r="M842" s="109" t="s">
        <v>1904</v>
      </c>
      <c r="N842" s="109" t="s">
        <v>529</v>
      </c>
      <c r="O842" s="109" t="s">
        <v>1920</v>
      </c>
      <c r="P842" s="109" t="s">
        <v>1921</v>
      </c>
      <c r="Q842" s="102">
        <v>0</v>
      </c>
      <c r="R842" s="109" t="s">
        <v>1907</v>
      </c>
      <c r="S842" s="109" t="s">
        <v>1922</v>
      </c>
      <c r="T842" s="25"/>
      <c r="U842" s="111" t="s">
        <v>1923</v>
      </c>
      <c r="V842" s="111" t="s">
        <v>1923</v>
      </c>
      <c r="W842" s="112" t="s">
        <v>2473</v>
      </c>
      <c r="X842" s="112" t="s">
        <v>1906</v>
      </c>
      <c r="Y842" s="112" t="s">
        <v>2473</v>
      </c>
      <c r="Z842" s="112" t="s">
        <v>1906</v>
      </c>
      <c r="AA842" s="112" t="s">
        <v>2473</v>
      </c>
      <c r="AB842" s="112" t="s">
        <v>1906</v>
      </c>
      <c r="AC842" s="112">
        <v>115.64</v>
      </c>
      <c r="AD842" s="112" t="s">
        <v>1906</v>
      </c>
      <c r="AE842" s="112">
        <v>33.57</v>
      </c>
      <c r="AF842" s="112" t="s">
        <v>1906</v>
      </c>
      <c r="AG842" s="112">
        <v>0</v>
      </c>
      <c r="AH842" s="112"/>
      <c r="AI842" s="112">
        <v>0</v>
      </c>
      <c r="AJ842" s="112"/>
      <c r="AK842" s="112">
        <v>0</v>
      </c>
      <c r="AL842" s="112"/>
      <c r="AM842" s="112">
        <v>26.63</v>
      </c>
      <c r="AN842" s="112" t="s">
        <v>1906</v>
      </c>
      <c r="AO842" s="112">
        <v>114.13</v>
      </c>
      <c r="AP842" s="112" t="s">
        <v>1906</v>
      </c>
      <c r="AQ842" s="112">
        <v>114.13</v>
      </c>
      <c r="AR842" s="112" t="s">
        <v>1906</v>
      </c>
      <c r="AS842" s="112">
        <v>114.13</v>
      </c>
      <c r="AT842" s="112" t="s">
        <v>1906</v>
      </c>
      <c r="AU842" s="112">
        <f t="shared" si="26"/>
        <v>865.15</v>
      </c>
      <c r="AV842" s="111">
        <v>0.31213999999999997</v>
      </c>
      <c r="AW842" s="111" t="s">
        <v>1904</v>
      </c>
      <c r="AX842" s="25"/>
      <c r="AY842" s="25"/>
      <c r="AZ842" s="25"/>
    </row>
    <row r="843" spans="1:52" ht="31.2" x14ac:dyDescent="0.3">
      <c r="A843" s="103">
        <v>833</v>
      </c>
      <c r="B843" s="109" t="s">
        <v>1672</v>
      </c>
      <c r="C843" s="30" t="s">
        <v>1899</v>
      </c>
      <c r="D843" s="110" t="s">
        <v>1900</v>
      </c>
      <c r="E843" s="110" t="s">
        <v>1917</v>
      </c>
      <c r="F843" s="30" t="s">
        <v>2703</v>
      </c>
      <c r="G843" s="26" t="s">
        <v>145</v>
      </c>
      <c r="H843" s="24" t="s">
        <v>146</v>
      </c>
      <c r="I843" s="109">
        <v>1</v>
      </c>
      <c r="J843" s="109" t="s">
        <v>1918</v>
      </c>
      <c r="K843" s="109">
        <v>76</v>
      </c>
      <c r="L843" s="109" t="s">
        <v>1919</v>
      </c>
      <c r="M843" s="109" t="s">
        <v>1904</v>
      </c>
      <c r="N843" s="109" t="s">
        <v>529</v>
      </c>
      <c r="O843" s="109" t="s">
        <v>1920</v>
      </c>
      <c r="P843" s="109" t="s">
        <v>1921</v>
      </c>
      <c r="Q843" s="102">
        <v>0</v>
      </c>
      <c r="R843" s="109" t="s">
        <v>1907</v>
      </c>
      <c r="S843" s="109" t="s">
        <v>1922</v>
      </c>
      <c r="T843" s="25"/>
      <c r="U843" s="111" t="s">
        <v>1923</v>
      </c>
      <c r="V843" s="111" t="s">
        <v>1923</v>
      </c>
      <c r="W843" s="112" t="s">
        <v>2474</v>
      </c>
      <c r="X843" s="112" t="s">
        <v>208</v>
      </c>
      <c r="Y843" s="112" t="s">
        <v>2475</v>
      </c>
      <c r="Z843" s="112" t="s">
        <v>208</v>
      </c>
      <c r="AA843" s="112" t="s">
        <v>2476</v>
      </c>
      <c r="AB843" s="112" t="s">
        <v>208</v>
      </c>
      <c r="AC843" s="112">
        <v>42.74</v>
      </c>
      <c r="AD843" s="112" t="s">
        <v>208</v>
      </c>
      <c r="AE843" s="112">
        <v>12.41</v>
      </c>
      <c r="AF843" s="112" t="s">
        <v>208</v>
      </c>
      <c r="AG843" s="112">
        <v>0</v>
      </c>
      <c r="AH843" s="112"/>
      <c r="AI843" s="112">
        <v>0</v>
      </c>
      <c r="AJ843" s="112"/>
      <c r="AK843" s="112">
        <v>0</v>
      </c>
      <c r="AL843" s="112"/>
      <c r="AM843" s="112">
        <v>0</v>
      </c>
      <c r="AN843" s="112"/>
      <c r="AO843" s="112">
        <v>41.77</v>
      </c>
      <c r="AP843" s="112" t="s">
        <v>208</v>
      </c>
      <c r="AQ843" s="112">
        <v>41.77</v>
      </c>
      <c r="AR843" s="112" t="s">
        <v>208</v>
      </c>
      <c r="AS843" s="112">
        <v>41.77</v>
      </c>
      <c r="AT843" s="112" t="s">
        <v>208</v>
      </c>
      <c r="AU843" s="112">
        <f t="shared" si="26"/>
        <v>349.65</v>
      </c>
      <c r="AV843" s="111">
        <v>0.18692</v>
      </c>
      <c r="AW843" s="111" t="s">
        <v>1904</v>
      </c>
      <c r="AX843" s="25"/>
      <c r="AY843" s="25"/>
      <c r="AZ843" s="25"/>
    </row>
    <row r="844" spans="1:52" ht="31.2" x14ac:dyDescent="0.3">
      <c r="A844" s="103">
        <v>834</v>
      </c>
      <c r="B844" s="109" t="s">
        <v>1674</v>
      </c>
      <c r="C844" s="30" t="s">
        <v>1899</v>
      </c>
      <c r="D844" s="110" t="s">
        <v>1900</v>
      </c>
      <c r="E844" s="110" t="s">
        <v>1917</v>
      </c>
      <c r="F844" s="30" t="s">
        <v>2703</v>
      </c>
      <c r="G844" s="26" t="s">
        <v>145</v>
      </c>
      <c r="H844" s="24" t="s">
        <v>146</v>
      </c>
      <c r="I844" s="109">
        <v>0</v>
      </c>
      <c r="J844" s="109" t="s">
        <v>1918</v>
      </c>
      <c r="K844" s="109">
        <v>50</v>
      </c>
      <c r="L844" s="109" t="s">
        <v>1919</v>
      </c>
      <c r="M844" s="109" t="s">
        <v>1904</v>
      </c>
      <c r="N844" s="109" t="s">
        <v>529</v>
      </c>
      <c r="O844" s="109" t="s">
        <v>1920</v>
      </c>
      <c r="P844" s="109" t="s">
        <v>1920</v>
      </c>
      <c r="Q844" s="102">
        <v>0</v>
      </c>
      <c r="R844" s="109" t="s">
        <v>1907</v>
      </c>
      <c r="S844" s="109" t="s">
        <v>1922</v>
      </c>
      <c r="T844" s="25"/>
      <c r="U844" s="111" t="s">
        <v>1923</v>
      </c>
      <c r="V844" s="111" t="s">
        <v>1923</v>
      </c>
      <c r="W844" s="112" t="s">
        <v>2477</v>
      </c>
      <c r="X844" s="112" t="s">
        <v>1906</v>
      </c>
      <c r="Y844" s="112" t="s">
        <v>2477</v>
      </c>
      <c r="Z844" s="112" t="s">
        <v>1906</v>
      </c>
      <c r="AA844" s="112" t="s">
        <v>2477</v>
      </c>
      <c r="AB844" s="112" t="s">
        <v>1906</v>
      </c>
      <c r="AC844" s="112">
        <v>24.02</v>
      </c>
      <c r="AD844" s="112" t="s">
        <v>1906</v>
      </c>
      <c r="AE844" s="112">
        <v>6.97</v>
      </c>
      <c r="AF844" s="112" t="s">
        <v>1906</v>
      </c>
      <c r="AG844" s="112">
        <v>0</v>
      </c>
      <c r="AH844" s="112"/>
      <c r="AI844" s="112">
        <v>0</v>
      </c>
      <c r="AJ844" s="112"/>
      <c r="AK844" s="112">
        <v>0</v>
      </c>
      <c r="AL844" s="112"/>
      <c r="AM844" s="112">
        <v>5.43</v>
      </c>
      <c r="AN844" s="112" t="s">
        <v>1906</v>
      </c>
      <c r="AO844" s="112">
        <v>23.27</v>
      </c>
      <c r="AP844" s="112" t="s">
        <v>1906</v>
      </c>
      <c r="AQ844" s="112">
        <v>23.27</v>
      </c>
      <c r="AR844" s="112" t="s">
        <v>1906</v>
      </c>
      <c r="AS844" s="112">
        <v>23.27</v>
      </c>
      <c r="AT844" s="112" t="s">
        <v>1906</v>
      </c>
      <c r="AU844" s="112">
        <f t="shared" ref="AU844:AU907" si="27">W844+Y844+AA844+AC844+AE844+AG844+AI844+AK844+AM844+AO844+AQ844+AS844</f>
        <v>178.29000000000002</v>
      </c>
      <c r="AV844" s="111">
        <v>7.1260000000000004E-2</v>
      </c>
      <c r="AW844" s="111" t="s">
        <v>1904</v>
      </c>
      <c r="AX844" s="25"/>
      <c r="AY844" s="25"/>
      <c r="AZ844" s="25"/>
    </row>
    <row r="845" spans="1:52" ht="31.2" x14ac:dyDescent="0.3">
      <c r="A845" s="103">
        <v>835</v>
      </c>
      <c r="B845" s="109" t="s">
        <v>1675</v>
      </c>
      <c r="C845" s="30" t="s">
        <v>1899</v>
      </c>
      <c r="D845" s="110" t="s">
        <v>1900</v>
      </c>
      <c r="E845" s="110" t="s">
        <v>1917</v>
      </c>
      <c r="F845" s="30" t="s">
        <v>2703</v>
      </c>
      <c r="G845" s="26" t="s">
        <v>145</v>
      </c>
      <c r="H845" s="24" t="s">
        <v>146</v>
      </c>
      <c r="I845" s="109">
        <v>1</v>
      </c>
      <c r="J845" s="109" t="s">
        <v>1918</v>
      </c>
      <c r="K845" s="109">
        <v>50</v>
      </c>
      <c r="L845" s="109" t="s">
        <v>1919</v>
      </c>
      <c r="M845" s="109" t="s">
        <v>1904</v>
      </c>
      <c r="N845" s="109" t="s">
        <v>529</v>
      </c>
      <c r="O845" s="109" t="s">
        <v>1920</v>
      </c>
      <c r="P845" s="109" t="s">
        <v>1921</v>
      </c>
      <c r="Q845" s="102">
        <v>0</v>
      </c>
      <c r="R845" s="109" t="s">
        <v>1907</v>
      </c>
      <c r="S845" s="109" t="s">
        <v>1922</v>
      </c>
      <c r="T845" s="25"/>
      <c r="U845" s="111" t="s">
        <v>1923</v>
      </c>
      <c r="V845" s="111" t="s">
        <v>1923</v>
      </c>
      <c r="W845" s="112" t="s">
        <v>2478</v>
      </c>
      <c r="X845" s="112" t="s">
        <v>1906</v>
      </c>
      <c r="Y845" s="112" t="s">
        <v>2478</v>
      </c>
      <c r="Z845" s="112" t="s">
        <v>1906</v>
      </c>
      <c r="AA845" s="112" t="s">
        <v>2478</v>
      </c>
      <c r="AB845" s="112" t="s">
        <v>1906</v>
      </c>
      <c r="AC845" s="112">
        <v>11.16</v>
      </c>
      <c r="AD845" s="112" t="s">
        <v>1906</v>
      </c>
      <c r="AE845" s="112">
        <v>3.24</v>
      </c>
      <c r="AF845" s="112" t="s">
        <v>1906</v>
      </c>
      <c r="AG845" s="112">
        <v>0</v>
      </c>
      <c r="AH845" s="112"/>
      <c r="AI845" s="112">
        <v>0</v>
      </c>
      <c r="AJ845" s="112"/>
      <c r="AK845" s="112">
        <v>0</v>
      </c>
      <c r="AL845" s="112"/>
      <c r="AM845" s="112">
        <v>0</v>
      </c>
      <c r="AN845" s="112"/>
      <c r="AO845" s="112">
        <v>10.86</v>
      </c>
      <c r="AP845" s="112" t="s">
        <v>1906</v>
      </c>
      <c r="AQ845" s="112">
        <v>10.86</v>
      </c>
      <c r="AR845" s="112" t="s">
        <v>1906</v>
      </c>
      <c r="AS845" s="112">
        <v>10.86</v>
      </c>
      <c r="AT845" s="112" t="s">
        <v>1906</v>
      </c>
      <c r="AU845" s="112">
        <f t="shared" si="27"/>
        <v>80.459999999999994</v>
      </c>
      <c r="AV845" s="111">
        <v>5.8209999999999998E-2</v>
      </c>
      <c r="AW845" s="111" t="s">
        <v>1904</v>
      </c>
      <c r="AX845" s="25"/>
      <c r="AY845" s="25"/>
      <c r="AZ845" s="25"/>
    </row>
    <row r="846" spans="1:52" ht="31.2" x14ac:dyDescent="0.3">
      <c r="A846" s="103">
        <v>836</v>
      </c>
      <c r="B846" s="109" t="s">
        <v>1676</v>
      </c>
      <c r="C846" s="30" t="s">
        <v>1899</v>
      </c>
      <c r="D846" s="110" t="s">
        <v>1900</v>
      </c>
      <c r="E846" s="110" t="s">
        <v>1917</v>
      </c>
      <c r="F846" s="30" t="s">
        <v>2703</v>
      </c>
      <c r="G846" s="26" t="s">
        <v>145</v>
      </c>
      <c r="H846" s="24" t="s">
        <v>146</v>
      </c>
      <c r="I846" s="109">
        <v>0</v>
      </c>
      <c r="J846" s="109" t="s">
        <v>1918</v>
      </c>
      <c r="K846" s="109">
        <v>89</v>
      </c>
      <c r="L846" s="109" t="s">
        <v>1919</v>
      </c>
      <c r="M846" s="109" t="s">
        <v>1904</v>
      </c>
      <c r="N846" s="109" t="s">
        <v>529</v>
      </c>
      <c r="O846" s="109" t="s">
        <v>1920</v>
      </c>
      <c r="P846" s="109" t="s">
        <v>1920</v>
      </c>
      <c r="Q846" s="102">
        <v>0</v>
      </c>
      <c r="R846" s="109" t="s">
        <v>1907</v>
      </c>
      <c r="S846" s="109" t="s">
        <v>1922</v>
      </c>
      <c r="T846" s="25"/>
      <c r="U846" s="111" t="s">
        <v>1923</v>
      </c>
      <c r="V846" s="111" t="s">
        <v>1923</v>
      </c>
      <c r="W846" s="112" t="s">
        <v>2479</v>
      </c>
      <c r="X846" s="112" t="s">
        <v>1906</v>
      </c>
      <c r="Y846" s="112" t="s">
        <v>2479</v>
      </c>
      <c r="Z846" s="112" t="s">
        <v>1906</v>
      </c>
      <c r="AA846" s="112" t="s">
        <v>2479</v>
      </c>
      <c r="AB846" s="112" t="s">
        <v>1906</v>
      </c>
      <c r="AC846" s="112">
        <v>20.3</v>
      </c>
      <c r="AD846" s="112" t="s">
        <v>1906</v>
      </c>
      <c r="AE846" s="112">
        <v>5.89</v>
      </c>
      <c r="AF846" s="112" t="s">
        <v>1906</v>
      </c>
      <c r="AG846" s="112">
        <v>0</v>
      </c>
      <c r="AH846" s="112"/>
      <c r="AI846" s="112">
        <v>0</v>
      </c>
      <c r="AJ846" s="112"/>
      <c r="AK846" s="112">
        <v>0</v>
      </c>
      <c r="AL846" s="112"/>
      <c r="AM846" s="112">
        <v>4.25</v>
      </c>
      <c r="AN846" s="112" t="s">
        <v>1906</v>
      </c>
      <c r="AO846" s="112">
        <v>18.21</v>
      </c>
      <c r="AP846" s="112" t="s">
        <v>1906</v>
      </c>
      <c r="AQ846" s="112">
        <v>18.21</v>
      </c>
      <c r="AR846" s="112" t="s">
        <v>1906</v>
      </c>
      <c r="AS846" s="112">
        <v>18.21</v>
      </c>
      <c r="AT846" s="112" t="s">
        <v>1906</v>
      </c>
      <c r="AU846" s="112">
        <f t="shared" si="27"/>
        <v>145.97000000000003</v>
      </c>
      <c r="AV846" s="111">
        <v>0.11944</v>
      </c>
      <c r="AW846" s="111" t="s">
        <v>1904</v>
      </c>
      <c r="AX846" s="25"/>
      <c r="AY846" s="25"/>
      <c r="AZ846" s="25"/>
    </row>
    <row r="847" spans="1:52" ht="31.2" x14ac:dyDescent="0.3">
      <c r="A847" s="103">
        <v>837</v>
      </c>
      <c r="B847" s="109" t="s">
        <v>1677</v>
      </c>
      <c r="C847" s="30" t="s">
        <v>1899</v>
      </c>
      <c r="D847" s="110" t="s">
        <v>1900</v>
      </c>
      <c r="E847" s="110" t="s">
        <v>1917</v>
      </c>
      <c r="F847" s="30" t="s">
        <v>2703</v>
      </c>
      <c r="G847" s="26" t="s">
        <v>145</v>
      </c>
      <c r="H847" s="24" t="s">
        <v>146</v>
      </c>
      <c r="I847" s="109">
        <v>1</v>
      </c>
      <c r="J847" s="109" t="s">
        <v>1918</v>
      </c>
      <c r="K847" s="109">
        <v>89</v>
      </c>
      <c r="L847" s="109" t="s">
        <v>1919</v>
      </c>
      <c r="M847" s="109" t="s">
        <v>1904</v>
      </c>
      <c r="N847" s="109" t="s">
        <v>529</v>
      </c>
      <c r="O847" s="109" t="s">
        <v>1920</v>
      </c>
      <c r="P847" s="109" t="s">
        <v>1921</v>
      </c>
      <c r="Q847" s="102">
        <v>0</v>
      </c>
      <c r="R847" s="109" t="s">
        <v>1907</v>
      </c>
      <c r="S847" s="109" t="s">
        <v>1922</v>
      </c>
      <c r="T847" s="25"/>
      <c r="U847" s="111" t="s">
        <v>1923</v>
      </c>
      <c r="V847" s="111" t="s">
        <v>1923</v>
      </c>
      <c r="W847" s="112" t="s">
        <v>2480</v>
      </c>
      <c r="X847" s="112" t="s">
        <v>208</v>
      </c>
      <c r="Y847" s="112" t="s">
        <v>2481</v>
      </c>
      <c r="Z847" s="112" t="s">
        <v>208</v>
      </c>
      <c r="AA847" s="112" t="s">
        <v>2481</v>
      </c>
      <c r="AB847" s="112" t="s">
        <v>208</v>
      </c>
      <c r="AC847" s="112">
        <v>61.38</v>
      </c>
      <c r="AD847" s="112" t="s">
        <v>208</v>
      </c>
      <c r="AE847" s="112">
        <v>17.82</v>
      </c>
      <c r="AF847" s="112" t="s">
        <v>208</v>
      </c>
      <c r="AG847" s="112">
        <v>0</v>
      </c>
      <c r="AH847" s="112"/>
      <c r="AI847" s="112">
        <v>0</v>
      </c>
      <c r="AJ847" s="112"/>
      <c r="AK847" s="112">
        <v>0</v>
      </c>
      <c r="AL847" s="112"/>
      <c r="AM847" s="112">
        <v>0</v>
      </c>
      <c r="AN847" s="112"/>
      <c r="AO847" s="112">
        <v>62.5</v>
      </c>
      <c r="AP847" s="112" t="s">
        <v>208</v>
      </c>
      <c r="AQ847" s="112">
        <v>59.6</v>
      </c>
      <c r="AR847" s="112" t="s">
        <v>208</v>
      </c>
      <c r="AS847" s="112">
        <v>59.6</v>
      </c>
      <c r="AT847" s="112" t="s">
        <v>208</v>
      </c>
      <c r="AU847" s="112">
        <f t="shared" si="27"/>
        <v>489.95000000000005</v>
      </c>
      <c r="AV847" s="111">
        <v>0.21076</v>
      </c>
      <c r="AW847" s="111" t="s">
        <v>1904</v>
      </c>
      <c r="AX847" s="25"/>
      <c r="AY847" s="25"/>
      <c r="AZ847" s="25"/>
    </row>
    <row r="848" spans="1:52" ht="31.2" x14ac:dyDescent="0.3">
      <c r="A848" s="103">
        <v>838</v>
      </c>
      <c r="B848" s="109" t="s">
        <v>1678</v>
      </c>
      <c r="C848" s="30" t="s">
        <v>1899</v>
      </c>
      <c r="D848" s="110" t="s">
        <v>1900</v>
      </c>
      <c r="E848" s="110" t="s">
        <v>1917</v>
      </c>
      <c r="F848" s="30" t="s">
        <v>2703</v>
      </c>
      <c r="G848" s="26" t="s">
        <v>145</v>
      </c>
      <c r="H848" s="24" t="s">
        <v>146</v>
      </c>
      <c r="I848" s="109">
        <v>0</v>
      </c>
      <c r="J848" s="109" t="s">
        <v>1918</v>
      </c>
      <c r="K848" s="109">
        <v>76</v>
      </c>
      <c r="L848" s="109" t="s">
        <v>1919</v>
      </c>
      <c r="M848" s="109" t="s">
        <v>1904</v>
      </c>
      <c r="N848" s="109" t="s">
        <v>529</v>
      </c>
      <c r="O848" s="109" t="s">
        <v>1920</v>
      </c>
      <c r="P848" s="109" t="s">
        <v>1920</v>
      </c>
      <c r="Q848" s="102">
        <v>0</v>
      </c>
      <c r="R848" s="109" t="s">
        <v>1907</v>
      </c>
      <c r="S848" s="109" t="s">
        <v>1922</v>
      </c>
      <c r="T848" s="25"/>
      <c r="U848" s="111" t="s">
        <v>1923</v>
      </c>
      <c r="V848" s="111" t="s">
        <v>1923</v>
      </c>
      <c r="W848" s="112" t="s">
        <v>2482</v>
      </c>
      <c r="X848" s="112" t="s">
        <v>1906</v>
      </c>
      <c r="Y848" s="112" t="s">
        <v>2482</v>
      </c>
      <c r="Z848" s="112" t="s">
        <v>1906</v>
      </c>
      <c r="AA848" s="112" t="s">
        <v>2482</v>
      </c>
      <c r="AB848" s="112" t="s">
        <v>1906</v>
      </c>
      <c r="AC848" s="112">
        <v>24.12</v>
      </c>
      <c r="AD848" s="112" t="s">
        <v>1906</v>
      </c>
      <c r="AE848" s="112">
        <v>7</v>
      </c>
      <c r="AF848" s="112" t="s">
        <v>1906</v>
      </c>
      <c r="AG848" s="112">
        <v>0</v>
      </c>
      <c r="AH848" s="112"/>
      <c r="AI848" s="112">
        <v>0</v>
      </c>
      <c r="AJ848" s="112"/>
      <c r="AK848" s="112">
        <v>0</v>
      </c>
      <c r="AL848" s="112"/>
      <c r="AM848" s="112">
        <v>5.35</v>
      </c>
      <c r="AN848" s="112" t="s">
        <v>1906</v>
      </c>
      <c r="AO848" s="112">
        <v>22.93</v>
      </c>
      <c r="AP848" s="112" t="s">
        <v>1906</v>
      </c>
      <c r="AQ848" s="112">
        <v>22.93</v>
      </c>
      <c r="AR848" s="112" t="s">
        <v>1906</v>
      </c>
      <c r="AS848" s="112">
        <v>22.93</v>
      </c>
      <c r="AT848" s="112" t="s">
        <v>1906</v>
      </c>
      <c r="AU848" s="112">
        <f t="shared" si="27"/>
        <v>177.62</v>
      </c>
      <c r="AV848" s="111">
        <v>0.13148000000000001</v>
      </c>
      <c r="AW848" s="111" t="s">
        <v>1904</v>
      </c>
      <c r="AX848" s="25"/>
      <c r="AY848" s="25"/>
      <c r="AZ848" s="25"/>
    </row>
    <row r="849" spans="1:52" ht="31.2" x14ac:dyDescent="0.3">
      <c r="A849" s="103">
        <v>839</v>
      </c>
      <c r="B849" s="109" t="s">
        <v>1680</v>
      </c>
      <c r="C849" s="30" t="s">
        <v>1899</v>
      </c>
      <c r="D849" s="110" t="s">
        <v>1900</v>
      </c>
      <c r="E849" s="110" t="s">
        <v>1917</v>
      </c>
      <c r="F849" s="30" t="s">
        <v>2703</v>
      </c>
      <c r="G849" s="26" t="s">
        <v>145</v>
      </c>
      <c r="H849" s="24" t="s">
        <v>146</v>
      </c>
      <c r="I849" s="109">
        <v>1</v>
      </c>
      <c r="J849" s="109" t="s">
        <v>1918</v>
      </c>
      <c r="K849" s="109">
        <v>133</v>
      </c>
      <c r="L849" s="109" t="s">
        <v>1919</v>
      </c>
      <c r="M849" s="109" t="s">
        <v>1904</v>
      </c>
      <c r="N849" s="109" t="s">
        <v>529</v>
      </c>
      <c r="O849" s="109" t="s">
        <v>1920</v>
      </c>
      <c r="P849" s="109" t="s">
        <v>1921</v>
      </c>
      <c r="Q849" s="102">
        <v>0</v>
      </c>
      <c r="R849" s="109" t="s">
        <v>1907</v>
      </c>
      <c r="S849" s="109" t="s">
        <v>1922</v>
      </c>
      <c r="T849" s="25"/>
      <c r="U849" s="111" t="s">
        <v>1923</v>
      </c>
      <c r="V849" s="111" t="s">
        <v>1923</v>
      </c>
      <c r="W849" s="112">
        <v>165.89</v>
      </c>
      <c r="X849" s="112" t="s">
        <v>1906</v>
      </c>
      <c r="Y849" s="112" t="s">
        <v>2483</v>
      </c>
      <c r="Z849" s="112" t="s">
        <v>1906</v>
      </c>
      <c r="AA849" s="112" t="s">
        <v>2483</v>
      </c>
      <c r="AB849" s="112" t="s">
        <v>1906</v>
      </c>
      <c r="AC849" s="112">
        <v>165.89</v>
      </c>
      <c r="AD849" s="112" t="s">
        <v>1906</v>
      </c>
      <c r="AE849" s="112">
        <v>48.17</v>
      </c>
      <c r="AF849" s="112" t="s">
        <v>1906</v>
      </c>
      <c r="AG849" s="112">
        <v>0</v>
      </c>
      <c r="AH849" s="112"/>
      <c r="AI849" s="112">
        <v>0</v>
      </c>
      <c r="AJ849" s="112"/>
      <c r="AK849" s="112">
        <v>0</v>
      </c>
      <c r="AL849" s="112"/>
      <c r="AM849" s="112">
        <v>35.6</v>
      </c>
      <c r="AN849" s="112" t="s">
        <v>1906</v>
      </c>
      <c r="AO849" s="112">
        <v>152.59</v>
      </c>
      <c r="AP849" s="112" t="s">
        <v>1906</v>
      </c>
      <c r="AQ849" s="112">
        <v>152.59</v>
      </c>
      <c r="AR849" s="112" t="s">
        <v>1906</v>
      </c>
      <c r="AS849" s="112">
        <v>152.59</v>
      </c>
      <c r="AT849" s="112" t="s">
        <v>1906</v>
      </c>
      <c r="AU849" s="112">
        <f t="shared" si="27"/>
        <v>1205.0999999999999</v>
      </c>
      <c r="AV849" s="111">
        <v>0.49680999999999997</v>
      </c>
      <c r="AW849" s="111" t="s">
        <v>1904</v>
      </c>
      <c r="AX849" s="25"/>
      <c r="AY849" s="25"/>
      <c r="AZ849" s="25"/>
    </row>
    <row r="850" spans="1:52" ht="31.2" x14ac:dyDescent="0.3">
      <c r="A850" s="103">
        <v>840</v>
      </c>
      <c r="B850" s="109" t="s">
        <v>1681</v>
      </c>
      <c r="C850" s="30" t="s">
        <v>1899</v>
      </c>
      <c r="D850" s="110" t="s">
        <v>1900</v>
      </c>
      <c r="E850" s="110" t="s">
        <v>1917</v>
      </c>
      <c r="F850" s="30" t="s">
        <v>2703</v>
      </c>
      <c r="G850" s="26" t="s">
        <v>145</v>
      </c>
      <c r="H850" s="24" t="s">
        <v>146</v>
      </c>
      <c r="I850" s="109">
        <v>1</v>
      </c>
      <c r="J850" s="109" t="s">
        <v>1918</v>
      </c>
      <c r="K850" s="109">
        <v>89</v>
      </c>
      <c r="L850" s="109" t="s">
        <v>1919</v>
      </c>
      <c r="M850" s="109" t="s">
        <v>1904</v>
      </c>
      <c r="N850" s="109" t="s">
        <v>529</v>
      </c>
      <c r="O850" s="109" t="s">
        <v>1920</v>
      </c>
      <c r="P850" s="109" t="s">
        <v>1921</v>
      </c>
      <c r="Q850" s="102">
        <v>0</v>
      </c>
      <c r="R850" s="109" t="s">
        <v>1907</v>
      </c>
      <c r="S850" s="109" t="s">
        <v>1922</v>
      </c>
      <c r="T850" s="25"/>
      <c r="U850" s="111" t="s">
        <v>1923</v>
      </c>
      <c r="V850" s="111" t="s">
        <v>1923</v>
      </c>
      <c r="W850" s="112">
        <v>165.89</v>
      </c>
      <c r="X850" s="112" t="s">
        <v>1906</v>
      </c>
      <c r="Y850" s="112" t="s">
        <v>2483</v>
      </c>
      <c r="Z850" s="112" t="s">
        <v>1906</v>
      </c>
      <c r="AA850" s="112" t="s">
        <v>2483</v>
      </c>
      <c r="AB850" s="112" t="s">
        <v>1906</v>
      </c>
      <c r="AC850" s="112">
        <v>165.89</v>
      </c>
      <c r="AD850" s="112" t="s">
        <v>1906</v>
      </c>
      <c r="AE850" s="112">
        <v>48.17</v>
      </c>
      <c r="AF850" s="112" t="s">
        <v>1906</v>
      </c>
      <c r="AG850" s="112">
        <v>0</v>
      </c>
      <c r="AH850" s="112"/>
      <c r="AI850" s="112">
        <v>0</v>
      </c>
      <c r="AJ850" s="112"/>
      <c r="AK850" s="112">
        <v>0</v>
      </c>
      <c r="AL850" s="112"/>
      <c r="AM850" s="112">
        <v>35.6</v>
      </c>
      <c r="AN850" s="112" t="s">
        <v>1906</v>
      </c>
      <c r="AO850" s="112">
        <v>152.59</v>
      </c>
      <c r="AP850" s="112" t="s">
        <v>1906</v>
      </c>
      <c r="AQ850" s="112">
        <v>152.59</v>
      </c>
      <c r="AR850" s="112" t="s">
        <v>1906</v>
      </c>
      <c r="AS850" s="112">
        <v>152.59</v>
      </c>
      <c r="AT850" s="112" t="s">
        <v>1906</v>
      </c>
      <c r="AU850" s="112">
        <f t="shared" si="27"/>
        <v>1205.0999999999999</v>
      </c>
      <c r="AV850" s="111">
        <v>0.49680999999999997</v>
      </c>
      <c r="AW850" s="111" t="s">
        <v>1904</v>
      </c>
      <c r="AX850" s="25"/>
      <c r="AY850" s="25"/>
      <c r="AZ850" s="25"/>
    </row>
    <row r="851" spans="1:52" ht="31.2" x14ac:dyDescent="0.3">
      <c r="A851" s="103">
        <v>841</v>
      </c>
      <c r="B851" s="109" t="s">
        <v>1682</v>
      </c>
      <c r="C851" s="30" t="s">
        <v>1899</v>
      </c>
      <c r="D851" s="110" t="s">
        <v>1900</v>
      </c>
      <c r="E851" s="110" t="s">
        <v>1917</v>
      </c>
      <c r="F851" s="30" t="s">
        <v>2703</v>
      </c>
      <c r="G851" s="26" t="s">
        <v>145</v>
      </c>
      <c r="H851" s="24" t="s">
        <v>146</v>
      </c>
      <c r="I851" s="109">
        <v>0</v>
      </c>
      <c r="J851" s="109" t="s">
        <v>1918</v>
      </c>
      <c r="K851" s="109">
        <v>50</v>
      </c>
      <c r="L851" s="109" t="s">
        <v>1919</v>
      </c>
      <c r="M851" s="109" t="s">
        <v>1904</v>
      </c>
      <c r="N851" s="109" t="s">
        <v>529</v>
      </c>
      <c r="O851" s="109" t="s">
        <v>1920</v>
      </c>
      <c r="P851" s="109" t="s">
        <v>1920</v>
      </c>
      <c r="Q851" s="102">
        <v>0</v>
      </c>
      <c r="R851" s="109" t="s">
        <v>1907</v>
      </c>
      <c r="S851" s="109" t="s">
        <v>1922</v>
      </c>
      <c r="T851" s="25"/>
      <c r="U851" s="111" t="s">
        <v>1923</v>
      </c>
      <c r="V851" s="111" t="s">
        <v>1923</v>
      </c>
      <c r="W851" s="112">
        <v>23.95</v>
      </c>
      <c r="X851" s="112" t="s">
        <v>1906</v>
      </c>
      <c r="Y851" s="112" t="s">
        <v>2484</v>
      </c>
      <c r="Z851" s="112" t="s">
        <v>1906</v>
      </c>
      <c r="AA851" s="112" t="s">
        <v>2484</v>
      </c>
      <c r="AB851" s="112" t="s">
        <v>1906</v>
      </c>
      <c r="AC851" s="112">
        <v>23.95</v>
      </c>
      <c r="AD851" s="112" t="s">
        <v>1906</v>
      </c>
      <c r="AE851" s="112">
        <v>6.95</v>
      </c>
      <c r="AF851" s="112" t="s">
        <v>1906</v>
      </c>
      <c r="AG851" s="112">
        <v>0</v>
      </c>
      <c r="AH851" s="112"/>
      <c r="AI851" s="112">
        <v>0</v>
      </c>
      <c r="AJ851" s="112"/>
      <c r="AK851" s="112">
        <v>0</v>
      </c>
      <c r="AL851" s="112"/>
      <c r="AM851" s="112">
        <v>5.33</v>
      </c>
      <c r="AN851" s="112" t="s">
        <v>1906</v>
      </c>
      <c r="AO851" s="112">
        <v>22.83</v>
      </c>
      <c r="AP851" s="112" t="s">
        <v>1906</v>
      </c>
      <c r="AQ851" s="112">
        <v>22.83</v>
      </c>
      <c r="AR851" s="112" t="s">
        <v>1906</v>
      </c>
      <c r="AS851" s="112">
        <v>22.83</v>
      </c>
      <c r="AT851" s="112" t="s">
        <v>1906</v>
      </c>
      <c r="AU851" s="112">
        <f t="shared" si="27"/>
        <v>176.57</v>
      </c>
      <c r="AV851" s="111">
        <v>8.9660000000000004E-2</v>
      </c>
      <c r="AW851" s="111" t="s">
        <v>1904</v>
      </c>
      <c r="AX851" s="25"/>
      <c r="AY851" s="25"/>
      <c r="AZ851" s="25"/>
    </row>
    <row r="852" spans="1:52" ht="31.2" x14ac:dyDescent="0.3">
      <c r="A852" s="103">
        <v>842</v>
      </c>
      <c r="B852" s="109" t="s">
        <v>1683</v>
      </c>
      <c r="C852" s="30" t="s">
        <v>1899</v>
      </c>
      <c r="D852" s="110" t="s">
        <v>1900</v>
      </c>
      <c r="E852" s="110" t="s">
        <v>1917</v>
      </c>
      <c r="F852" s="30" t="s">
        <v>2703</v>
      </c>
      <c r="G852" s="26" t="s">
        <v>145</v>
      </c>
      <c r="H852" s="24" t="s">
        <v>146</v>
      </c>
      <c r="I852" s="109">
        <v>0</v>
      </c>
      <c r="J852" s="109" t="s">
        <v>1918</v>
      </c>
      <c r="K852" s="109">
        <v>50</v>
      </c>
      <c r="L852" s="109" t="s">
        <v>1919</v>
      </c>
      <c r="M852" s="109" t="s">
        <v>1904</v>
      </c>
      <c r="N852" s="109" t="s">
        <v>529</v>
      </c>
      <c r="O852" s="109" t="s">
        <v>1920</v>
      </c>
      <c r="P852" s="109" t="s">
        <v>1920</v>
      </c>
      <c r="Q852" s="102">
        <v>0</v>
      </c>
      <c r="R852" s="109" t="s">
        <v>1907</v>
      </c>
      <c r="S852" s="109" t="s">
        <v>1922</v>
      </c>
      <c r="T852" s="25"/>
      <c r="U852" s="111" t="s">
        <v>1923</v>
      </c>
      <c r="V852" s="111" t="s">
        <v>1923</v>
      </c>
      <c r="W852" s="112" t="s">
        <v>2485</v>
      </c>
      <c r="X852" s="112" t="s">
        <v>1906</v>
      </c>
      <c r="Y852" s="112" t="s">
        <v>2485</v>
      </c>
      <c r="Z852" s="112" t="s">
        <v>1906</v>
      </c>
      <c r="AA852" s="112" t="s">
        <v>2485</v>
      </c>
      <c r="AB852" s="112" t="s">
        <v>1906</v>
      </c>
      <c r="AC852" s="112">
        <v>14.74</v>
      </c>
      <c r="AD852" s="112" t="s">
        <v>1906</v>
      </c>
      <c r="AE852" s="112">
        <v>4.2699999999999996</v>
      </c>
      <c r="AF852" s="112" t="s">
        <v>1906</v>
      </c>
      <c r="AG852" s="112">
        <v>0</v>
      </c>
      <c r="AH852" s="112"/>
      <c r="AI852" s="112">
        <v>0</v>
      </c>
      <c r="AJ852" s="112"/>
      <c r="AK852" s="112">
        <v>0</v>
      </c>
      <c r="AL852" s="112"/>
      <c r="AM852" s="112">
        <v>3.24</v>
      </c>
      <c r="AN852" s="112" t="s">
        <v>1906</v>
      </c>
      <c r="AO852" s="112">
        <v>15.74</v>
      </c>
      <c r="AP852" s="112" t="s">
        <v>1906</v>
      </c>
      <c r="AQ852" s="112">
        <v>13.87</v>
      </c>
      <c r="AR852" s="112" t="s">
        <v>1906</v>
      </c>
      <c r="AS852" s="112">
        <v>13.87</v>
      </c>
      <c r="AT852" s="112" t="s">
        <v>1906</v>
      </c>
      <c r="AU852" s="112">
        <f t="shared" si="27"/>
        <v>109.95</v>
      </c>
      <c r="AV852" s="111">
        <v>9.9239999999999995E-2</v>
      </c>
      <c r="AW852" s="111" t="s">
        <v>1904</v>
      </c>
      <c r="AX852" s="25"/>
      <c r="AY852" s="25"/>
      <c r="AZ852" s="25"/>
    </row>
    <row r="853" spans="1:52" ht="31.2" x14ac:dyDescent="0.3">
      <c r="A853" s="103">
        <v>843</v>
      </c>
      <c r="B853" s="109" t="s">
        <v>1685</v>
      </c>
      <c r="C853" s="30" t="s">
        <v>1899</v>
      </c>
      <c r="D853" s="110" t="s">
        <v>1900</v>
      </c>
      <c r="E853" s="110" t="s">
        <v>1917</v>
      </c>
      <c r="F853" s="30" t="s">
        <v>2703</v>
      </c>
      <c r="G853" s="26" t="s">
        <v>145</v>
      </c>
      <c r="H853" s="24" t="s">
        <v>146</v>
      </c>
      <c r="I853" s="109">
        <v>2</v>
      </c>
      <c r="J853" s="109" t="s">
        <v>1918</v>
      </c>
      <c r="K853" s="109">
        <v>89</v>
      </c>
      <c r="L853" s="109" t="s">
        <v>1919</v>
      </c>
      <c r="M853" s="109" t="s">
        <v>1904</v>
      </c>
      <c r="N853" s="109" t="s">
        <v>529</v>
      </c>
      <c r="O853" s="109" t="s">
        <v>1920</v>
      </c>
      <c r="P853" s="109" t="s">
        <v>1921</v>
      </c>
      <c r="Q853" s="102">
        <v>0</v>
      </c>
      <c r="R853" s="109" t="s">
        <v>1907</v>
      </c>
      <c r="S853" s="109" t="s">
        <v>1922</v>
      </c>
      <c r="T853" s="25"/>
      <c r="U853" s="111" t="s">
        <v>1923</v>
      </c>
      <c r="V853" s="111" t="s">
        <v>1923</v>
      </c>
      <c r="W853" s="112" t="s">
        <v>2108</v>
      </c>
      <c r="X853" s="112" t="s">
        <v>208</v>
      </c>
      <c r="Y853" s="112" t="s">
        <v>2009</v>
      </c>
      <c r="Z853" s="112" t="s">
        <v>208</v>
      </c>
      <c r="AA853" s="112" t="s">
        <v>2486</v>
      </c>
      <c r="AB853" s="112" t="s">
        <v>208</v>
      </c>
      <c r="AC853" s="112">
        <v>26.43</v>
      </c>
      <c r="AD853" s="112" t="s">
        <v>208</v>
      </c>
      <c r="AE853" s="112">
        <v>12.46</v>
      </c>
      <c r="AF853" s="112" t="s">
        <v>208</v>
      </c>
      <c r="AG853" s="112">
        <v>0</v>
      </c>
      <c r="AH853" s="112"/>
      <c r="AI853" s="112">
        <v>0</v>
      </c>
      <c r="AJ853" s="112"/>
      <c r="AK853" s="112">
        <v>0</v>
      </c>
      <c r="AL853" s="112"/>
      <c r="AM853" s="112">
        <v>0</v>
      </c>
      <c r="AN853" s="112"/>
      <c r="AO853" s="112">
        <v>25.55</v>
      </c>
      <c r="AP853" s="112" t="s">
        <v>208</v>
      </c>
      <c r="AQ853" s="112">
        <v>28.73</v>
      </c>
      <c r="AR853" s="112" t="s">
        <v>208</v>
      </c>
      <c r="AS853" s="112">
        <v>43.87</v>
      </c>
      <c r="AT853" s="112" t="s">
        <v>208</v>
      </c>
      <c r="AU853" s="112">
        <f t="shared" si="27"/>
        <v>323.40000000000003</v>
      </c>
      <c r="AV853" s="111">
        <v>0.35097</v>
      </c>
      <c r="AW853" s="111" t="s">
        <v>1904</v>
      </c>
      <c r="AX853" s="25"/>
      <c r="AY853" s="25"/>
      <c r="AZ853" s="25"/>
    </row>
    <row r="854" spans="1:52" ht="31.2" x14ac:dyDescent="0.3">
      <c r="A854" s="103">
        <v>844</v>
      </c>
      <c r="B854" s="109" t="s">
        <v>1686</v>
      </c>
      <c r="C854" s="30" t="s">
        <v>1899</v>
      </c>
      <c r="D854" s="110" t="s">
        <v>1900</v>
      </c>
      <c r="E854" s="110" t="s">
        <v>1917</v>
      </c>
      <c r="F854" s="30" t="s">
        <v>2703</v>
      </c>
      <c r="G854" s="26" t="s">
        <v>145</v>
      </c>
      <c r="H854" s="24" t="s">
        <v>146</v>
      </c>
      <c r="I854" s="109">
        <v>1</v>
      </c>
      <c r="J854" s="109" t="s">
        <v>1918</v>
      </c>
      <c r="K854" s="109">
        <v>89</v>
      </c>
      <c r="L854" s="109" t="s">
        <v>1919</v>
      </c>
      <c r="M854" s="109" t="s">
        <v>1904</v>
      </c>
      <c r="N854" s="109" t="s">
        <v>529</v>
      </c>
      <c r="O854" s="109" t="s">
        <v>1920</v>
      </c>
      <c r="P854" s="109" t="s">
        <v>1921</v>
      </c>
      <c r="Q854" s="102">
        <v>0</v>
      </c>
      <c r="R854" s="109" t="s">
        <v>1907</v>
      </c>
      <c r="S854" s="109" t="s">
        <v>1922</v>
      </c>
      <c r="T854" s="25"/>
      <c r="U854" s="111" t="s">
        <v>1923</v>
      </c>
      <c r="V854" s="111" t="s">
        <v>1923</v>
      </c>
      <c r="W854" s="112" t="s">
        <v>2487</v>
      </c>
      <c r="X854" s="112" t="s">
        <v>208</v>
      </c>
      <c r="Y854" s="112" t="s">
        <v>2488</v>
      </c>
      <c r="Z854" s="112" t="s">
        <v>208</v>
      </c>
      <c r="AA854" s="112" t="s">
        <v>2489</v>
      </c>
      <c r="AB854" s="112" t="s">
        <v>208</v>
      </c>
      <c r="AC854" s="112">
        <v>141.91999999999999</v>
      </c>
      <c r="AD854" s="112" t="s">
        <v>208</v>
      </c>
      <c r="AE854" s="112">
        <v>14.96</v>
      </c>
      <c r="AF854" s="112" t="s">
        <v>208</v>
      </c>
      <c r="AG854" s="112">
        <v>0</v>
      </c>
      <c r="AH854" s="112"/>
      <c r="AI854" s="112">
        <v>0</v>
      </c>
      <c r="AJ854" s="112"/>
      <c r="AK854" s="112">
        <v>0</v>
      </c>
      <c r="AL854" s="112"/>
      <c r="AM854" s="112">
        <v>0</v>
      </c>
      <c r="AN854" s="112"/>
      <c r="AO854" s="112">
        <v>53.9</v>
      </c>
      <c r="AP854" s="112" t="s">
        <v>208</v>
      </c>
      <c r="AQ854" s="112">
        <v>65.349999999999994</v>
      </c>
      <c r="AR854" s="112" t="s">
        <v>208</v>
      </c>
      <c r="AS854" s="112">
        <v>98.71</v>
      </c>
      <c r="AT854" s="112" t="s">
        <v>208</v>
      </c>
      <c r="AU854" s="112">
        <f t="shared" si="27"/>
        <v>759.43000000000006</v>
      </c>
      <c r="AV854" s="111">
        <v>0.32695999999999997</v>
      </c>
      <c r="AW854" s="111" t="s">
        <v>1904</v>
      </c>
      <c r="AX854" s="25"/>
      <c r="AY854" s="25"/>
      <c r="AZ854" s="25"/>
    </row>
    <row r="855" spans="1:52" ht="31.2" x14ac:dyDescent="0.3">
      <c r="A855" s="103">
        <v>845</v>
      </c>
      <c r="B855" s="109" t="s">
        <v>1688</v>
      </c>
      <c r="C855" s="30" t="s">
        <v>1899</v>
      </c>
      <c r="D855" s="110" t="s">
        <v>1900</v>
      </c>
      <c r="E855" s="110" t="s">
        <v>1917</v>
      </c>
      <c r="F855" s="30" t="s">
        <v>2703</v>
      </c>
      <c r="G855" s="26" t="s">
        <v>145</v>
      </c>
      <c r="H855" s="24" t="s">
        <v>146</v>
      </c>
      <c r="I855" s="109">
        <v>1</v>
      </c>
      <c r="J855" s="109" t="s">
        <v>1918</v>
      </c>
      <c r="K855" s="109"/>
      <c r="L855" s="109" t="s">
        <v>1919</v>
      </c>
      <c r="M855" s="109" t="s">
        <v>1904</v>
      </c>
      <c r="N855" s="109" t="s">
        <v>529</v>
      </c>
      <c r="O855" s="109" t="s">
        <v>1920</v>
      </c>
      <c r="P855" s="109" t="s">
        <v>1921</v>
      </c>
      <c r="Q855" s="102">
        <v>0</v>
      </c>
      <c r="R855" s="109" t="s">
        <v>1907</v>
      </c>
      <c r="S855" s="109" t="s">
        <v>1922</v>
      </c>
      <c r="T855" s="25"/>
      <c r="U855" s="111" t="s">
        <v>1923</v>
      </c>
      <c r="V855" s="111" t="s">
        <v>1923</v>
      </c>
      <c r="W855" s="112" t="s">
        <v>2487</v>
      </c>
      <c r="X855" s="112" t="s">
        <v>208</v>
      </c>
      <c r="Y855" s="112" t="s">
        <v>2488</v>
      </c>
      <c r="Z855" s="112" t="s">
        <v>208</v>
      </c>
      <c r="AA855" s="112" t="s">
        <v>2489</v>
      </c>
      <c r="AB855" s="112" t="s">
        <v>208</v>
      </c>
      <c r="AC855" s="112">
        <v>141.91999999999999</v>
      </c>
      <c r="AD855" s="112" t="s">
        <v>208</v>
      </c>
      <c r="AE855" s="112">
        <v>14.96</v>
      </c>
      <c r="AF855" s="112" t="s">
        <v>208</v>
      </c>
      <c r="AG855" s="112">
        <v>0</v>
      </c>
      <c r="AH855" s="112"/>
      <c r="AI855" s="112">
        <v>0</v>
      </c>
      <c r="AJ855" s="112"/>
      <c r="AK855" s="112">
        <v>0</v>
      </c>
      <c r="AL855" s="112"/>
      <c r="AM855" s="112">
        <v>0</v>
      </c>
      <c r="AN855" s="112"/>
      <c r="AO855" s="112">
        <v>53.9</v>
      </c>
      <c r="AP855" s="112" t="s">
        <v>208</v>
      </c>
      <c r="AQ855" s="112">
        <v>65.349999999999994</v>
      </c>
      <c r="AR855" s="112" t="s">
        <v>208</v>
      </c>
      <c r="AS855" s="112">
        <v>98.71</v>
      </c>
      <c r="AT855" s="112" t="s">
        <v>208</v>
      </c>
      <c r="AU855" s="112">
        <f t="shared" si="27"/>
        <v>759.43000000000006</v>
      </c>
      <c r="AV855" s="111">
        <v>0.32695999999999997</v>
      </c>
      <c r="AW855" s="111" t="s">
        <v>1904</v>
      </c>
      <c r="AX855" s="25"/>
      <c r="AY855" s="25"/>
      <c r="AZ855" s="25"/>
    </row>
    <row r="856" spans="1:52" ht="31.2" x14ac:dyDescent="0.3">
      <c r="A856" s="103">
        <v>846</v>
      </c>
      <c r="B856" s="109" t="s">
        <v>1689</v>
      </c>
      <c r="C856" s="30" t="s">
        <v>1899</v>
      </c>
      <c r="D856" s="110" t="s">
        <v>1900</v>
      </c>
      <c r="E856" s="110" t="s">
        <v>1917</v>
      </c>
      <c r="F856" s="30" t="s">
        <v>2703</v>
      </c>
      <c r="G856" s="26" t="s">
        <v>145</v>
      </c>
      <c r="H856" s="24" t="s">
        <v>146</v>
      </c>
      <c r="I856" s="109">
        <v>1</v>
      </c>
      <c r="J856" s="109" t="s">
        <v>1918</v>
      </c>
      <c r="K856" s="109">
        <v>76</v>
      </c>
      <c r="L856" s="109" t="s">
        <v>1919</v>
      </c>
      <c r="M856" s="109" t="s">
        <v>1904</v>
      </c>
      <c r="N856" s="109" t="s">
        <v>529</v>
      </c>
      <c r="O856" s="109" t="s">
        <v>1920</v>
      </c>
      <c r="P856" s="109" t="s">
        <v>1921</v>
      </c>
      <c r="Q856" s="102">
        <v>0</v>
      </c>
      <c r="R856" s="109" t="s">
        <v>1907</v>
      </c>
      <c r="S856" s="109" t="s">
        <v>1922</v>
      </c>
      <c r="T856" s="25"/>
      <c r="U856" s="111" t="s">
        <v>1923</v>
      </c>
      <c r="V856" s="111" t="s">
        <v>1923</v>
      </c>
      <c r="W856" s="112" t="s">
        <v>2490</v>
      </c>
      <c r="X856" s="112" t="s">
        <v>1906</v>
      </c>
      <c r="Y856" s="112" t="s">
        <v>2491</v>
      </c>
      <c r="Z856" s="112" t="s">
        <v>1906</v>
      </c>
      <c r="AA856" s="112" t="s">
        <v>2492</v>
      </c>
      <c r="AB856" s="112" t="s">
        <v>1906</v>
      </c>
      <c r="AC856" s="112">
        <v>37.96</v>
      </c>
      <c r="AD856" s="112" t="s">
        <v>1906</v>
      </c>
      <c r="AE856" s="112">
        <v>11.02</v>
      </c>
      <c r="AF856" s="112" t="s">
        <v>1906</v>
      </c>
      <c r="AG856" s="112">
        <v>0</v>
      </c>
      <c r="AH856" s="112"/>
      <c r="AI856" s="112">
        <v>0</v>
      </c>
      <c r="AJ856" s="112"/>
      <c r="AK856" s="112">
        <v>0</v>
      </c>
      <c r="AL856" s="112"/>
      <c r="AM856" s="112">
        <v>0</v>
      </c>
      <c r="AN856" s="112"/>
      <c r="AO856" s="112">
        <v>40.31</v>
      </c>
      <c r="AP856" s="112" t="s">
        <v>1906</v>
      </c>
      <c r="AQ856" s="112">
        <v>37.409999999999997</v>
      </c>
      <c r="AR856" s="112" t="s">
        <v>1906</v>
      </c>
      <c r="AS856" s="112">
        <v>37.409999999999997</v>
      </c>
      <c r="AT856" s="112" t="s">
        <v>1906</v>
      </c>
      <c r="AU856" s="112">
        <f t="shared" si="27"/>
        <v>363.94999999999993</v>
      </c>
      <c r="AV856" s="111">
        <v>0.14252000000000001</v>
      </c>
      <c r="AW856" s="111" t="s">
        <v>1904</v>
      </c>
      <c r="AX856" s="25"/>
      <c r="AY856" s="25"/>
      <c r="AZ856" s="25"/>
    </row>
    <row r="857" spans="1:52" ht="31.2" x14ac:dyDescent="0.3">
      <c r="A857" s="103">
        <v>847</v>
      </c>
      <c r="B857" s="109" t="s">
        <v>1690</v>
      </c>
      <c r="C857" s="30" t="s">
        <v>1899</v>
      </c>
      <c r="D857" s="110" t="s">
        <v>1900</v>
      </c>
      <c r="E857" s="110" t="s">
        <v>1917</v>
      </c>
      <c r="F857" s="30" t="s">
        <v>2703</v>
      </c>
      <c r="G857" s="26" t="s">
        <v>145</v>
      </c>
      <c r="H857" s="24" t="s">
        <v>146</v>
      </c>
      <c r="I857" s="109">
        <v>1</v>
      </c>
      <c r="J857" s="109" t="s">
        <v>1918</v>
      </c>
      <c r="K857" s="109">
        <v>108</v>
      </c>
      <c r="L857" s="109" t="s">
        <v>1919</v>
      </c>
      <c r="M857" s="109" t="s">
        <v>1904</v>
      </c>
      <c r="N857" s="109" t="s">
        <v>529</v>
      </c>
      <c r="O857" s="109" t="s">
        <v>1920</v>
      </c>
      <c r="P857" s="109" t="s">
        <v>1921</v>
      </c>
      <c r="Q857" s="102">
        <v>0</v>
      </c>
      <c r="R857" s="109" t="s">
        <v>1907</v>
      </c>
      <c r="S857" s="109" t="s">
        <v>1922</v>
      </c>
      <c r="T857" s="25"/>
      <c r="U857" s="111" t="s">
        <v>1923</v>
      </c>
      <c r="V857" s="111" t="s">
        <v>1923</v>
      </c>
      <c r="W857" s="112">
        <v>230</v>
      </c>
      <c r="X857" s="112" t="s">
        <v>1906</v>
      </c>
      <c r="Y857" s="112" t="s">
        <v>2493</v>
      </c>
      <c r="Z857" s="112" t="s">
        <v>1906</v>
      </c>
      <c r="AA857" s="112" t="s">
        <v>2494</v>
      </c>
      <c r="AB857" s="112" t="s">
        <v>1906</v>
      </c>
      <c r="AC857" s="112">
        <v>76.97</v>
      </c>
      <c r="AD857" s="112" t="s">
        <v>1906</v>
      </c>
      <c r="AE857" s="112">
        <v>39.26</v>
      </c>
      <c r="AF857" s="112" t="s">
        <v>1906</v>
      </c>
      <c r="AG857" s="112">
        <v>0</v>
      </c>
      <c r="AH857" s="112"/>
      <c r="AI857" s="112">
        <v>0</v>
      </c>
      <c r="AJ857" s="112"/>
      <c r="AK857" s="112">
        <v>0</v>
      </c>
      <c r="AL857" s="112"/>
      <c r="AM857" s="112">
        <v>0</v>
      </c>
      <c r="AN857" s="112"/>
      <c r="AO857" s="112">
        <v>91.46</v>
      </c>
      <c r="AP857" s="112" t="s">
        <v>208</v>
      </c>
      <c r="AQ857" s="112">
        <v>83.33</v>
      </c>
      <c r="AR857" s="112" t="s">
        <v>208</v>
      </c>
      <c r="AS857" s="112">
        <v>128.82</v>
      </c>
      <c r="AT857" s="112" t="s">
        <v>208</v>
      </c>
      <c r="AU857" s="112">
        <f t="shared" si="27"/>
        <v>990.17000000000007</v>
      </c>
      <c r="AV857" s="111">
        <v>0.34533000000000003</v>
      </c>
      <c r="AW857" s="111" t="s">
        <v>1904</v>
      </c>
      <c r="AX857" s="25"/>
      <c r="AY857" s="25"/>
      <c r="AZ857" s="25"/>
    </row>
    <row r="858" spans="1:52" ht="31.2" x14ac:dyDescent="0.3">
      <c r="A858" s="103">
        <v>848</v>
      </c>
      <c r="B858" s="109" t="s">
        <v>1691</v>
      </c>
      <c r="C858" s="30" t="s">
        <v>1899</v>
      </c>
      <c r="D858" s="110" t="s">
        <v>1900</v>
      </c>
      <c r="E858" s="110" t="s">
        <v>1917</v>
      </c>
      <c r="F858" s="30" t="s">
        <v>2703</v>
      </c>
      <c r="G858" s="26" t="s">
        <v>145</v>
      </c>
      <c r="H858" s="24" t="s">
        <v>146</v>
      </c>
      <c r="I858" s="109">
        <v>1</v>
      </c>
      <c r="J858" s="109" t="s">
        <v>1918</v>
      </c>
      <c r="K858" s="109">
        <v>89</v>
      </c>
      <c r="L858" s="109" t="s">
        <v>1919</v>
      </c>
      <c r="M858" s="109" t="s">
        <v>1904</v>
      </c>
      <c r="N858" s="109" t="s">
        <v>529</v>
      </c>
      <c r="O858" s="109" t="s">
        <v>1920</v>
      </c>
      <c r="P858" s="109" t="s">
        <v>1921</v>
      </c>
      <c r="Q858" s="102">
        <v>0</v>
      </c>
      <c r="R858" s="109" t="s">
        <v>1907</v>
      </c>
      <c r="S858" s="109" t="s">
        <v>1922</v>
      </c>
      <c r="T858" s="25"/>
      <c r="U858" s="111" t="s">
        <v>1923</v>
      </c>
      <c r="V858" s="111" t="s">
        <v>1923</v>
      </c>
      <c r="W858" s="112">
        <v>230</v>
      </c>
      <c r="X858" s="112" t="s">
        <v>208</v>
      </c>
      <c r="Y858" s="112" t="s">
        <v>2493</v>
      </c>
      <c r="Z858" s="112" t="s">
        <v>208</v>
      </c>
      <c r="AA858" s="112" t="s">
        <v>2494</v>
      </c>
      <c r="AB858" s="112" t="s">
        <v>208</v>
      </c>
      <c r="AC858" s="112">
        <v>76.97</v>
      </c>
      <c r="AD858" s="112" t="s">
        <v>208</v>
      </c>
      <c r="AE858" s="112">
        <v>39.26</v>
      </c>
      <c r="AF858" s="112" t="s">
        <v>208</v>
      </c>
      <c r="AG858" s="112">
        <v>0</v>
      </c>
      <c r="AH858" s="112"/>
      <c r="AI858" s="112">
        <v>0</v>
      </c>
      <c r="AJ858" s="112"/>
      <c r="AK858" s="112">
        <v>0</v>
      </c>
      <c r="AL858" s="112"/>
      <c r="AM858" s="112">
        <v>0</v>
      </c>
      <c r="AN858" s="112"/>
      <c r="AO858" s="112">
        <v>91.46</v>
      </c>
      <c r="AP858" s="112" t="s">
        <v>208</v>
      </c>
      <c r="AQ858" s="112">
        <v>83.33</v>
      </c>
      <c r="AR858" s="112" t="s">
        <v>208</v>
      </c>
      <c r="AS858" s="112">
        <v>128.82</v>
      </c>
      <c r="AT858" s="112" t="s">
        <v>208</v>
      </c>
      <c r="AU858" s="112">
        <f t="shared" si="27"/>
        <v>990.17000000000007</v>
      </c>
      <c r="AV858" s="111">
        <v>0.34533000000000003</v>
      </c>
      <c r="AW858" s="111" t="s">
        <v>1904</v>
      </c>
      <c r="AX858" s="25"/>
      <c r="AY858" s="25"/>
      <c r="AZ858" s="25"/>
    </row>
    <row r="859" spans="1:52" ht="31.2" x14ac:dyDescent="0.3">
      <c r="A859" s="103">
        <v>849</v>
      </c>
      <c r="B859" s="109" t="s">
        <v>1692</v>
      </c>
      <c r="C859" s="30" t="s">
        <v>1899</v>
      </c>
      <c r="D859" s="110" t="s">
        <v>1900</v>
      </c>
      <c r="E859" s="110" t="s">
        <v>1917</v>
      </c>
      <c r="F859" s="30" t="s">
        <v>2703</v>
      </c>
      <c r="G859" s="26" t="s">
        <v>145</v>
      </c>
      <c r="H859" s="24" t="s">
        <v>146</v>
      </c>
      <c r="I859" s="109">
        <v>1</v>
      </c>
      <c r="J859" s="109" t="s">
        <v>1918</v>
      </c>
      <c r="K859" s="109">
        <v>89</v>
      </c>
      <c r="L859" s="109" t="s">
        <v>1919</v>
      </c>
      <c r="M859" s="109" t="s">
        <v>1904</v>
      </c>
      <c r="N859" s="109" t="s">
        <v>529</v>
      </c>
      <c r="O859" s="109" t="s">
        <v>1920</v>
      </c>
      <c r="P859" s="109" t="s">
        <v>1921</v>
      </c>
      <c r="Q859" s="102">
        <v>0</v>
      </c>
      <c r="R859" s="109" t="s">
        <v>1907</v>
      </c>
      <c r="S859" s="109" t="s">
        <v>1922</v>
      </c>
      <c r="T859" s="25"/>
      <c r="U859" s="111" t="s">
        <v>1923</v>
      </c>
      <c r="V859" s="111" t="s">
        <v>1923</v>
      </c>
      <c r="W859" s="112" t="s">
        <v>2495</v>
      </c>
      <c r="X859" s="112" t="s">
        <v>1906</v>
      </c>
      <c r="Y859" s="112" t="s">
        <v>2496</v>
      </c>
      <c r="Z859" s="112" t="s">
        <v>1906</v>
      </c>
      <c r="AA859" s="112" t="s">
        <v>2497</v>
      </c>
      <c r="AB859" s="112" t="s">
        <v>1906</v>
      </c>
      <c r="AC859" s="112">
        <v>40.81</v>
      </c>
      <c r="AD859" s="112" t="s">
        <v>1906</v>
      </c>
      <c r="AE859" s="112">
        <v>20.96</v>
      </c>
      <c r="AF859" s="112" t="s">
        <v>1906</v>
      </c>
      <c r="AG859" s="112">
        <v>0</v>
      </c>
      <c r="AH859" s="112"/>
      <c r="AI859" s="112">
        <v>0</v>
      </c>
      <c r="AJ859" s="112"/>
      <c r="AK859" s="112">
        <v>0</v>
      </c>
      <c r="AL859" s="112"/>
      <c r="AM859" s="112">
        <v>0</v>
      </c>
      <c r="AN859" s="112"/>
      <c r="AO859" s="112">
        <v>51.12</v>
      </c>
      <c r="AP859" s="112" t="s">
        <v>208</v>
      </c>
      <c r="AQ859" s="112">
        <v>46.83</v>
      </c>
      <c r="AR859" s="112" t="s">
        <v>208</v>
      </c>
      <c r="AS859" s="112">
        <v>72.5</v>
      </c>
      <c r="AT859" s="112" t="s">
        <v>208</v>
      </c>
      <c r="AU859" s="112">
        <f t="shared" si="27"/>
        <v>535.79999999999995</v>
      </c>
      <c r="AV859" s="111">
        <v>0.26867000000000002</v>
      </c>
      <c r="AW859" s="111" t="s">
        <v>1904</v>
      </c>
      <c r="AX859" s="25"/>
      <c r="AY859" s="25"/>
      <c r="AZ859" s="25"/>
    </row>
    <row r="860" spans="1:52" ht="31.2" x14ac:dyDescent="0.3">
      <c r="A860" s="103">
        <v>850</v>
      </c>
      <c r="B860" s="109" t="s">
        <v>1693</v>
      </c>
      <c r="C860" s="30" t="s">
        <v>1899</v>
      </c>
      <c r="D860" s="110" t="s">
        <v>1900</v>
      </c>
      <c r="E860" s="110" t="s">
        <v>1917</v>
      </c>
      <c r="F860" s="30" t="s">
        <v>2703</v>
      </c>
      <c r="G860" s="26" t="s">
        <v>145</v>
      </c>
      <c r="H860" s="24" t="s">
        <v>146</v>
      </c>
      <c r="I860" s="109">
        <v>1</v>
      </c>
      <c r="J860" s="109" t="s">
        <v>1918</v>
      </c>
      <c r="K860" s="109">
        <v>89</v>
      </c>
      <c r="L860" s="109" t="s">
        <v>1919</v>
      </c>
      <c r="M860" s="109" t="s">
        <v>1904</v>
      </c>
      <c r="N860" s="109" t="s">
        <v>529</v>
      </c>
      <c r="O860" s="109" t="s">
        <v>1920</v>
      </c>
      <c r="P860" s="109" t="s">
        <v>1921</v>
      </c>
      <c r="Q860" s="102">
        <v>0</v>
      </c>
      <c r="R860" s="109" t="s">
        <v>1907</v>
      </c>
      <c r="S860" s="109" t="s">
        <v>1922</v>
      </c>
      <c r="T860" s="25"/>
      <c r="U860" s="111" t="s">
        <v>1923</v>
      </c>
      <c r="V860" s="111" t="s">
        <v>1923</v>
      </c>
      <c r="W860" s="112" t="s">
        <v>2498</v>
      </c>
      <c r="X860" s="112" t="s">
        <v>1906</v>
      </c>
      <c r="Y860" s="112" t="s">
        <v>2499</v>
      </c>
      <c r="Z860" s="112" t="s">
        <v>1906</v>
      </c>
      <c r="AA860" s="112" t="s">
        <v>2499</v>
      </c>
      <c r="AB860" s="112" t="s">
        <v>1906</v>
      </c>
      <c r="AC860" s="112">
        <v>83.49</v>
      </c>
      <c r="AD860" s="112" t="s">
        <v>1906</v>
      </c>
      <c r="AE860" s="112">
        <v>24.24</v>
      </c>
      <c r="AF860" s="112" t="s">
        <v>1906</v>
      </c>
      <c r="AG860" s="112">
        <v>0</v>
      </c>
      <c r="AH860" s="112"/>
      <c r="AI860" s="112">
        <v>0</v>
      </c>
      <c r="AJ860" s="112"/>
      <c r="AK860" s="112">
        <v>0</v>
      </c>
      <c r="AL860" s="112"/>
      <c r="AM860" s="112">
        <v>0</v>
      </c>
      <c r="AN860" s="112"/>
      <c r="AO860" s="112">
        <v>82.21</v>
      </c>
      <c r="AP860" s="112" t="s">
        <v>1906</v>
      </c>
      <c r="AQ860" s="112">
        <v>82.21</v>
      </c>
      <c r="AR860" s="112" t="s">
        <v>1906</v>
      </c>
      <c r="AS860" s="112">
        <v>82.21</v>
      </c>
      <c r="AT860" s="112" t="s">
        <v>1906</v>
      </c>
      <c r="AU860" s="112">
        <f t="shared" si="27"/>
        <v>660.67000000000007</v>
      </c>
      <c r="AV860" s="111">
        <v>0.26395999999999997</v>
      </c>
      <c r="AW860" s="111" t="s">
        <v>1904</v>
      </c>
      <c r="AX860" s="25"/>
      <c r="AY860" s="25"/>
      <c r="AZ860" s="25"/>
    </row>
    <row r="861" spans="1:52" ht="31.2" x14ac:dyDescent="0.3">
      <c r="A861" s="103">
        <v>851</v>
      </c>
      <c r="B861" s="109" t="s">
        <v>1694</v>
      </c>
      <c r="C861" s="30" t="s">
        <v>1899</v>
      </c>
      <c r="D861" s="110" t="s">
        <v>1900</v>
      </c>
      <c r="E861" s="110" t="s">
        <v>1917</v>
      </c>
      <c r="F861" s="30" t="s">
        <v>2703</v>
      </c>
      <c r="G861" s="26" t="s">
        <v>145</v>
      </c>
      <c r="H861" s="24" t="s">
        <v>146</v>
      </c>
      <c r="I861" s="109">
        <v>1</v>
      </c>
      <c r="J861" s="109" t="s">
        <v>1918</v>
      </c>
      <c r="K861" s="109">
        <v>76</v>
      </c>
      <c r="L861" s="109" t="s">
        <v>1919</v>
      </c>
      <c r="M861" s="109" t="s">
        <v>1904</v>
      </c>
      <c r="N861" s="109" t="s">
        <v>529</v>
      </c>
      <c r="O861" s="109" t="s">
        <v>1920</v>
      </c>
      <c r="P861" s="109" t="s">
        <v>1921</v>
      </c>
      <c r="Q861" s="102">
        <v>0</v>
      </c>
      <c r="R861" s="109" t="s">
        <v>1907</v>
      </c>
      <c r="S861" s="109" t="s">
        <v>1922</v>
      </c>
      <c r="T861" s="25"/>
      <c r="U861" s="111" t="s">
        <v>1923</v>
      </c>
      <c r="V861" s="111" t="s">
        <v>1923</v>
      </c>
      <c r="W861" s="112" t="s">
        <v>2500</v>
      </c>
      <c r="X861" s="112" t="s">
        <v>1906</v>
      </c>
      <c r="Y861" s="112" t="s">
        <v>2500</v>
      </c>
      <c r="Z861" s="112" t="s">
        <v>1906</v>
      </c>
      <c r="AA861" s="112" t="s">
        <v>2500</v>
      </c>
      <c r="AB861" s="112" t="s">
        <v>1906</v>
      </c>
      <c r="AC861" s="112">
        <v>32.32</v>
      </c>
      <c r="AD861" s="112" t="s">
        <v>1906</v>
      </c>
      <c r="AE861" s="112">
        <v>9.3800000000000008</v>
      </c>
      <c r="AF861" s="112" t="s">
        <v>1906</v>
      </c>
      <c r="AG861" s="112">
        <v>0</v>
      </c>
      <c r="AH861" s="112"/>
      <c r="AI861" s="112">
        <v>0</v>
      </c>
      <c r="AJ861" s="112"/>
      <c r="AK861" s="112">
        <v>0</v>
      </c>
      <c r="AL861" s="112"/>
      <c r="AM861" s="112">
        <v>0</v>
      </c>
      <c r="AN861" s="112"/>
      <c r="AO861" s="112">
        <v>30.2</v>
      </c>
      <c r="AP861" s="112" t="s">
        <v>1906</v>
      </c>
      <c r="AQ861" s="112">
        <v>30.2</v>
      </c>
      <c r="AR861" s="112" t="s">
        <v>1906</v>
      </c>
      <c r="AS861" s="112">
        <v>30.2</v>
      </c>
      <c r="AT861" s="112" t="s">
        <v>1906</v>
      </c>
      <c r="AU861" s="112">
        <f t="shared" si="27"/>
        <v>229.25999999999996</v>
      </c>
      <c r="AV861" s="111">
        <v>0.129661</v>
      </c>
      <c r="AW861" s="111" t="s">
        <v>1904</v>
      </c>
      <c r="AX861" s="25"/>
      <c r="AY861" s="25"/>
      <c r="AZ861" s="25"/>
    </row>
    <row r="862" spans="1:52" ht="31.2" x14ac:dyDescent="0.3">
      <c r="A862" s="103">
        <v>852</v>
      </c>
      <c r="B862" s="109" t="s">
        <v>1695</v>
      </c>
      <c r="C862" s="30" t="s">
        <v>1899</v>
      </c>
      <c r="D862" s="110" t="s">
        <v>1900</v>
      </c>
      <c r="E862" s="110" t="s">
        <v>1917</v>
      </c>
      <c r="F862" s="30" t="s">
        <v>2703</v>
      </c>
      <c r="G862" s="26" t="s">
        <v>145</v>
      </c>
      <c r="H862" s="24" t="s">
        <v>146</v>
      </c>
      <c r="I862" s="109">
        <v>1</v>
      </c>
      <c r="J862" s="109" t="s">
        <v>1918</v>
      </c>
      <c r="K862" s="109">
        <v>89</v>
      </c>
      <c r="L862" s="109" t="s">
        <v>1919</v>
      </c>
      <c r="M862" s="109" t="s">
        <v>1904</v>
      </c>
      <c r="N862" s="109" t="s">
        <v>529</v>
      </c>
      <c r="O862" s="109" t="s">
        <v>1920</v>
      </c>
      <c r="P862" s="109" t="s">
        <v>1921</v>
      </c>
      <c r="Q862" s="102">
        <v>0</v>
      </c>
      <c r="R862" s="109" t="s">
        <v>1907</v>
      </c>
      <c r="S862" s="109" t="s">
        <v>1922</v>
      </c>
      <c r="T862" s="25"/>
      <c r="U862" s="111" t="s">
        <v>1923</v>
      </c>
      <c r="V862" s="111" t="s">
        <v>1923</v>
      </c>
      <c r="W862" s="112" t="s">
        <v>2501</v>
      </c>
      <c r="X862" s="112" t="s">
        <v>1906</v>
      </c>
      <c r="Y862" s="112" t="s">
        <v>2078</v>
      </c>
      <c r="Z862" s="112" t="s">
        <v>1906</v>
      </c>
      <c r="AA862" s="112" t="s">
        <v>2501</v>
      </c>
      <c r="AB862" s="112" t="s">
        <v>1906</v>
      </c>
      <c r="AC862" s="112">
        <v>23.24</v>
      </c>
      <c r="AD862" s="112" t="s">
        <v>1906</v>
      </c>
      <c r="AE862" s="112">
        <v>12.12</v>
      </c>
      <c r="AF862" s="112" t="s">
        <v>1906</v>
      </c>
      <c r="AG862" s="112">
        <v>0</v>
      </c>
      <c r="AH862" s="112"/>
      <c r="AI862" s="112">
        <v>0</v>
      </c>
      <c r="AJ862" s="112"/>
      <c r="AK862" s="112">
        <v>0</v>
      </c>
      <c r="AL862" s="112"/>
      <c r="AM862" s="112">
        <v>0</v>
      </c>
      <c r="AN862" s="112"/>
      <c r="AO862" s="112">
        <v>27.61</v>
      </c>
      <c r="AP862" s="112" t="s">
        <v>208</v>
      </c>
      <c r="AQ862" s="112">
        <v>27.82</v>
      </c>
      <c r="AR862" s="112" t="s">
        <v>208</v>
      </c>
      <c r="AS862" s="112">
        <v>39.65</v>
      </c>
      <c r="AT862" s="112" t="s">
        <v>208</v>
      </c>
      <c r="AU862" s="112">
        <f t="shared" si="27"/>
        <v>259.76</v>
      </c>
      <c r="AV862" s="111">
        <v>0.23083999999999999</v>
      </c>
      <c r="AW862" s="111" t="s">
        <v>1904</v>
      </c>
      <c r="AX862" s="25"/>
      <c r="AY862" s="25"/>
      <c r="AZ862" s="25"/>
    </row>
    <row r="863" spans="1:52" ht="31.2" x14ac:dyDescent="0.3">
      <c r="A863" s="103">
        <v>853</v>
      </c>
      <c r="B863" s="109" t="s">
        <v>1697</v>
      </c>
      <c r="C863" s="30" t="s">
        <v>1899</v>
      </c>
      <c r="D863" s="110" t="s">
        <v>1900</v>
      </c>
      <c r="E863" s="110" t="s">
        <v>1917</v>
      </c>
      <c r="F863" s="30" t="s">
        <v>2703</v>
      </c>
      <c r="G863" s="26" t="s">
        <v>145</v>
      </c>
      <c r="H863" s="24" t="s">
        <v>146</v>
      </c>
      <c r="I863" s="109">
        <v>0</v>
      </c>
      <c r="J863" s="109" t="s">
        <v>1918</v>
      </c>
      <c r="K863" s="109">
        <v>50</v>
      </c>
      <c r="L863" s="109" t="s">
        <v>1919</v>
      </c>
      <c r="M863" s="109" t="s">
        <v>1904</v>
      </c>
      <c r="N863" s="109" t="s">
        <v>529</v>
      </c>
      <c r="O863" s="109" t="s">
        <v>1920</v>
      </c>
      <c r="P863" s="109" t="s">
        <v>1920</v>
      </c>
      <c r="Q863" s="102">
        <v>0</v>
      </c>
      <c r="R863" s="109" t="s">
        <v>1907</v>
      </c>
      <c r="S863" s="109" t="s">
        <v>1922</v>
      </c>
      <c r="T863" s="25"/>
      <c r="U863" s="111" t="s">
        <v>1923</v>
      </c>
      <c r="V863" s="111" t="s">
        <v>1923</v>
      </c>
      <c r="W863" s="112" t="s">
        <v>2502</v>
      </c>
      <c r="X863" s="112" t="s">
        <v>1906</v>
      </c>
      <c r="Y863" s="112" t="s">
        <v>2502</v>
      </c>
      <c r="Z863" s="112" t="s">
        <v>1906</v>
      </c>
      <c r="AA863" s="112" t="s">
        <v>2502</v>
      </c>
      <c r="AB863" s="112" t="s">
        <v>1906</v>
      </c>
      <c r="AC863" s="112">
        <v>56.48</v>
      </c>
      <c r="AD863" s="112" t="s">
        <v>1906</v>
      </c>
      <c r="AE863" s="112">
        <v>16.399999999999999</v>
      </c>
      <c r="AF863" s="112" t="s">
        <v>1906</v>
      </c>
      <c r="AG863" s="112">
        <v>0</v>
      </c>
      <c r="AH863" s="112"/>
      <c r="AI863" s="112">
        <v>0</v>
      </c>
      <c r="AJ863" s="112"/>
      <c r="AK863" s="112">
        <v>0</v>
      </c>
      <c r="AL863" s="112"/>
      <c r="AM863" s="112">
        <v>11.82</v>
      </c>
      <c r="AN863" s="112" t="s">
        <v>1906</v>
      </c>
      <c r="AO863" s="112">
        <v>50.66</v>
      </c>
      <c r="AP863" s="112" t="s">
        <v>1906</v>
      </c>
      <c r="AQ863" s="112">
        <v>50.66</v>
      </c>
      <c r="AR863" s="112" t="s">
        <v>1906</v>
      </c>
      <c r="AS863" s="112">
        <v>50.66</v>
      </c>
      <c r="AT863" s="112" t="s">
        <v>1906</v>
      </c>
      <c r="AU863" s="112">
        <f t="shared" si="27"/>
        <v>406.11999999999989</v>
      </c>
      <c r="AV863" s="111">
        <v>0.18367</v>
      </c>
      <c r="AW863" s="111" t="s">
        <v>1904</v>
      </c>
      <c r="AX863" s="25"/>
      <c r="AY863" s="25"/>
      <c r="AZ863" s="25"/>
    </row>
    <row r="864" spans="1:52" ht="31.2" x14ac:dyDescent="0.3">
      <c r="A864" s="103">
        <v>854</v>
      </c>
      <c r="B864" s="109" t="s">
        <v>1698</v>
      </c>
      <c r="C864" s="30" t="s">
        <v>1899</v>
      </c>
      <c r="D864" s="110" t="s">
        <v>1900</v>
      </c>
      <c r="E864" s="110" t="s">
        <v>1917</v>
      </c>
      <c r="F864" s="30" t="s">
        <v>2703</v>
      </c>
      <c r="G864" s="26" t="s">
        <v>145</v>
      </c>
      <c r="H864" s="24" t="s">
        <v>146</v>
      </c>
      <c r="I864" s="109">
        <v>2</v>
      </c>
      <c r="J864" s="109" t="s">
        <v>1918</v>
      </c>
      <c r="K864" s="109">
        <v>76</v>
      </c>
      <c r="L864" s="109" t="s">
        <v>1919</v>
      </c>
      <c r="M864" s="109" t="s">
        <v>1904</v>
      </c>
      <c r="N864" s="109" t="s">
        <v>529</v>
      </c>
      <c r="O864" s="109" t="s">
        <v>1920</v>
      </c>
      <c r="P864" s="109" t="s">
        <v>1921</v>
      </c>
      <c r="Q864" s="102">
        <v>0</v>
      </c>
      <c r="R864" s="109" t="s">
        <v>1907</v>
      </c>
      <c r="S864" s="109" t="s">
        <v>1922</v>
      </c>
      <c r="T864" s="25"/>
      <c r="U864" s="111" t="s">
        <v>1923</v>
      </c>
      <c r="V864" s="111" t="s">
        <v>1923</v>
      </c>
      <c r="W864" s="112" t="s">
        <v>2503</v>
      </c>
      <c r="X864" s="112" t="s">
        <v>1906</v>
      </c>
      <c r="Y864" s="112" t="s">
        <v>2504</v>
      </c>
      <c r="Z864" s="112" t="s">
        <v>1906</v>
      </c>
      <c r="AA864" s="112" t="s">
        <v>2503</v>
      </c>
      <c r="AB864" s="112" t="s">
        <v>1906</v>
      </c>
      <c r="AC864" s="112">
        <v>27.37</v>
      </c>
      <c r="AD864" s="112" t="s">
        <v>1906</v>
      </c>
      <c r="AE864" s="112">
        <v>13.93</v>
      </c>
      <c r="AF864" s="112" t="s">
        <v>1906</v>
      </c>
      <c r="AG864" s="112">
        <v>0</v>
      </c>
      <c r="AH864" s="112"/>
      <c r="AI864" s="112">
        <v>0</v>
      </c>
      <c r="AJ864" s="112"/>
      <c r="AK864" s="112">
        <v>0</v>
      </c>
      <c r="AL864" s="112"/>
      <c r="AM864" s="112">
        <v>0</v>
      </c>
      <c r="AN864" s="112"/>
      <c r="AO864" s="112">
        <v>26.13</v>
      </c>
      <c r="AP864" s="112" t="s">
        <v>208</v>
      </c>
      <c r="AQ864" s="112">
        <v>31.46</v>
      </c>
      <c r="AR864" s="112" t="s">
        <v>208</v>
      </c>
      <c r="AS864" s="112">
        <v>46.37</v>
      </c>
      <c r="AT864" s="112" t="s">
        <v>208</v>
      </c>
      <c r="AU864" s="112">
        <f t="shared" si="27"/>
        <v>248.37</v>
      </c>
      <c r="AV864" s="111">
        <v>0.34519499999999997</v>
      </c>
      <c r="AW864" s="111" t="s">
        <v>1904</v>
      </c>
      <c r="AX864" s="25"/>
      <c r="AY864" s="25"/>
      <c r="AZ864" s="25"/>
    </row>
    <row r="865" spans="1:52" ht="31.2" x14ac:dyDescent="0.3">
      <c r="A865" s="103">
        <v>855</v>
      </c>
      <c r="B865" s="109" t="s">
        <v>1699</v>
      </c>
      <c r="C865" s="30" t="s">
        <v>1899</v>
      </c>
      <c r="D865" s="110" t="s">
        <v>1900</v>
      </c>
      <c r="E865" s="110" t="s">
        <v>1917</v>
      </c>
      <c r="F865" s="30" t="s">
        <v>2703</v>
      </c>
      <c r="G865" s="26" t="s">
        <v>145</v>
      </c>
      <c r="H865" s="24" t="s">
        <v>146</v>
      </c>
      <c r="I865" s="109">
        <v>1</v>
      </c>
      <c r="J865" s="109" t="s">
        <v>1918</v>
      </c>
      <c r="K865" s="109">
        <v>89</v>
      </c>
      <c r="L865" s="109" t="s">
        <v>1919</v>
      </c>
      <c r="M865" s="109" t="s">
        <v>1904</v>
      </c>
      <c r="N865" s="109" t="s">
        <v>529</v>
      </c>
      <c r="O865" s="109" t="s">
        <v>1920</v>
      </c>
      <c r="P865" s="109" t="s">
        <v>1921</v>
      </c>
      <c r="Q865" s="102">
        <v>0</v>
      </c>
      <c r="R865" s="109" t="s">
        <v>1907</v>
      </c>
      <c r="S865" s="109" t="s">
        <v>1922</v>
      </c>
      <c r="T865" s="25"/>
      <c r="U865" s="111" t="s">
        <v>1923</v>
      </c>
      <c r="V865" s="111" t="s">
        <v>1923</v>
      </c>
      <c r="W865" s="112" t="s">
        <v>2505</v>
      </c>
      <c r="X865" s="112" t="s">
        <v>208</v>
      </c>
      <c r="Y865" s="112" t="s">
        <v>2123</v>
      </c>
      <c r="Z865" s="112" t="s">
        <v>208</v>
      </c>
      <c r="AA865" s="112" t="s">
        <v>2350</v>
      </c>
      <c r="AB865" s="112" t="s">
        <v>208</v>
      </c>
      <c r="AC865" s="112">
        <v>40.33</v>
      </c>
      <c r="AD865" s="112" t="s">
        <v>208</v>
      </c>
      <c r="AE865" s="112">
        <v>17.23</v>
      </c>
      <c r="AF865" s="112" t="s">
        <v>208</v>
      </c>
      <c r="AG865" s="112">
        <v>0</v>
      </c>
      <c r="AH865" s="112"/>
      <c r="AI865" s="112">
        <v>0</v>
      </c>
      <c r="AJ865" s="112"/>
      <c r="AK865" s="112">
        <v>0</v>
      </c>
      <c r="AL865" s="112"/>
      <c r="AM865" s="112">
        <v>0</v>
      </c>
      <c r="AN865" s="112"/>
      <c r="AO865" s="112">
        <v>63.56</v>
      </c>
      <c r="AP865" s="112" t="s">
        <v>208</v>
      </c>
      <c r="AQ865" s="112">
        <v>63.38</v>
      </c>
      <c r="AR865" s="112" t="s">
        <v>208</v>
      </c>
      <c r="AS865" s="112">
        <v>41.39</v>
      </c>
      <c r="AT865" s="112" t="s">
        <v>208</v>
      </c>
      <c r="AU865" s="112">
        <f t="shared" si="27"/>
        <v>486.52</v>
      </c>
      <c r="AV865" s="111">
        <v>0.20221</v>
      </c>
      <c r="AW865" s="111" t="s">
        <v>1904</v>
      </c>
      <c r="AX865" s="25"/>
      <c r="AY865" s="25"/>
      <c r="AZ865" s="25"/>
    </row>
    <row r="866" spans="1:52" ht="31.2" x14ac:dyDescent="0.3">
      <c r="A866" s="103">
        <v>856</v>
      </c>
      <c r="B866" s="109" t="s">
        <v>1700</v>
      </c>
      <c r="C866" s="30" t="s">
        <v>1899</v>
      </c>
      <c r="D866" s="110" t="s">
        <v>1900</v>
      </c>
      <c r="E866" s="110" t="s">
        <v>1917</v>
      </c>
      <c r="F866" s="30" t="s">
        <v>2703</v>
      </c>
      <c r="G866" s="26" t="s">
        <v>145</v>
      </c>
      <c r="H866" s="24" t="s">
        <v>146</v>
      </c>
      <c r="I866" s="109">
        <v>0</v>
      </c>
      <c r="J866" s="109" t="s">
        <v>1918</v>
      </c>
      <c r="K866" s="109">
        <v>50</v>
      </c>
      <c r="L866" s="109" t="s">
        <v>1919</v>
      </c>
      <c r="M866" s="109" t="s">
        <v>1904</v>
      </c>
      <c r="N866" s="109" t="s">
        <v>529</v>
      </c>
      <c r="O866" s="109" t="s">
        <v>1920</v>
      </c>
      <c r="P866" s="109" t="s">
        <v>1920</v>
      </c>
      <c r="Q866" s="102">
        <v>0</v>
      </c>
      <c r="R866" s="109" t="s">
        <v>1907</v>
      </c>
      <c r="S866" s="109" t="s">
        <v>1922</v>
      </c>
      <c r="T866" s="25"/>
      <c r="U866" s="111" t="s">
        <v>1923</v>
      </c>
      <c r="V866" s="111" t="s">
        <v>1923</v>
      </c>
      <c r="W866" s="112" t="s">
        <v>1992</v>
      </c>
      <c r="X866" s="112" t="s">
        <v>1906</v>
      </c>
      <c r="Y866" s="112" t="s">
        <v>1992</v>
      </c>
      <c r="Z866" s="112" t="s">
        <v>1906</v>
      </c>
      <c r="AA866" s="112" t="s">
        <v>1992</v>
      </c>
      <c r="AB866" s="112" t="s">
        <v>1906</v>
      </c>
      <c r="AC866" s="112">
        <v>22.77</v>
      </c>
      <c r="AD866" s="112" t="s">
        <v>1906</v>
      </c>
      <c r="AE866" s="112">
        <v>6.61</v>
      </c>
      <c r="AF866" s="112" t="s">
        <v>1906</v>
      </c>
      <c r="AG866" s="112">
        <v>0</v>
      </c>
      <c r="AH866" s="112"/>
      <c r="AI866" s="112">
        <v>0</v>
      </c>
      <c r="AJ866" s="112"/>
      <c r="AK866" s="112">
        <v>0</v>
      </c>
      <c r="AL866" s="112"/>
      <c r="AM866" s="112">
        <v>5.08</v>
      </c>
      <c r="AN866" s="112" t="s">
        <v>1906</v>
      </c>
      <c r="AO866" s="112">
        <v>21.78</v>
      </c>
      <c r="AP866" s="112" t="s">
        <v>1906</v>
      </c>
      <c r="AQ866" s="112">
        <v>21.78</v>
      </c>
      <c r="AR866" s="112" t="s">
        <v>1906</v>
      </c>
      <c r="AS866" s="112">
        <v>21.78</v>
      </c>
      <c r="AT866" s="112" t="s">
        <v>1906</v>
      </c>
      <c r="AU866" s="112">
        <f t="shared" si="27"/>
        <v>168.10999999999999</v>
      </c>
      <c r="AV866" s="111">
        <v>8.2299999999999998E-2</v>
      </c>
      <c r="AW866" s="111" t="s">
        <v>1904</v>
      </c>
      <c r="AX866" s="25"/>
      <c r="AY866" s="25"/>
      <c r="AZ866" s="25"/>
    </row>
    <row r="867" spans="1:52" ht="31.2" x14ac:dyDescent="0.3">
      <c r="A867" s="103">
        <v>857</v>
      </c>
      <c r="B867" s="109" t="s">
        <v>1701</v>
      </c>
      <c r="C867" s="30" t="s">
        <v>1899</v>
      </c>
      <c r="D867" s="110" t="s">
        <v>1900</v>
      </c>
      <c r="E867" s="110" t="s">
        <v>1917</v>
      </c>
      <c r="F867" s="30" t="s">
        <v>2703</v>
      </c>
      <c r="G867" s="26" t="s">
        <v>145</v>
      </c>
      <c r="H867" s="24" t="s">
        <v>146</v>
      </c>
      <c r="I867" s="109">
        <v>1</v>
      </c>
      <c r="J867" s="109" t="s">
        <v>1918</v>
      </c>
      <c r="K867" s="109">
        <v>108</v>
      </c>
      <c r="L867" s="109" t="s">
        <v>1919</v>
      </c>
      <c r="M867" s="109" t="s">
        <v>1904</v>
      </c>
      <c r="N867" s="109" t="s">
        <v>529</v>
      </c>
      <c r="O867" s="109" t="s">
        <v>1920</v>
      </c>
      <c r="P867" s="109" t="s">
        <v>1921</v>
      </c>
      <c r="Q867" s="102">
        <v>0</v>
      </c>
      <c r="R867" s="109" t="s">
        <v>1907</v>
      </c>
      <c r="S867" s="109" t="s">
        <v>1922</v>
      </c>
      <c r="T867" s="25"/>
      <c r="U867" s="111" t="s">
        <v>1923</v>
      </c>
      <c r="V867" s="111" t="s">
        <v>1923</v>
      </c>
      <c r="W867" s="112" t="s">
        <v>2506</v>
      </c>
      <c r="X867" s="112" t="s">
        <v>1906</v>
      </c>
      <c r="Y867" s="112" t="s">
        <v>2506</v>
      </c>
      <c r="Z867" s="112" t="s">
        <v>1906</v>
      </c>
      <c r="AA867" s="112" t="s">
        <v>2506</v>
      </c>
      <c r="AB867" s="112" t="s">
        <v>1906</v>
      </c>
      <c r="AC867" s="112">
        <v>112.23</v>
      </c>
      <c r="AD867" s="112" t="s">
        <v>1906</v>
      </c>
      <c r="AE867" s="112">
        <v>32.58</v>
      </c>
      <c r="AF867" s="112" t="s">
        <v>1906</v>
      </c>
      <c r="AG867" s="112">
        <v>0</v>
      </c>
      <c r="AH867" s="112"/>
      <c r="AI867" s="112">
        <v>0</v>
      </c>
      <c r="AJ867" s="112"/>
      <c r="AK867" s="112">
        <v>0</v>
      </c>
      <c r="AL867" s="112"/>
      <c r="AM867" s="112">
        <v>0</v>
      </c>
      <c r="AN867" s="112"/>
      <c r="AO867" s="112">
        <v>124.96</v>
      </c>
      <c r="AP867" s="112" t="s">
        <v>1906</v>
      </c>
      <c r="AQ867" s="112">
        <v>119.11</v>
      </c>
      <c r="AR867" s="112" t="s">
        <v>1906</v>
      </c>
      <c r="AS867" s="112">
        <v>119.11</v>
      </c>
      <c r="AT867" s="112" t="s">
        <v>1906</v>
      </c>
      <c r="AU867" s="112">
        <f t="shared" si="27"/>
        <v>844.68000000000006</v>
      </c>
      <c r="AV867" s="111">
        <v>0.82350000000000001</v>
      </c>
      <c r="AW867" s="111" t="s">
        <v>1904</v>
      </c>
      <c r="AX867" s="25"/>
      <c r="AY867" s="25"/>
      <c r="AZ867" s="25"/>
    </row>
    <row r="868" spans="1:52" ht="31.2" x14ac:dyDescent="0.3">
      <c r="A868" s="103">
        <v>858</v>
      </c>
      <c r="B868" s="109" t="s">
        <v>1703</v>
      </c>
      <c r="C868" s="30" t="s">
        <v>1899</v>
      </c>
      <c r="D868" s="110" t="s">
        <v>1900</v>
      </c>
      <c r="E868" s="110" t="s">
        <v>1917</v>
      </c>
      <c r="F868" s="30" t="s">
        <v>2703</v>
      </c>
      <c r="G868" s="26" t="s">
        <v>145</v>
      </c>
      <c r="H868" s="24" t="s">
        <v>146</v>
      </c>
      <c r="I868" s="109">
        <v>1</v>
      </c>
      <c r="J868" s="109" t="s">
        <v>1918</v>
      </c>
      <c r="K868" s="109">
        <v>89</v>
      </c>
      <c r="L868" s="109" t="s">
        <v>1919</v>
      </c>
      <c r="M868" s="109" t="s">
        <v>1904</v>
      </c>
      <c r="N868" s="109" t="s">
        <v>529</v>
      </c>
      <c r="O868" s="109" t="s">
        <v>1920</v>
      </c>
      <c r="P868" s="109" t="s">
        <v>1921</v>
      </c>
      <c r="Q868" s="102">
        <v>0</v>
      </c>
      <c r="R868" s="109" t="s">
        <v>1907</v>
      </c>
      <c r="S868" s="109" t="s">
        <v>1922</v>
      </c>
      <c r="T868" s="25"/>
      <c r="U868" s="111" t="s">
        <v>1923</v>
      </c>
      <c r="V868" s="111" t="s">
        <v>1923</v>
      </c>
      <c r="W868" s="112" t="s">
        <v>2507</v>
      </c>
      <c r="X868" s="112" t="s">
        <v>208</v>
      </c>
      <c r="Y868" s="112" t="s">
        <v>2508</v>
      </c>
      <c r="Z868" s="112" t="s">
        <v>208</v>
      </c>
      <c r="AA868" s="112" t="s">
        <v>2509</v>
      </c>
      <c r="AB868" s="112" t="s">
        <v>208</v>
      </c>
      <c r="AC868" s="112">
        <v>60.38</v>
      </c>
      <c r="AD868" s="112" t="s">
        <v>208</v>
      </c>
      <c r="AE868" s="112">
        <v>17.52</v>
      </c>
      <c r="AF868" s="112" t="s">
        <v>208</v>
      </c>
      <c r="AG868" s="112">
        <v>0</v>
      </c>
      <c r="AH868" s="112"/>
      <c r="AI868" s="112">
        <v>0</v>
      </c>
      <c r="AJ868" s="112"/>
      <c r="AK868" s="112">
        <v>0</v>
      </c>
      <c r="AL868" s="112"/>
      <c r="AM868" s="112">
        <v>0</v>
      </c>
      <c r="AN868" s="112"/>
      <c r="AO868" s="112">
        <v>58.35</v>
      </c>
      <c r="AP868" s="112" t="s">
        <v>1906</v>
      </c>
      <c r="AQ868" s="112">
        <v>58.35</v>
      </c>
      <c r="AR868" s="112" t="s">
        <v>1906</v>
      </c>
      <c r="AS868" s="112">
        <v>58.35</v>
      </c>
      <c r="AT868" s="112" t="s">
        <v>1906</v>
      </c>
      <c r="AU868" s="112">
        <f t="shared" si="27"/>
        <v>527.97</v>
      </c>
      <c r="AV868" s="111">
        <v>0.17463999999999999</v>
      </c>
      <c r="AW868" s="111" t="s">
        <v>1904</v>
      </c>
      <c r="AX868" s="25"/>
      <c r="AY868" s="25"/>
      <c r="AZ868" s="25"/>
    </row>
    <row r="869" spans="1:52" ht="31.2" x14ac:dyDescent="0.3">
      <c r="A869" s="103">
        <v>859</v>
      </c>
      <c r="B869" s="109" t="s">
        <v>1705</v>
      </c>
      <c r="C869" s="30" t="s">
        <v>1899</v>
      </c>
      <c r="D869" s="110" t="s">
        <v>1900</v>
      </c>
      <c r="E869" s="110" t="s">
        <v>1917</v>
      </c>
      <c r="F869" s="30" t="s">
        <v>2703</v>
      </c>
      <c r="G869" s="26" t="s">
        <v>145</v>
      </c>
      <c r="H869" s="24" t="s">
        <v>146</v>
      </c>
      <c r="I869" s="109">
        <v>1</v>
      </c>
      <c r="J869" s="109" t="s">
        <v>1918</v>
      </c>
      <c r="K869" s="109">
        <v>76</v>
      </c>
      <c r="L869" s="109" t="s">
        <v>1919</v>
      </c>
      <c r="M869" s="109" t="s">
        <v>1904</v>
      </c>
      <c r="N869" s="109" t="s">
        <v>529</v>
      </c>
      <c r="O869" s="109" t="s">
        <v>1920</v>
      </c>
      <c r="P869" s="109" t="s">
        <v>1921</v>
      </c>
      <c r="Q869" s="102">
        <v>0</v>
      </c>
      <c r="R869" s="109" t="s">
        <v>1907</v>
      </c>
      <c r="S869" s="109" t="s">
        <v>1922</v>
      </c>
      <c r="T869" s="25"/>
      <c r="U869" s="111" t="s">
        <v>1923</v>
      </c>
      <c r="V869" s="111" t="s">
        <v>1923</v>
      </c>
      <c r="W869" s="112" t="s">
        <v>2510</v>
      </c>
      <c r="X869" s="112" t="s">
        <v>208</v>
      </c>
      <c r="Y869" s="112" t="s">
        <v>2511</v>
      </c>
      <c r="Z869" s="112" t="s">
        <v>208</v>
      </c>
      <c r="AA869" s="112" t="s">
        <v>2512</v>
      </c>
      <c r="AB869" s="112" t="s">
        <v>208</v>
      </c>
      <c r="AC869" s="112">
        <v>40.65</v>
      </c>
      <c r="AD869" s="112" t="s">
        <v>208</v>
      </c>
      <c r="AE869" s="112">
        <v>16.82</v>
      </c>
      <c r="AF869" s="112" t="s">
        <v>208</v>
      </c>
      <c r="AG869" s="112">
        <v>0</v>
      </c>
      <c r="AH869" s="112"/>
      <c r="AI869" s="112">
        <v>0</v>
      </c>
      <c r="AJ869" s="112"/>
      <c r="AK869" s="112">
        <v>0</v>
      </c>
      <c r="AL869" s="112"/>
      <c r="AM869" s="112">
        <v>0</v>
      </c>
      <c r="AN869" s="112"/>
      <c r="AO869" s="112">
        <v>38.53</v>
      </c>
      <c r="AP869" s="112" t="s">
        <v>208</v>
      </c>
      <c r="AQ869" s="112">
        <v>44.83</v>
      </c>
      <c r="AR869" s="112" t="s">
        <v>208</v>
      </c>
      <c r="AS869" s="112">
        <v>65.31</v>
      </c>
      <c r="AT869" s="112" t="s">
        <v>208</v>
      </c>
      <c r="AU869" s="112">
        <f t="shared" si="27"/>
        <v>446.92999999999995</v>
      </c>
      <c r="AV869" s="111">
        <v>0.20876</v>
      </c>
      <c r="AW869" s="111" t="s">
        <v>1904</v>
      </c>
      <c r="AX869" s="25"/>
      <c r="AY869" s="25"/>
      <c r="AZ869" s="25"/>
    </row>
    <row r="870" spans="1:52" ht="31.2" x14ac:dyDescent="0.3">
      <c r="A870" s="103">
        <v>860</v>
      </c>
      <c r="B870" s="109" t="s">
        <v>1707</v>
      </c>
      <c r="C870" s="30" t="s">
        <v>1899</v>
      </c>
      <c r="D870" s="110" t="s">
        <v>1900</v>
      </c>
      <c r="E870" s="110" t="s">
        <v>1917</v>
      </c>
      <c r="F870" s="30" t="s">
        <v>2703</v>
      </c>
      <c r="G870" s="26" t="s">
        <v>145</v>
      </c>
      <c r="H870" s="24" t="s">
        <v>146</v>
      </c>
      <c r="I870" s="109">
        <v>1</v>
      </c>
      <c r="J870" s="109" t="s">
        <v>1918</v>
      </c>
      <c r="K870" s="109">
        <v>76</v>
      </c>
      <c r="L870" s="109" t="s">
        <v>1919</v>
      </c>
      <c r="M870" s="109" t="s">
        <v>1904</v>
      </c>
      <c r="N870" s="109" t="s">
        <v>529</v>
      </c>
      <c r="O870" s="109" t="s">
        <v>1920</v>
      </c>
      <c r="P870" s="109" t="s">
        <v>1921</v>
      </c>
      <c r="Q870" s="102">
        <v>0</v>
      </c>
      <c r="R870" s="109" t="s">
        <v>1907</v>
      </c>
      <c r="S870" s="109" t="s">
        <v>1922</v>
      </c>
      <c r="T870" s="25"/>
      <c r="U870" s="111" t="s">
        <v>1923</v>
      </c>
      <c r="V870" s="111" t="s">
        <v>1923</v>
      </c>
      <c r="W870" s="112" t="s">
        <v>2513</v>
      </c>
      <c r="X870" s="112" t="s">
        <v>208</v>
      </c>
      <c r="Y870" s="112" t="s">
        <v>2514</v>
      </c>
      <c r="Z870" s="112" t="s">
        <v>208</v>
      </c>
      <c r="AA870" s="112" t="s">
        <v>2515</v>
      </c>
      <c r="AB870" s="112" t="s">
        <v>208</v>
      </c>
      <c r="AC870" s="112">
        <v>49</v>
      </c>
      <c r="AD870" s="112" t="s">
        <v>208</v>
      </c>
      <c r="AE870" s="112">
        <v>14.23</v>
      </c>
      <c r="AF870" s="112" t="s">
        <v>208</v>
      </c>
      <c r="AG870" s="112">
        <v>0</v>
      </c>
      <c r="AH870" s="112"/>
      <c r="AI870" s="112">
        <v>0</v>
      </c>
      <c r="AJ870" s="112"/>
      <c r="AK870" s="112">
        <v>0</v>
      </c>
      <c r="AL870" s="112"/>
      <c r="AM870" s="112">
        <v>0</v>
      </c>
      <c r="AN870" s="112"/>
      <c r="AO870" s="112">
        <v>47.99</v>
      </c>
      <c r="AP870" s="112" t="s">
        <v>1906</v>
      </c>
      <c r="AQ870" s="112">
        <v>47.99</v>
      </c>
      <c r="AR870" s="112" t="s">
        <v>1906</v>
      </c>
      <c r="AS870" s="112">
        <v>47.99</v>
      </c>
      <c r="AT870" s="112" t="s">
        <v>1906</v>
      </c>
      <c r="AU870" s="112">
        <f t="shared" si="27"/>
        <v>382.78000000000003</v>
      </c>
      <c r="AV870" s="111">
        <v>0.15456</v>
      </c>
      <c r="AW870" s="111" t="s">
        <v>1904</v>
      </c>
      <c r="AX870" s="25"/>
      <c r="AY870" s="25"/>
      <c r="AZ870" s="25"/>
    </row>
    <row r="871" spans="1:52" ht="31.2" x14ac:dyDescent="0.3">
      <c r="A871" s="103">
        <v>861</v>
      </c>
      <c r="B871" s="109" t="s">
        <v>1708</v>
      </c>
      <c r="C871" s="30" t="s">
        <v>1899</v>
      </c>
      <c r="D871" s="110" t="s">
        <v>1900</v>
      </c>
      <c r="E871" s="110" t="s">
        <v>1917</v>
      </c>
      <c r="F871" s="30" t="s">
        <v>2703</v>
      </c>
      <c r="G871" s="26" t="s">
        <v>145</v>
      </c>
      <c r="H871" s="24" t="s">
        <v>146</v>
      </c>
      <c r="I871" s="109">
        <v>1</v>
      </c>
      <c r="J871" s="109" t="s">
        <v>1918</v>
      </c>
      <c r="K871" s="109">
        <v>76</v>
      </c>
      <c r="L871" s="109" t="s">
        <v>1919</v>
      </c>
      <c r="M871" s="109" t="s">
        <v>1904</v>
      </c>
      <c r="N871" s="109" t="s">
        <v>529</v>
      </c>
      <c r="O871" s="109" t="s">
        <v>1920</v>
      </c>
      <c r="P871" s="109" t="s">
        <v>1921</v>
      </c>
      <c r="Q871" s="102">
        <v>0</v>
      </c>
      <c r="R871" s="109" t="s">
        <v>1907</v>
      </c>
      <c r="S871" s="109" t="s">
        <v>1922</v>
      </c>
      <c r="T871" s="25"/>
      <c r="U871" s="111" t="s">
        <v>1923</v>
      </c>
      <c r="V871" s="111" t="s">
        <v>1923</v>
      </c>
      <c r="W871" s="112" t="s">
        <v>2513</v>
      </c>
      <c r="X871" s="112" t="s">
        <v>208</v>
      </c>
      <c r="Y871" s="112" t="s">
        <v>2514</v>
      </c>
      <c r="Z871" s="112" t="s">
        <v>208</v>
      </c>
      <c r="AA871" s="112" t="s">
        <v>2515</v>
      </c>
      <c r="AB871" s="112" t="s">
        <v>208</v>
      </c>
      <c r="AC871" s="112">
        <v>49</v>
      </c>
      <c r="AD871" s="112" t="s">
        <v>208</v>
      </c>
      <c r="AE871" s="112">
        <v>14.23</v>
      </c>
      <c r="AF871" s="112" t="s">
        <v>208</v>
      </c>
      <c r="AG871" s="112">
        <v>0</v>
      </c>
      <c r="AH871" s="112"/>
      <c r="AI871" s="112">
        <v>0</v>
      </c>
      <c r="AJ871" s="112"/>
      <c r="AK871" s="112">
        <v>0</v>
      </c>
      <c r="AL871" s="112"/>
      <c r="AM871" s="112">
        <v>0</v>
      </c>
      <c r="AN871" s="112"/>
      <c r="AO871" s="112">
        <v>47.99</v>
      </c>
      <c r="AP871" s="112" t="s">
        <v>1906</v>
      </c>
      <c r="AQ871" s="112">
        <v>47.99</v>
      </c>
      <c r="AR871" s="112" t="s">
        <v>1906</v>
      </c>
      <c r="AS871" s="112">
        <v>47.99</v>
      </c>
      <c r="AT871" s="112" t="s">
        <v>1906</v>
      </c>
      <c r="AU871" s="112">
        <f t="shared" si="27"/>
        <v>382.78000000000003</v>
      </c>
      <c r="AV871" s="111">
        <v>0.15456</v>
      </c>
      <c r="AW871" s="111" t="s">
        <v>1904</v>
      </c>
      <c r="AX871" s="25"/>
      <c r="AY871" s="25"/>
      <c r="AZ871" s="25"/>
    </row>
    <row r="872" spans="1:52" ht="31.2" x14ac:dyDescent="0.3">
      <c r="A872" s="103">
        <v>862</v>
      </c>
      <c r="B872" s="109" t="s">
        <v>1709</v>
      </c>
      <c r="C872" s="30" t="s">
        <v>1899</v>
      </c>
      <c r="D872" s="110" t="s">
        <v>1900</v>
      </c>
      <c r="E872" s="110" t="s">
        <v>1917</v>
      </c>
      <c r="F872" s="30" t="s">
        <v>2703</v>
      </c>
      <c r="G872" s="26" t="s">
        <v>145</v>
      </c>
      <c r="H872" s="24" t="s">
        <v>146</v>
      </c>
      <c r="I872" s="109">
        <v>1</v>
      </c>
      <c r="J872" s="109" t="s">
        <v>1918</v>
      </c>
      <c r="K872" s="109">
        <v>76</v>
      </c>
      <c r="L872" s="109" t="s">
        <v>1919</v>
      </c>
      <c r="M872" s="109" t="s">
        <v>1904</v>
      </c>
      <c r="N872" s="109" t="s">
        <v>529</v>
      </c>
      <c r="O872" s="109" t="s">
        <v>1920</v>
      </c>
      <c r="P872" s="109" t="s">
        <v>1921</v>
      </c>
      <c r="Q872" s="102">
        <v>0</v>
      </c>
      <c r="R872" s="109" t="s">
        <v>1907</v>
      </c>
      <c r="S872" s="109" t="s">
        <v>1922</v>
      </c>
      <c r="T872" s="25"/>
      <c r="U872" s="111" t="s">
        <v>1923</v>
      </c>
      <c r="V872" s="111" t="s">
        <v>1923</v>
      </c>
      <c r="W872" s="112" t="s">
        <v>2513</v>
      </c>
      <c r="X872" s="112" t="s">
        <v>208</v>
      </c>
      <c r="Y872" s="112" t="s">
        <v>2514</v>
      </c>
      <c r="Z872" s="112" t="s">
        <v>208</v>
      </c>
      <c r="AA872" s="112" t="s">
        <v>2515</v>
      </c>
      <c r="AB872" s="112" t="s">
        <v>208</v>
      </c>
      <c r="AC872" s="112">
        <v>49</v>
      </c>
      <c r="AD872" s="112" t="s">
        <v>208</v>
      </c>
      <c r="AE872" s="112">
        <v>14.23</v>
      </c>
      <c r="AF872" s="112" t="s">
        <v>208</v>
      </c>
      <c r="AG872" s="112">
        <v>0</v>
      </c>
      <c r="AH872" s="112"/>
      <c r="AI872" s="112">
        <v>0</v>
      </c>
      <c r="AJ872" s="112"/>
      <c r="AK872" s="112">
        <v>0</v>
      </c>
      <c r="AL872" s="112"/>
      <c r="AM872" s="112">
        <v>0</v>
      </c>
      <c r="AN872" s="112"/>
      <c r="AO872" s="112">
        <v>47.99</v>
      </c>
      <c r="AP872" s="112" t="s">
        <v>1906</v>
      </c>
      <c r="AQ872" s="112">
        <v>47.99</v>
      </c>
      <c r="AR872" s="112" t="s">
        <v>1906</v>
      </c>
      <c r="AS872" s="112">
        <v>47.99</v>
      </c>
      <c r="AT872" s="112" t="s">
        <v>1906</v>
      </c>
      <c r="AU872" s="112">
        <f t="shared" si="27"/>
        <v>382.78000000000003</v>
      </c>
      <c r="AV872" s="111">
        <v>0.15456</v>
      </c>
      <c r="AW872" s="111" t="s">
        <v>1904</v>
      </c>
      <c r="AX872" s="25"/>
      <c r="AY872" s="25"/>
      <c r="AZ872" s="25"/>
    </row>
    <row r="873" spans="1:52" ht="31.2" x14ac:dyDescent="0.3">
      <c r="A873" s="103">
        <v>863</v>
      </c>
      <c r="B873" s="109" t="s">
        <v>1710</v>
      </c>
      <c r="C873" s="30" t="s">
        <v>1899</v>
      </c>
      <c r="D873" s="110" t="s">
        <v>1900</v>
      </c>
      <c r="E873" s="110" t="s">
        <v>1917</v>
      </c>
      <c r="F873" s="30" t="s">
        <v>2703</v>
      </c>
      <c r="G873" s="26" t="s">
        <v>145</v>
      </c>
      <c r="H873" s="24" t="s">
        <v>146</v>
      </c>
      <c r="I873" s="109">
        <v>1</v>
      </c>
      <c r="J873" s="109" t="s">
        <v>1918</v>
      </c>
      <c r="K873" s="109">
        <v>76</v>
      </c>
      <c r="L873" s="109" t="s">
        <v>1919</v>
      </c>
      <c r="M873" s="109" t="s">
        <v>1904</v>
      </c>
      <c r="N873" s="109" t="s">
        <v>529</v>
      </c>
      <c r="O873" s="109" t="s">
        <v>1920</v>
      </c>
      <c r="P873" s="109" t="s">
        <v>1921</v>
      </c>
      <c r="Q873" s="102">
        <v>0</v>
      </c>
      <c r="R873" s="109" t="s">
        <v>1907</v>
      </c>
      <c r="S873" s="109" t="s">
        <v>1922</v>
      </c>
      <c r="T873" s="25"/>
      <c r="U873" s="111" t="s">
        <v>1923</v>
      </c>
      <c r="V873" s="111" t="s">
        <v>1923</v>
      </c>
      <c r="W873" s="112" t="s">
        <v>2513</v>
      </c>
      <c r="X873" s="112" t="s">
        <v>208</v>
      </c>
      <c r="Y873" s="112" t="s">
        <v>2514</v>
      </c>
      <c r="Z873" s="112" t="s">
        <v>208</v>
      </c>
      <c r="AA873" s="112" t="s">
        <v>2515</v>
      </c>
      <c r="AB873" s="112" t="s">
        <v>208</v>
      </c>
      <c r="AC873" s="112">
        <v>49</v>
      </c>
      <c r="AD873" s="112" t="s">
        <v>208</v>
      </c>
      <c r="AE873" s="112">
        <v>14.23</v>
      </c>
      <c r="AF873" s="112" t="s">
        <v>208</v>
      </c>
      <c r="AG873" s="112">
        <v>0</v>
      </c>
      <c r="AH873" s="112"/>
      <c r="AI873" s="112">
        <v>0</v>
      </c>
      <c r="AJ873" s="112"/>
      <c r="AK873" s="112">
        <v>0</v>
      </c>
      <c r="AL873" s="112"/>
      <c r="AM873" s="112">
        <v>0</v>
      </c>
      <c r="AN873" s="112"/>
      <c r="AO873" s="112">
        <v>47.99</v>
      </c>
      <c r="AP873" s="112" t="s">
        <v>1906</v>
      </c>
      <c r="AQ873" s="112">
        <v>47.99</v>
      </c>
      <c r="AR873" s="112" t="s">
        <v>1906</v>
      </c>
      <c r="AS873" s="112">
        <v>47.99</v>
      </c>
      <c r="AT873" s="112" t="s">
        <v>1906</v>
      </c>
      <c r="AU873" s="112">
        <f t="shared" si="27"/>
        <v>382.78000000000003</v>
      </c>
      <c r="AV873" s="111">
        <v>0.15456</v>
      </c>
      <c r="AW873" s="111" t="s">
        <v>1904</v>
      </c>
      <c r="AX873" s="25"/>
      <c r="AY873" s="25"/>
      <c r="AZ873" s="25"/>
    </row>
    <row r="874" spans="1:52" ht="31.2" x14ac:dyDescent="0.3">
      <c r="A874" s="103">
        <v>864</v>
      </c>
      <c r="B874" s="109" t="s">
        <v>1711</v>
      </c>
      <c r="C874" s="30" t="s">
        <v>1899</v>
      </c>
      <c r="D874" s="110" t="s">
        <v>1900</v>
      </c>
      <c r="E874" s="110" t="s">
        <v>1917</v>
      </c>
      <c r="F874" s="30" t="s">
        <v>2703</v>
      </c>
      <c r="G874" s="26" t="s">
        <v>145</v>
      </c>
      <c r="H874" s="24" t="s">
        <v>146</v>
      </c>
      <c r="I874" s="109">
        <v>1</v>
      </c>
      <c r="J874" s="109" t="s">
        <v>1918</v>
      </c>
      <c r="K874" s="109">
        <v>76</v>
      </c>
      <c r="L874" s="109" t="s">
        <v>1919</v>
      </c>
      <c r="M874" s="109" t="s">
        <v>1904</v>
      </c>
      <c r="N874" s="109" t="s">
        <v>529</v>
      </c>
      <c r="O874" s="109" t="s">
        <v>1920</v>
      </c>
      <c r="P874" s="109" t="s">
        <v>1921</v>
      </c>
      <c r="Q874" s="102">
        <v>0</v>
      </c>
      <c r="R874" s="109" t="s">
        <v>1907</v>
      </c>
      <c r="S874" s="109" t="s">
        <v>1922</v>
      </c>
      <c r="T874" s="25"/>
      <c r="U874" s="111" t="s">
        <v>1923</v>
      </c>
      <c r="V874" s="111" t="s">
        <v>1923</v>
      </c>
      <c r="W874" s="112" t="s">
        <v>2513</v>
      </c>
      <c r="X874" s="112" t="s">
        <v>1906</v>
      </c>
      <c r="Y874" s="112" t="s">
        <v>2514</v>
      </c>
      <c r="Z874" s="112" t="s">
        <v>1906</v>
      </c>
      <c r="AA874" s="112" t="s">
        <v>2515</v>
      </c>
      <c r="AB874" s="112" t="s">
        <v>1906</v>
      </c>
      <c r="AC874" s="112">
        <v>49</v>
      </c>
      <c r="AD874" s="112" t="s">
        <v>1906</v>
      </c>
      <c r="AE874" s="112">
        <v>14.23</v>
      </c>
      <c r="AF874" s="112" t="s">
        <v>1906</v>
      </c>
      <c r="AG874" s="112">
        <v>0</v>
      </c>
      <c r="AH874" s="112"/>
      <c r="AI874" s="112">
        <v>0</v>
      </c>
      <c r="AJ874" s="112"/>
      <c r="AK874" s="112">
        <v>0</v>
      </c>
      <c r="AL874" s="112"/>
      <c r="AM874" s="112">
        <v>0</v>
      </c>
      <c r="AN874" s="112"/>
      <c r="AO874" s="112">
        <v>47.99</v>
      </c>
      <c r="AP874" s="112" t="s">
        <v>1906</v>
      </c>
      <c r="AQ874" s="112">
        <v>47.99</v>
      </c>
      <c r="AR874" s="112" t="s">
        <v>1906</v>
      </c>
      <c r="AS874" s="112">
        <v>47.99</v>
      </c>
      <c r="AT874" s="112" t="s">
        <v>1906</v>
      </c>
      <c r="AU874" s="112">
        <f t="shared" si="27"/>
        <v>382.78000000000003</v>
      </c>
      <c r="AV874" s="111">
        <v>0.15456</v>
      </c>
      <c r="AW874" s="111" t="s">
        <v>1904</v>
      </c>
      <c r="AX874" s="25"/>
      <c r="AY874" s="25"/>
      <c r="AZ874" s="25"/>
    </row>
    <row r="875" spans="1:52" ht="31.2" x14ac:dyDescent="0.3">
      <c r="A875" s="103">
        <v>865</v>
      </c>
      <c r="B875" s="109" t="s">
        <v>1712</v>
      </c>
      <c r="C875" s="30" t="s">
        <v>1899</v>
      </c>
      <c r="D875" s="110" t="s">
        <v>1900</v>
      </c>
      <c r="E875" s="110" t="s">
        <v>1917</v>
      </c>
      <c r="F875" s="30" t="s">
        <v>2703</v>
      </c>
      <c r="G875" s="26" t="s">
        <v>145</v>
      </c>
      <c r="H875" s="24" t="s">
        <v>146</v>
      </c>
      <c r="I875" s="109">
        <v>0</v>
      </c>
      <c r="J875" s="109" t="s">
        <v>1918</v>
      </c>
      <c r="K875" s="109">
        <v>76</v>
      </c>
      <c r="L875" s="109" t="s">
        <v>1919</v>
      </c>
      <c r="M875" s="109" t="s">
        <v>1904</v>
      </c>
      <c r="N875" s="109" t="s">
        <v>529</v>
      </c>
      <c r="O875" s="109" t="s">
        <v>1920</v>
      </c>
      <c r="P875" s="109" t="s">
        <v>1920</v>
      </c>
      <c r="Q875" s="102">
        <v>0</v>
      </c>
      <c r="R875" s="109" t="s">
        <v>1907</v>
      </c>
      <c r="S875" s="109" t="s">
        <v>1922</v>
      </c>
      <c r="T875" s="25"/>
      <c r="U875" s="111" t="s">
        <v>1923</v>
      </c>
      <c r="V875" s="111" t="s">
        <v>1923</v>
      </c>
      <c r="W875" s="112" t="s">
        <v>2516</v>
      </c>
      <c r="X875" s="112" t="s">
        <v>1906</v>
      </c>
      <c r="Y875" s="112" t="s">
        <v>2516</v>
      </c>
      <c r="Z875" s="112" t="s">
        <v>1906</v>
      </c>
      <c r="AA875" s="112" t="s">
        <v>2516</v>
      </c>
      <c r="AB875" s="112" t="s">
        <v>1906</v>
      </c>
      <c r="AC875" s="112">
        <v>23.92</v>
      </c>
      <c r="AD875" s="112" t="s">
        <v>1906</v>
      </c>
      <c r="AE875" s="112">
        <v>6.94</v>
      </c>
      <c r="AF875" s="112" t="s">
        <v>1906</v>
      </c>
      <c r="AG875" s="112">
        <v>0</v>
      </c>
      <c r="AH875" s="112"/>
      <c r="AI875" s="112">
        <v>0</v>
      </c>
      <c r="AJ875" s="112"/>
      <c r="AK875" s="112">
        <v>0</v>
      </c>
      <c r="AL875" s="112"/>
      <c r="AM875" s="112">
        <v>5.53</v>
      </c>
      <c r="AN875" s="112" t="s">
        <v>1906</v>
      </c>
      <c r="AO875" s="112">
        <v>23.7</v>
      </c>
      <c r="AP875" s="112" t="s">
        <v>1906</v>
      </c>
      <c r="AQ875" s="112">
        <v>23.7</v>
      </c>
      <c r="AR875" s="112" t="s">
        <v>1906</v>
      </c>
      <c r="AS875" s="112">
        <v>23.7</v>
      </c>
      <c r="AT875" s="112" t="s">
        <v>1906</v>
      </c>
      <c r="AU875" s="112">
        <f t="shared" si="27"/>
        <v>179.24999999999997</v>
      </c>
      <c r="AV875" s="111">
        <v>0.10338</v>
      </c>
      <c r="AW875" s="111" t="s">
        <v>1904</v>
      </c>
      <c r="AX875" s="25"/>
      <c r="AY875" s="25"/>
      <c r="AZ875" s="25"/>
    </row>
    <row r="876" spans="1:52" ht="31.2" x14ac:dyDescent="0.3">
      <c r="A876" s="103">
        <v>866</v>
      </c>
      <c r="B876" s="109" t="s">
        <v>1714</v>
      </c>
      <c r="C876" s="30" t="s">
        <v>1899</v>
      </c>
      <c r="D876" s="110" t="s">
        <v>1900</v>
      </c>
      <c r="E876" s="110" t="s">
        <v>1917</v>
      </c>
      <c r="F876" s="30" t="s">
        <v>2703</v>
      </c>
      <c r="G876" s="26" t="s">
        <v>145</v>
      </c>
      <c r="H876" s="24" t="s">
        <v>146</v>
      </c>
      <c r="I876" s="109">
        <v>1</v>
      </c>
      <c r="J876" s="109" t="s">
        <v>1918</v>
      </c>
      <c r="K876" s="109">
        <v>76</v>
      </c>
      <c r="L876" s="109" t="s">
        <v>1919</v>
      </c>
      <c r="M876" s="109" t="s">
        <v>1904</v>
      </c>
      <c r="N876" s="109" t="s">
        <v>529</v>
      </c>
      <c r="O876" s="109" t="s">
        <v>1920</v>
      </c>
      <c r="P876" s="109" t="s">
        <v>1921</v>
      </c>
      <c r="Q876" s="102">
        <v>0</v>
      </c>
      <c r="R876" s="109" t="s">
        <v>1907</v>
      </c>
      <c r="S876" s="109" t="s">
        <v>1922</v>
      </c>
      <c r="T876" s="25"/>
      <c r="U876" s="111" t="s">
        <v>1923</v>
      </c>
      <c r="V876" s="111" t="s">
        <v>1923</v>
      </c>
      <c r="W876" s="112" t="s">
        <v>2517</v>
      </c>
      <c r="X876" s="112" t="s">
        <v>1906</v>
      </c>
      <c r="Y876" s="112" t="s">
        <v>2518</v>
      </c>
      <c r="Z876" s="112" t="s">
        <v>1906</v>
      </c>
      <c r="AA876" s="112" t="s">
        <v>2517</v>
      </c>
      <c r="AB876" s="112" t="s">
        <v>1906</v>
      </c>
      <c r="AC876" s="112">
        <v>31.37</v>
      </c>
      <c r="AD876" s="112" t="s">
        <v>1906</v>
      </c>
      <c r="AE876" s="112">
        <v>16.14</v>
      </c>
      <c r="AF876" s="112" t="s">
        <v>1906</v>
      </c>
      <c r="AG876" s="112">
        <v>0</v>
      </c>
      <c r="AH876" s="112"/>
      <c r="AI876" s="112">
        <v>0</v>
      </c>
      <c r="AJ876" s="112"/>
      <c r="AK876" s="112">
        <v>0</v>
      </c>
      <c r="AL876" s="112"/>
      <c r="AM876" s="112">
        <v>0</v>
      </c>
      <c r="AN876" s="112"/>
      <c r="AO876" s="112">
        <v>28.11</v>
      </c>
      <c r="AP876" s="112" t="s">
        <v>208</v>
      </c>
      <c r="AQ876" s="112">
        <v>34.28</v>
      </c>
      <c r="AR876" s="112" t="s">
        <v>208</v>
      </c>
      <c r="AS876" s="112">
        <v>50.31</v>
      </c>
      <c r="AT876" s="112" t="s">
        <v>208</v>
      </c>
      <c r="AU876" s="112">
        <f t="shared" si="27"/>
        <v>340.03000000000003</v>
      </c>
      <c r="AV876" s="111">
        <v>0.20274</v>
      </c>
      <c r="AW876" s="111" t="s">
        <v>1904</v>
      </c>
      <c r="AX876" s="25"/>
      <c r="AY876" s="25"/>
      <c r="AZ876" s="25"/>
    </row>
    <row r="877" spans="1:52" ht="31.2" x14ac:dyDescent="0.3">
      <c r="A877" s="103">
        <v>867</v>
      </c>
      <c r="B877" s="109" t="s">
        <v>1715</v>
      </c>
      <c r="C877" s="30" t="s">
        <v>1899</v>
      </c>
      <c r="D877" s="110" t="s">
        <v>1900</v>
      </c>
      <c r="E877" s="110" t="s">
        <v>1917</v>
      </c>
      <c r="F877" s="30" t="s">
        <v>2703</v>
      </c>
      <c r="G877" s="26" t="s">
        <v>145</v>
      </c>
      <c r="H877" s="24" t="s">
        <v>146</v>
      </c>
      <c r="I877" s="109">
        <v>1</v>
      </c>
      <c r="J877" s="109" t="s">
        <v>1918</v>
      </c>
      <c r="K877" s="109">
        <v>76</v>
      </c>
      <c r="L877" s="109" t="s">
        <v>1919</v>
      </c>
      <c r="M877" s="109" t="s">
        <v>1904</v>
      </c>
      <c r="N877" s="109" t="s">
        <v>529</v>
      </c>
      <c r="O877" s="109" t="s">
        <v>1920</v>
      </c>
      <c r="P877" s="109" t="s">
        <v>1921</v>
      </c>
      <c r="Q877" s="102">
        <v>0</v>
      </c>
      <c r="R877" s="109" t="s">
        <v>1907</v>
      </c>
      <c r="S877" s="109" t="s">
        <v>1922</v>
      </c>
      <c r="T877" s="25"/>
      <c r="U877" s="111" t="s">
        <v>1923</v>
      </c>
      <c r="V877" s="111" t="s">
        <v>1923</v>
      </c>
      <c r="W877" s="112" t="s">
        <v>2517</v>
      </c>
      <c r="X877" s="112" t="s">
        <v>1906</v>
      </c>
      <c r="Y877" s="112" t="s">
        <v>2518</v>
      </c>
      <c r="Z877" s="112" t="s">
        <v>1906</v>
      </c>
      <c r="AA877" s="112" t="s">
        <v>2517</v>
      </c>
      <c r="AB877" s="112" t="s">
        <v>1906</v>
      </c>
      <c r="AC877" s="112">
        <v>31.37</v>
      </c>
      <c r="AD877" s="112" t="s">
        <v>1906</v>
      </c>
      <c r="AE877" s="112">
        <v>16.14</v>
      </c>
      <c r="AF877" s="112" t="s">
        <v>1906</v>
      </c>
      <c r="AG877" s="112">
        <v>0</v>
      </c>
      <c r="AH877" s="112"/>
      <c r="AI877" s="112">
        <v>0</v>
      </c>
      <c r="AJ877" s="112"/>
      <c r="AK877" s="112">
        <v>0</v>
      </c>
      <c r="AL877" s="112"/>
      <c r="AM877" s="112">
        <v>0</v>
      </c>
      <c r="AN877" s="112"/>
      <c r="AO877" s="112">
        <v>28.11</v>
      </c>
      <c r="AP877" s="112" t="s">
        <v>208</v>
      </c>
      <c r="AQ877" s="112">
        <v>34.28</v>
      </c>
      <c r="AR877" s="112" t="s">
        <v>208</v>
      </c>
      <c r="AS877" s="112">
        <v>50.31</v>
      </c>
      <c r="AT877" s="112" t="s">
        <v>208</v>
      </c>
      <c r="AU877" s="112">
        <f t="shared" si="27"/>
        <v>340.03000000000003</v>
      </c>
      <c r="AV877" s="111">
        <v>0.20274</v>
      </c>
      <c r="AW877" s="111" t="s">
        <v>1904</v>
      </c>
      <c r="AX877" s="25"/>
      <c r="AY877" s="25"/>
      <c r="AZ877" s="25"/>
    </row>
    <row r="878" spans="1:52" ht="31.2" x14ac:dyDescent="0.3">
      <c r="A878" s="103">
        <v>868</v>
      </c>
      <c r="B878" s="109" t="s">
        <v>1717</v>
      </c>
      <c r="C878" s="30" t="s">
        <v>1899</v>
      </c>
      <c r="D878" s="110" t="s">
        <v>1900</v>
      </c>
      <c r="E878" s="110" t="s">
        <v>1917</v>
      </c>
      <c r="F878" s="30" t="s">
        <v>2703</v>
      </c>
      <c r="G878" s="26" t="s">
        <v>145</v>
      </c>
      <c r="H878" s="24" t="s">
        <v>146</v>
      </c>
      <c r="I878" s="109">
        <v>1</v>
      </c>
      <c r="J878" s="109" t="s">
        <v>1918</v>
      </c>
      <c r="K878" s="109">
        <v>50</v>
      </c>
      <c r="L878" s="109" t="s">
        <v>1919</v>
      </c>
      <c r="M878" s="109" t="s">
        <v>1904</v>
      </c>
      <c r="N878" s="109" t="s">
        <v>529</v>
      </c>
      <c r="O878" s="109" t="s">
        <v>1920</v>
      </c>
      <c r="P878" s="109" t="s">
        <v>1921</v>
      </c>
      <c r="Q878" s="102">
        <v>0</v>
      </c>
      <c r="R878" s="109" t="s">
        <v>1907</v>
      </c>
      <c r="S878" s="109" t="s">
        <v>1922</v>
      </c>
      <c r="T878" s="25"/>
      <c r="U878" s="111" t="s">
        <v>1923</v>
      </c>
      <c r="V878" s="111" t="s">
        <v>1923</v>
      </c>
      <c r="W878" s="112" t="s">
        <v>2519</v>
      </c>
      <c r="X878" s="112" t="s">
        <v>208</v>
      </c>
      <c r="Y878" s="112" t="s">
        <v>2520</v>
      </c>
      <c r="Z878" s="112" t="s">
        <v>208</v>
      </c>
      <c r="AA878" s="112" t="s">
        <v>2521</v>
      </c>
      <c r="AB878" s="112" t="s">
        <v>208</v>
      </c>
      <c r="AC878" s="112">
        <v>29.72</v>
      </c>
      <c r="AD878" s="112" t="s">
        <v>208</v>
      </c>
      <c r="AE878" s="112">
        <v>8.6199999999999992</v>
      </c>
      <c r="AF878" s="112" t="s">
        <v>208</v>
      </c>
      <c r="AG878" s="112">
        <v>0</v>
      </c>
      <c r="AH878" s="112"/>
      <c r="AI878" s="112">
        <v>0</v>
      </c>
      <c r="AJ878" s="112"/>
      <c r="AK878" s="112">
        <v>0</v>
      </c>
      <c r="AL878" s="112"/>
      <c r="AM878" s="112">
        <v>0</v>
      </c>
      <c r="AN878" s="112"/>
      <c r="AO878" s="112">
        <v>29.66</v>
      </c>
      <c r="AP878" s="112" t="s">
        <v>1906</v>
      </c>
      <c r="AQ878" s="112">
        <v>29.66</v>
      </c>
      <c r="AR878" s="112" t="s">
        <v>1906</v>
      </c>
      <c r="AS878" s="112">
        <v>29.66</v>
      </c>
      <c r="AT878" s="112" t="s">
        <v>1906</v>
      </c>
      <c r="AU878" s="112">
        <f t="shared" si="27"/>
        <v>241.52</v>
      </c>
      <c r="AV878" s="111">
        <v>0.11529</v>
      </c>
      <c r="AW878" s="111" t="s">
        <v>1904</v>
      </c>
      <c r="AX878" s="25"/>
      <c r="AY878" s="25"/>
      <c r="AZ878" s="25"/>
    </row>
    <row r="879" spans="1:52" ht="31.2" x14ac:dyDescent="0.3">
      <c r="A879" s="103">
        <v>869</v>
      </c>
      <c r="B879" s="109" t="s">
        <v>1719</v>
      </c>
      <c r="C879" s="30" t="s">
        <v>1899</v>
      </c>
      <c r="D879" s="110" t="s">
        <v>1900</v>
      </c>
      <c r="E879" s="110" t="s">
        <v>1917</v>
      </c>
      <c r="F879" s="30" t="s">
        <v>2703</v>
      </c>
      <c r="G879" s="26" t="s">
        <v>145</v>
      </c>
      <c r="H879" s="24" t="s">
        <v>146</v>
      </c>
      <c r="I879" s="109">
        <v>0</v>
      </c>
      <c r="J879" s="109" t="s">
        <v>1918</v>
      </c>
      <c r="K879" s="109">
        <v>89</v>
      </c>
      <c r="L879" s="109" t="s">
        <v>1919</v>
      </c>
      <c r="M879" s="109" t="s">
        <v>1904</v>
      </c>
      <c r="N879" s="109" t="s">
        <v>529</v>
      </c>
      <c r="O879" s="109" t="s">
        <v>1920</v>
      </c>
      <c r="P879" s="109" t="s">
        <v>1920</v>
      </c>
      <c r="Q879" s="102">
        <v>0</v>
      </c>
      <c r="R879" s="109" t="s">
        <v>1907</v>
      </c>
      <c r="S879" s="109" t="s">
        <v>1922</v>
      </c>
      <c r="T879" s="25"/>
      <c r="U879" s="111" t="s">
        <v>1923</v>
      </c>
      <c r="V879" s="111" t="s">
        <v>1923</v>
      </c>
      <c r="W879" s="112" t="s">
        <v>2522</v>
      </c>
      <c r="X879" s="112" t="s">
        <v>1906</v>
      </c>
      <c r="Y879" s="112" t="s">
        <v>2522</v>
      </c>
      <c r="Z879" s="112" t="s">
        <v>1906</v>
      </c>
      <c r="AA879" s="112" t="s">
        <v>2522</v>
      </c>
      <c r="AB879" s="112" t="s">
        <v>1906</v>
      </c>
      <c r="AC879" s="112">
        <v>62.46</v>
      </c>
      <c r="AD879" s="112" t="s">
        <v>1906</v>
      </c>
      <c r="AE879" s="112">
        <v>18.13</v>
      </c>
      <c r="AF879" s="112" t="s">
        <v>1906</v>
      </c>
      <c r="AG879" s="112">
        <v>0</v>
      </c>
      <c r="AH879" s="112"/>
      <c r="AI879" s="112">
        <v>0</v>
      </c>
      <c r="AJ879" s="112"/>
      <c r="AK879" s="112">
        <v>0</v>
      </c>
      <c r="AL879" s="112"/>
      <c r="AM879" s="112">
        <v>14.72</v>
      </c>
      <c r="AN879" s="112" t="s">
        <v>1906</v>
      </c>
      <c r="AO879" s="112">
        <v>63.08</v>
      </c>
      <c r="AP879" s="112" t="s">
        <v>1906</v>
      </c>
      <c r="AQ879" s="112">
        <v>63.08</v>
      </c>
      <c r="AR879" s="112" t="s">
        <v>1906</v>
      </c>
      <c r="AS879" s="112">
        <v>63.08</v>
      </c>
      <c r="AT879" s="112" t="s">
        <v>1906</v>
      </c>
      <c r="AU879" s="112">
        <f t="shared" si="27"/>
        <v>471.93</v>
      </c>
      <c r="AV879" s="111">
        <v>0.18847</v>
      </c>
      <c r="AW879" s="111" t="s">
        <v>1904</v>
      </c>
      <c r="AX879" s="25"/>
      <c r="AY879" s="25"/>
      <c r="AZ879" s="25"/>
    </row>
    <row r="880" spans="1:52" ht="31.2" x14ac:dyDescent="0.3">
      <c r="A880" s="103">
        <v>870</v>
      </c>
      <c r="B880" s="109" t="s">
        <v>1720</v>
      </c>
      <c r="C880" s="30" t="s">
        <v>1899</v>
      </c>
      <c r="D880" s="110" t="s">
        <v>1900</v>
      </c>
      <c r="E880" s="110" t="s">
        <v>1917</v>
      </c>
      <c r="F880" s="30" t="s">
        <v>2703</v>
      </c>
      <c r="G880" s="26" t="s">
        <v>145</v>
      </c>
      <c r="H880" s="24" t="s">
        <v>146</v>
      </c>
      <c r="I880" s="109">
        <v>0</v>
      </c>
      <c r="J880" s="109" t="s">
        <v>1918</v>
      </c>
      <c r="K880" s="109">
        <v>76</v>
      </c>
      <c r="L880" s="109" t="s">
        <v>1919</v>
      </c>
      <c r="M880" s="109" t="s">
        <v>1904</v>
      </c>
      <c r="N880" s="109" t="s">
        <v>529</v>
      </c>
      <c r="O880" s="109" t="s">
        <v>1920</v>
      </c>
      <c r="P880" s="109" t="s">
        <v>1920</v>
      </c>
      <c r="Q880" s="102">
        <v>0</v>
      </c>
      <c r="R880" s="109" t="s">
        <v>1907</v>
      </c>
      <c r="S880" s="109" t="s">
        <v>1922</v>
      </c>
      <c r="T880" s="25"/>
      <c r="U880" s="111" t="s">
        <v>1923</v>
      </c>
      <c r="V880" s="111" t="s">
        <v>1923</v>
      </c>
      <c r="W880" s="112" t="s">
        <v>2523</v>
      </c>
      <c r="X880" s="112" t="s">
        <v>1906</v>
      </c>
      <c r="Y880" s="112" t="s">
        <v>2523</v>
      </c>
      <c r="Z880" s="112" t="s">
        <v>1906</v>
      </c>
      <c r="AA880" s="112" t="s">
        <v>2523</v>
      </c>
      <c r="AB880" s="112" t="s">
        <v>1906</v>
      </c>
      <c r="AC880" s="112">
        <v>36.99</v>
      </c>
      <c r="AD880" s="112" t="s">
        <v>1906</v>
      </c>
      <c r="AE880" s="112">
        <v>10.74</v>
      </c>
      <c r="AF880" s="112" t="s">
        <v>1906</v>
      </c>
      <c r="AG880" s="112">
        <v>0</v>
      </c>
      <c r="AH880" s="112"/>
      <c r="AI880" s="112">
        <v>0</v>
      </c>
      <c r="AJ880" s="112"/>
      <c r="AK880" s="112">
        <v>0</v>
      </c>
      <c r="AL880" s="112"/>
      <c r="AM880" s="112">
        <v>8.0399999999999991</v>
      </c>
      <c r="AN880" s="112" t="s">
        <v>1906</v>
      </c>
      <c r="AO880" s="112">
        <v>34.47</v>
      </c>
      <c r="AP880" s="112" t="s">
        <v>1906</v>
      </c>
      <c r="AQ880" s="112">
        <v>34.47</v>
      </c>
      <c r="AR880" s="112" t="s">
        <v>1906</v>
      </c>
      <c r="AS880" s="112">
        <v>34.47</v>
      </c>
      <c r="AT880" s="112" t="s">
        <v>1906</v>
      </c>
      <c r="AU880" s="112">
        <f t="shared" si="27"/>
        <v>270.14999999999998</v>
      </c>
      <c r="AV880" s="111">
        <v>0.15237999999999999</v>
      </c>
      <c r="AW880" s="111" t="s">
        <v>1904</v>
      </c>
      <c r="AX880" s="25"/>
      <c r="AY880" s="25"/>
      <c r="AZ880" s="25"/>
    </row>
    <row r="881" spans="1:52" ht="31.2" x14ac:dyDescent="0.3">
      <c r="A881" s="103">
        <v>871</v>
      </c>
      <c r="B881" s="109" t="s">
        <v>1721</v>
      </c>
      <c r="C881" s="30" t="s">
        <v>1899</v>
      </c>
      <c r="D881" s="110" t="s">
        <v>1900</v>
      </c>
      <c r="E881" s="110" t="s">
        <v>1917</v>
      </c>
      <c r="F881" s="30" t="s">
        <v>2703</v>
      </c>
      <c r="G881" s="26" t="s">
        <v>145</v>
      </c>
      <c r="H881" s="24" t="s">
        <v>146</v>
      </c>
      <c r="I881" s="109">
        <v>1</v>
      </c>
      <c r="J881" s="109" t="s">
        <v>1918</v>
      </c>
      <c r="K881" s="109">
        <v>76</v>
      </c>
      <c r="L881" s="109" t="s">
        <v>1919</v>
      </c>
      <c r="M881" s="109" t="s">
        <v>1904</v>
      </c>
      <c r="N881" s="109" t="s">
        <v>529</v>
      </c>
      <c r="O881" s="109" t="s">
        <v>1920</v>
      </c>
      <c r="P881" s="109" t="s">
        <v>1921</v>
      </c>
      <c r="Q881" s="102">
        <v>0</v>
      </c>
      <c r="R881" s="109" t="s">
        <v>1907</v>
      </c>
      <c r="S881" s="109" t="s">
        <v>1922</v>
      </c>
      <c r="T881" s="25"/>
      <c r="U881" s="111" t="s">
        <v>1923</v>
      </c>
      <c r="V881" s="111" t="s">
        <v>1923</v>
      </c>
      <c r="W881" s="112" t="s">
        <v>2524</v>
      </c>
      <c r="X881" s="112" t="s">
        <v>208</v>
      </c>
      <c r="Y881" s="112" t="s">
        <v>2525</v>
      </c>
      <c r="Z881" s="112" t="s">
        <v>208</v>
      </c>
      <c r="AA881" s="112" t="s">
        <v>2526</v>
      </c>
      <c r="AB881" s="112" t="s">
        <v>208</v>
      </c>
      <c r="AC881" s="112">
        <v>123.54</v>
      </c>
      <c r="AD881" s="112" t="s">
        <v>208</v>
      </c>
      <c r="AE881" s="112">
        <v>23.4</v>
      </c>
      <c r="AF881" s="112" t="s">
        <v>208</v>
      </c>
      <c r="AG881" s="112">
        <v>0</v>
      </c>
      <c r="AH881" s="112"/>
      <c r="AI881" s="112">
        <v>0</v>
      </c>
      <c r="AJ881" s="112"/>
      <c r="AK881" s="112">
        <v>0</v>
      </c>
      <c r="AL881" s="112"/>
      <c r="AM881" s="112">
        <v>0</v>
      </c>
      <c r="AN881" s="112"/>
      <c r="AO881" s="112">
        <v>66.89</v>
      </c>
      <c r="AP881" s="112" t="s">
        <v>208</v>
      </c>
      <c r="AQ881" s="112">
        <v>64.290000000000006</v>
      </c>
      <c r="AR881" s="112" t="s">
        <v>208</v>
      </c>
      <c r="AS881" s="112">
        <v>103.67</v>
      </c>
      <c r="AT881" s="112" t="s">
        <v>208</v>
      </c>
      <c r="AU881" s="112">
        <f t="shared" si="27"/>
        <v>774.13999999999987</v>
      </c>
      <c r="AV881" s="111">
        <v>0.34727000000000002</v>
      </c>
      <c r="AW881" s="111" t="s">
        <v>1904</v>
      </c>
      <c r="AX881" s="25"/>
      <c r="AY881" s="25"/>
      <c r="AZ881" s="25"/>
    </row>
    <row r="882" spans="1:52" ht="31.2" x14ac:dyDescent="0.3">
      <c r="A882" s="103">
        <v>872</v>
      </c>
      <c r="B882" s="109" t="s">
        <v>1722</v>
      </c>
      <c r="C882" s="30" t="s">
        <v>1899</v>
      </c>
      <c r="D882" s="110" t="s">
        <v>1900</v>
      </c>
      <c r="E882" s="110" t="s">
        <v>1917</v>
      </c>
      <c r="F882" s="30" t="s">
        <v>2703</v>
      </c>
      <c r="G882" s="26" t="s">
        <v>145</v>
      </c>
      <c r="H882" s="24" t="s">
        <v>146</v>
      </c>
      <c r="I882" s="109">
        <v>1</v>
      </c>
      <c r="J882" s="109" t="s">
        <v>1918</v>
      </c>
      <c r="K882" s="109">
        <v>108</v>
      </c>
      <c r="L882" s="109" t="s">
        <v>1919</v>
      </c>
      <c r="M882" s="109" t="s">
        <v>1904</v>
      </c>
      <c r="N882" s="109" t="s">
        <v>529</v>
      </c>
      <c r="O882" s="109" t="s">
        <v>1920</v>
      </c>
      <c r="P882" s="109" t="s">
        <v>1921</v>
      </c>
      <c r="Q882" s="102">
        <v>0</v>
      </c>
      <c r="R882" s="109" t="s">
        <v>1907</v>
      </c>
      <c r="S882" s="109" t="s">
        <v>1922</v>
      </c>
      <c r="T882" s="25"/>
      <c r="U882" s="111" t="s">
        <v>1923</v>
      </c>
      <c r="V882" s="111" t="s">
        <v>1923</v>
      </c>
      <c r="W882" s="112" t="s">
        <v>2527</v>
      </c>
      <c r="X882" s="112" t="s">
        <v>1906</v>
      </c>
      <c r="Y882" s="112" t="s">
        <v>2527</v>
      </c>
      <c r="Z882" s="112" t="s">
        <v>1906</v>
      </c>
      <c r="AA882" s="112" t="s">
        <v>2527</v>
      </c>
      <c r="AB882" s="112" t="s">
        <v>1906</v>
      </c>
      <c r="AC882" s="112">
        <v>134.88</v>
      </c>
      <c r="AD882" s="112" t="s">
        <v>1906</v>
      </c>
      <c r="AE882" s="112">
        <v>39.159999999999997</v>
      </c>
      <c r="AF882" s="112" t="s">
        <v>1906</v>
      </c>
      <c r="AG882" s="112">
        <v>0</v>
      </c>
      <c r="AH882" s="112"/>
      <c r="AI882" s="112">
        <v>0</v>
      </c>
      <c r="AJ882" s="112"/>
      <c r="AK882" s="112">
        <v>0</v>
      </c>
      <c r="AL882" s="112"/>
      <c r="AM882" s="112">
        <v>31.14</v>
      </c>
      <c r="AN882" s="112" t="s">
        <v>1906</v>
      </c>
      <c r="AO882" s="112">
        <v>133.44</v>
      </c>
      <c r="AP882" s="112" t="s">
        <v>1906</v>
      </c>
      <c r="AQ882" s="112">
        <v>133.44</v>
      </c>
      <c r="AR882" s="112" t="s">
        <v>1906</v>
      </c>
      <c r="AS882" s="112">
        <v>133.44</v>
      </c>
      <c r="AT882" s="112" t="s">
        <v>1906</v>
      </c>
      <c r="AU882" s="112">
        <f t="shared" si="27"/>
        <v>1010.1400000000001</v>
      </c>
      <c r="AV882" s="111">
        <v>0.36131999999999997</v>
      </c>
      <c r="AW882" s="111" t="s">
        <v>1904</v>
      </c>
      <c r="AX882" s="25"/>
      <c r="AY882" s="25"/>
      <c r="AZ882" s="25"/>
    </row>
    <row r="883" spans="1:52" ht="31.2" x14ac:dyDescent="0.3">
      <c r="A883" s="103">
        <v>873</v>
      </c>
      <c r="B883" s="109" t="s">
        <v>1724</v>
      </c>
      <c r="C883" s="30" t="s">
        <v>1899</v>
      </c>
      <c r="D883" s="110" t="s">
        <v>1900</v>
      </c>
      <c r="E883" s="110" t="s">
        <v>1917</v>
      </c>
      <c r="F883" s="30" t="s">
        <v>2703</v>
      </c>
      <c r="G883" s="26" t="s">
        <v>145</v>
      </c>
      <c r="H883" s="24" t="s">
        <v>146</v>
      </c>
      <c r="I883" s="109">
        <v>2</v>
      </c>
      <c r="J883" s="109" t="s">
        <v>1918</v>
      </c>
      <c r="K883" s="109">
        <v>89</v>
      </c>
      <c r="L883" s="109" t="s">
        <v>1919</v>
      </c>
      <c r="M883" s="109" t="s">
        <v>1904</v>
      </c>
      <c r="N883" s="109" t="s">
        <v>529</v>
      </c>
      <c r="O883" s="109" t="s">
        <v>1920</v>
      </c>
      <c r="P883" s="109" t="s">
        <v>1921</v>
      </c>
      <c r="Q883" s="102">
        <v>0</v>
      </c>
      <c r="R883" s="109" t="s">
        <v>1907</v>
      </c>
      <c r="S883" s="109" t="s">
        <v>1922</v>
      </c>
      <c r="T883" s="25"/>
      <c r="U883" s="111" t="s">
        <v>1923</v>
      </c>
      <c r="V883" s="111" t="s">
        <v>1923</v>
      </c>
      <c r="W883" s="112" t="s">
        <v>2528</v>
      </c>
      <c r="X883" s="112" t="s">
        <v>208</v>
      </c>
      <c r="Y883" s="112" t="s">
        <v>2529</v>
      </c>
      <c r="Z883" s="112" t="s">
        <v>208</v>
      </c>
      <c r="AA883" s="112" t="s">
        <v>2530</v>
      </c>
      <c r="AB883" s="112" t="s">
        <v>208</v>
      </c>
      <c r="AC883" s="112">
        <v>42.64</v>
      </c>
      <c r="AD883" s="112" t="s">
        <v>208</v>
      </c>
      <c r="AE883" s="112">
        <v>23.02</v>
      </c>
      <c r="AF883" s="112" t="s">
        <v>208</v>
      </c>
      <c r="AG883" s="112">
        <v>0</v>
      </c>
      <c r="AH883" s="112"/>
      <c r="AI883" s="112">
        <v>0</v>
      </c>
      <c r="AJ883" s="112"/>
      <c r="AK883" s="112">
        <v>0</v>
      </c>
      <c r="AL883" s="112"/>
      <c r="AM883" s="112">
        <v>0</v>
      </c>
      <c r="AN883" s="112"/>
      <c r="AO883" s="112">
        <v>54.7</v>
      </c>
      <c r="AP883" s="112" t="s">
        <v>208</v>
      </c>
      <c r="AQ883" s="112">
        <v>43.29</v>
      </c>
      <c r="AR883" s="112" t="s">
        <v>208</v>
      </c>
      <c r="AS883" s="112">
        <v>70.25</v>
      </c>
      <c r="AT883" s="112" t="s">
        <v>208</v>
      </c>
      <c r="AU883" s="112">
        <f t="shared" si="27"/>
        <v>517.5</v>
      </c>
      <c r="AV883" s="111">
        <v>0.20574999999999999</v>
      </c>
      <c r="AW883" s="111" t="s">
        <v>1904</v>
      </c>
      <c r="AX883" s="25"/>
      <c r="AY883" s="25"/>
      <c r="AZ883" s="25"/>
    </row>
    <row r="884" spans="1:52" ht="31.2" x14ac:dyDescent="0.3">
      <c r="A884" s="103">
        <v>874</v>
      </c>
      <c r="B884" s="109" t="s">
        <v>1726</v>
      </c>
      <c r="C884" s="30" t="s">
        <v>1899</v>
      </c>
      <c r="D884" s="110" t="s">
        <v>1900</v>
      </c>
      <c r="E884" s="110" t="s">
        <v>1917</v>
      </c>
      <c r="F884" s="30" t="s">
        <v>2703</v>
      </c>
      <c r="G884" s="26" t="s">
        <v>145</v>
      </c>
      <c r="H884" s="24" t="s">
        <v>146</v>
      </c>
      <c r="I884" s="109">
        <v>0</v>
      </c>
      <c r="J884" s="109" t="s">
        <v>1918</v>
      </c>
      <c r="K884" s="109">
        <v>89</v>
      </c>
      <c r="L884" s="109" t="s">
        <v>1919</v>
      </c>
      <c r="M884" s="109" t="s">
        <v>1904</v>
      </c>
      <c r="N884" s="109" t="s">
        <v>529</v>
      </c>
      <c r="O884" s="109" t="s">
        <v>1920</v>
      </c>
      <c r="P884" s="109" t="s">
        <v>1920</v>
      </c>
      <c r="Q884" s="102">
        <v>0</v>
      </c>
      <c r="R884" s="109" t="s">
        <v>1907</v>
      </c>
      <c r="S884" s="109" t="s">
        <v>1922</v>
      </c>
      <c r="T884" s="25"/>
      <c r="U884" s="111" t="s">
        <v>1923</v>
      </c>
      <c r="V884" s="111" t="s">
        <v>1923</v>
      </c>
      <c r="W884" s="112" t="s">
        <v>2531</v>
      </c>
      <c r="X884" s="112" t="s">
        <v>1906</v>
      </c>
      <c r="Y884" s="112" t="s">
        <v>2531</v>
      </c>
      <c r="Z884" s="112" t="s">
        <v>1906</v>
      </c>
      <c r="AA884" s="112" t="s">
        <v>2531</v>
      </c>
      <c r="AB884" s="112" t="s">
        <v>1906</v>
      </c>
      <c r="AC884" s="112">
        <v>45.44</v>
      </c>
      <c r="AD884" s="112" t="s">
        <v>1906</v>
      </c>
      <c r="AE884" s="112">
        <v>14.66</v>
      </c>
      <c r="AF884" s="112" t="s">
        <v>1906</v>
      </c>
      <c r="AG884" s="112">
        <v>0</v>
      </c>
      <c r="AH884" s="112"/>
      <c r="AI884" s="112">
        <v>0</v>
      </c>
      <c r="AJ884" s="112"/>
      <c r="AK884" s="112">
        <v>0</v>
      </c>
      <c r="AL884" s="112"/>
      <c r="AM884" s="112">
        <v>9.49</v>
      </c>
      <c r="AN884" s="112" t="s">
        <v>1906</v>
      </c>
      <c r="AO884" s="112">
        <v>40.659999999999997</v>
      </c>
      <c r="AP884" s="112" t="s">
        <v>1906</v>
      </c>
      <c r="AQ884" s="112">
        <v>40.659999999999997</v>
      </c>
      <c r="AR884" s="112" t="s">
        <v>1906</v>
      </c>
      <c r="AS884" s="112">
        <v>40.659999999999997</v>
      </c>
      <c r="AT884" s="112" t="s">
        <v>1906</v>
      </c>
      <c r="AU884" s="112">
        <f t="shared" si="27"/>
        <v>327.89</v>
      </c>
      <c r="AV884" s="111">
        <v>0.13419</v>
      </c>
      <c r="AW884" s="111" t="s">
        <v>1904</v>
      </c>
      <c r="AX884" s="25"/>
      <c r="AY884" s="25"/>
      <c r="AZ884" s="25"/>
    </row>
    <row r="885" spans="1:52" ht="31.2" x14ac:dyDescent="0.3">
      <c r="A885" s="103">
        <v>875</v>
      </c>
      <c r="B885" s="109" t="s">
        <v>1727</v>
      </c>
      <c r="C885" s="30" t="s">
        <v>1899</v>
      </c>
      <c r="D885" s="110" t="s">
        <v>1900</v>
      </c>
      <c r="E885" s="110" t="s">
        <v>1917</v>
      </c>
      <c r="F885" s="30" t="s">
        <v>2703</v>
      </c>
      <c r="G885" s="26" t="s">
        <v>145</v>
      </c>
      <c r="H885" s="24" t="s">
        <v>146</v>
      </c>
      <c r="I885" s="109">
        <v>0</v>
      </c>
      <c r="J885" s="109" t="s">
        <v>1918</v>
      </c>
      <c r="K885" s="109"/>
      <c r="L885" s="109" t="s">
        <v>1919</v>
      </c>
      <c r="M885" s="109" t="s">
        <v>1904</v>
      </c>
      <c r="N885" s="109" t="s">
        <v>529</v>
      </c>
      <c r="O885" s="109" t="s">
        <v>1920</v>
      </c>
      <c r="P885" s="109" t="s">
        <v>1920</v>
      </c>
      <c r="Q885" s="102">
        <v>0</v>
      </c>
      <c r="R885" s="109" t="s">
        <v>1907</v>
      </c>
      <c r="S885" s="109" t="s">
        <v>1922</v>
      </c>
      <c r="T885" s="25"/>
      <c r="U885" s="111" t="s">
        <v>1923</v>
      </c>
      <c r="V885" s="111" t="s">
        <v>1923</v>
      </c>
      <c r="W885" s="112" t="s">
        <v>2531</v>
      </c>
      <c r="X885" s="112" t="s">
        <v>1906</v>
      </c>
      <c r="Y885" s="112" t="s">
        <v>2531</v>
      </c>
      <c r="Z885" s="112" t="s">
        <v>1906</v>
      </c>
      <c r="AA885" s="112" t="s">
        <v>2531</v>
      </c>
      <c r="AB885" s="112" t="s">
        <v>1906</v>
      </c>
      <c r="AC885" s="112">
        <v>45.44</v>
      </c>
      <c r="AD885" s="112" t="s">
        <v>1906</v>
      </c>
      <c r="AE885" s="112">
        <v>14.66</v>
      </c>
      <c r="AF885" s="112" t="s">
        <v>1906</v>
      </c>
      <c r="AG885" s="112">
        <v>0</v>
      </c>
      <c r="AH885" s="112"/>
      <c r="AI885" s="112">
        <v>0</v>
      </c>
      <c r="AJ885" s="112"/>
      <c r="AK885" s="112">
        <v>0</v>
      </c>
      <c r="AL885" s="112"/>
      <c r="AM885" s="112">
        <v>9.49</v>
      </c>
      <c r="AN885" s="112" t="s">
        <v>1906</v>
      </c>
      <c r="AO885" s="112">
        <v>40.659999999999997</v>
      </c>
      <c r="AP885" s="112" t="s">
        <v>1906</v>
      </c>
      <c r="AQ885" s="112">
        <v>40.659999999999997</v>
      </c>
      <c r="AR885" s="112" t="s">
        <v>1906</v>
      </c>
      <c r="AS885" s="112">
        <v>40.659999999999997</v>
      </c>
      <c r="AT885" s="112" t="s">
        <v>1906</v>
      </c>
      <c r="AU885" s="112">
        <f t="shared" si="27"/>
        <v>327.89</v>
      </c>
      <c r="AV885" s="111">
        <v>0.13419</v>
      </c>
      <c r="AW885" s="111" t="s">
        <v>1904</v>
      </c>
      <c r="AX885" s="25"/>
      <c r="AY885" s="25"/>
      <c r="AZ885" s="25"/>
    </row>
    <row r="886" spans="1:52" ht="31.2" x14ac:dyDescent="0.3">
      <c r="A886" s="103">
        <v>876</v>
      </c>
      <c r="B886" s="109" t="s">
        <v>1729</v>
      </c>
      <c r="C886" s="30" t="s">
        <v>1899</v>
      </c>
      <c r="D886" s="110" t="s">
        <v>1900</v>
      </c>
      <c r="E886" s="110" t="s">
        <v>1917</v>
      </c>
      <c r="F886" s="30" t="s">
        <v>2703</v>
      </c>
      <c r="G886" s="26" t="s">
        <v>145</v>
      </c>
      <c r="H886" s="24" t="s">
        <v>146</v>
      </c>
      <c r="I886" s="109">
        <v>0</v>
      </c>
      <c r="J886" s="109" t="s">
        <v>1918</v>
      </c>
      <c r="K886" s="109">
        <v>50</v>
      </c>
      <c r="L886" s="109" t="s">
        <v>1919</v>
      </c>
      <c r="M886" s="109" t="s">
        <v>1904</v>
      </c>
      <c r="N886" s="109" t="s">
        <v>529</v>
      </c>
      <c r="O886" s="109" t="s">
        <v>1920</v>
      </c>
      <c r="P886" s="109" t="s">
        <v>1920</v>
      </c>
      <c r="Q886" s="102">
        <v>0</v>
      </c>
      <c r="R886" s="109" t="s">
        <v>1907</v>
      </c>
      <c r="S886" s="109" t="s">
        <v>1922</v>
      </c>
      <c r="T886" s="25"/>
      <c r="U886" s="111" t="s">
        <v>1923</v>
      </c>
      <c r="V886" s="111" t="s">
        <v>1923</v>
      </c>
      <c r="W886" s="112" t="s">
        <v>2532</v>
      </c>
      <c r="X886" s="112" t="s">
        <v>1906</v>
      </c>
      <c r="Y886" s="112" t="s">
        <v>2533</v>
      </c>
      <c r="Z886" s="112" t="s">
        <v>1906</v>
      </c>
      <c r="AA886" s="112" t="s">
        <v>2533</v>
      </c>
      <c r="AB886" s="112" t="s">
        <v>1906</v>
      </c>
      <c r="AC886" s="112">
        <v>15.73</v>
      </c>
      <c r="AD886" s="112" t="s">
        <v>1906</v>
      </c>
      <c r="AE886" s="112">
        <v>5.08</v>
      </c>
      <c r="AF886" s="112" t="s">
        <v>1906</v>
      </c>
      <c r="AG886" s="112">
        <v>0</v>
      </c>
      <c r="AH886" s="112"/>
      <c r="AI886" s="112">
        <v>0</v>
      </c>
      <c r="AJ886" s="112"/>
      <c r="AK886" s="112">
        <v>0</v>
      </c>
      <c r="AL886" s="112"/>
      <c r="AM886" s="112">
        <v>3.58</v>
      </c>
      <c r="AN886" s="112" t="s">
        <v>1906</v>
      </c>
      <c r="AO886" s="112">
        <v>15.35</v>
      </c>
      <c r="AP886" s="112" t="s">
        <v>1906</v>
      </c>
      <c r="AQ886" s="112">
        <v>15.35</v>
      </c>
      <c r="AR886" s="112" t="s">
        <v>1906</v>
      </c>
      <c r="AS886" s="112">
        <v>15.35</v>
      </c>
      <c r="AT886" s="112" t="s">
        <v>1906</v>
      </c>
      <c r="AU886" s="112">
        <f t="shared" si="27"/>
        <v>117.90999999999998</v>
      </c>
      <c r="AV886" s="111">
        <v>8.2299999999999998E-2</v>
      </c>
      <c r="AW886" s="111" t="s">
        <v>1904</v>
      </c>
      <c r="AX886" s="25"/>
      <c r="AY886" s="25"/>
      <c r="AZ886" s="25"/>
    </row>
    <row r="887" spans="1:52" ht="31.2" x14ac:dyDescent="0.3">
      <c r="A887" s="103">
        <v>877</v>
      </c>
      <c r="B887" s="109" t="s">
        <v>1730</v>
      </c>
      <c r="C887" s="30" t="s">
        <v>1899</v>
      </c>
      <c r="D887" s="110" t="s">
        <v>1900</v>
      </c>
      <c r="E887" s="110" t="s">
        <v>1917</v>
      </c>
      <c r="F887" s="30" t="s">
        <v>2703</v>
      </c>
      <c r="G887" s="26" t="s">
        <v>145</v>
      </c>
      <c r="H887" s="24" t="s">
        <v>146</v>
      </c>
      <c r="I887" s="109">
        <v>2</v>
      </c>
      <c r="J887" s="109" t="s">
        <v>1918</v>
      </c>
      <c r="K887" s="109">
        <v>108</v>
      </c>
      <c r="L887" s="109" t="s">
        <v>1919</v>
      </c>
      <c r="M887" s="109" t="s">
        <v>1904</v>
      </c>
      <c r="N887" s="109" t="s">
        <v>529</v>
      </c>
      <c r="O887" s="109" t="s">
        <v>1920</v>
      </c>
      <c r="P887" s="109" t="s">
        <v>1921</v>
      </c>
      <c r="Q887" s="102">
        <v>0</v>
      </c>
      <c r="R887" s="109" t="s">
        <v>1907</v>
      </c>
      <c r="S887" s="109" t="s">
        <v>1922</v>
      </c>
      <c r="T887" s="25"/>
      <c r="U887" s="111" t="s">
        <v>1923</v>
      </c>
      <c r="V887" s="111" t="s">
        <v>1923</v>
      </c>
      <c r="W887" s="112" t="s">
        <v>2534</v>
      </c>
      <c r="X887" s="112" t="s">
        <v>1906</v>
      </c>
      <c r="Y887" s="112" t="s">
        <v>2534</v>
      </c>
      <c r="Z887" s="112" t="s">
        <v>1906</v>
      </c>
      <c r="AA887" s="112" t="s">
        <v>2534</v>
      </c>
      <c r="AB887" s="112" t="s">
        <v>1906</v>
      </c>
      <c r="AC887" s="112">
        <v>89.35</v>
      </c>
      <c r="AD887" s="112" t="s">
        <v>1906</v>
      </c>
      <c r="AE887" s="112">
        <v>28.83</v>
      </c>
      <c r="AF887" s="112" t="s">
        <v>1906</v>
      </c>
      <c r="AG887" s="112">
        <v>0</v>
      </c>
      <c r="AH887" s="112"/>
      <c r="AI887" s="112">
        <v>0</v>
      </c>
      <c r="AJ887" s="112"/>
      <c r="AK887" s="112">
        <v>0</v>
      </c>
      <c r="AL887" s="112"/>
      <c r="AM887" s="112">
        <v>0</v>
      </c>
      <c r="AN887" s="112"/>
      <c r="AO887" s="112">
        <v>44.16</v>
      </c>
      <c r="AP887" s="112" t="s">
        <v>208</v>
      </c>
      <c r="AQ887" s="112">
        <v>48.05</v>
      </c>
      <c r="AR887" s="112" t="s">
        <v>208</v>
      </c>
      <c r="AS887" s="112">
        <v>67.36</v>
      </c>
      <c r="AT887" s="112" t="s">
        <v>208</v>
      </c>
      <c r="AU887" s="112">
        <f t="shared" si="27"/>
        <v>545.79999999999995</v>
      </c>
      <c r="AV887" s="111">
        <v>0.29207</v>
      </c>
      <c r="AW887" s="111" t="s">
        <v>1904</v>
      </c>
      <c r="AX887" s="25"/>
      <c r="AY887" s="25"/>
      <c r="AZ887" s="25"/>
    </row>
    <row r="888" spans="1:52" ht="31.2" x14ac:dyDescent="0.3">
      <c r="A888" s="103">
        <v>878</v>
      </c>
      <c r="B888" s="109" t="s">
        <v>1731</v>
      </c>
      <c r="C888" s="30" t="s">
        <v>1899</v>
      </c>
      <c r="D888" s="110" t="s">
        <v>1900</v>
      </c>
      <c r="E888" s="110" t="s">
        <v>1917</v>
      </c>
      <c r="F888" s="30" t="s">
        <v>2703</v>
      </c>
      <c r="G888" s="26" t="s">
        <v>145</v>
      </c>
      <c r="H888" s="24" t="s">
        <v>146</v>
      </c>
      <c r="I888" s="109">
        <v>1</v>
      </c>
      <c r="J888" s="109" t="s">
        <v>1918</v>
      </c>
      <c r="K888" s="109">
        <v>89</v>
      </c>
      <c r="L888" s="109" t="s">
        <v>1919</v>
      </c>
      <c r="M888" s="109" t="s">
        <v>1904</v>
      </c>
      <c r="N888" s="109" t="s">
        <v>529</v>
      </c>
      <c r="O888" s="109" t="s">
        <v>1920</v>
      </c>
      <c r="P888" s="109" t="s">
        <v>1921</v>
      </c>
      <c r="Q888" s="102">
        <v>0</v>
      </c>
      <c r="R888" s="109" t="s">
        <v>1907</v>
      </c>
      <c r="S888" s="109" t="s">
        <v>1922</v>
      </c>
      <c r="T888" s="25"/>
      <c r="U888" s="111" t="s">
        <v>1923</v>
      </c>
      <c r="V888" s="111" t="s">
        <v>1923</v>
      </c>
      <c r="W888" s="112" t="s">
        <v>2535</v>
      </c>
      <c r="X888" s="112" t="s">
        <v>1906</v>
      </c>
      <c r="Y888" s="112" t="s">
        <v>2536</v>
      </c>
      <c r="Z888" s="112" t="s">
        <v>1906</v>
      </c>
      <c r="AA888" s="112" t="s">
        <v>2535</v>
      </c>
      <c r="AB888" s="112" t="s">
        <v>1906</v>
      </c>
      <c r="AC888" s="112">
        <v>46.58</v>
      </c>
      <c r="AD888" s="112" t="s">
        <v>1906</v>
      </c>
      <c r="AE888" s="112">
        <v>22.33</v>
      </c>
      <c r="AF888" s="112" t="s">
        <v>1906</v>
      </c>
      <c r="AG888" s="112">
        <v>0</v>
      </c>
      <c r="AH888" s="112"/>
      <c r="AI888" s="112">
        <v>0</v>
      </c>
      <c r="AJ888" s="112"/>
      <c r="AK888" s="112">
        <v>0</v>
      </c>
      <c r="AL888" s="112"/>
      <c r="AM888" s="112">
        <v>0</v>
      </c>
      <c r="AN888" s="112"/>
      <c r="AO888" s="112">
        <v>60.43</v>
      </c>
      <c r="AP888" s="112" t="s">
        <v>208</v>
      </c>
      <c r="AQ888" s="112">
        <v>57.78</v>
      </c>
      <c r="AR888" s="112" t="s">
        <v>208</v>
      </c>
      <c r="AS888" s="112">
        <v>79.5</v>
      </c>
      <c r="AT888" s="112" t="s">
        <v>208</v>
      </c>
      <c r="AU888" s="112">
        <f t="shared" si="27"/>
        <v>544.79</v>
      </c>
      <c r="AV888" s="111">
        <v>0.287798</v>
      </c>
      <c r="AW888" s="111" t="s">
        <v>1904</v>
      </c>
      <c r="AX888" s="25"/>
      <c r="AY888" s="25"/>
      <c r="AZ888" s="25"/>
    </row>
    <row r="889" spans="1:52" ht="31.2" x14ac:dyDescent="0.3">
      <c r="A889" s="103">
        <v>879</v>
      </c>
      <c r="B889" s="109" t="s">
        <v>1734</v>
      </c>
      <c r="C889" s="30" t="s">
        <v>1899</v>
      </c>
      <c r="D889" s="110" t="s">
        <v>1900</v>
      </c>
      <c r="E889" s="110" t="s">
        <v>1917</v>
      </c>
      <c r="F889" s="30" t="s">
        <v>2703</v>
      </c>
      <c r="G889" s="26" t="s">
        <v>145</v>
      </c>
      <c r="H889" s="24" t="s">
        <v>146</v>
      </c>
      <c r="I889" s="109">
        <v>1</v>
      </c>
      <c r="J889" s="109" t="s">
        <v>1918</v>
      </c>
      <c r="K889" s="109">
        <v>76</v>
      </c>
      <c r="L889" s="109" t="s">
        <v>1919</v>
      </c>
      <c r="M889" s="109" t="s">
        <v>1904</v>
      </c>
      <c r="N889" s="109" t="s">
        <v>529</v>
      </c>
      <c r="O889" s="109" t="s">
        <v>1920</v>
      </c>
      <c r="P889" s="109" t="s">
        <v>1921</v>
      </c>
      <c r="Q889" s="102">
        <v>0</v>
      </c>
      <c r="R889" s="109" t="s">
        <v>1907</v>
      </c>
      <c r="S889" s="109" t="s">
        <v>1922</v>
      </c>
      <c r="T889" s="25"/>
      <c r="U889" s="111" t="s">
        <v>1923</v>
      </c>
      <c r="V889" s="111" t="s">
        <v>1923</v>
      </c>
      <c r="W889" s="112" t="s">
        <v>2537</v>
      </c>
      <c r="X889" s="112" t="s">
        <v>208</v>
      </c>
      <c r="Y889" s="112" t="s">
        <v>2538</v>
      </c>
      <c r="Z889" s="112" t="s">
        <v>208</v>
      </c>
      <c r="AA889" s="112" t="s">
        <v>2539</v>
      </c>
      <c r="AB889" s="112" t="s">
        <v>208</v>
      </c>
      <c r="AC889" s="112">
        <v>51.32</v>
      </c>
      <c r="AD889" s="112" t="s">
        <v>208</v>
      </c>
      <c r="AE889" s="112">
        <v>16.55</v>
      </c>
      <c r="AF889" s="112" t="s">
        <v>208</v>
      </c>
      <c r="AG889" s="112">
        <v>0</v>
      </c>
      <c r="AH889" s="112"/>
      <c r="AI889" s="112">
        <v>0</v>
      </c>
      <c r="AJ889" s="112"/>
      <c r="AK889" s="112">
        <v>0</v>
      </c>
      <c r="AL889" s="112"/>
      <c r="AM889" s="112">
        <v>0</v>
      </c>
      <c r="AN889" s="112"/>
      <c r="AO889" s="112">
        <v>47.89</v>
      </c>
      <c r="AP889" s="112" t="s">
        <v>1906</v>
      </c>
      <c r="AQ889" s="112">
        <v>47.55</v>
      </c>
      <c r="AR889" s="112" t="s">
        <v>1906</v>
      </c>
      <c r="AS889" s="112">
        <v>47.55</v>
      </c>
      <c r="AT889" s="112" t="s">
        <v>1906</v>
      </c>
      <c r="AU889" s="112">
        <f t="shared" si="27"/>
        <v>412.97</v>
      </c>
      <c r="AV889" s="111">
        <v>0.16761000000000001</v>
      </c>
      <c r="AW889" s="111" t="s">
        <v>1904</v>
      </c>
      <c r="AX889" s="25"/>
      <c r="AY889" s="25"/>
      <c r="AZ889" s="25"/>
    </row>
    <row r="890" spans="1:52" ht="31.2" x14ac:dyDescent="0.3">
      <c r="A890" s="103">
        <v>880</v>
      </c>
      <c r="B890" s="109" t="s">
        <v>1735</v>
      </c>
      <c r="C890" s="30" t="s">
        <v>1899</v>
      </c>
      <c r="D890" s="110" t="s">
        <v>1900</v>
      </c>
      <c r="E890" s="110" t="s">
        <v>1917</v>
      </c>
      <c r="F890" s="30" t="s">
        <v>2703</v>
      </c>
      <c r="G890" s="26" t="s">
        <v>145</v>
      </c>
      <c r="H890" s="24" t="s">
        <v>146</v>
      </c>
      <c r="I890" s="109">
        <v>0</v>
      </c>
      <c r="J890" s="109" t="s">
        <v>1918</v>
      </c>
      <c r="K890" s="109">
        <v>76</v>
      </c>
      <c r="L890" s="109" t="s">
        <v>1919</v>
      </c>
      <c r="M890" s="109" t="s">
        <v>1904</v>
      </c>
      <c r="N890" s="109" t="s">
        <v>529</v>
      </c>
      <c r="O890" s="109" t="s">
        <v>1920</v>
      </c>
      <c r="P890" s="109" t="s">
        <v>1920</v>
      </c>
      <c r="Q890" s="102">
        <v>0</v>
      </c>
      <c r="R890" s="109" t="s">
        <v>1907</v>
      </c>
      <c r="S890" s="109" t="s">
        <v>1922</v>
      </c>
      <c r="T890" s="25"/>
      <c r="U890" s="111" t="s">
        <v>1923</v>
      </c>
      <c r="V890" s="111" t="s">
        <v>1923</v>
      </c>
      <c r="W890" s="112" t="s">
        <v>2540</v>
      </c>
      <c r="X890" s="112" t="s">
        <v>1906</v>
      </c>
      <c r="Y890" s="112" t="s">
        <v>2540</v>
      </c>
      <c r="Z890" s="112" t="s">
        <v>1906</v>
      </c>
      <c r="AA890" s="112" t="s">
        <v>2540</v>
      </c>
      <c r="AB890" s="112" t="s">
        <v>1906</v>
      </c>
      <c r="AC890" s="112">
        <v>49.22</v>
      </c>
      <c r="AD890" s="112" t="s">
        <v>1906</v>
      </c>
      <c r="AE890" s="112">
        <v>15.88</v>
      </c>
      <c r="AF890" s="112" t="s">
        <v>1906</v>
      </c>
      <c r="AG890" s="112">
        <v>0</v>
      </c>
      <c r="AH890" s="112"/>
      <c r="AI890" s="112">
        <v>0</v>
      </c>
      <c r="AJ890" s="112"/>
      <c r="AK890" s="112">
        <v>0</v>
      </c>
      <c r="AL890" s="112"/>
      <c r="AM890" s="112">
        <v>11.1</v>
      </c>
      <c r="AN890" s="112" t="s">
        <v>1906</v>
      </c>
      <c r="AO890" s="112">
        <v>50.18</v>
      </c>
      <c r="AP890" s="112" t="s">
        <v>1906</v>
      </c>
      <c r="AQ890" s="112">
        <v>47.57</v>
      </c>
      <c r="AR890" s="112" t="s">
        <v>1906</v>
      </c>
      <c r="AS890" s="112">
        <v>47.57</v>
      </c>
      <c r="AT890" s="112" t="s">
        <v>1906</v>
      </c>
      <c r="AU890" s="112">
        <f t="shared" si="27"/>
        <v>369.17999999999995</v>
      </c>
      <c r="AV890" s="111">
        <v>0.18728</v>
      </c>
      <c r="AW890" s="111" t="s">
        <v>1904</v>
      </c>
      <c r="AX890" s="25"/>
      <c r="AY890" s="25"/>
      <c r="AZ890" s="25"/>
    </row>
    <row r="891" spans="1:52" ht="31.2" x14ac:dyDescent="0.3">
      <c r="A891" s="103">
        <v>881</v>
      </c>
      <c r="B891" s="109" t="s">
        <v>1736</v>
      </c>
      <c r="C891" s="30" t="s">
        <v>1899</v>
      </c>
      <c r="D891" s="110" t="s">
        <v>1900</v>
      </c>
      <c r="E891" s="110" t="s">
        <v>1917</v>
      </c>
      <c r="F891" s="30" t="s">
        <v>2703</v>
      </c>
      <c r="G891" s="26" t="s">
        <v>145</v>
      </c>
      <c r="H891" s="24" t="s">
        <v>146</v>
      </c>
      <c r="I891" s="109">
        <v>0</v>
      </c>
      <c r="J891" s="109" t="s">
        <v>1918</v>
      </c>
      <c r="K891" s="109">
        <v>76</v>
      </c>
      <c r="L891" s="109" t="s">
        <v>1919</v>
      </c>
      <c r="M891" s="109" t="s">
        <v>1904</v>
      </c>
      <c r="N891" s="109" t="s">
        <v>529</v>
      </c>
      <c r="O891" s="109" t="s">
        <v>1920</v>
      </c>
      <c r="P891" s="109" t="s">
        <v>1920</v>
      </c>
      <c r="Q891" s="102">
        <v>0</v>
      </c>
      <c r="R891" s="109" t="s">
        <v>1907</v>
      </c>
      <c r="S891" s="109" t="s">
        <v>1922</v>
      </c>
      <c r="T891" s="25"/>
      <c r="U891" s="111" t="s">
        <v>1923</v>
      </c>
      <c r="V891" s="111" t="s">
        <v>1923</v>
      </c>
      <c r="W891" s="112" t="s">
        <v>2541</v>
      </c>
      <c r="X891" s="112" t="s">
        <v>208</v>
      </c>
      <c r="Y891" s="112" t="s">
        <v>2541</v>
      </c>
      <c r="Z891" s="112" t="s">
        <v>208</v>
      </c>
      <c r="AA891" s="112" t="s">
        <v>2541</v>
      </c>
      <c r="AB891" s="112" t="s">
        <v>208</v>
      </c>
      <c r="AC891" s="112">
        <v>51.08</v>
      </c>
      <c r="AD891" s="112" t="s">
        <v>208</v>
      </c>
      <c r="AE891" s="112">
        <v>14.83</v>
      </c>
      <c r="AF891" s="112" t="s">
        <v>208</v>
      </c>
      <c r="AG891" s="112">
        <v>0</v>
      </c>
      <c r="AH891" s="112"/>
      <c r="AI891" s="112">
        <v>0</v>
      </c>
      <c r="AJ891" s="112"/>
      <c r="AK891" s="112">
        <v>0</v>
      </c>
      <c r="AL891" s="112"/>
      <c r="AM891" s="112">
        <v>10.98</v>
      </c>
      <c r="AN891" s="112" t="s">
        <v>1906</v>
      </c>
      <c r="AO891" s="112">
        <v>48.39</v>
      </c>
      <c r="AP891" s="112" t="s">
        <v>1906</v>
      </c>
      <c r="AQ891" s="112">
        <v>47.06</v>
      </c>
      <c r="AR891" s="112" t="s">
        <v>1906</v>
      </c>
      <c r="AS891" s="112">
        <v>47.06</v>
      </c>
      <c r="AT891" s="112" t="s">
        <v>1906</v>
      </c>
      <c r="AU891" s="112">
        <f t="shared" si="27"/>
        <v>372.64</v>
      </c>
      <c r="AV891" s="111">
        <v>0.18515000000000001</v>
      </c>
      <c r="AW891" s="111" t="s">
        <v>1904</v>
      </c>
      <c r="AX891" s="25"/>
      <c r="AY891" s="25"/>
      <c r="AZ891" s="25"/>
    </row>
    <row r="892" spans="1:52" ht="31.2" x14ac:dyDescent="0.3">
      <c r="A892" s="103">
        <v>882</v>
      </c>
      <c r="B892" s="109" t="s">
        <v>1737</v>
      </c>
      <c r="C892" s="30" t="s">
        <v>1899</v>
      </c>
      <c r="D892" s="110" t="s">
        <v>1900</v>
      </c>
      <c r="E892" s="110" t="s">
        <v>1917</v>
      </c>
      <c r="F892" s="30" t="s">
        <v>2703</v>
      </c>
      <c r="G892" s="26" t="s">
        <v>145</v>
      </c>
      <c r="H892" s="24" t="s">
        <v>146</v>
      </c>
      <c r="I892" s="109">
        <v>0</v>
      </c>
      <c r="J892" s="109" t="s">
        <v>1918</v>
      </c>
      <c r="K892" s="109">
        <v>76</v>
      </c>
      <c r="L892" s="109" t="s">
        <v>1919</v>
      </c>
      <c r="M892" s="109" t="s">
        <v>1904</v>
      </c>
      <c r="N892" s="109" t="s">
        <v>529</v>
      </c>
      <c r="O892" s="109" t="s">
        <v>1920</v>
      </c>
      <c r="P892" s="109" t="s">
        <v>1920</v>
      </c>
      <c r="Q892" s="102">
        <v>0</v>
      </c>
      <c r="R892" s="109" t="s">
        <v>1907</v>
      </c>
      <c r="S892" s="109" t="s">
        <v>1922</v>
      </c>
      <c r="T892" s="25"/>
      <c r="U892" s="111" t="s">
        <v>1923</v>
      </c>
      <c r="V892" s="111" t="s">
        <v>1923</v>
      </c>
      <c r="W892" s="112" t="s">
        <v>2541</v>
      </c>
      <c r="X892" s="112" t="s">
        <v>1906</v>
      </c>
      <c r="Y892" s="112" t="s">
        <v>2541</v>
      </c>
      <c r="Z892" s="112" t="s">
        <v>1906</v>
      </c>
      <c r="AA892" s="112" t="s">
        <v>2541</v>
      </c>
      <c r="AB892" s="112" t="s">
        <v>1906</v>
      </c>
      <c r="AC892" s="112">
        <v>51.08</v>
      </c>
      <c r="AD892" s="112" t="s">
        <v>1906</v>
      </c>
      <c r="AE892" s="112">
        <v>14.83</v>
      </c>
      <c r="AF892" s="112" t="s">
        <v>1906</v>
      </c>
      <c r="AG892" s="112">
        <v>0</v>
      </c>
      <c r="AH892" s="112"/>
      <c r="AI892" s="112">
        <v>0</v>
      </c>
      <c r="AJ892" s="112"/>
      <c r="AK892" s="112">
        <v>0</v>
      </c>
      <c r="AL892" s="112"/>
      <c r="AM892" s="112">
        <v>10.98</v>
      </c>
      <c r="AN892" s="112" t="s">
        <v>1906</v>
      </c>
      <c r="AO892" s="112">
        <v>48.39</v>
      </c>
      <c r="AP892" s="112" t="s">
        <v>1906</v>
      </c>
      <c r="AQ892" s="112">
        <v>47.06</v>
      </c>
      <c r="AR892" s="112" t="s">
        <v>1906</v>
      </c>
      <c r="AS892" s="112">
        <v>47.06</v>
      </c>
      <c r="AT892" s="112" t="s">
        <v>1906</v>
      </c>
      <c r="AU892" s="112">
        <f t="shared" si="27"/>
        <v>372.64</v>
      </c>
      <c r="AV892" s="111">
        <v>0.18515000000000001</v>
      </c>
      <c r="AW892" s="111" t="s">
        <v>1904</v>
      </c>
      <c r="AX892" s="25"/>
      <c r="AY892" s="25"/>
      <c r="AZ892" s="25"/>
    </row>
    <row r="893" spans="1:52" ht="31.2" x14ac:dyDescent="0.3">
      <c r="A893" s="103">
        <v>883</v>
      </c>
      <c r="B893" s="109" t="s">
        <v>1738</v>
      </c>
      <c r="C893" s="30" t="s">
        <v>1899</v>
      </c>
      <c r="D893" s="110" t="s">
        <v>1900</v>
      </c>
      <c r="E893" s="110" t="s">
        <v>1917</v>
      </c>
      <c r="F893" s="30" t="s">
        <v>2703</v>
      </c>
      <c r="G893" s="26" t="s">
        <v>145</v>
      </c>
      <c r="H893" s="24" t="s">
        <v>146</v>
      </c>
      <c r="I893" s="109">
        <v>1</v>
      </c>
      <c r="J893" s="109" t="s">
        <v>1918</v>
      </c>
      <c r="K893" s="109">
        <v>89</v>
      </c>
      <c r="L893" s="109" t="s">
        <v>1919</v>
      </c>
      <c r="M893" s="109" t="s">
        <v>1904</v>
      </c>
      <c r="N893" s="109" t="s">
        <v>529</v>
      </c>
      <c r="O893" s="109" t="s">
        <v>1920</v>
      </c>
      <c r="P893" s="109" t="s">
        <v>1921</v>
      </c>
      <c r="Q893" s="102">
        <v>0</v>
      </c>
      <c r="R893" s="109" t="s">
        <v>1907</v>
      </c>
      <c r="S893" s="109" t="s">
        <v>1922</v>
      </c>
      <c r="T893" s="25"/>
      <c r="U893" s="111" t="s">
        <v>1923</v>
      </c>
      <c r="V893" s="111" t="s">
        <v>1923</v>
      </c>
      <c r="W893" s="112" t="s">
        <v>2542</v>
      </c>
      <c r="X893" s="112" t="s">
        <v>1906</v>
      </c>
      <c r="Y893" s="112" t="s">
        <v>2543</v>
      </c>
      <c r="Z893" s="112" t="s">
        <v>1906</v>
      </c>
      <c r="AA893" s="112" t="s">
        <v>2543</v>
      </c>
      <c r="AB893" s="112" t="s">
        <v>1906</v>
      </c>
      <c r="AC893" s="112">
        <v>98.44</v>
      </c>
      <c r="AD893" s="112" t="s">
        <v>1906</v>
      </c>
      <c r="AE893" s="112">
        <v>31.75</v>
      </c>
      <c r="AF893" s="112" t="s">
        <v>1906</v>
      </c>
      <c r="AG893" s="112">
        <v>0</v>
      </c>
      <c r="AH893" s="112"/>
      <c r="AI893" s="112">
        <v>0</v>
      </c>
      <c r="AJ893" s="112"/>
      <c r="AK893" s="112">
        <v>0</v>
      </c>
      <c r="AL893" s="112"/>
      <c r="AM893" s="112">
        <v>0</v>
      </c>
      <c r="AN893" s="112"/>
      <c r="AO893" s="112">
        <v>93.03</v>
      </c>
      <c r="AP893" s="112" t="s">
        <v>208</v>
      </c>
      <c r="AQ893" s="112">
        <v>35.659999999999997</v>
      </c>
      <c r="AR893" s="112" t="s">
        <v>208</v>
      </c>
      <c r="AS893" s="112">
        <v>75.87</v>
      </c>
      <c r="AT893" s="112" t="s">
        <v>208</v>
      </c>
      <c r="AU893" s="112">
        <f t="shared" si="27"/>
        <v>630.1</v>
      </c>
      <c r="AV893" s="111">
        <v>0.27700999999999998</v>
      </c>
      <c r="AW893" s="111" t="s">
        <v>1904</v>
      </c>
      <c r="AX893" s="25"/>
      <c r="AY893" s="25"/>
      <c r="AZ893" s="25"/>
    </row>
    <row r="894" spans="1:52" ht="31.2" x14ac:dyDescent="0.3">
      <c r="A894" s="103">
        <v>884</v>
      </c>
      <c r="B894" s="109" t="s">
        <v>1740</v>
      </c>
      <c r="C894" s="30" t="s">
        <v>1899</v>
      </c>
      <c r="D894" s="110" t="s">
        <v>1900</v>
      </c>
      <c r="E894" s="110" t="s">
        <v>1917</v>
      </c>
      <c r="F894" s="30" t="s">
        <v>2703</v>
      </c>
      <c r="G894" s="26" t="s">
        <v>145</v>
      </c>
      <c r="H894" s="24" t="s">
        <v>146</v>
      </c>
      <c r="I894" s="109">
        <v>0</v>
      </c>
      <c r="J894" s="109" t="s">
        <v>1918</v>
      </c>
      <c r="K894" s="109">
        <v>89</v>
      </c>
      <c r="L894" s="109" t="s">
        <v>1919</v>
      </c>
      <c r="M894" s="109" t="s">
        <v>1904</v>
      </c>
      <c r="N894" s="109" t="s">
        <v>529</v>
      </c>
      <c r="O894" s="109" t="s">
        <v>1920</v>
      </c>
      <c r="P894" s="109" t="s">
        <v>1920</v>
      </c>
      <c r="Q894" s="102">
        <v>0</v>
      </c>
      <c r="R894" s="109" t="s">
        <v>1907</v>
      </c>
      <c r="S894" s="109" t="s">
        <v>1922</v>
      </c>
      <c r="T894" s="25"/>
      <c r="U894" s="111" t="s">
        <v>1923</v>
      </c>
      <c r="V894" s="111" t="s">
        <v>1923</v>
      </c>
      <c r="W894" s="112" t="s">
        <v>2544</v>
      </c>
      <c r="X894" s="112" t="s">
        <v>1906</v>
      </c>
      <c r="Y894" s="112" t="s">
        <v>2544</v>
      </c>
      <c r="Z894" s="112" t="s">
        <v>1906</v>
      </c>
      <c r="AA894" s="112" t="s">
        <v>2544</v>
      </c>
      <c r="AB894" s="112" t="s">
        <v>1906</v>
      </c>
      <c r="AC894" s="112">
        <v>44.77</v>
      </c>
      <c r="AD894" s="112" t="s">
        <v>1906</v>
      </c>
      <c r="AE894" s="112">
        <v>14.44</v>
      </c>
      <c r="AF894" s="112" t="s">
        <v>1906</v>
      </c>
      <c r="AG894" s="112">
        <v>0</v>
      </c>
      <c r="AH894" s="112"/>
      <c r="AI894" s="112">
        <v>0</v>
      </c>
      <c r="AJ894" s="112"/>
      <c r="AK894" s="112">
        <v>0</v>
      </c>
      <c r="AL894" s="112"/>
      <c r="AM894" s="112">
        <v>10.51</v>
      </c>
      <c r="AN894" s="112" t="s">
        <v>1906</v>
      </c>
      <c r="AO894" s="112">
        <v>45.05</v>
      </c>
      <c r="AP894" s="112" t="s">
        <v>1906</v>
      </c>
      <c r="AQ894" s="112">
        <v>45.05</v>
      </c>
      <c r="AR894" s="112" t="s">
        <v>1906</v>
      </c>
      <c r="AS894" s="112">
        <v>45.05</v>
      </c>
      <c r="AT894" s="112" t="s">
        <v>1906</v>
      </c>
      <c r="AU894" s="112">
        <f t="shared" si="27"/>
        <v>339.18</v>
      </c>
      <c r="AV894" s="111">
        <v>0.1636</v>
      </c>
      <c r="AW894" s="111" t="s">
        <v>1904</v>
      </c>
      <c r="AX894" s="25"/>
      <c r="AY894" s="25"/>
      <c r="AZ894" s="25"/>
    </row>
    <row r="895" spans="1:52" ht="31.2" x14ac:dyDescent="0.3">
      <c r="A895" s="103">
        <v>885</v>
      </c>
      <c r="B895" s="109" t="s">
        <v>1741</v>
      </c>
      <c r="C895" s="30" t="s">
        <v>1899</v>
      </c>
      <c r="D895" s="110" t="s">
        <v>1900</v>
      </c>
      <c r="E895" s="110" t="s">
        <v>1917</v>
      </c>
      <c r="F895" s="30" t="s">
        <v>2703</v>
      </c>
      <c r="G895" s="26" t="s">
        <v>145</v>
      </c>
      <c r="H895" s="24" t="s">
        <v>146</v>
      </c>
      <c r="I895" s="109">
        <v>0</v>
      </c>
      <c r="J895" s="109" t="s">
        <v>1918</v>
      </c>
      <c r="K895" s="109">
        <v>76</v>
      </c>
      <c r="L895" s="109" t="s">
        <v>1919</v>
      </c>
      <c r="M895" s="109" t="s">
        <v>1904</v>
      </c>
      <c r="N895" s="109" t="s">
        <v>529</v>
      </c>
      <c r="O895" s="109" t="s">
        <v>1920</v>
      </c>
      <c r="P895" s="109" t="s">
        <v>1920</v>
      </c>
      <c r="Q895" s="102">
        <v>0</v>
      </c>
      <c r="R895" s="109" t="s">
        <v>1907</v>
      </c>
      <c r="S895" s="109" t="s">
        <v>1922</v>
      </c>
      <c r="T895" s="25"/>
      <c r="U895" s="111" t="s">
        <v>1923</v>
      </c>
      <c r="V895" s="111" t="s">
        <v>1923</v>
      </c>
      <c r="W895" s="112">
        <v>67</v>
      </c>
      <c r="X895" s="112" t="s">
        <v>1906</v>
      </c>
      <c r="Y895" s="112">
        <v>67</v>
      </c>
      <c r="Z895" s="112" t="s">
        <v>1906</v>
      </c>
      <c r="AA895" s="112">
        <v>67</v>
      </c>
      <c r="AB895" s="112" t="s">
        <v>1906</v>
      </c>
      <c r="AC895" s="112">
        <v>67</v>
      </c>
      <c r="AD895" s="112" t="s">
        <v>1906</v>
      </c>
      <c r="AE895" s="112">
        <v>21.62</v>
      </c>
      <c r="AF895" s="112" t="s">
        <v>1906</v>
      </c>
      <c r="AG895" s="112">
        <v>0</v>
      </c>
      <c r="AH895" s="112"/>
      <c r="AI895" s="112">
        <v>0</v>
      </c>
      <c r="AJ895" s="112"/>
      <c r="AK895" s="112">
        <v>0</v>
      </c>
      <c r="AL895" s="112"/>
      <c r="AM895" s="112">
        <v>15.21</v>
      </c>
      <c r="AN895" s="112" t="s">
        <v>1906</v>
      </c>
      <c r="AO895" s="112">
        <v>65.180000000000007</v>
      </c>
      <c r="AP895" s="112" t="s">
        <v>1906</v>
      </c>
      <c r="AQ895" s="112">
        <v>65.180000000000007</v>
      </c>
      <c r="AR895" s="112" t="s">
        <v>1906</v>
      </c>
      <c r="AS895" s="112">
        <v>65.180000000000007</v>
      </c>
      <c r="AT895" s="112" t="s">
        <v>1906</v>
      </c>
      <c r="AU895" s="112">
        <f t="shared" si="27"/>
        <v>500.37</v>
      </c>
      <c r="AV895" s="111">
        <v>0.10037</v>
      </c>
      <c r="AW895" s="111" t="s">
        <v>1904</v>
      </c>
      <c r="AX895" s="25"/>
      <c r="AY895" s="25"/>
      <c r="AZ895" s="25"/>
    </row>
    <row r="896" spans="1:52" ht="31.2" x14ac:dyDescent="0.3">
      <c r="A896" s="103">
        <v>886</v>
      </c>
      <c r="B896" s="109" t="s">
        <v>1743</v>
      </c>
      <c r="C896" s="30" t="s">
        <v>1899</v>
      </c>
      <c r="D896" s="110" t="s">
        <v>1900</v>
      </c>
      <c r="E896" s="110" t="s">
        <v>1917</v>
      </c>
      <c r="F896" s="30" t="s">
        <v>2703</v>
      </c>
      <c r="G896" s="26" t="s">
        <v>145</v>
      </c>
      <c r="H896" s="24" t="s">
        <v>146</v>
      </c>
      <c r="I896" s="109">
        <v>1</v>
      </c>
      <c r="J896" s="109" t="s">
        <v>1918</v>
      </c>
      <c r="K896" s="109">
        <v>108</v>
      </c>
      <c r="L896" s="109" t="s">
        <v>1919</v>
      </c>
      <c r="M896" s="109" t="s">
        <v>1904</v>
      </c>
      <c r="N896" s="109" t="s">
        <v>529</v>
      </c>
      <c r="O896" s="109" t="s">
        <v>1920</v>
      </c>
      <c r="P896" s="109" t="s">
        <v>1921</v>
      </c>
      <c r="Q896" s="102">
        <v>0</v>
      </c>
      <c r="R896" s="109" t="s">
        <v>1907</v>
      </c>
      <c r="S896" s="109" t="s">
        <v>1922</v>
      </c>
      <c r="T896" s="25"/>
      <c r="U896" s="111" t="s">
        <v>1923</v>
      </c>
      <c r="V896" s="111" t="s">
        <v>1923</v>
      </c>
      <c r="W896" s="112" t="s">
        <v>2545</v>
      </c>
      <c r="X896" s="112" t="s">
        <v>1906</v>
      </c>
      <c r="Y896" s="112" t="s">
        <v>2545</v>
      </c>
      <c r="Z896" s="112" t="s">
        <v>1906</v>
      </c>
      <c r="AA896" s="112" t="s">
        <v>2545</v>
      </c>
      <c r="AB896" s="112" t="s">
        <v>1906</v>
      </c>
      <c r="AC896" s="112">
        <v>128.27000000000001</v>
      </c>
      <c r="AD896" s="112" t="s">
        <v>1906</v>
      </c>
      <c r="AE896" s="112">
        <v>41.38</v>
      </c>
      <c r="AF896" s="112" t="s">
        <v>1906</v>
      </c>
      <c r="AG896" s="112">
        <v>0</v>
      </c>
      <c r="AH896" s="112"/>
      <c r="AI896" s="112">
        <v>0</v>
      </c>
      <c r="AJ896" s="112"/>
      <c r="AK896" s="112">
        <v>0</v>
      </c>
      <c r="AL896" s="112"/>
      <c r="AM896" s="112">
        <v>30.3</v>
      </c>
      <c r="AN896" s="112" t="s">
        <v>1906</v>
      </c>
      <c r="AO896" s="112">
        <v>129.85</v>
      </c>
      <c r="AP896" s="112" t="s">
        <v>1906</v>
      </c>
      <c r="AQ896" s="112">
        <v>129.85</v>
      </c>
      <c r="AR896" s="112" t="s">
        <v>1906</v>
      </c>
      <c r="AS896" s="112">
        <v>129.85</v>
      </c>
      <c r="AT896" s="112" t="s">
        <v>1906</v>
      </c>
      <c r="AU896" s="112">
        <f t="shared" si="27"/>
        <v>974.31000000000006</v>
      </c>
      <c r="AV896" s="111">
        <v>0.42264000000000002</v>
      </c>
      <c r="AW896" s="111" t="s">
        <v>1904</v>
      </c>
      <c r="AX896" s="25"/>
      <c r="AY896" s="25"/>
      <c r="AZ896" s="25"/>
    </row>
    <row r="897" spans="1:52" ht="31.2" x14ac:dyDescent="0.3">
      <c r="A897" s="103">
        <v>887</v>
      </c>
      <c r="B897" s="109" t="s">
        <v>1744</v>
      </c>
      <c r="C897" s="30" t="s">
        <v>1899</v>
      </c>
      <c r="D897" s="110" t="s">
        <v>1900</v>
      </c>
      <c r="E897" s="110" t="s">
        <v>1917</v>
      </c>
      <c r="F897" s="30" t="s">
        <v>2703</v>
      </c>
      <c r="G897" s="26" t="s">
        <v>145</v>
      </c>
      <c r="H897" s="24" t="s">
        <v>146</v>
      </c>
      <c r="I897" s="109">
        <v>1</v>
      </c>
      <c r="J897" s="109" t="s">
        <v>1991</v>
      </c>
      <c r="K897" s="109">
        <v>108</v>
      </c>
      <c r="L897" s="109" t="s">
        <v>1919</v>
      </c>
      <c r="M897" s="109" t="s">
        <v>1904</v>
      </c>
      <c r="N897" s="109" t="s">
        <v>528</v>
      </c>
      <c r="O897" s="109" t="s">
        <v>1920</v>
      </c>
      <c r="P897" s="109" t="s">
        <v>1921</v>
      </c>
      <c r="Q897" s="102">
        <v>0</v>
      </c>
      <c r="R897" s="109" t="s">
        <v>1907</v>
      </c>
      <c r="S897" s="109" t="s">
        <v>1922</v>
      </c>
      <c r="T897" s="25"/>
      <c r="U897" s="111" t="s">
        <v>1923</v>
      </c>
      <c r="V897" s="111" t="s">
        <v>1923</v>
      </c>
      <c r="W897" s="112" t="s">
        <v>2546</v>
      </c>
      <c r="X897" s="112" t="s">
        <v>1906</v>
      </c>
      <c r="Y897" s="112" t="s">
        <v>2546</v>
      </c>
      <c r="Z897" s="112" t="s">
        <v>1906</v>
      </c>
      <c r="AA897" s="112" t="s">
        <v>2546</v>
      </c>
      <c r="AB897" s="112" t="s">
        <v>1906</v>
      </c>
      <c r="AC897" s="112">
        <v>44.27</v>
      </c>
      <c r="AD897" s="112" t="s">
        <v>1906</v>
      </c>
      <c r="AE897" s="112">
        <v>12.85</v>
      </c>
      <c r="AF897" s="112" t="s">
        <v>1906</v>
      </c>
      <c r="AG897" s="112">
        <v>0</v>
      </c>
      <c r="AH897" s="112" t="s">
        <v>1906</v>
      </c>
      <c r="AI897" s="112">
        <v>0</v>
      </c>
      <c r="AJ897" s="112" t="s">
        <v>1906</v>
      </c>
      <c r="AK897" s="112">
        <v>0</v>
      </c>
      <c r="AL897" s="112" t="s">
        <v>1906</v>
      </c>
      <c r="AM897" s="112">
        <v>0</v>
      </c>
      <c r="AN897" s="112" t="s">
        <v>1906</v>
      </c>
      <c r="AO897" s="112">
        <v>40.53</v>
      </c>
      <c r="AP897" s="112" t="s">
        <v>1906</v>
      </c>
      <c r="AQ897" s="112">
        <v>40.53</v>
      </c>
      <c r="AR897" s="112" t="s">
        <v>1906</v>
      </c>
      <c r="AS897" s="112">
        <v>40.53</v>
      </c>
      <c r="AT897" s="112" t="s">
        <v>1906</v>
      </c>
      <c r="AU897" s="112">
        <f t="shared" si="27"/>
        <v>311.52</v>
      </c>
      <c r="AV897" s="111">
        <v>0.30175999999999997</v>
      </c>
      <c r="AW897" s="111" t="s">
        <v>1904</v>
      </c>
      <c r="AX897" s="25"/>
      <c r="AY897" s="25"/>
      <c r="AZ897" s="25"/>
    </row>
    <row r="898" spans="1:52" ht="31.2" x14ac:dyDescent="0.3">
      <c r="A898" s="103">
        <v>888</v>
      </c>
      <c r="B898" s="109" t="s">
        <v>1746</v>
      </c>
      <c r="C898" s="30" t="s">
        <v>1899</v>
      </c>
      <c r="D898" s="110" t="s">
        <v>1900</v>
      </c>
      <c r="E898" s="110" t="s">
        <v>1917</v>
      </c>
      <c r="F898" s="30" t="s">
        <v>2703</v>
      </c>
      <c r="G898" s="26" t="s">
        <v>145</v>
      </c>
      <c r="H898" s="24" t="s">
        <v>146</v>
      </c>
      <c r="I898" s="109">
        <v>1</v>
      </c>
      <c r="J898" s="109" t="s">
        <v>1918</v>
      </c>
      <c r="K898" s="109">
        <v>89</v>
      </c>
      <c r="L898" s="109" t="s">
        <v>1919</v>
      </c>
      <c r="M898" s="109" t="s">
        <v>1904</v>
      </c>
      <c r="N898" s="109" t="s">
        <v>529</v>
      </c>
      <c r="O898" s="109" t="s">
        <v>1920</v>
      </c>
      <c r="P898" s="109" t="s">
        <v>1921</v>
      </c>
      <c r="Q898" s="102">
        <v>0</v>
      </c>
      <c r="R898" s="109" t="s">
        <v>1907</v>
      </c>
      <c r="S898" s="109" t="s">
        <v>1922</v>
      </c>
      <c r="T898" s="25"/>
      <c r="U898" s="111" t="s">
        <v>1923</v>
      </c>
      <c r="V898" s="111" t="s">
        <v>1923</v>
      </c>
      <c r="W898" s="112" t="s">
        <v>2547</v>
      </c>
      <c r="X898" s="112" t="s">
        <v>208</v>
      </c>
      <c r="Y898" s="112" t="s">
        <v>2548</v>
      </c>
      <c r="Z898" s="112" t="s">
        <v>208</v>
      </c>
      <c r="AA898" s="112" t="s">
        <v>2549</v>
      </c>
      <c r="AB898" s="112" t="s">
        <v>208</v>
      </c>
      <c r="AC898" s="112">
        <v>63.88</v>
      </c>
      <c r="AD898" s="112" t="s">
        <v>208</v>
      </c>
      <c r="AE898" s="112">
        <v>18.54</v>
      </c>
      <c r="AF898" s="112" t="s">
        <v>208</v>
      </c>
      <c r="AG898" s="112">
        <v>0</v>
      </c>
      <c r="AH898" s="112"/>
      <c r="AI898" s="112">
        <v>0</v>
      </c>
      <c r="AJ898" s="112"/>
      <c r="AK898" s="112">
        <v>0</v>
      </c>
      <c r="AL898" s="112"/>
      <c r="AM898" s="112">
        <v>0</v>
      </c>
      <c r="AN898" s="112"/>
      <c r="AO898" s="112">
        <v>56.88</v>
      </c>
      <c r="AP898" s="112" t="s">
        <v>1906</v>
      </c>
      <c r="AQ898" s="112">
        <v>56.88</v>
      </c>
      <c r="AR898" s="112" t="s">
        <v>1906</v>
      </c>
      <c r="AS898" s="112">
        <v>56.88</v>
      </c>
      <c r="AT898" s="112" t="s">
        <v>1906</v>
      </c>
      <c r="AU898" s="112">
        <f t="shared" si="27"/>
        <v>578.92000000000007</v>
      </c>
      <c r="AV898" s="111">
        <v>0.19972999999999999</v>
      </c>
      <c r="AW898" s="111" t="s">
        <v>1904</v>
      </c>
      <c r="AX898" s="25"/>
      <c r="AY898" s="25"/>
      <c r="AZ898" s="25"/>
    </row>
    <row r="899" spans="1:52" ht="31.2" x14ac:dyDescent="0.3">
      <c r="A899" s="103">
        <v>889</v>
      </c>
      <c r="B899" s="109" t="s">
        <v>1748</v>
      </c>
      <c r="C899" s="30" t="s">
        <v>1899</v>
      </c>
      <c r="D899" s="110" t="s">
        <v>1900</v>
      </c>
      <c r="E899" s="110" t="s">
        <v>1917</v>
      </c>
      <c r="F899" s="30" t="s">
        <v>2703</v>
      </c>
      <c r="G899" s="26" t="s">
        <v>145</v>
      </c>
      <c r="H899" s="24" t="s">
        <v>146</v>
      </c>
      <c r="I899" s="109">
        <v>1</v>
      </c>
      <c r="J899" s="109" t="s">
        <v>1918</v>
      </c>
      <c r="K899" s="109">
        <v>89</v>
      </c>
      <c r="L899" s="109" t="s">
        <v>1919</v>
      </c>
      <c r="M899" s="109" t="s">
        <v>1904</v>
      </c>
      <c r="N899" s="109" t="s">
        <v>529</v>
      </c>
      <c r="O899" s="109" t="s">
        <v>1920</v>
      </c>
      <c r="P899" s="109" t="s">
        <v>1921</v>
      </c>
      <c r="Q899" s="102">
        <v>0</v>
      </c>
      <c r="R899" s="109" t="s">
        <v>1907</v>
      </c>
      <c r="S899" s="109" t="s">
        <v>1922</v>
      </c>
      <c r="T899" s="25"/>
      <c r="U899" s="111" t="s">
        <v>1923</v>
      </c>
      <c r="V899" s="111" t="s">
        <v>1923</v>
      </c>
      <c r="W899" s="112" t="s">
        <v>2550</v>
      </c>
      <c r="X899" s="112" t="s">
        <v>208</v>
      </c>
      <c r="Y899" s="112" t="s">
        <v>2551</v>
      </c>
      <c r="Z899" s="112" t="s">
        <v>208</v>
      </c>
      <c r="AA899" s="112" t="s">
        <v>2552</v>
      </c>
      <c r="AB899" s="112" t="s">
        <v>208</v>
      </c>
      <c r="AC899" s="112">
        <v>55.09</v>
      </c>
      <c r="AD899" s="112" t="s">
        <v>208</v>
      </c>
      <c r="AE899" s="112">
        <v>28.47</v>
      </c>
      <c r="AF899" s="112" t="s">
        <v>208</v>
      </c>
      <c r="AG899" s="112">
        <v>0</v>
      </c>
      <c r="AH899" s="112"/>
      <c r="AI899" s="112">
        <v>0</v>
      </c>
      <c r="AJ899" s="112"/>
      <c r="AK899" s="112">
        <v>0</v>
      </c>
      <c r="AL899" s="112"/>
      <c r="AM899" s="112">
        <v>0</v>
      </c>
      <c r="AN899" s="112"/>
      <c r="AO899" s="112">
        <v>43.32</v>
      </c>
      <c r="AP899" s="112" t="s">
        <v>208</v>
      </c>
      <c r="AQ899" s="112">
        <v>49.09</v>
      </c>
      <c r="AR899" s="112" t="s">
        <v>208</v>
      </c>
      <c r="AS899" s="112">
        <v>73.900000000000006</v>
      </c>
      <c r="AT899" s="112" t="s">
        <v>208</v>
      </c>
      <c r="AU899" s="112">
        <f t="shared" si="27"/>
        <v>605.04999999999995</v>
      </c>
      <c r="AV899" s="111">
        <v>0.23585999999999999</v>
      </c>
      <c r="AW899" s="111" t="s">
        <v>1904</v>
      </c>
      <c r="AX899" s="25"/>
      <c r="AY899" s="25"/>
      <c r="AZ899" s="25"/>
    </row>
    <row r="900" spans="1:52" ht="31.2" x14ac:dyDescent="0.3">
      <c r="A900" s="103">
        <v>890</v>
      </c>
      <c r="B900" s="109" t="s">
        <v>1749</v>
      </c>
      <c r="C900" s="30" t="s">
        <v>1899</v>
      </c>
      <c r="D900" s="110" t="s">
        <v>1900</v>
      </c>
      <c r="E900" s="110" t="s">
        <v>1917</v>
      </c>
      <c r="F900" s="30" t="s">
        <v>2703</v>
      </c>
      <c r="G900" s="26" t="s">
        <v>145</v>
      </c>
      <c r="H900" s="24" t="s">
        <v>146</v>
      </c>
      <c r="I900" s="109">
        <v>0</v>
      </c>
      <c r="J900" s="109" t="s">
        <v>1918</v>
      </c>
      <c r="K900" s="109">
        <v>50</v>
      </c>
      <c r="L900" s="109" t="s">
        <v>1919</v>
      </c>
      <c r="M900" s="109" t="s">
        <v>1904</v>
      </c>
      <c r="N900" s="109" t="s">
        <v>529</v>
      </c>
      <c r="O900" s="109" t="s">
        <v>1920</v>
      </c>
      <c r="P900" s="109" t="s">
        <v>1920</v>
      </c>
      <c r="Q900" s="102">
        <v>0</v>
      </c>
      <c r="R900" s="109" t="s">
        <v>1907</v>
      </c>
      <c r="S900" s="109" t="s">
        <v>1922</v>
      </c>
      <c r="T900" s="25"/>
      <c r="U900" s="111" t="s">
        <v>1923</v>
      </c>
      <c r="V900" s="111" t="s">
        <v>1923</v>
      </c>
      <c r="W900" s="112" t="s">
        <v>2553</v>
      </c>
      <c r="X900" s="112" t="s">
        <v>1906</v>
      </c>
      <c r="Y900" s="112" t="s">
        <v>2553</v>
      </c>
      <c r="Z900" s="112" t="s">
        <v>1906</v>
      </c>
      <c r="AA900" s="112" t="s">
        <v>2553</v>
      </c>
      <c r="AB900" s="112" t="s">
        <v>1906</v>
      </c>
      <c r="AC900" s="112">
        <v>13.78</v>
      </c>
      <c r="AD900" s="112" t="s">
        <v>1906</v>
      </c>
      <c r="AE900" s="112">
        <v>4</v>
      </c>
      <c r="AF900" s="112" t="s">
        <v>1906</v>
      </c>
      <c r="AG900" s="112">
        <v>0</v>
      </c>
      <c r="AH900" s="112"/>
      <c r="AI900" s="112">
        <v>0</v>
      </c>
      <c r="AJ900" s="112"/>
      <c r="AK900" s="112">
        <v>0</v>
      </c>
      <c r="AL900" s="112"/>
      <c r="AM900" s="112">
        <v>2.85</v>
      </c>
      <c r="AN900" s="112" t="s">
        <v>1906</v>
      </c>
      <c r="AO900" s="112">
        <v>16.52</v>
      </c>
      <c r="AP900" s="112" t="s">
        <v>1906</v>
      </c>
      <c r="AQ900" s="112">
        <v>12.22</v>
      </c>
      <c r="AR900" s="112" t="s">
        <v>1906</v>
      </c>
      <c r="AS900" s="112">
        <v>12.22</v>
      </c>
      <c r="AT900" s="112" t="s">
        <v>1906</v>
      </c>
      <c r="AU900" s="112">
        <f t="shared" si="27"/>
        <v>102.92999999999999</v>
      </c>
      <c r="AV900" s="111">
        <v>5.058E-2</v>
      </c>
      <c r="AW900" s="111" t="s">
        <v>1904</v>
      </c>
      <c r="AX900" s="25"/>
      <c r="AY900" s="25"/>
      <c r="AZ900" s="25"/>
    </row>
    <row r="901" spans="1:52" ht="31.2" x14ac:dyDescent="0.3">
      <c r="A901" s="103">
        <v>891</v>
      </c>
      <c r="B901" s="109" t="s">
        <v>1750</v>
      </c>
      <c r="C901" s="30" t="s">
        <v>1899</v>
      </c>
      <c r="D901" s="110" t="s">
        <v>1900</v>
      </c>
      <c r="E901" s="110" t="s">
        <v>1917</v>
      </c>
      <c r="F901" s="30" t="s">
        <v>2703</v>
      </c>
      <c r="G901" s="26" t="s">
        <v>145</v>
      </c>
      <c r="H901" s="24" t="s">
        <v>146</v>
      </c>
      <c r="I901" s="109">
        <v>1</v>
      </c>
      <c r="J901" s="109" t="s">
        <v>1918</v>
      </c>
      <c r="K901" s="109">
        <v>89</v>
      </c>
      <c r="L901" s="109" t="s">
        <v>1919</v>
      </c>
      <c r="M901" s="109" t="s">
        <v>1904</v>
      </c>
      <c r="N901" s="109" t="s">
        <v>529</v>
      </c>
      <c r="O901" s="109" t="s">
        <v>1920</v>
      </c>
      <c r="P901" s="109" t="s">
        <v>1921</v>
      </c>
      <c r="Q901" s="102">
        <v>0</v>
      </c>
      <c r="R901" s="109" t="s">
        <v>1907</v>
      </c>
      <c r="S901" s="109" t="s">
        <v>1922</v>
      </c>
      <c r="T901" s="25"/>
      <c r="U901" s="111" t="s">
        <v>1923</v>
      </c>
      <c r="V901" s="111" t="s">
        <v>1923</v>
      </c>
      <c r="W901" s="112" t="s">
        <v>2554</v>
      </c>
      <c r="X901" s="112" t="s">
        <v>1906</v>
      </c>
      <c r="Y901" s="112" t="s">
        <v>2555</v>
      </c>
      <c r="Z901" s="112" t="s">
        <v>1906</v>
      </c>
      <c r="AA901" s="112" t="s">
        <v>2554</v>
      </c>
      <c r="AB901" s="112" t="s">
        <v>1906</v>
      </c>
      <c r="AC901" s="112">
        <v>58.12</v>
      </c>
      <c r="AD901" s="112" t="s">
        <v>1906</v>
      </c>
      <c r="AE901" s="112">
        <v>30.61</v>
      </c>
      <c r="AF901" s="112" t="s">
        <v>1906</v>
      </c>
      <c r="AG901" s="112">
        <v>0</v>
      </c>
      <c r="AH901" s="112"/>
      <c r="AI901" s="112">
        <v>0</v>
      </c>
      <c r="AJ901" s="112"/>
      <c r="AK901" s="112">
        <v>0</v>
      </c>
      <c r="AL901" s="112"/>
      <c r="AM901" s="112">
        <v>0</v>
      </c>
      <c r="AN901" s="112"/>
      <c r="AO901" s="112">
        <v>58.07</v>
      </c>
      <c r="AP901" s="112" t="s">
        <v>208</v>
      </c>
      <c r="AQ901" s="112">
        <v>54.93</v>
      </c>
      <c r="AR901" s="112" t="s">
        <v>208</v>
      </c>
      <c r="AS901" s="112">
        <v>76.5</v>
      </c>
      <c r="AT901" s="112" t="s">
        <v>208</v>
      </c>
      <c r="AU901" s="112">
        <f t="shared" si="27"/>
        <v>554.83000000000004</v>
      </c>
      <c r="AV901" s="111">
        <v>0.26798</v>
      </c>
      <c r="AW901" s="111" t="s">
        <v>1904</v>
      </c>
      <c r="AX901" s="25"/>
      <c r="AY901" s="25"/>
      <c r="AZ901" s="25"/>
    </row>
    <row r="902" spans="1:52" ht="31.2" x14ac:dyDescent="0.3">
      <c r="A902" s="103">
        <v>892</v>
      </c>
      <c r="B902" s="109" t="s">
        <v>1752</v>
      </c>
      <c r="C902" s="30" t="s">
        <v>1899</v>
      </c>
      <c r="D902" s="110" t="s">
        <v>1900</v>
      </c>
      <c r="E902" s="110" t="s">
        <v>1917</v>
      </c>
      <c r="F902" s="30" t="s">
        <v>2703</v>
      </c>
      <c r="G902" s="26" t="s">
        <v>145</v>
      </c>
      <c r="H902" s="24" t="s">
        <v>146</v>
      </c>
      <c r="I902" s="109">
        <v>0</v>
      </c>
      <c r="J902" s="109" t="s">
        <v>1918</v>
      </c>
      <c r="K902" s="109">
        <v>50</v>
      </c>
      <c r="L902" s="109" t="s">
        <v>1919</v>
      </c>
      <c r="M902" s="109" t="s">
        <v>1904</v>
      </c>
      <c r="N902" s="109" t="s">
        <v>529</v>
      </c>
      <c r="O902" s="109" t="s">
        <v>1920</v>
      </c>
      <c r="P902" s="109" t="s">
        <v>1920</v>
      </c>
      <c r="Q902" s="102">
        <v>0</v>
      </c>
      <c r="R902" s="109" t="s">
        <v>1907</v>
      </c>
      <c r="S902" s="109" t="s">
        <v>1922</v>
      </c>
      <c r="T902" s="25"/>
      <c r="U902" s="111" t="s">
        <v>1923</v>
      </c>
      <c r="V902" s="111" t="s">
        <v>1923</v>
      </c>
      <c r="W902" s="112" t="s">
        <v>2556</v>
      </c>
      <c r="X902" s="112" t="s">
        <v>1906</v>
      </c>
      <c r="Y902" s="112" t="s">
        <v>2556</v>
      </c>
      <c r="Z902" s="112" t="s">
        <v>1906</v>
      </c>
      <c r="AA902" s="112" t="s">
        <v>2556</v>
      </c>
      <c r="AB902" s="112" t="s">
        <v>1906</v>
      </c>
      <c r="AC902" s="112">
        <v>23.46</v>
      </c>
      <c r="AD902" s="112" t="s">
        <v>1906</v>
      </c>
      <c r="AE902" s="112">
        <v>6.81</v>
      </c>
      <c r="AF902" s="112" t="s">
        <v>1906</v>
      </c>
      <c r="AG902" s="112">
        <v>0</v>
      </c>
      <c r="AH902" s="112"/>
      <c r="AI902" s="112">
        <v>0</v>
      </c>
      <c r="AJ902" s="112"/>
      <c r="AK902" s="112">
        <v>0</v>
      </c>
      <c r="AL902" s="112"/>
      <c r="AM902" s="112">
        <v>4.7</v>
      </c>
      <c r="AN902" s="112" t="s">
        <v>1906</v>
      </c>
      <c r="AO902" s="112">
        <v>20.13</v>
      </c>
      <c r="AP902" s="112" t="s">
        <v>1906</v>
      </c>
      <c r="AQ902" s="112">
        <v>20.13</v>
      </c>
      <c r="AR902" s="112" t="s">
        <v>1906</v>
      </c>
      <c r="AS902" s="112">
        <v>20.13</v>
      </c>
      <c r="AT902" s="112" t="s">
        <v>1906</v>
      </c>
      <c r="AU902" s="112">
        <f t="shared" si="27"/>
        <v>165.74</v>
      </c>
      <c r="AV902" s="111">
        <v>5.7209999999999997E-2</v>
      </c>
      <c r="AW902" s="111" t="s">
        <v>1904</v>
      </c>
      <c r="AX902" s="25"/>
      <c r="AY902" s="25"/>
      <c r="AZ902" s="25"/>
    </row>
    <row r="903" spans="1:52" ht="31.2" x14ac:dyDescent="0.3">
      <c r="A903" s="103">
        <v>893</v>
      </c>
      <c r="B903" s="109" t="s">
        <v>1753</v>
      </c>
      <c r="C903" s="30" t="s">
        <v>1899</v>
      </c>
      <c r="D903" s="110" t="s">
        <v>1900</v>
      </c>
      <c r="E903" s="110" t="s">
        <v>1917</v>
      </c>
      <c r="F903" s="30" t="s">
        <v>2703</v>
      </c>
      <c r="G903" s="26" t="s">
        <v>145</v>
      </c>
      <c r="H903" s="24" t="s">
        <v>146</v>
      </c>
      <c r="I903" s="109">
        <v>0</v>
      </c>
      <c r="J903" s="109" t="s">
        <v>1918</v>
      </c>
      <c r="K903" s="109">
        <v>50</v>
      </c>
      <c r="L903" s="109" t="s">
        <v>1919</v>
      </c>
      <c r="M903" s="109" t="s">
        <v>1904</v>
      </c>
      <c r="N903" s="109" t="s">
        <v>529</v>
      </c>
      <c r="O903" s="109" t="s">
        <v>1920</v>
      </c>
      <c r="P903" s="109" t="s">
        <v>1920</v>
      </c>
      <c r="Q903" s="102">
        <v>0</v>
      </c>
      <c r="R903" s="109" t="s">
        <v>1907</v>
      </c>
      <c r="S903" s="109" t="s">
        <v>1922</v>
      </c>
      <c r="T903" s="25"/>
      <c r="U903" s="111" t="s">
        <v>1923</v>
      </c>
      <c r="V903" s="111" t="s">
        <v>1923</v>
      </c>
      <c r="W903" s="112" t="s">
        <v>2556</v>
      </c>
      <c r="X903" s="112" t="s">
        <v>1906</v>
      </c>
      <c r="Y903" s="112" t="s">
        <v>2556</v>
      </c>
      <c r="Z903" s="112" t="s">
        <v>1906</v>
      </c>
      <c r="AA903" s="112" t="s">
        <v>2556</v>
      </c>
      <c r="AB903" s="112" t="s">
        <v>1906</v>
      </c>
      <c r="AC903" s="112">
        <v>23.46</v>
      </c>
      <c r="AD903" s="112" t="s">
        <v>1906</v>
      </c>
      <c r="AE903" s="112">
        <v>6.81</v>
      </c>
      <c r="AF903" s="112" t="s">
        <v>1906</v>
      </c>
      <c r="AG903" s="112">
        <v>0</v>
      </c>
      <c r="AH903" s="112"/>
      <c r="AI903" s="112">
        <v>0</v>
      </c>
      <c r="AJ903" s="112"/>
      <c r="AK903" s="112">
        <v>0</v>
      </c>
      <c r="AL903" s="112"/>
      <c r="AM903" s="112">
        <v>4.7</v>
      </c>
      <c r="AN903" s="112" t="s">
        <v>1906</v>
      </c>
      <c r="AO903" s="112">
        <v>20.13</v>
      </c>
      <c r="AP903" s="112" t="s">
        <v>1906</v>
      </c>
      <c r="AQ903" s="112">
        <v>20.13</v>
      </c>
      <c r="AR903" s="112" t="s">
        <v>1906</v>
      </c>
      <c r="AS903" s="112">
        <v>20.13</v>
      </c>
      <c r="AT903" s="112" t="s">
        <v>1906</v>
      </c>
      <c r="AU903" s="112">
        <f t="shared" si="27"/>
        <v>165.74</v>
      </c>
      <c r="AV903" s="111">
        <v>5.7209999999999997E-2</v>
      </c>
      <c r="AW903" s="111" t="s">
        <v>1904</v>
      </c>
      <c r="AX903" s="25"/>
      <c r="AY903" s="25"/>
      <c r="AZ903" s="25"/>
    </row>
    <row r="904" spans="1:52" ht="31.2" x14ac:dyDescent="0.3">
      <c r="A904" s="103">
        <v>894</v>
      </c>
      <c r="B904" s="109" t="s">
        <v>1754</v>
      </c>
      <c r="C904" s="30" t="s">
        <v>1899</v>
      </c>
      <c r="D904" s="110" t="s">
        <v>1900</v>
      </c>
      <c r="E904" s="110" t="s">
        <v>1917</v>
      </c>
      <c r="F904" s="30" t="s">
        <v>2703</v>
      </c>
      <c r="G904" s="26" t="s">
        <v>145</v>
      </c>
      <c r="H904" s="24" t="s">
        <v>146</v>
      </c>
      <c r="I904" s="109">
        <v>1</v>
      </c>
      <c r="J904" s="109" t="s">
        <v>1918</v>
      </c>
      <c r="K904" s="109">
        <v>133</v>
      </c>
      <c r="L904" s="109" t="s">
        <v>1919</v>
      </c>
      <c r="M904" s="109" t="s">
        <v>1904</v>
      </c>
      <c r="N904" s="109" t="s">
        <v>529</v>
      </c>
      <c r="O904" s="109" t="s">
        <v>1920</v>
      </c>
      <c r="P904" s="109" t="s">
        <v>1921</v>
      </c>
      <c r="Q904" s="102">
        <v>0</v>
      </c>
      <c r="R904" s="109" t="s">
        <v>1907</v>
      </c>
      <c r="S904" s="109" t="s">
        <v>1922</v>
      </c>
      <c r="T904" s="25"/>
      <c r="U904" s="111" t="s">
        <v>1923</v>
      </c>
      <c r="V904" s="111" t="s">
        <v>1923</v>
      </c>
      <c r="W904" s="112" t="s">
        <v>2557</v>
      </c>
      <c r="X904" s="112" t="s">
        <v>1906</v>
      </c>
      <c r="Y904" s="112" t="s">
        <v>2558</v>
      </c>
      <c r="Z904" s="112" t="s">
        <v>1906</v>
      </c>
      <c r="AA904" s="112" t="s">
        <v>2559</v>
      </c>
      <c r="AB904" s="112" t="s">
        <v>1906</v>
      </c>
      <c r="AC904" s="112">
        <v>124.97</v>
      </c>
      <c r="AD904" s="112" t="s">
        <v>1906</v>
      </c>
      <c r="AE904" s="112">
        <v>23.24</v>
      </c>
      <c r="AF904" s="112" t="s">
        <v>1906</v>
      </c>
      <c r="AG904" s="112">
        <v>0</v>
      </c>
      <c r="AH904" s="112"/>
      <c r="AI904" s="112">
        <v>0</v>
      </c>
      <c r="AJ904" s="112"/>
      <c r="AK904" s="112">
        <v>0</v>
      </c>
      <c r="AL904" s="112"/>
      <c r="AM904" s="112">
        <v>21.51</v>
      </c>
      <c r="AN904" s="112" t="s">
        <v>1906</v>
      </c>
      <c r="AO904" s="112">
        <v>100.9</v>
      </c>
      <c r="AP904" s="112" t="s">
        <v>1906</v>
      </c>
      <c r="AQ904" s="112">
        <v>123.07</v>
      </c>
      <c r="AR904" s="112" t="s">
        <v>1906</v>
      </c>
      <c r="AS904" s="112">
        <v>178.25</v>
      </c>
      <c r="AT904" s="112" t="s">
        <v>1906</v>
      </c>
      <c r="AU904" s="112">
        <f t="shared" si="27"/>
        <v>1115.07</v>
      </c>
      <c r="AV904" s="111">
        <v>0.55633999999999995</v>
      </c>
      <c r="AW904" s="111" t="s">
        <v>1904</v>
      </c>
      <c r="AX904" s="25"/>
      <c r="AY904" s="25"/>
      <c r="AZ904" s="25"/>
    </row>
    <row r="905" spans="1:52" ht="31.2" x14ac:dyDescent="0.3">
      <c r="A905" s="103">
        <v>895</v>
      </c>
      <c r="B905" s="109" t="s">
        <v>1755</v>
      </c>
      <c r="C905" s="30" t="s">
        <v>1899</v>
      </c>
      <c r="D905" s="110" t="s">
        <v>1900</v>
      </c>
      <c r="E905" s="110" t="s">
        <v>1917</v>
      </c>
      <c r="F905" s="30" t="s">
        <v>2703</v>
      </c>
      <c r="G905" s="26" t="s">
        <v>145</v>
      </c>
      <c r="H905" s="24" t="s">
        <v>146</v>
      </c>
      <c r="I905" s="109">
        <v>1</v>
      </c>
      <c r="J905" s="109" t="s">
        <v>1918</v>
      </c>
      <c r="K905" s="109">
        <v>89</v>
      </c>
      <c r="L905" s="109" t="s">
        <v>1919</v>
      </c>
      <c r="M905" s="109" t="s">
        <v>1904</v>
      </c>
      <c r="N905" s="109" t="s">
        <v>529</v>
      </c>
      <c r="O905" s="109" t="s">
        <v>1920</v>
      </c>
      <c r="P905" s="109" t="s">
        <v>1921</v>
      </c>
      <c r="Q905" s="102">
        <v>0</v>
      </c>
      <c r="R905" s="109" t="s">
        <v>1907</v>
      </c>
      <c r="S905" s="109" t="s">
        <v>1922</v>
      </c>
      <c r="T905" s="25"/>
      <c r="U905" s="111" t="s">
        <v>1923</v>
      </c>
      <c r="V905" s="111" t="s">
        <v>1923</v>
      </c>
      <c r="W905" s="112" t="s">
        <v>2560</v>
      </c>
      <c r="X905" s="112" t="s">
        <v>1906</v>
      </c>
      <c r="Y905" s="112" t="s">
        <v>2561</v>
      </c>
      <c r="Z905" s="112" t="s">
        <v>1906</v>
      </c>
      <c r="AA905" s="112" t="s">
        <v>2562</v>
      </c>
      <c r="AB905" s="112" t="s">
        <v>1906</v>
      </c>
      <c r="AC905" s="112">
        <v>77.25</v>
      </c>
      <c r="AD905" s="112" t="s">
        <v>1906</v>
      </c>
      <c r="AE905" s="112">
        <v>32.67</v>
      </c>
      <c r="AF905" s="112" t="s">
        <v>1906</v>
      </c>
      <c r="AG905" s="112">
        <v>0</v>
      </c>
      <c r="AH905" s="112"/>
      <c r="AI905" s="112">
        <v>0</v>
      </c>
      <c r="AJ905" s="112"/>
      <c r="AK905" s="112">
        <v>0</v>
      </c>
      <c r="AL905" s="112"/>
      <c r="AM905" s="112">
        <v>0</v>
      </c>
      <c r="AN905" s="112"/>
      <c r="AO905" s="112">
        <v>63.66</v>
      </c>
      <c r="AP905" s="112" t="s">
        <v>208</v>
      </c>
      <c r="AQ905" s="112">
        <v>76.849999999999994</v>
      </c>
      <c r="AR905" s="112" t="s">
        <v>208</v>
      </c>
      <c r="AS905" s="112">
        <v>110.66</v>
      </c>
      <c r="AT905" s="112" t="s">
        <v>208</v>
      </c>
      <c r="AU905" s="112">
        <f t="shared" si="27"/>
        <v>814.45999999999992</v>
      </c>
      <c r="AV905" s="111">
        <v>0.42786000000000002</v>
      </c>
      <c r="AW905" s="111" t="s">
        <v>1904</v>
      </c>
      <c r="AX905" s="25"/>
      <c r="AY905" s="25"/>
      <c r="AZ905" s="25"/>
    </row>
    <row r="906" spans="1:52" ht="31.2" x14ac:dyDescent="0.3">
      <c r="A906" s="103">
        <v>896</v>
      </c>
      <c r="B906" s="109" t="s">
        <v>1756</v>
      </c>
      <c r="C906" s="30" t="s">
        <v>1899</v>
      </c>
      <c r="D906" s="110" t="s">
        <v>1900</v>
      </c>
      <c r="E906" s="110" t="s">
        <v>1917</v>
      </c>
      <c r="F906" s="30" t="s">
        <v>2703</v>
      </c>
      <c r="G906" s="26" t="s">
        <v>145</v>
      </c>
      <c r="H906" s="24" t="s">
        <v>146</v>
      </c>
      <c r="I906" s="109">
        <v>1</v>
      </c>
      <c r="J906" s="109" t="s">
        <v>1918</v>
      </c>
      <c r="K906" s="109">
        <v>108</v>
      </c>
      <c r="L906" s="109" t="s">
        <v>1919</v>
      </c>
      <c r="M906" s="109" t="s">
        <v>1904</v>
      </c>
      <c r="N906" s="109" t="s">
        <v>529</v>
      </c>
      <c r="O906" s="109" t="s">
        <v>1920</v>
      </c>
      <c r="P906" s="109" t="s">
        <v>1921</v>
      </c>
      <c r="Q906" s="102">
        <v>0</v>
      </c>
      <c r="R906" s="109" t="s">
        <v>1907</v>
      </c>
      <c r="S906" s="109" t="s">
        <v>1922</v>
      </c>
      <c r="T906" s="25"/>
      <c r="U906" s="111" t="s">
        <v>1923</v>
      </c>
      <c r="V906" s="111" t="s">
        <v>1923</v>
      </c>
      <c r="W906" s="112" t="s">
        <v>2563</v>
      </c>
      <c r="X906" s="112" t="s">
        <v>1906</v>
      </c>
      <c r="Y906" s="112" t="s">
        <v>2563</v>
      </c>
      <c r="Z906" s="112" t="s">
        <v>1906</v>
      </c>
      <c r="AA906" s="112" t="s">
        <v>2563</v>
      </c>
      <c r="AB906" s="112" t="s">
        <v>1906</v>
      </c>
      <c r="AC906" s="112">
        <v>133.87</v>
      </c>
      <c r="AD906" s="112" t="s">
        <v>1906</v>
      </c>
      <c r="AE906" s="112">
        <v>43.18</v>
      </c>
      <c r="AF906" s="112" t="s">
        <v>1906</v>
      </c>
      <c r="AG906" s="112">
        <v>0</v>
      </c>
      <c r="AH906" s="112"/>
      <c r="AI906" s="112">
        <v>0</v>
      </c>
      <c r="AJ906" s="112"/>
      <c r="AK906" s="112">
        <v>0</v>
      </c>
      <c r="AL906" s="112"/>
      <c r="AM906" s="112">
        <v>25.18</v>
      </c>
      <c r="AN906" s="112" t="s">
        <v>1906</v>
      </c>
      <c r="AO906" s="112">
        <v>126.39</v>
      </c>
      <c r="AP906" s="112" t="s">
        <v>1906</v>
      </c>
      <c r="AQ906" s="112">
        <v>125.88</v>
      </c>
      <c r="AR906" s="112" t="s">
        <v>1906</v>
      </c>
      <c r="AS906" s="112">
        <v>125.88</v>
      </c>
      <c r="AT906" s="112" t="s">
        <v>1906</v>
      </c>
      <c r="AU906" s="112">
        <f t="shared" si="27"/>
        <v>981.9899999999999</v>
      </c>
      <c r="AV906" s="111">
        <v>0.42554999999999998</v>
      </c>
      <c r="AW906" s="111" t="s">
        <v>1904</v>
      </c>
      <c r="AX906" s="25"/>
      <c r="AY906" s="25"/>
      <c r="AZ906" s="25"/>
    </row>
    <row r="907" spans="1:52" ht="31.2" x14ac:dyDescent="0.3">
      <c r="A907" s="103">
        <v>897</v>
      </c>
      <c r="B907" s="109" t="s">
        <v>1757</v>
      </c>
      <c r="C907" s="30" t="s">
        <v>1899</v>
      </c>
      <c r="D907" s="110" t="s">
        <v>1900</v>
      </c>
      <c r="E907" s="110" t="s">
        <v>1917</v>
      </c>
      <c r="F907" s="30" t="s">
        <v>2703</v>
      </c>
      <c r="G907" s="26" t="s">
        <v>145</v>
      </c>
      <c r="H907" s="24" t="s">
        <v>146</v>
      </c>
      <c r="I907" s="109">
        <v>1</v>
      </c>
      <c r="J907" s="109" t="s">
        <v>1918</v>
      </c>
      <c r="K907" s="109">
        <v>89</v>
      </c>
      <c r="L907" s="109" t="s">
        <v>1919</v>
      </c>
      <c r="M907" s="109" t="s">
        <v>1904</v>
      </c>
      <c r="N907" s="109" t="s">
        <v>529</v>
      </c>
      <c r="O907" s="109" t="s">
        <v>1920</v>
      </c>
      <c r="P907" s="109" t="s">
        <v>1921</v>
      </c>
      <c r="Q907" s="102">
        <v>0</v>
      </c>
      <c r="R907" s="109" t="s">
        <v>1907</v>
      </c>
      <c r="S907" s="109" t="s">
        <v>1922</v>
      </c>
      <c r="T907" s="25"/>
      <c r="U907" s="111" t="s">
        <v>1923</v>
      </c>
      <c r="V907" s="111" t="s">
        <v>1923</v>
      </c>
      <c r="W907" s="112" t="s">
        <v>2564</v>
      </c>
      <c r="X907" s="112" t="s">
        <v>1906</v>
      </c>
      <c r="Y907" s="112" t="s">
        <v>2565</v>
      </c>
      <c r="Z907" s="112" t="s">
        <v>1906</v>
      </c>
      <c r="AA907" s="112" t="s">
        <v>2564</v>
      </c>
      <c r="AB907" s="112" t="s">
        <v>1906</v>
      </c>
      <c r="AC907" s="112">
        <v>66.61</v>
      </c>
      <c r="AD907" s="112" t="s">
        <v>1906</v>
      </c>
      <c r="AE907" s="112">
        <v>21.49</v>
      </c>
      <c r="AF907" s="112" t="s">
        <v>1906</v>
      </c>
      <c r="AG907" s="112">
        <v>0</v>
      </c>
      <c r="AH907" s="112"/>
      <c r="AI907" s="112">
        <v>0</v>
      </c>
      <c r="AJ907" s="112"/>
      <c r="AK907" s="112">
        <v>0</v>
      </c>
      <c r="AL907" s="112"/>
      <c r="AM907" s="112">
        <v>0</v>
      </c>
      <c r="AN907" s="112"/>
      <c r="AO907" s="112">
        <v>67.45</v>
      </c>
      <c r="AP907" s="112" t="s">
        <v>1906</v>
      </c>
      <c r="AQ907" s="112">
        <v>67.45</v>
      </c>
      <c r="AR907" s="112" t="s">
        <v>1906</v>
      </c>
      <c r="AS907" s="112">
        <v>67.45</v>
      </c>
      <c r="AT907" s="112" t="s">
        <v>1906</v>
      </c>
      <c r="AU907" s="112">
        <f t="shared" si="27"/>
        <v>494.15999999999997</v>
      </c>
      <c r="AV907" s="111">
        <v>0.19722000000000001</v>
      </c>
      <c r="AW907" s="111" t="s">
        <v>1904</v>
      </c>
      <c r="AX907" s="25"/>
      <c r="AY907" s="25"/>
      <c r="AZ907" s="25"/>
    </row>
    <row r="908" spans="1:52" ht="31.2" x14ac:dyDescent="0.3">
      <c r="A908" s="103">
        <v>898</v>
      </c>
      <c r="B908" s="109" t="s">
        <v>1758</v>
      </c>
      <c r="C908" s="30" t="s">
        <v>1899</v>
      </c>
      <c r="D908" s="110" t="s">
        <v>1900</v>
      </c>
      <c r="E908" s="110" t="s">
        <v>1917</v>
      </c>
      <c r="F908" s="30" t="s">
        <v>2703</v>
      </c>
      <c r="G908" s="26" t="s">
        <v>145</v>
      </c>
      <c r="H908" s="24" t="s">
        <v>146</v>
      </c>
      <c r="I908" s="109">
        <v>1</v>
      </c>
      <c r="J908" s="109" t="s">
        <v>1918</v>
      </c>
      <c r="K908" s="109">
        <v>89</v>
      </c>
      <c r="L908" s="109" t="s">
        <v>1919</v>
      </c>
      <c r="M908" s="109" t="s">
        <v>1904</v>
      </c>
      <c r="N908" s="109" t="s">
        <v>529</v>
      </c>
      <c r="O908" s="109" t="s">
        <v>1920</v>
      </c>
      <c r="P908" s="109" t="s">
        <v>1921</v>
      </c>
      <c r="Q908" s="102">
        <v>0</v>
      </c>
      <c r="R908" s="109" t="s">
        <v>1907</v>
      </c>
      <c r="S908" s="109" t="s">
        <v>1922</v>
      </c>
      <c r="T908" s="25"/>
      <c r="U908" s="111" t="s">
        <v>1923</v>
      </c>
      <c r="V908" s="111" t="s">
        <v>1923</v>
      </c>
      <c r="W908" s="112" t="s">
        <v>2566</v>
      </c>
      <c r="X908" s="112" t="s">
        <v>1906</v>
      </c>
      <c r="Y908" s="112" t="s">
        <v>2567</v>
      </c>
      <c r="Z908" s="112" t="s">
        <v>1906</v>
      </c>
      <c r="AA908" s="112" t="s">
        <v>2566</v>
      </c>
      <c r="AB908" s="112" t="s">
        <v>1906</v>
      </c>
      <c r="AC908" s="112">
        <v>40.130000000000003</v>
      </c>
      <c r="AD908" s="112" t="s">
        <v>1906</v>
      </c>
      <c r="AE908" s="112">
        <v>19.190000000000001</v>
      </c>
      <c r="AF908" s="112" t="s">
        <v>1906</v>
      </c>
      <c r="AG908" s="112">
        <v>0</v>
      </c>
      <c r="AH908" s="112"/>
      <c r="AI908" s="112">
        <v>0</v>
      </c>
      <c r="AJ908" s="112"/>
      <c r="AK908" s="112">
        <v>0</v>
      </c>
      <c r="AL908" s="112"/>
      <c r="AM908" s="112">
        <v>0</v>
      </c>
      <c r="AN908" s="112"/>
      <c r="AO908" s="112">
        <v>65.739999999999995</v>
      </c>
      <c r="AP908" s="112" t="s">
        <v>208</v>
      </c>
      <c r="AQ908" s="112">
        <v>64.349999999999994</v>
      </c>
      <c r="AR908" s="112" t="s">
        <v>208</v>
      </c>
      <c r="AS908" s="112">
        <v>45.79</v>
      </c>
      <c r="AT908" s="112" t="s">
        <v>208</v>
      </c>
      <c r="AU908" s="112">
        <f t="shared" ref="AU908:AU971" si="28">W908+Y908+AA908+AC908+AE908+AG908+AI908+AK908+AM908+AO908+AQ908+AS908</f>
        <v>450.02000000000004</v>
      </c>
      <c r="AV908" s="111">
        <v>0.24729999999999999</v>
      </c>
      <c r="AW908" s="111" t="s">
        <v>1904</v>
      </c>
      <c r="AX908" s="25"/>
      <c r="AY908" s="25"/>
      <c r="AZ908" s="25"/>
    </row>
    <row r="909" spans="1:52" ht="31.2" x14ac:dyDescent="0.3">
      <c r="A909" s="103">
        <v>899</v>
      </c>
      <c r="B909" s="109" t="s">
        <v>1760</v>
      </c>
      <c r="C909" s="30" t="s">
        <v>1899</v>
      </c>
      <c r="D909" s="110" t="s">
        <v>1900</v>
      </c>
      <c r="E909" s="110" t="s">
        <v>1917</v>
      </c>
      <c r="F909" s="30" t="s">
        <v>2703</v>
      </c>
      <c r="G909" s="26" t="s">
        <v>145</v>
      </c>
      <c r="H909" s="24" t="s">
        <v>146</v>
      </c>
      <c r="I909" s="109">
        <v>1</v>
      </c>
      <c r="J909" s="109" t="s">
        <v>1918</v>
      </c>
      <c r="K909" s="109">
        <v>76</v>
      </c>
      <c r="L909" s="109" t="s">
        <v>1919</v>
      </c>
      <c r="M909" s="109" t="s">
        <v>1904</v>
      </c>
      <c r="N909" s="109" t="s">
        <v>529</v>
      </c>
      <c r="O909" s="109" t="s">
        <v>1920</v>
      </c>
      <c r="P909" s="109" t="s">
        <v>1921</v>
      </c>
      <c r="Q909" s="102">
        <v>0</v>
      </c>
      <c r="R909" s="109" t="s">
        <v>1907</v>
      </c>
      <c r="S909" s="109" t="s">
        <v>1922</v>
      </c>
      <c r="T909" s="25"/>
      <c r="U909" s="111" t="s">
        <v>1923</v>
      </c>
      <c r="V909" s="111" t="s">
        <v>1923</v>
      </c>
      <c r="W909" s="112" t="s">
        <v>2568</v>
      </c>
      <c r="X909" s="112" t="s">
        <v>208</v>
      </c>
      <c r="Y909" s="112" t="s">
        <v>2569</v>
      </c>
      <c r="Z909" s="112" t="s">
        <v>208</v>
      </c>
      <c r="AA909" s="112" t="s">
        <v>2570</v>
      </c>
      <c r="AB909" s="112" t="s">
        <v>208</v>
      </c>
      <c r="AC909" s="112">
        <v>50.58</v>
      </c>
      <c r="AD909" s="112" t="s">
        <v>208</v>
      </c>
      <c r="AE909" s="112">
        <v>16.309999999999999</v>
      </c>
      <c r="AF909" s="112" t="s">
        <v>208</v>
      </c>
      <c r="AG909" s="112">
        <v>0</v>
      </c>
      <c r="AH909" s="112"/>
      <c r="AI909" s="112">
        <v>0</v>
      </c>
      <c r="AJ909" s="112"/>
      <c r="AK909" s="112">
        <v>0</v>
      </c>
      <c r="AL909" s="112"/>
      <c r="AM909" s="112">
        <v>0</v>
      </c>
      <c r="AN909" s="112"/>
      <c r="AO909" s="112">
        <v>43.68</v>
      </c>
      <c r="AP909" s="112" t="s">
        <v>1906</v>
      </c>
      <c r="AQ909" s="112">
        <v>43.68</v>
      </c>
      <c r="AR909" s="112" t="s">
        <v>1906</v>
      </c>
      <c r="AS909" s="112">
        <v>43.68</v>
      </c>
      <c r="AT909" s="112" t="s">
        <v>1906</v>
      </c>
      <c r="AU909" s="112">
        <f t="shared" si="28"/>
        <v>377.6</v>
      </c>
      <c r="AV909" s="111">
        <v>0.16259000000000001</v>
      </c>
      <c r="AW909" s="111" t="s">
        <v>1904</v>
      </c>
      <c r="AX909" s="25"/>
      <c r="AY909" s="25"/>
      <c r="AZ909" s="25"/>
    </row>
    <row r="910" spans="1:52" ht="31.2" x14ac:dyDescent="0.3">
      <c r="A910" s="103">
        <v>900</v>
      </c>
      <c r="B910" s="109" t="s">
        <v>1761</v>
      </c>
      <c r="C910" s="30" t="s">
        <v>1899</v>
      </c>
      <c r="D910" s="110" t="s">
        <v>1900</v>
      </c>
      <c r="E910" s="110" t="s">
        <v>1917</v>
      </c>
      <c r="F910" s="30" t="s">
        <v>2703</v>
      </c>
      <c r="G910" s="26" t="s">
        <v>145</v>
      </c>
      <c r="H910" s="24" t="s">
        <v>146</v>
      </c>
      <c r="I910" s="109">
        <v>0</v>
      </c>
      <c r="J910" s="109" t="s">
        <v>1918</v>
      </c>
      <c r="K910" s="109">
        <v>76</v>
      </c>
      <c r="L910" s="109" t="s">
        <v>1919</v>
      </c>
      <c r="M910" s="109" t="s">
        <v>1904</v>
      </c>
      <c r="N910" s="109" t="s">
        <v>529</v>
      </c>
      <c r="O910" s="109" t="s">
        <v>1920</v>
      </c>
      <c r="P910" s="109" t="s">
        <v>1920</v>
      </c>
      <c r="Q910" s="102">
        <v>0</v>
      </c>
      <c r="R910" s="109" t="s">
        <v>1907</v>
      </c>
      <c r="S910" s="109" t="s">
        <v>1922</v>
      </c>
      <c r="T910" s="25"/>
      <c r="U910" s="111" t="s">
        <v>1923</v>
      </c>
      <c r="V910" s="111" t="s">
        <v>1923</v>
      </c>
      <c r="W910" s="112" t="s">
        <v>2571</v>
      </c>
      <c r="X910" s="112" t="s">
        <v>1906</v>
      </c>
      <c r="Y910" s="112" t="s">
        <v>2571</v>
      </c>
      <c r="Z910" s="112" t="s">
        <v>1906</v>
      </c>
      <c r="AA910" s="112" t="s">
        <v>2571</v>
      </c>
      <c r="AB910" s="112" t="s">
        <v>1906</v>
      </c>
      <c r="AC910" s="112">
        <v>32.11</v>
      </c>
      <c r="AD910" s="112" t="s">
        <v>1906</v>
      </c>
      <c r="AE910" s="112">
        <v>10.36</v>
      </c>
      <c r="AF910" s="112" t="s">
        <v>1906</v>
      </c>
      <c r="AG910" s="112">
        <v>0</v>
      </c>
      <c r="AH910" s="112"/>
      <c r="AI910" s="112">
        <v>0</v>
      </c>
      <c r="AJ910" s="112"/>
      <c r="AK910" s="112">
        <v>0</v>
      </c>
      <c r="AL910" s="112"/>
      <c r="AM910" s="112">
        <v>7.51</v>
      </c>
      <c r="AN910" s="112" t="s">
        <v>1906</v>
      </c>
      <c r="AO910" s="112">
        <v>32.18</v>
      </c>
      <c r="AP910" s="112" t="s">
        <v>1906</v>
      </c>
      <c r="AQ910" s="112">
        <v>32.18</v>
      </c>
      <c r="AR910" s="112" t="s">
        <v>1906</v>
      </c>
      <c r="AS910" s="112">
        <v>32.18</v>
      </c>
      <c r="AT910" s="112" t="s">
        <v>1906</v>
      </c>
      <c r="AU910" s="112">
        <f t="shared" si="28"/>
        <v>242.85000000000002</v>
      </c>
      <c r="AV910" s="111">
        <v>0.10137</v>
      </c>
      <c r="AW910" s="111" t="s">
        <v>1904</v>
      </c>
      <c r="AX910" s="25"/>
      <c r="AY910" s="25"/>
      <c r="AZ910" s="25"/>
    </row>
    <row r="911" spans="1:52" ht="31.2" x14ac:dyDescent="0.3">
      <c r="A911" s="103">
        <v>901</v>
      </c>
      <c r="B911" s="109" t="s">
        <v>1763</v>
      </c>
      <c r="C911" s="30" t="s">
        <v>1899</v>
      </c>
      <c r="D911" s="110" t="s">
        <v>1900</v>
      </c>
      <c r="E911" s="110" t="s">
        <v>1917</v>
      </c>
      <c r="F911" s="30" t="s">
        <v>2703</v>
      </c>
      <c r="G911" s="26" t="s">
        <v>145</v>
      </c>
      <c r="H911" s="24" t="s">
        <v>146</v>
      </c>
      <c r="I911" s="109">
        <v>1</v>
      </c>
      <c r="J911" s="109" t="s">
        <v>1918</v>
      </c>
      <c r="K911" s="109">
        <v>108</v>
      </c>
      <c r="L911" s="109" t="s">
        <v>1919</v>
      </c>
      <c r="M911" s="109" t="s">
        <v>1904</v>
      </c>
      <c r="N911" s="109" t="s">
        <v>529</v>
      </c>
      <c r="O911" s="109" t="s">
        <v>1920</v>
      </c>
      <c r="P911" s="109" t="s">
        <v>1921</v>
      </c>
      <c r="Q911" s="102">
        <v>0</v>
      </c>
      <c r="R911" s="109" t="s">
        <v>1907</v>
      </c>
      <c r="S911" s="109" t="s">
        <v>1922</v>
      </c>
      <c r="T911" s="25"/>
      <c r="U911" s="111" t="s">
        <v>1923</v>
      </c>
      <c r="V911" s="111" t="s">
        <v>1923</v>
      </c>
      <c r="W911" s="112" t="s">
        <v>2572</v>
      </c>
      <c r="X911" s="112" t="s">
        <v>208</v>
      </c>
      <c r="Y911" s="112" t="s">
        <v>2573</v>
      </c>
      <c r="Z911" s="112" t="s">
        <v>208</v>
      </c>
      <c r="AA911" s="112" t="s">
        <v>2574</v>
      </c>
      <c r="AB911" s="112" t="s">
        <v>208</v>
      </c>
      <c r="AC911" s="112">
        <v>83.35</v>
      </c>
      <c r="AD911" s="112" t="s">
        <v>208</v>
      </c>
      <c r="AE911" s="112">
        <v>39.94</v>
      </c>
      <c r="AF911" s="112" t="s">
        <v>208</v>
      </c>
      <c r="AG911" s="112">
        <v>0</v>
      </c>
      <c r="AH911" s="112"/>
      <c r="AI911" s="112">
        <v>0</v>
      </c>
      <c r="AJ911" s="112"/>
      <c r="AK911" s="112">
        <v>0</v>
      </c>
      <c r="AL911" s="112"/>
      <c r="AM911" s="112">
        <v>0</v>
      </c>
      <c r="AN911" s="112"/>
      <c r="AO911" s="112">
        <v>81.34</v>
      </c>
      <c r="AP911" s="112" t="s">
        <v>208</v>
      </c>
      <c r="AQ911" s="112">
        <v>98.36</v>
      </c>
      <c r="AR911" s="112" t="s">
        <v>208</v>
      </c>
      <c r="AS911" s="112">
        <v>133.97</v>
      </c>
      <c r="AT911" s="112" t="s">
        <v>208</v>
      </c>
      <c r="AU911" s="112">
        <f t="shared" si="28"/>
        <v>1026.54</v>
      </c>
      <c r="AV911" s="111">
        <v>0.38440999999999997</v>
      </c>
      <c r="AW911" s="111" t="s">
        <v>1904</v>
      </c>
      <c r="AX911" s="25"/>
      <c r="AY911" s="25"/>
      <c r="AZ911" s="25"/>
    </row>
    <row r="912" spans="1:52" ht="31.2" x14ac:dyDescent="0.3">
      <c r="A912" s="103">
        <v>902</v>
      </c>
      <c r="B912" s="109" t="s">
        <v>1765</v>
      </c>
      <c r="C912" s="30" t="s">
        <v>1899</v>
      </c>
      <c r="D912" s="110" t="s">
        <v>1900</v>
      </c>
      <c r="E912" s="110" t="s">
        <v>1917</v>
      </c>
      <c r="F912" s="30" t="s">
        <v>2703</v>
      </c>
      <c r="G912" s="26" t="s">
        <v>145</v>
      </c>
      <c r="H912" s="24" t="s">
        <v>146</v>
      </c>
      <c r="I912" s="109">
        <v>1</v>
      </c>
      <c r="J912" s="109" t="s">
        <v>1918</v>
      </c>
      <c r="K912" s="109">
        <v>89</v>
      </c>
      <c r="L912" s="109" t="s">
        <v>1919</v>
      </c>
      <c r="M912" s="109" t="s">
        <v>1904</v>
      </c>
      <c r="N912" s="109" t="s">
        <v>529</v>
      </c>
      <c r="O912" s="109" t="s">
        <v>1920</v>
      </c>
      <c r="P912" s="109" t="s">
        <v>1921</v>
      </c>
      <c r="Q912" s="102">
        <v>0</v>
      </c>
      <c r="R912" s="109" t="s">
        <v>1907</v>
      </c>
      <c r="S912" s="109" t="s">
        <v>1922</v>
      </c>
      <c r="T912" s="25"/>
      <c r="U912" s="111" t="s">
        <v>1923</v>
      </c>
      <c r="V912" s="111" t="s">
        <v>1923</v>
      </c>
      <c r="W912" s="112" t="s">
        <v>2575</v>
      </c>
      <c r="X912" s="112" t="s">
        <v>208</v>
      </c>
      <c r="Y912" s="112" t="s">
        <v>2576</v>
      </c>
      <c r="Z912" s="112" t="s">
        <v>208</v>
      </c>
      <c r="AA912" s="112" t="s">
        <v>2577</v>
      </c>
      <c r="AB912" s="112" t="s">
        <v>208</v>
      </c>
      <c r="AC912" s="112">
        <v>52.3</v>
      </c>
      <c r="AD912" s="112" t="s">
        <v>208</v>
      </c>
      <c r="AE912" s="112">
        <v>24.64</v>
      </c>
      <c r="AF912" s="112" t="s">
        <v>208</v>
      </c>
      <c r="AG912" s="112">
        <v>0</v>
      </c>
      <c r="AH912" s="112"/>
      <c r="AI912" s="112">
        <v>0</v>
      </c>
      <c r="AJ912" s="112"/>
      <c r="AK912" s="112">
        <v>0</v>
      </c>
      <c r="AL912" s="112"/>
      <c r="AM912" s="112">
        <v>0</v>
      </c>
      <c r="AN912" s="112"/>
      <c r="AO912" s="112">
        <v>48.84</v>
      </c>
      <c r="AP912" s="112" t="s">
        <v>208</v>
      </c>
      <c r="AQ912" s="112">
        <v>62.72</v>
      </c>
      <c r="AR912" s="112" t="s">
        <v>208</v>
      </c>
      <c r="AS912" s="112">
        <v>88.1</v>
      </c>
      <c r="AT912" s="112" t="s">
        <v>208</v>
      </c>
      <c r="AU912" s="112">
        <f t="shared" si="28"/>
        <v>650.5200000000001</v>
      </c>
      <c r="AV912" s="111">
        <v>0.28604000000000002</v>
      </c>
      <c r="AW912" s="111" t="s">
        <v>1904</v>
      </c>
      <c r="AX912" s="25"/>
      <c r="AY912" s="25"/>
      <c r="AZ912" s="25"/>
    </row>
    <row r="913" spans="1:52" ht="31.2" x14ac:dyDescent="0.3">
      <c r="A913" s="103">
        <v>903</v>
      </c>
      <c r="B913" s="109" t="s">
        <v>1766</v>
      </c>
      <c r="C913" s="30" t="s">
        <v>1899</v>
      </c>
      <c r="D913" s="110" t="s">
        <v>1900</v>
      </c>
      <c r="E913" s="110" t="s">
        <v>1917</v>
      </c>
      <c r="F913" s="30" t="s">
        <v>2703</v>
      </c>
      <c r="G913" s="26" t="s">
        <v>145</v>
      </c>
      <c r="H913" s="24" t="s">
        <v>146</v>
      </c>
      <c r="I913" s="109">
        <v>1</v>
      </c>
      <c r="J913" s="109" t="s">
        <v>1918</v>
      </c>
      <c r="K913" s="109">
        <v>108</v>
      </c>
      <c r="L913" s="109" t="s">
        <v>1919</v>
      </c>
      <c r="M913" s="109" t="s">
        <v>1904</v>
      </c>
      <c r="N913" s="109" t="s">
        <v>529</v>
      </c>
      <c r="O913" s="109" t="s">
        <v>1920</v>
      </c>
      <c r="P913" s="109" t="s">
        <v>1921</v>
      </c>
      <c r="Q913" s="102">
        <v>0</v>
      </c>
      <c r="R913" s="109" t="s">
        <v>1907</v>
      </c>
      <c r="S913" s="109" t="s">
        <v>1922</v>
      </c>
      <c r="T913" s="25"/>
      <c r="U913" s="111" t="s">
        <v>1923</v>
      </c>
      <c r="V913" s="111" t="s">
        <v>1923</v>
      </c>
      <c r="W913" s="112" t="s">
        <v>2578</v>
      </c>
      <c r="X913" s="112" t="s">
        <v>1906</v>
      </c>
      <c r="Y913" s="112" t="s">
        <v>2578</v>
      </c>
      <c r="Z913" s="112" t="s">
        <v>1906</v>
      </c>
      <c r="AA913" s="112" t="s">
        <v>2578</v>
      </c>
      <c r="AB913" s="112" t="s">
        <v>1906</v>
      </c>
      <c r="AC913" s="112">
        <v>117.42</v>
      </c>
      <c r="AD913" s="112" t="s">
        <v>1906</v>
      </c>
      <c r="AE913" s="112">
        <v>37.880000000000003</v>
      </c>
      <c r="AF913" s="112" t="s">
        <v>1906</v>
      </c>
      <c r="AG913" s="112">
        <v>0</v>
      </c>
      <c r="AH913" s="112"/>
      <c r="AI913" s="112">
        <v>0</v>
      </c>
      <c r="AJ913" s="112"/>
      <c r="AK913" s="112">
        <v>0</v>
      </c>
      <c r="AL913" s="112"/>
      <c r="AM913" s="112">
        <v>26.53</v>
      </c>
      <c r="AN913" s="112" t="s">
        <v>1906</v>
      </c>
      <c r="AO913" s="112">
        <v>121.63</v>
      </c>
      <c r="AP913" s="112" t="s">
        <v>1906</v>
      </c>
      <c r="AQ913" s="112">
        <v>113.69</v>
      </c>
      <c r="AR913" s="112" t="s">
        <v>1906</v>
      </c>
      <c r="AS913" s="112">
        <v>113.69</v>
      </c>
      <c r="AT913" s="112" t="s">
        <v>1906</v>
      </c>
      <c r="AU913" s="112">
        <f t="shared" si="28"/>
        <v>883.10000000000014</v>
      </c>
      <c r="AV913" s="111">
        <v>0.36826999999999999</v>
      </c>
      <c r="AW913" s="111" t="s">
        <v>1904</v>
      </c>
      <c r="AX913" s="25"/>
      <c r="AY913" s="25"/>
      <c r="AZ913" s="25"/>
    </row>
    <row r="914" spans="1:52" ht="31.2" x14ac:dyDescent="0.3">
      <c r="A914" s="103">
        <v>904</v>
      </c>
      <c r="B914" s="109" t="s">
        <v>1767</v>
      </c>
      <c r="C914" s="30" t="s">
        <v>1899</v>
      </c>
      <c r="D914" s="110" t="s">
        <v>1900</v>
      </c>
      <c r="E914" s="110" t="s">
        <v>1917</v>
      </c>
      <c r="F914" s="30" t="s">
        <v>2703</v>
      </c>
      <c r="G914" s="26" t="s">
        <v>145</v>
      </c>
      <c r="H914" s="24" t="s">
        <v>146</v>
      </c>
      <c r="I914" s="109">
        <v>1</v>
      </c>
      <c r="J914" s="109" t="s">
        <v>1991</v>
      </c>
      <c r="K914" s="109">
        <v>108</v>
      </c>
      <c r="L914" s="109" t="s">
        <v>1919</v>
      </c>
      <c r="M914" s="109" t="s">
        <v>1904</v>
      </c>
      <c r="N914" s="109" t="s">
        <v>528</v>
      </c>
      <c r="O914" s="109" t="s">
        <v>1920</v>
      </c>
      <c r="P914" s="109" t="s">
        <v>1921</v>
      </c>
      <c r="Q914" s="102">
        <v>0</v>
      </c>
      <c r="R914" s="109" t="s">
        <v>1907</v>
      </c>
      <c r="S914" s="109" t="s">
        <v>1922</v>
      </c>
      <c r="T914" s="25"/>
      <c r="U914" s="111" t="s">
        <v>1923</v>
      </c>
      <c r="V914" s="111" t="s">
        <v>1923</v>
      </c>
      <c r="W914" s="112" t="s">
        <v>2579</v>
      </c>
      <c r="X914" s="112" t="s">
        <v>1906</v>
      </c>
      <c r="Y914" s="112" t="s">
        <v>2580</v>
      </c>
      <c r="Z914" s="112" t="s">
        <v>1906</v>
      </c>
      <c r="AA914" s="112" t="s">
        <v>2580</v>
      </c>
      <c r="AB914" s="112" t="s">
        <v>1906</v>
      </c>
      <c r="AC914" s="112">
        <v>42.77</v>
      </c>
      <c r="AD914" s="112" t="s">
        <v>1906</v>
      </c>
      <c r="AE914" s="112">
        <v>42.77</v>
      </c>
      <c r="AF914" s="112" t="s">
        <v>1906</v>
      </c>
      <c r="AG914" s="112">
        <v>31.59</v>
      </c>
      <c r="AH914" s="112" t="s">
        <v>1906</v>
      </c>
      <c r="AI914" s="112">
        <v>31.59</v>
      </c>
      <c r="AJ914" s="112" t="s">
        <v>1906</v>
      </c>
      <c r="AK914" s="112">
        <v>31.59</v>
      </c>
      <c r="AL914" s="112" t="s">
        <v>1906</v>
      </c>
      <c r="AM914" s="112">
        <v>31.59</v>
      </c>
      <c r="AN914" s="112" t="s">
        <v>1906</v>
      </c>
      <c r="AO914" s="112">
        <v>34.049999999999997</v>
      </c>
      <c r="AP914" s="112" t="s">
        <v>208</v>
      </c>
      <c r="AQ914" s="112">
        <v>31.59</v>
      </c>
      <c r="AR914" s="112" t="s">
        <v>208</v>
      </c>
      <c r="AS914" s="112">
        <v>31.59</v>
      </c>
      <c r="AT914" s="112" t="s">
        <v>208</v>
      </c>
      <c r="AU914" s="112">
        <f t="shared" si="28"/>
        <v>424.15999999999991</v>
      </c>
      <c r="AV914" s="111">
        <v>0.41049000000000002</v>
      </c>
      <c r="AW914" s="111" t="s">
        <v>1904</v>
      </c>
      <c r="AX914" s="25"/>
      <c r="AY914" s="25"/>
      <c r="AZ914" s="25"/>
    </row>
    <row r="915" spans="1:52" ht="31.2" x14ac:dyDescent="0.3">
      <c r="A915" s="103">
        <v>905</v>
      </c>
      <c r="B915" s="109" t="s">
        <v>1768</v>
      </c>
      <c r="C915" s="30" t="s">
        <v>1899</v>
      </c>
      <c r="D915" s="110" t="s">
        <v>1900</v>
      </c>
      <c r="E915" s="110" t="s">
        <v>1917</v>
      </c>
      <c r="F915" s="30" t="s">
        <v>2703</v>
      </c>
      <c r="G915" s="26" t="s">
        <v>145</v>
      </c>
      <c r="H915" s="24" t="s">
        <v>146</v>
      </c>
      <c r="I915" s="109">
        <v>1</v>
      </c>
      <c r="J915" s="109" t="s">
        <v>1918</v>
      </c>
      <c r="K915" s="109">
        <v>89</v>
      </c>
      <c r="L915" s="109" t="s">
        <v>1919</v>
      </c>
      <c r="M915" s="109" t="s">
        <v>1904</v>
      </c>
      <c r="N915" s="109" t="s">
        <v>529</v>
      </c>
      <c r="O915" s="109" t="s">
        <v>1920</v>
      </c>
      <c r="P915" s="109" t="s">
        <v>1921</v>
      </c>
      <c r="Q915" s="102">
        <v>0</v>
      </c>
      <c r="R915" s="109" t="s">
        <v>1907</v>
      </c>
      <c r="S915" s="109" t="s">
        <v>1922</v>
      </c>
      <c r="T915" s="25"/>
      <c r="U915" s="111" t="s">
        <v>1923</v>
      </c>
      <c r="V915" s="111" t="s">
        <v>1923</v>
      </c>
      <c r="W915" s="112" t="s">
        <v>2581</v>
      </c>
      <c r="X915" s="112" t="s">
        <v>1906</v>
      </c>
      <c r="Y915" s="112" t="s">
        <v>2582</v>
      </c>
      <c r="Z915" s="112" t="s">
        <v>1906</v>
      </c>
      <c r="AA915" s="112" t="s">
        <v>2581</v>
      </c>
      <c r="AB915" s="112" t="s">
        <v>1906</v>
      </c>
      <c r="AC915" s="112">
        <v>72.489999999999995</v>
      </c>
      <c r="AD915" s="112" t="s">
        <v>1906</v>
      </c>
      <c r="AE915" s="112">
        <v>23.39</v>
      </c>
      <c r="AF915" s="112" t="s">
        <v>1906</v>
      </c>
      <c r="AG915" s="112">
        <v>0</v>
      </c>
      <c r="AH915" s="112"/>
      <c r="AI915" s="112">
        <v>0</v>
      </c>
      <c r="AJ915" s="112"/>
      <c r="AK915" s="112">
        <v>0</v>
      </c>
      <c r="AL915" s="112"/>
      <c r="AM915" s="112">
        <v>0</v>
      </c>
      <c r="AN915" s="112"/>
      <c r="AO915" s="112">
        <v>71.7</v>
      </c>
      <c r="AP915" s="112" t="s">
        <v>1906</v>
      </c>
      <c r="AQ915" s="112">
        <v>71.7</v>
      </c>
      <c r="AR915" s="112" t="s">
        <v>1906</v>
      </c>
      <c r="AS915" s="112">
        <v>71.7</v>
      </c>
      <c r="AT915" s="112" t="s">
        <v>1906</v>
      </c>
      <c r="AU915" s="112">
        <f t="shared" si="28"/>
        <v>527.80999999999995</v>
      </c>
      <c r="AV915" s="111">
        <v>0.21779999999999999</v>
      </c>
      <c r="AW915" s="111" t="s">
        <v>1904</v>
      </c>
      <c r="AX915" s="25"/>
      <c r="AY915" s="25"/>
      <c r="AZ915" s="25"/>
    </row>
    <row r="916" spans="1:52" ht="31.2" x14ac:dyDescent="0.3">
      <c r="A916" s="103">
        <v>906</v>
      </c>
      <c r="B916" s="109" t="s">
        <v>1770</v>
      </c>
      <c r="C916" s="30" t="s">
        <v>1899</v>
      </c>
      <c r="D916" s="110" t="s">
        <v>1900</v>
      </c>
      <c r="E916" s="110" t="s">
        <v>1917</v>
      </c>
      <c r="F916" s="30" t="s">
        <v>2703</v>
      </c>
      <c r="G916" s="26" t="s">
        <v>145</v>
      </c>
      <c r="H916" s="24" t="s">
        <v>146</v>
      </c>
      <c r="I916" s="109">
        <v>1</v>
      </c>
      <c r="J916" s="109" t="s">
        <v>1918</v>
      </c>
      <c r="K916" s="109">
        <v>89</v>
      </c>
      <c r="L916" s="109" t="s">
        <v>1919</v>
      </c>
      <c r="M916" s="109" t="s">
        <v>1904</v>
      </c>
      <c r="N916" s="109" t="s">
        <v>529</v>
      </c>
      <c r="O916" s="109" t="s">
        <v>1920</v>
      </c>
      <c r="P916" s="109" t="s">
        <v>1921</v>
      </c>
      <c r="Q916" s="102">
        <v>0</v>
      </c>
      <c r="R916" s="109" t="s">
        <v>1907</v>
      </c>
      <c r="S916" s="109" t="s">
        <v>1922</v>
      </c>
      <c r="T916" s="25"/>
      <c r="U916" s="111" t="s">
        <v>1923</v>
      </c>
      <c r="V916" s="111" t="s">
        <v>1923</v>
      </c>
      <c r="W916" s="112" t="s">
        <v>2583</v>
      </c>
      <c r="X916" s="112" t="s">
        <v>1906</v>
      </c>
      <c r="Y916" s="112" t="s">
        <v>2584</v>
      </c>
      <c r="Z916" s="112" t="s">
        <v>1906</v>
      </c>
      <c r="AA916" s="112" t="s">
        <v>2585</v>
      </c>
      <c r="AB916" s="112" t="s">
        <v>1906</v>
      </c>
      <c r="AC916" s="112">
        <v>82.67</v>
      </c>
      <c r="AD916" s="112" t="s">
        <v>1906</v>
      </c>
      <c r="AE916" s="112">
        <v>32.67</v>
      </c>
      <c r="AF916" s="112" t="s">
        <v>1906</v>
      </c>
      <c r="AG916" s="112">
        <v>0</v>
      </c>
      <c r="AH916" s="112"/>
      <c r="AI916" s="112">
        <v>0</v>
      </c>
      <c r="AJ916" s="112"/>
      <c r="AK916" s="112">
        <v>0</v>
      </c>
      <c r="AL916" s="112"/>
      <c r="AM916" s="112">
        <v>0</v>
      </c>
      <c r="AN916" s="112"/>
      <c r="AO916" s="112">
        <v>67.67</v>
      </c>
      <c r="AP916" s="112" t="s">
        <v>208</v>
      </c>
      <c r="AQ916" s="112">
        <v>82.28</v>
      </c>
      <c r="AR916" s="112" t="s">
        <v>208</v>
      </c>
      <c r="AS916" s="112">
        <v>121.81</v>
      </c>
      <c r="AT916" s="112" t="s">
        <v>208</v>
      </c>
      <c r="AU916" s="112">
        <f t="shared" si="28"/>
        <v>839.54</v>
      </c>
      <c r="AV916" s="111">
        <v>0.42016999999999999</v>
      </c>
      <c r="AW916" s="111" t="s">
        <v>1904</v>
      </c>
      <c r="AX916" s="25"/>
      <c r="AY916" s="25"/>
      <c r="AZ916" s="25"/>
    </row>
    <row r="917" spans="1:52" ht="31.2" x14ac:dyDescent="0.3">
      <c r="A917" s="103">
        <v>907</v>
      </c>
      <c r="B917" s="109" t="s">
        <v>1771</v>
      </c>
      <c r="C917" s="30" t="s">
        <v>1899</v>
      </c>
      <c r="D917" s="110" t="s">
        <v>1900</v>
      </c>
      <c r="E917" s="110" t="s">
        <v>1917</v>
      </c>
      <c r="F917" s="30" t="s">
        <v>2703</v>
      </c>
      <c r="G917" s="26" t="s">
        <v>145</v>
      </c>
      <c r="H917" s="24" t="s">
        <v>146</v>
      </c>
      <c r="I917" s="109">
        <v>1</v>
      </c>
      <c r="J917" s="109" t="s">
        <v>1918</v>
      </c>
      <c r="K917" s="109">
        <v>89</v>
      </c>
      <c r="L917" s="109" t="s">
        <v>1919</v>
      </c>
      <c r="M917" s="109" t="s">
        <v>1904</v>
      </c>
      <c r="N917" s="109" t="s">
        <v>529</v>
      </c>
      <c r="O917" s="109" t="s">
        <v>1920</v>
      </c>
      <c r="P917" s="109" t="s">
        <v>1921</v>
      </c>
      <c r="Q917" s="102">
        <v>0</v>
      </c>
      <c r="R917" s="109" t="s">
        <v>1907</v>
      </c>
      <c r="S917" s="109" t="s">
        <v>1922</v>
      </c>
      <c r="T917" s="25"/>
      <c r="U917" s="111" t="s">
        <v>1923</v>
      </c>
      <c r="V917" s="111" t="s">
        <v>1923</v>
      </c>
      <c r="W917" s="112" t="s">
        <v>2586</v>
      </c>
      <c r="X917" s="112" t="s">
        <v>208</v>
      </c>
      <c r="Y917" s="112" t="s">
        <v>2586</v>
      </c>
      <c r="Z917" s="112" t="s">
        <v>208</v>
      </c>
      <c r="AA917" s="112" t="s">
        <v>2586</v>
      </c>
      <c r="AB917" s="112" t="s">
        <v>208</v>
      </c>
      <c r="AC917" s="112">
        <v>63.27</v>
      </c>
      <c r="AD917" s="112" t="s">
        <v>208</v>
      </c>
      <c r="AE917" s="112">
        <v>20.41</v>
      </c>
      <c r="AF917" s="112" t="s">
        <v>208</v>
      </c>
      <c r="AG917" s="112">
        <v>0</v>
      </c>
      <c r="AH917" s="112"/>
      <c r="AI917" s="112">
        <v>0</v>
      </c>
      <c r="AJ917" s="112"/>
      <c r="AK917" s="112">
        <v>0</v>
      </c>
      <c r="AL917" s="112"/>
      <c r="AM917" s="112">
        <v>0</v>
      </c>
      <c r="AN917" s="112"/>
      <c r="AO917" s="112">
        <v>64.5</v>
      </c>
      <c r="AP917" s="112" t="s">
        <v>208</v>
      </c>
      <c r="AQ917" s="112">
        <v>64.5</v>
      </c>
      <c r="AR917" s="112" t="s">
        <v>208</v>
      </c>
      <c r="AS917" s="112">
        <v>64.5</v>
      </c>
      <c r="AT917" s="112" t="s">
        <v>208</v>
      </c>
      <c r="AU917" s="112">
        <f t="shared" si="28"/>
        <v>466.99</v>
      </c>
      <c r="AV917" s="111">
        <v>0.18267</v>
      </c>
      <c r="AW917" s="111" t="s">
        <v>1904</v>
      </c>
      <c r="AX917" s="25"/>
      <c r="AY917" s="25"/>
      <c r="AZ917" s="25"/>
    </row>
    <row r="918" spans="1:52" ht="31.2" x14ac:dyDescent="0.3">
      <c r="A918" s="103">
        <v>908</v>
      </c>
      <c r="B918" s="109" t="s">
        <v>1773</v>
      </c>
      <c r="C918" s="30" t="s">
        <v>1899</v>
      </c>
      <c r="D918" s="110" t="s">
        <v>1900</v>
      </c>
      <c r="E918" s="110" t="s">
        <v>1917</v>
      </c>
      <c r="F918" s="30" t="s">
        <v>2703</v>
      </c>
      <c r="G918" s="26" t="s">
        <v>145</v>
      </c>
      <c r="H918" s="24" t="s">
        <v>146</v>
      </c>
      <c r="I918" s="109">
        <v>1</v>
      </c>
      <c r="J918" s="109" t="s">
        <v>1918</v>
      </c>
      <c r="K918" s="109">
        <v>108</v>
      </c>
      <c r="L918" s="109" t="s">
        <v>1919</v>
      </c>
      <c r="M918" s="109" t="s">
        <v>1904</v>
      </c>
      <c r="N918" s="109" t="s">
        <v>529</v>
      </c>
      <c r="O918" s="109" t="s">
        <v>1920</v>
      </c>
      <c r="P918" s="109" t="s">
        <v>1921</v>
      </c>
      <c r="Q918" s="102">
        <v>0</v>
      </c>
      <c r="R918" s="109" t="s">
        <v>1907</v>
      </c>
      <c r="S918" s="109" t="s">
        <v>1922</v>
      </c>
      <c r="T918" s="25"/>
      <c r="U918" s="111" t="s">
        <v>1923</v>
      </c>
      <c r="V918" s="111" t="s">
        <v>1923</v>
      </c>
      <c r="W918" s="112" t="s">
        <v>2587</v>
      </c>
      <c r="X918" s="112" t="s">
        <v>1906</v>
      </c>
      <c r="Y918" s="112" t="s">
        <v>2587</v>
      </c>
      <c r="Z918" s="112" t="s">
        <v>1906</v>
      </c>
      <c r="AA918" s="112" t="s">
        <v>2587</v>
      </c>
      <c r="AB918" s="112" t="s">
        <v>1906</v>
      </c>
      <c r="AC918" s="112">
        <v>184.03</v>
      </c>
      <c r="AD918" s="112" t="s">
        <v>1906</v>
      </c>
      <c r="AE918" s="112">
        <v>59.36</v>
      </c>
      <c r="AF918" s="112" t="s">
        <v>1906</v>
      </c>
      <c r="AG918" s="112">
        <v>0</v>
      </c>
      <c r="AH918" s="112"/>
      <c r="AI918" s="112">
        <v>0</v>
      </c>
      <c r="AJ918" s="112"/>
      <c r="AK918" s="112">
        <v>0</v>
      </c>
      <c r="AL918" s="112"/>
      <c r="AM918" s="112">
        <v>0</v>
      </c>
      <c r="AN918" s="112"/>
      <c r="AO918" s="112">
        <v>79.39</v>
      </c>
      <c r="AP918" s="112" t="s">
        <v>208</v>
      </c>
      <c r="AQ918" s="112">
        <v>95.92</v>
      </c>
      <c r="AR918" s="112" t="s">
        <v>208</v>
      </c>
      <c r="AS918" s="112">
        <v>145.41999999999999</v>
      </c>
      <c r="AT918" s="112" t="s">
        <v>208</v>
      </c>
      <c r="AU918" s="112">
        <f t="shared" si="28"/>
        <v>1116.21</v>
      </c>
      <c r="AV918" s="111">
        <v>0.47654000000000002</v>
      </c>
      <c r="AW918" s="111" t="s">
        <v>1904</v>
      </c>
      <c r="AX918" s="25"/>
      <c r="AY918" s="25"/>
      <c r="AZ918" s="25"/>
    </row>
    <row r="919" spans="1:52" ht="31.2" x14ac:dyDescent="0.3">
      <c r="A919" s="103">
        <v>909</v>
      </c>
      <c r="B919" s="109" t="s">
        <v>1775</v>
      </c>
      <c r="C919" s="30" t="s">
        <v>1899</v>
      </c>
      <c r="D919" s="110" t="s">
        <v>1900</v>
      </c>
      <c r="E919" s="110" t="s">
        <v>1917</v>
      </c>
      <c r="F919" s="30" t="s">
        <v>2703</v>
      </c>
      <c r="G919" s="26" t="s">
        <v>145</v>
      </c>
      <c r="H919" s="24" t="s">
        <v>146</v>
      </c>
      <c r="I919" s="109">
        <v>1</v>
      </c>
      <c r="J919" s="109" t="s">
        <v>1918</v>
      </c>
      <c r="K919" s="109">
        <v>108</v>
      </c>
      <c r="L919" s="109" t="s">
        <v>1919</v>
      </c>
      <c r="M919" s="109" t="s">
        <v>1904</v>
      </c>
      <c r="N919" s="109" t="s">
        <v>529</v>
      </c>
      <c r="O919" s="109" t="s">
        <v>1920</v>
      </c>
      <c r="P919" s="109" t="s">
        <v>1921</v>
      </c>
      <c r="Q919" s="102">
        <v>0</v>
      </c>
      <c r="R919" s="109" t="s">
        <v>1907</v>
      </c>
      <c r="S919" s="109" t="s">
        <v>1922</v>
      </c>
      <c r="T919" s="25"/>
      <c r="U919" s="111" t="s">
        <v>1923</v>
      </c>
      <c r="V919" s="111" t="s">
        <v>1923</v>
      </c>
      <c r="W919" s="112" t="s">
        <v>2588</v>
      </c>
      <c r="X919" s="112" t="s">
        <v>1906</v>
      </c>
      <c r="Y919" s="112" t="s">
        <v>2588</v>
      </c>
      <c r="Z919" s="112" t="s">
        <v>1906</v>
      </c>
      <c r="AA919" s="112" t="s">
        <v>2589</v>
      </c>
      <c r="AB919" s="112" t="s">
        <v>1906</v>
      </c>
      <c r="AC919" s="112">
        <v>93.92</v>
      </c>
      <c r="AD919" s="112" t="s">
        <v>1906</v>
      </c>
      <c r="AE919" s="112">
        <v>38.659999999999997</v>
      </c>
      <c r="AF919" s="112" t="s">
        <v>1906</v>
      </c>
      <c r="AG919" s="112">
        <v>0</v>
      </c>
      <c r="AH919" s="112"/>
      <c r="AI919" s="112">
        <v>0</v>
      </c>
      <c r="AJ919" s="112"/>
      <c r="AK919" s="112">
        <v>0</v>
      </c>
      <c r="AL919" s="112"/>
      <c r="AM919" s="112">
        <v>0</v>
      </c>
      <c r="AN919" s="112"/>
      <c r="AO919" s="112">
        <v>70.97</v>
      </c>
      <c r="AP919" s="112" t="s">
        <v>208</v>
      </c>
      <c r="AQ919" s="112">
        <v>88.93</v>
      </c>
      <c r="AR919" s="112" t="s">
        <v>208</v>
      </c>
      <c r="AS919" s="112">
        <v>129.30000000000001</v>
      </c>
      <c r="AT919" s="112" t="s">
        <v>208</v>
      </c>
      <c r="AU919" s="112">
        <f t="shared" si="28"/>
        <v>949.09999999999991</v>
      </c>
      <c r="AV919" s="111">
        <v>0.48054999999999998</v>
      </c>
      <c r="AW919" s="111" t="s">
        <v>1904</v>
      </c>
      <c r="AX919" s="25"/>
      <c r="AY919" s="25"/>
      <c r="AZ919" s="25"/>
    </row>
    <row r="920" spans="1:52" ht="31.2" x14ac:dyDescent="0.3">
      <c r="A920" s="103">
        <v>910</v>
      </c>
      <c r="B920" s="109" t="s">
        <v>1776</v>
      </c>
      <c r="C920" s="30" t="s">
        <v>1899</v>
      </c>
      <c r="D920" s="110" t="s">
        <v>1900</v>
      </c>
      <c r="E920" s="110" t="s">
        <v>1917</v>
      </c>
      <c r="F920" s="30" t="s">
        <v>2703</v>
      </c>
      <c r="G920" s="26" t="s">
        <v>145</v>
      </c>
      <c r="H920" s="24" t="s">
        <v>146</v>
      </c>
      <c r="I920" s="109">
        <v>1</v>
      </c>
      <c r="J920" s="109" t="s">
        <v>1918</v>
      </c>
      <c r="K920" s="109">
        <v>133</v>
      </c>
      <c r="L920" s="109" t="s">
        <v>1919</v>
      </c>
      <c r="M920" s="109" t="s">
        <v>1904</v>
      </c>
      <c r="N920" s="109" t="s">
        <v>529</v>
      </c>
      <c r="O920" s="109" t="s">
        <v>1920</v>
      </c>
      <c r="P920" s="109" t="s">
        <v>1921</v>
      </c>
      <c r="Q920" s="102">
        <v>0</v>
      </c>
      <c r="R920" s="109" t="s">
        <v>1907</v>
      </c>
      <c r="S920" s="109" t="s">
        <v>1922</v>
      </c>
      <c r="T920" s="25"/>
      <c r="U920" s="111" t="s">
        <v>1923</v>
      </c>
      <c r="V920" s="111" t="s">
        <v>1923</v>
      </c>
      <c r="W920" s="112" t="s">
        <v>2590</v>
      </c>
      <c r="X920" s="112" t="s">
        <v>1906</v>
      </c>
      <c r="Y920" s="112" t="s">
        <v>2590</v>
      </c>
      <c r="Z920" s="112" t="s">
        <v>1906</v>
      </c>
      <c r="AA920" s="112" t="s">
        <v>2590</v>
      </c>
      <c r="AB920" s="112" t="s">
        <v>1906</v>
      </c>
      <c r="AC920" s="112">
        <v>186.18</v>
      </c>
      <c r="AD920" s="112" t="s">
        <v>1906</v>
      </c>
      <c r="AE920" s="112">
        <v>60.06</v>
      </c>
      <c r="AF920" s="112" t="s">
        <v>1906</v>
      </c>
      <c r="AG920" s="112">
        <v>0</v>
      </c>
      <c r="AH920" s="112"/>
      <c r="AI920" s="112">
        <v>0</v>
      </c>
      <c r="AJ920" s="112"/>
      <c r="AK920" s="112">
        <v>0</v>
      </c>
      <c r="AL920" s="112"/>
      <c r="AM920" s="112">
        <v>37.049999999999997</v>
      </c>
      <c r="AN920" s="112" t="s">
        <v>1906</v>
      </c>
      <c r="AO920" s="112">
        <v>185.27</v>
      </c>
      <c r="AP920" s="112" t="s">
        <v>1906</v>
      </c>
      <c r="AQ920" s="112">
        <v>185.27</v>
      </c>
      <c r="AR920" s="112" t="s">
        <v>1906</v>
      </c>
      <c r="AS920" s="112">
        <v>185.27</v>
      </c>
      <c r="AT920" s="112" t="s">
        <v>1906</v>
      </c>
      <c r="AU920" s="112">
        <f t="shared" si="28"/>
        <v>1397.6399999999999</v>
      </c>
      <c r="AV920" s="111">
        <v>0.55784</v>
      </c>
      <c r="AW920" s="111" t="s">
        <v>1904</v>
      </c>
      <c r="AX920" s="25"/>
      <c r="AY920" s="25"/>
      <c r="AZ920" s="25"/>
    </row>
    <row r="921" spans="1:52" ht="31.2" x14ac:dyDescent="0.3">
      <c r="A921" s="103">
        <v>911</v>
      </c>
      <c r="B921" s="109" t="s">
        <v>1778</v>
      </c>
      <c r="C921" s="30" t="s">
        <v>1899</v>
      </c>
      <c r="D921" s="110" t="s">
        <v>1900</v>
      </c>
      <c r="E921" s="110" t="s">
        <v>1917</v>
      </c>
      <c r="F921" s="30" t="s">
        <v>2703</v>
      </c>
      <c r="G921" s="26" t="s">
        <v>145</v>
      </c>
      <c r="H921" s="24" t="s">
        <v>146</v>
      </c>
      <c r="I921" s="109">
        <v>1</v>
      </c>
      <c r="J921" s="109" t="s">
        <v>1918</v>
      </c>
      <c r="K921" s="109">
        <v>76</v>
      </c>
      <c r="L921" s="109" t="s">
        <v>1919</v>
      </c>
      <c r="M921" s="109" t="s">
        <v>1904</v>
      </c>
      <c r="N921" s="109" t="s">
        <v>529</v>
      </c>
      <c r="O921" s="109" t="s">
        <v>1920</v>
      </c>
      <c r="P921" s="109" t="s">
        <v>1921</v>
      </c>
      <c r="Q921" s="102">
        <v>0</v>
      </c>
      <c r="R921" s="109" t="s">
        <v>1907</v>
      </c>
      <c r="S921" s="109" t="s">
        <v>1922</v>
      </c>
      <c r="T921" s="25"/>
      <c r="U921" s="111" t="s">
        <v>1923</v>
      </c>
      <c r="V921" s="111" t="s">
        <v>1923</v>
      </c>
      <c r="W921" s="112" t="s">
        <v>2591</v>
      </c>
      <c r="X921" s="112" t="s">
        <v>1906</v>
      </c>
      <c r="Y921" s="112" t="s">
        <v>2591</v>
      </c>
      <c r="Z921" s="112" t="s">
        <v>1906</v>
      </c>
      <c r="AA921" s="112" t="s">
        <v>2591</v>
      </c>
      <c r="AB921" s="112" t="s">
        <v>1906</v>
      </c>
      <c r="AC921" s="112">
        <v>43.55</v>
      </c>
      <c r="AD921" s="112" t="s">
        <v>1906</v>
      </c>
      <c r="AE921" s="112">
        <v>14.05</v>
      </c>
      <c r="AF921" s="112" t="s">
        <v>1906</v>
      </c>
      <c r="AG921" s="112">
        <v>0</v>
      </c>
      <c r="AH921" s="112"/>
      <c r="AI921" s="112">
        <v>0</v>
      </c>
      <c r="AJ921" s="112"/>
      <c r="AK921" s="112">
        <v>0</v>
      </c>
      <c r="AL921" s="112"/>
      <c r="AM921" s="112">
        <v>0</v>
      </c>
      <c r="AN921" s="112"/>
      <c r="AO921" s="112">
        <v>41.6</v>
      </c>
      <c r="AP921" s="112" t="s">
        <v>1906</v>
      </c>
      <c r="AQ921" s="112">
        <v>41.6</v>
      </c>
      <c r="AR921" s="112" t="s">
        <v>1906</v>
      </c>
      <c r="AS921" s="112">
        <v>41.6</v>
      </c>
      <c r="AT921" s="112" t="s">
        <v>1906</v>
      </c>
      <c r="AU921" s="112">
        <f t="shared" si="28"/>
        <v>313.05</v>
      </c>
      <c r="AV921" s="111">
        <v>0.10338</v>
      </c>
      <c r="AW921" s="111" t="s">
        <v>1904</v>
      </c>
      <c r="AX921" s="25"/>
      <c r="AY921" s="25"/>
      <c r="AZ921" s="25"/>
    </row>
    <row r="922" spans="1:52" ht="31.2" x14ac:dyDescent="0.3">
      <c r="A922" s="103">
        <v>912</v>
      </c>
      <c r="B922" s="109" t="s">
        <v>1779</v>
      </c>
      <c r="C922" s="30" t="s">
        <v>1899</v>
      </c>
      <c r="D922" s="110" t="s">
        <v>1900</v>
      </c>
      <c r="E922" s="110" t="s">
        <v>1917</v>
      </c>
      <c r="F922" s="30" t="s">
        <v>2703</v>
      </c>
      <c r="G922" s="26" t="s">
        <v>145</v>
      </c>
      <c r="H922" s="24" t="s">
        <v>146</v>
      </c>
      <c r="I922" s="109">
        <v>1</v>
      </c>
      <c r="J922" s="109" t="s">
        <v>1918</v>
      </c>
      <c r="K922" s="109">
        <v>76</v>
      </c>
      <c r="L922" s="109" t="s">
        <v>1919</v>
      </c>
      <c r="M922" s="109" t="s">
        <v>1904</v>
      </c>
      <c r="N922" s="109" t="s">
        <v>529</v>
      </c>
      <c r="O922" s="109" t="s">
        <v>1920</v>
      </c>
      <c r="P922" s="109" t="s">
        <v>1921</v>
      </c>
      <c r="Q922" s="102">
        <v>0</v>
      </c>
      <c r="R922" s="109" t="s">
        <v>1907</v>
      </c>
      <c r="S922" s="109" t="s">
        <v>1922</v>
      </c>
      <c r="T922" s="25"/>
      <c r="U922" s="111" t="s">
        <v>1923</v>
      </c>
      <c r="V922" s="111" t="s">
        <v>1923</v>
      </c>
      <c r="W922" s="112" t="s">
        <v>2591</v>
      </c>
      <c r="X922" s="112" t="s">
        <v>1906</v>
      </c>
      <c r="Y922" s="112" t="s">
        <v>2591</v>
      </c>
      <c r="Z922" s="112" t="s">
        <v>1906</v>
      </c>
      <c r="AA922" s="112" t="s">
        <v>2591</v>
      </c>
      <c r="AB922" s="112" t="s">
        <v>1906</v>
      </c>
      <c r="AC922" s="112">
        <v>43.55</v>
      </c>
      <c r="AD922" s="112" t="s">
        <v>1906</v>
      </c>
      <c r="AE922" s="112">
        <v>14.05</v>
      </c>
      <c r="AF922" s="112" t="s">
        <v>1906</v>
      </c>
      <c r="AG922" s="112">
        <v>0</v>
      </c>
      <c r="AH922" s="112"/>
      <c r="AI922" s="112">
        <v>0</v>
      </c>
      <c r="AJ922" s="112"/>
      <c r="AK922" s="112">
        <v>0</v>
      </c>
      <c r="AL922" s="112"/>
      <c r="AM922" s="112">
        <v>0</v>
      </c>
      <c r="AN922" s="112"/>
      <c r="AO922" s="112">
        <v>41.6</v>
      </c>
      <c r="AP922" s="112" t="s">
        <v>1906</v>
      </c>
      <c r="AQ922" s="112">
        <v>41.6</v>
      </c>
      <c r="AR922" s="112" t="s">
        <v>1906</v>
      </c>
      <c r="AS922" s="112">
        <v>41.6</v>
      </c>
      <c r="AT922" s="112" t="s">
        <v>1906</v>
      </c>
      <c r="AU922" s="112">
        <f t="shared" si="28"/>
        <v>313.05</v>
      </c>
      <c r="AV922" s="111">
        <v>0.10338</v>
      </c>
      <c r="AW922" s="111" t="s">
        <v>1904</v>
      </c>
      <c r="AX922" s="25"/>
      <c r="AY922" s="25"/>
      <c r="AZ922" s="25"/>
    </row>
    <row r="923" spans="1:52" ht="31.2" x14ac:dyDescent="0.3">
      <c r="A923" s="103">
        <v>913</v>
      </c>
      <c r="B923" s="109" t="s">
        <v>1781</v>
      </c>
      <c r="C923" s="30" t="s">
        <v>1899</v>
      </c>
      <c r="D923" s="110" t="s">
        <v>1900</v>
      </c>
      <c r="E923" s="110" t="s">
        <v>1917</v>
      </c>
      <c r="F923" s="30" t="s">
        <v>2703</v>
      </c>
      <c r="G923" s="26" t="s">
        <v>145</v>
      </c>
      <c r="H923" s="24" t="s">
        <v>146</v>
      </c>
      <c r="I923" s="109">
        <v>1</v>
      </c>
      <c r="J923" s="109" t="s">
        <v>1918</v>
      </c>
      <c r="K923" s="109">
        <v>76</v>
      </c>
      <c r="L923" s="109" t="s">
        <v>1919</v>
      </c>
      <c r="M923" s="109" t="s">
        <v>1904</v>
      </c>
      <c r="N923" s="109" t="s">
        <v>529</v>
      </c>
      <c r="O923" s="109" t="s">
        <v>1920</v>
      </c>
      <c r="P923" s="109" t="s">
        <v>1921</v>
      </c>
      <c r="Q923" s="102">
        <v>0</v>
      </c>
      <c r="R923" s="109" t="s">
        <v>1907</v>
      </c>
      <c r="S923" s="109" t="s">
        <v>1922</v>
      </c>
      <c r="T923" s="25"/>
      <c r="U923" s="111" t="s">
        <v>1923</v>
      </c>
      <c r="V923" s="111" t="s">
        <v>1923</v>
      </c>
      <c r="W923" s="112" t="s">
        <v>2592</v>
      </c>
      <c r="X923" s="112" t="s">
        <v>208</v>
      </c>
      <c r="Y923" s="112" t="s">
        <v>2592</v>
      </c>
      <c r="Z923" s="112" t="s">
        <v>208</v>
      </c>
      <c r="AA923" s="112" t="s">
        <v>2592</v>
      </c>
      <c r="AB923" s="112" t="s">
        <v>208</v>
      </c>
      <c r="AC923" s="112">
        <v>84.99</v>
      </c>
      <c r="AD923" s="112" t="s">
        <v>208</v>
      </c>
      <c r="AE923" s="112">
        <v>27.42</v>
      </c>
      <c r="AF923" s="112" t="s">
        <v>208</v>
      </c>
      <c r="AG923" s="112">
        <v>0</v>
      </c>
      <c r="AH923" s="112"/>
      <c r="AI923" s="112">
        <v>0</v>
      </c>
      <c r="AJ923" s="112"/>
      <c r="AK923" s="112">
        <v>0</v>
      </c>
      <c r="AL923" s="112"/>
      <c r="AM923" s="112">
        <v>16.23</v>
      </c>
      <c r="AN923" s="112" t="s">
        <v>1906</v>
      </c>
      <c r="AO923" s="112">
        <v>81.16</v>
      </c>
      <c r="AP923" s="112" t="s">
        <v>1906</v>
      </c>
      <c r="AQ923" s="112">
        <v>81.16</v>
      </c>
      <c r="AR923" s="112" t="s">
        <v>1906</v>
      </c>
      <c r="AS923" s="112">
        <v>81.16</v>
      </c>
      <c r="AT923" s="112" t="s">
        <v>1906</v>
      </c>
      <c r="AU923" s="112">
        <f t="shared" si="28"/>
        <v>627.08999999999992</v>
      </c>
      <c r="AV923" s="111">
        <v>0.25231999999999999</v>
      </c>
      <c r="AW923" s="111" t="s">
        <v>1904</v>
      </c>
      <c r="AX923" s="25"/>
      <c r="AY923" s="25"/>
      <c r="AZ923" s="25"/>
    </row>
    <row r="924" spans="1:52" ht="31.2" x14ac:dyDescent="0.3">
      <c r="A924" s="103">
        <v>914</v>
      </c>
      <c r="B924" s="109" t="s">
        <v>1782</v>
      </c>
      <c r="C924" s="30" t="s">
        <v>1899</v>
      </c>
      <c r="D924" s="110" t="s">
        <v>1900</v>
      </c>
      <c r="E924" s="110" t="s">
        <v>1917</v>
      </c>
      <c r="F924" s="30" t="s">
        <v>2703</v>
      </c>
      <c r="G924" s="26" t="s">
        <v>145</v>
      </c>
      <c r="H924" s="24" t="s">
        <v>146</v>
      </c>
      <c r="I924" s="109">
        <v>1</v>
      </c>
      <c r="J924" s="109" t="s">
        <v>1918</v>
      </c>
      <c r="K924" s="109">
        <v>76</v>
      </c>
      <c r="L924" s="109" t="s">
        <v>1919</v>
      </c>
      <c r="M924" s="109" t="s">
        <v>1904</v>
      </c>
      <c r="N924" s="109" t="s">
        <v>529</v>
      </c>
      <c r="O924" s="109" t="s">
        <v>1920</v>
      </c>
      <c r="P924" s="109" t="s">
        <v>1921</v>
      </c>
      <c r="Q924" s="102">
        <v>0</v>
      </c>
      <c r="R924" s="109" t="s">
        <v>1907</v>
      </c>
      <c r="S924" s="109" t="s">
        <v>1922</v>
      </c>
      <c r="T924" s="25"/>
      <c r="U924" s="111" t="s">
        <v>1923</v>
      </c>
      <c r="V924" s="111" t="s">
        <v>1923</v>
      </c>
      <c r="W924" s="112" t="s">
        <v>2592</v>
      </c>
      <c r="X924" s="112" t="s">
        <v>1906</v>
      </c>
      <c r="Y924" s="112" t="s">
        <v>2592</v>
      </c>
      <c r="Z924" s="112" t="s">
        <v>1906</v>
      </c>
      <c r="AA924" s="112" t="s">
        <v>2592</v>
      </c>
      <c r="AB924" s="112" t="s">
        <v>1906</v>
      </c>
      <c r="AC924" s="112">
        <v>84.99</v>
      </c>
      <c r="AD924" s="112" t="s">
        <v>1906</v>
      </c>
      <c r="AE924" s="112">
        <v>27.42</v>
      </c>
      <c r="AF924" s="112" t="s">
        <v>1906</v>
      </c>
      <c r="AG924" s="112">
        <v>0</v>
      </c>
      <c r="AH924" s="112"/>
      <c r="AI924" s="112">
        <v>0</v>
      </c>
      <c r="AJ924" s="112"/>
      <c r="AK924" s="112">
        <v>0</v>
      </c>
      <c r="AL924" s="112"/>
      <c r="AM924" s="112">
        <v>16.23</v>
      </c>
      <c r="AN924" s="112" t="s">
        <v>1906</v>
      </c>
      <c r="AO924" s="112">
        <v>81.16</v>
      </c>
      <c r="AP924" s="112" t="s">
        <v>1906</v>
      </c>
      <c r="AQ924" s="112">
        <v>81.16</v>
      </c>
      <c r="AR924" s="112" t="s">
        <v>1906</v>
      </c>
      <c r="AS924" s="112">
        <v>81.16</v>
      </c>
      <c r="AT924" s="112" t="s">
        <v>1906</v>
      </c>
      <c r="AU924" s="112">
        <f t="shared" si="28"/>
        <v>627.08999999999992</v>
      </c>
      <c r="AV924" s="111">
        <v>0.25231999999999999</v>
      </c>
      <c r="AW924" s="111" t="s">
        <v>1904</v>
      </c>
      <c r="AX924" s="25"/>
      <c r="AY924" s="25"/>
      <c r="AZ924" s="25"/>
    </row>
    <row r="925" spans="1:52" ht="31.2" x14ac:dyDescent="0.3">
      <c r="A925" s="103">
        <v>915</v>
      </c>
      <c r="B925" s="109" t="s">
        <v>1783</v>
      </c>
      <c r="C925" s="30" t="s">
        <v>1899</v>
      </c>
      <c r="D925" s="110" t="s">
        <v>1900</v>
      </c>
      <c r="E925" s="110" t="s">
        <v>1917</v>
      </c>
      <c r="F925" s="30" t="s">
        <v>2703</v>
      </c>
      <c r="G925" s="26" t="s">
        <v>145</v>
      </c>
      <c r="H925" s="24" t="s">
        <v>146</v>
      </c>
      <c r="I925" s="109">
        <v>1</v>
      </c>
      <c r="J925" s="109" t="s">
        <v>1918</v>
      </c>
      <c r="K925" s="109">
        <v>89</v>
      </c>
      <c r="L925" s="109" t="s">
        <v>1919</v>
      </c>
      <c r="M925" s="109" t="s">
        <v>1904</v>
      </c>
      <c r="N925" s="109" t="s">
        <v>529</v>
      </c>
      <c r="O925" s="109" t="s">
        <v>1920</v>
      </c>
      <c r="P925" s="109" t="s">
        <v>1921</v>
      </c>
      <c r="Q925" s="102">
        <v>0</v>
      </c>
      <c r="R925" s="109" t="s">
        <v>1907</v>
      </c>
      <c r="S925" s="109" t="s">
        <v>1922</v>
      </c>
      <c r="T925" s="25"/>
      <c r="U925" s="111" t="s">
        <v>1923</v>
      </c>
      <c r="V925" s="111" t="s">
        <v>1923</v>
      </c>
      <c r="W925" s="112" t="s">
        <v>2593</v>
      </c>
      <c r="X925" s="112" t="s">
        <v>1906</v>
      </c>
      <c r="Y925" s="112" t="s">
        <v>2593</v>
      </c>
      <c r="Z925" s="112" t="s">
        <v>1906</v>
      </c>
      <c r="AA925" s="112" t="s">
        <v>2593</v>
      </c>
      <c r="AB925" s="112" t="s">
        <v>1906</v>
      </c>
      <c r="AC925" s="112">
        <v>73.66</v>
      </c>
      <c r="AD925" s="112" t="s">
        <v>1906</v>
      </c>
      <c r="AE925" s="112">
        <v>23.77</v>
      </c>
      <c r="AF925" s="112" t="s">
        <v>1906</v>
      </c>
      <c r="AG925" s="112">
        <v>0</v>
      </c>
      <c r="AH925" s="112"/>
      <c r="AI925" s="112">
        <v>0</v>
      </c>
      <c r="AJ925" s="112"/>
      <c r="AK925" s="112">
        <v>0</v>
      </c>
      <c r="AL925" s="112"/>
      <c r="AM925" s="112">
        <v>0</v>
      </c>
      <c r="AN925" s="112"/>
      <c r="AO925" s="112">
        <v>75.069999999999993</v>
      </c>
      <c r="AP925" s="112" t="s">
        <v>1906</v>
      </c>
      <c r="AQ925" s="112">
        <v>75.069999999999993</v>
      </c>
      <c r="AR925" s="112" t="s">
        <v>1906</v>
      </c>
      <c r="AS925" s="112">
        <v>75.069999999999993</v>
      </c>
      <c r="AT925" s="112" t="s">
        <v>1906</v>
      </c>
      <c r="AU925" s="112">
        <f t="shared" si="28"/>
        <v>543.61999999999989</v>
      </c>
      <c r="AV925" s="111">
        <v>0.21378</v>
      </c>
      <c r="AW925" s="111" t="s">
        <v>1904</v>
      </c>
      <c r="AX925" s="25"/>
      <c r="AY925" s="25"/>
      <c r="AZ925" s="25"/>
    </row>
    <row r="926" spans="1:52" ht="31.2" x14ac:dyDescent="0.3">
      <c r="A926" s="103">
        <v>916</v>
      </c>
      <c r="B926" s="109" t="s">
        <v>1784</v>
      </c>
      <c r="C926" s="30" t="s">
        <v>1899</v>
      </c>
      <c r="D926" s="110" t="s">
        <v>1900</v>
      </c>
      <c r="E926" s="110" t="s">
        <v>1917</v>
      </c>
      <c r="F926" s="30" t="s">
        <v>2703</v>
      </c>
      <c r="G926" s="26" t="s">
        <v>145</v>
      </c>
      <c r="H926" s="24" t="s">
        <v>146</v>
      </c>
      <c r="I926" s="109">
        <v>1</v>
      </c>
      <c r="J926" s="109" t="s">
        <v>1918</v>
      </c>
      <c r="K926" s="109">
        <v>108</v>
      </c>
      <c r="L926" s="109" t="s">
        <v>1919</v>
      </c>
      <c r="M926" s="109" t="s">
        <v>1904</v>
      </c>
      <c r="N926" s="109" t="s">
        <v>529</v>
      </c>
      <c r="O926" s="109" t="s">
        <v>1920</v>
      </c>
      <c r="P926" s="109" t="s">
        <v>1921</v>
      </c>
      <c r="Q926" s="102">
        <v>0</v>
      </c>
      <c r="R926" s="109" t="s">
        <v>1907</v>
      </c>
      <c r="S926" s="109" t="s">
        <v>1922</v>
      </c>
      <c r="T926" s="25"/>
      <c r="U926" s="111" t="s">
        <v>1923</v>
      </c>
      <c r="V926" s="111" t="s">
        <v>1923</v>
      </c>
      <c r="W926" s="112" t="s">
        <v>2594</v>
      </c>
      <c r="X926" s="112" t="s">
        <v>208</v>
      </c>
      <c r="Y926" s="112" t="s">
        <v>2595</v>
      </c>
      <c r="Z926" s="112" t="s">
        <v>208</v>
      </c>
      <c r="AA926" s="112" t="s">
        <v>2596</v>
      </c>
      <c r="AB926" s="112" t="s">
        <v>208</v>
      </c>
      <c r="AC926" s="112">
        <v>100.6</v>
      </c>
      <c r="AD926" s="112" t="s">
        <v>208</v>
      </c>
      <c r="AE926" s="112">
        <v>41.51</v>
      </c>
      <c r="AF926" s="112" t="s">
        <v>208</v>
      </c>
      <c r="AG926" s="112">
        <v>0</v>
      </c>
      <c r="AH926" s="112"/>
      <c r="AI926" s="112">
        <v>0</v>
      </c>
      <c r="AJ926" s="112"/>
      <c r="AK926" s="112">
        <v>0</v>
      </c>
      <c r="AL926" s="112"/>
      <c r="AM926" s="112">
        <v>0</v>
      </c>
      <c r="AN926" s="112"/>
      <c r="AO926" s="112">
        <v>85.75</v>
      </c>
      <c r="AP926" s="112" t="s">
        <v>208</v>
      </c>
      <c r="AQ926" s="112">
        <v>99.13</v>
      </c>
      <c r="AR926" s="112" t="s">
        <v>208</v>
      </c>
      <c r="AS926" s="112">
        <v>142.4</v>
      </c>
      <c r="AT926" s="112" t="s">
        <v>208</v>
      </c>
      <c r="AU926" s="112">
        <f t="shared" si="28"/>
        <v>1062.03</v>
      </c>
      <c r="AV926" s="111">
        <v>0.45867000000000002</v>
      </c>
      <c r="AW926" s="111" t="s">
        <v>1904</v>
      </c>
      <c r="AX926" s="25"/>
      <c r="AY926" s="25"/>
      <c r="AZ926" s="25"/>
    </row>
    <row r="927" spans="1:52" ht="31.2" x14ac:dyDescent="0.3">
      <c r="A927" s="103">
        <v>917</v>
      </c>
      <c r="B927" s="109" t="s">
        <v>1785</v>
      </c>
      <c r="C927" s="30" t="s">
        <v>1899</v>
      </c>
      <c r="D927" s="110" t="s">
        <v>1900</v>
      </c>
      <c r="E927" s="110" t="s">
        <v>1917</v>
      </c>
      <c r="F927" s="30" t="s">
        <v>2703</v>
      </c>
      <c r="G927" s="26" t="s">
        <v>145</v>
      </c>
      <c r="H927" s="24" t="s">
        <v>146</v>
      </c>
      <c r="I927" s="109">
        <v>1</v>
      </c>
      <c r="J927" s="109" t="s">
        <v>1918</v>
      </c>
      <c r="K927" s="109">
        <v>108</v>
      </c>
      <c r="L927" s="109" t="s">
        <v>1919</v>
      </c>
      <c r="M927" s="109" t="s">
        <v>1904</v>
      </c>
      <c r="N927" s="109" t="s">
        <v>529</v>
      </c>
      <c r="O927" s="109" t="s">
        <v>1920</v>
      </c>
      <c r="P927" s="109" t="s">
        <v>1921</v>
      </c>
      <c r="Q927" s="102">
        <v>0</v>
      </c>
      <c r="R927" s="109" t="s">
        <v>1907</v>
      </c>
      <c r="S927" s="109" t="s">
        <v>1922</v>
      </c>
      <c r="T927" s="25"/>
      <c r="U927" s="111" t="s">
        <v>1923</v>
      </c>
      <c r="V927" s="111" t="s">
        <v>1923</v>
      </c>
      <c r="W927" s="112" t="s">
        <v>2597</v>
      </c>
      <c r="X927" s="112" t="s">
        <v>208</v>
      </c>
      <c r="Y927" s="112">
        <v>122</v>
      </c>
      <c r="Z927" s="112" t="s">
        <v>208</v>
      </c>
      <c r="AA927" s="112" t="s">
        <v>2598</v>
      </c>
      <c r="AB927" s="112" t="s">
        <v>208</v>
      </c>
      <c r="AC927" s="112">
        <v>84.33</v>
      </c>
      <c r="AD927" s="112" t="s">
        <v>208</v>
      </c>
      <c r="AE927" s="112">
        <v>38.01</v>
      </c>
      <c r="AF927" s="112" t="s">
        <v>208</v>
      </c>
      <c r="AG927" s="112">
        <v>0</v>
      </c>
      <c r="AH927" s="112"/>
      <c r="AI927" s="112">
        <v>0</v>
      </c>
      <c r="AJ927" s="112"/>
      <c r="AK927" s="112">
        <v>0</v>
      </c>
      <c r="AL927" s="112"/>
      <c r="AM927" s="112">
        <v>0</v>
      </c>
      <c r="AN927" s="112"/>
      <c r="AO927" s="112">
        <v>65.489999999999995</v>
      </c>
      <c r="AP927" s="112" t="s">
        <v>208</v>
      </c>
      <c r="AQ927" s="112">
        <v>81.45</v>
      </c>
      <c r="AR927" s="112" t="s">
        <v>208</v>
      </c>
      <c r="AS927" s="112">
        <v>122.49</v>
      </c>
      <c r="AT927" s="112" t="s">
        <v>208</v>
      </c>
      <c r="AU927" s="112">
        <f t="shared" si="28"/>
        <v>904.7600000000001</v>
      </c>
      <c r="AV927" s="111">
        <v>0.46328999999999998</v>
      </c>
      <c r="AW927" s="111" t="s">
        <v>1904</v>
      </c>
      <c r="AX927" s="25"/>
      <c r="AY927" s="25"/>
      <c r="AZ927" s="25"/>
    </row>
    <row r="928" spans="1:52" ht="31.2" x14ac:dyDescent="0.3">
      <c r="A928" s="103">
        <v>918</v>
      </c>
      <c r="B928" s="109" t="s">
        <v>1786</v>
      </c>
      <c r="C928" s="30" t="s">
        <v>1899</v>
      </c>
      <c r="D928" s="110" t="s">
        <v>1900</v>
      </c>
      <c r="E928" s="110" t="s">
        <v>1917</v>
      </c>
      <c r="F928" s="30" t="s">
        <v>2703</v>
      </c>
      <c r="G928" s="26" t="s">
        <v>145</v>
      </c>
      <c r="H928" s="24" t="s">
        <v>146</v>
      </c>
      <c r="I928" s="109">
        <v>1</v>
      </c>
      <c r="J928" s="109" t="s">
        <v>1918</v>
      </c>
      <c r="K928" s="109">
        <v>89</v>
      </c>
      <c r="L928" s="109" t="s">
        <v>1919</v>
      </c>
      <c r="M928" s="109" t="s">
        <v>1904</v>
      </c>
      <c r="N928" s="109" t="s">
        <v>529</v>
      </c>
      <c r="O928" s="109" t="s">
        <v>1920</v>
      </c>
      <c r="P928" s="109" t="s">
        <v>1921</v>
      </c>
      <c r="Q928" s="102">
        <v>0</v>
      </c>
      <c r="R928" s="109" t="s">
        <v>1907</v>
      </c>
      <c r="S928" s="109" t="s">
        <v>1922</v>
      </c>
      <c r="T928" s="25"/>
      <c r="U928" s="111" t="s">
        <v>1923</v>
      </c>
      <c r="V928" s="111" t="s">
        <v>1923</v>
      </c>
      <c r="W928" s="112" t="s">
        <v>2599</v>
      </c>
      <c r="X928" s="112" t="s">
        <v>1906</v>
      </c>
      <c r="Y928" s="112" t="s">
        <v>2600</v>
      </c>
      <c r="Z928" s="112" t="s">
        <v>1906</v>
      </c>
      <c r="AA928" s="112" t="s">
        <v>2601</v>
      </c>
      <c r="AB928" s="112" t="s">
        <v>1906</v>
      </c>
      <c r="AC928" s="112">
        <v>50.13</v>
      </c>
      <c r="AD928" s="112" t="s">
        <v>1906</v>
      </c>
      <c r="AE928" s="112">
        <v>22.5</v>
      </c>
      <c r="AF928" s="112" t="s">
        <v>1906</v>
      </c>
      <c r="AG928" s="112">
        <v>0</v>
      </c>
      <c r="AH928" s="112"/>
      <c r="AI928" s="112">
        <v>0</v>
      </c>
      <c r="AJ928" s="112"/>
      <c r="AK928" s="112">
        <v>0</v>
      </c>
      <c r="AL928" s="112"/>
      <c r="AM928" s="112">
        <v>0</v>
      </c>
      <c r="AN928" s="112"/>
      <c r="AO928" s="112">
        <v>76.13</v>
      </c>
      <c r="AP928" s="112" t="s">
        <v>208</v>
      </c>
      <c r="AQ928" s="112">
        <v>36.520000000000003</v>
      </c>
      <c r="AR928" s="112" t="s">
        <v>208</v>
      </c>
      <c r="AS928" s="112">
        <v>76.23</v>
      </c>
      <c r="AT928" s="112" t="s">
        <v>208</v>
      </c>
      <c r="AU928" s="112">
        <f t="shared" si="28"/>
        <v>554.87</v>
      </c>
      <c r="AV928" s="111">
        <v>0.23685999999999999</v>
      </c>
      <c r="AW928" s="111" t="s">
        <v>1904</v>
      </c>
      <c r="AX928" s="25"/>
      <c r="AY928" s="25"/>
      <c r="AZ928" s="25"/>
    </row>
    <row r="929" spans="1:52" ht="31.2" x14ac:dyDescent="0.3">
      <c r="A929" s="103">
        <v>919</v>
      </c>
      <c r="B929" s="109" t="s">
        <v>1788</v>
      </c>
      <c r="C929" s="30" t="s">
        <v>1899</v>
      </c>
      <c r="D929" s="110" t="s">
        <v>1900</v>
      </c>
      <c r="E929" s="110" t="s">
        <v>1917</v>
      </c>
      <c r="F929" s="30" t="s">
        <v>2703</v>
      </c>
      <c r="G929" s="26" t="s">
        <v>145</v>
      </c>
      <c r="H929" s="24" t="s">
        <v>146</v>
      </c>
      <c r="I929" s="109">
        <v>0</v>
      </c>
      <c r="J929" s="109" t="s">
        <v>1918</v>
      </c>
      <c r="K929" s="109">
        <v>40</v>
      </c>
      <c r="L929" s="109" t="s">
        <v>1919</v>
      </c>
      <c r="M929" s="109" t="s">
        <v>1904</v>
      </c>
      <c r="N929" s="109" t="s">
        <v>529</v>
      </c>
      <c r="O929" s="109" t="s">
        <v>1920</v>
      </c>
      <c r="P929" s="109" t="s">
        <v>1920</v>
      </c>
      <c r="Q929" s="102">
        <v>0</v>
      </c>
      <c r="R929" s="109" t="s">
        <v>1907</v>
      </c>
      <c r="S929" s="109" t="s">
        <v>1922</v>
      </c>
      <c r="T929" s="25"/>
      <c r="U929" s="111" t="s">
        <v>1923</v>
      </c>
      <c r="V929" s="111" t="s">
        <v>1923</v>
      </c>
      <c r="W929" s="112" t="s">
        <v>2602</v>
      </c>
      <c r="X929" s="112" t="s">
        <v>1906</v>
      </c>
      <c r="Y929" s="112" t="s">
        <v>2602</v>
      </c>
      <c r="Z929" s="112" t="s">
        <v>1906</v>
      </c>
      <c r="AA929" s="112" t="s">
        <v>2602</v>
      </c>
      <c r="AB929" s="112" t="s">
        <v>1906</v>
      </c>
      <c r="AC929" s="112">
        <v>4.43</v>
      </c>
      <c r="AD929" s="112" t="s">
        <v>1906</v>
      </c>
      <c r="AE929" s="112">
        <v>1.28</v>
      </c>
      <c r="AF929" s="112" t="s">
        <v>1906</v>
      </c>
      <c r="AG929" s="112">
        <v>0</v>
      </c>
      <c r="AH929" s="112"/>
      <c r="AI929" s="112">
        <v>0</v>
      </c>
      <c r="AJ929" s="112"/>
      <c r="AK929" s="112">
        <v>0</v>
      </c>
      <c r="AL929" s="112"/>
      <c r="AM929" s="112">
        <v>1.05</v>
      </c>
      <c r="AN929" s="112" t="s">
        <v>1906</v>
      </c>
      <c r="AO929" s="112">
        <v>6.59</v>
      </c>
      <c r="AP929" s="112" t="s">
        <v>1906</v>
      </c>
      <c r="AQ929" s="112">
        <v>4.49</v>
      </c>
      <c r="AR929" s="112" t="s">
        <v>1906</v>
      </c>
      <c r="AS929" s="112">
        <v>4.49</v>
      </c>
      <c r="AT929" s="112" t="s">
        <v>1906</v>
      </c>
      <c r="AU929" s="112">
        <f t="shared" si="28"/>
        <v>35.620000000000005</v>
      </c>
      <c r="AV929" s="111">
        <v>3.0110000000000001E-2</v>
      </c>
      <c r="AW929" s="111" t="s">
        <v>1904</v>
      </c>
      <c r="AX929" s="25"/>
      <c r="AY929" s="25"/>
      <c r="AZ929" s="25"/>
    </row>
    <row r="930" spans="1:52" ht="31.2" x14ac:dyDescent="0.3">
      <c r="A930" s="103">
        <v>920</v>
      </c>
      <c r="B930" s="109" t="s">
        <v>1789</v>
      </c>
      <c r="C930" s="30" t="s">
        <v>1899</v>
      </c>
      <c r="D930" s="110" t="s">
        <v>1900</v>
      </c>
      <c r="E930" s="110" t="s">
        <v>1917</v>
      </c>
      <c r="F930" s="30" t="s">
        <v>2703</v>
      </c>
      <c r="G930" s="26" t="s">
        <v>145</v>
      </c>
      <c r="H930" s="24" t="s">
        <v>146</v>
      </c>
      <c r="I930" s="109">
        <v>1</v>
      </c>
      <c r="J930" s="109" t="s">
        <v>1918</v>
      </c>
      <c r="K930" s="109">
        <v>108</v>
      </c>
      <c r="L930" s="109" t="s">
        <v>1919</v>
      </c>
      <c r="M930" s="109" t="s">
        <v>1904</v>
      </c>
      <c r="N930" s="109" t="s">
        <v>529</v>
      </c>
      <c r="O930" s="109" t="s">
        <v>1920</v>
      </c>
      <c r="P930" s="109" t="s">
        <v>1921</v>
      </c>
      <c r="Q930" s="102">
        <v>0</v>
      </c>
      <c r="R930" s="109" t="s">
        <v>1907</v>
      </c>
      <c r="S930" s="109" t="s">
        <v>1922</v>
      </c>
      <c r="T930" s="25"/>
      <c r="U930" s="111" t="s">
        <v>1923</v>
      </c>
      <c r="V930" s="111" t="s">
        <v>1923</v>
      </c>
      <c r="W930" s="112" t="s">
        <v>2603</v>
      </c>
      <c r="X930" s="112" t="s">
        <v>1906</v>
      </c>
      <c r="Y930" s="112" t="s">
        <v>2604</v>
      </c>
      <c r="Z930" s="112" t="s">
        <v>1906</v>
      </c>
      <c r="AA930" s="112">
        <v>239</v>
      </c>
      <c r="AB930" s="112" t="s">
        <v>1906</v>
      </c>
      <c r="AC930" s="112">
        <v>108.53</v>
      </c>
      <c r="AD930" s="112" t="s">
        <v>1906</v>
      </c>
      <c r="AE930" s="112">
        <v>50.9</v>
      </c>
      <c r="AF930" s="112" t="s">
        <v>1906</v>
      </c>
      <c r="AG930" s="112">
        <v>0</v>
      </c>
      <c r="AH930" s="112"/>
      <c r="AI930" s="112">
        <v>0</v>
      </c>
      <c r="AJ930" s="112"/>
      <c r="AK930" s="112">
        <v>0</v>
      </c>
      <c r="AL930" s="112"/>
      <c r="AM930" s="112">
        <v>0</v>
      </c>
      <c r="AN930" s="112"/>
      <c r="AO930" s="112">
        <v>92.67</v>
      </c>
      <c r="AP930" s="112" t="s">
        <v>208</v>
      </c>
      <c r="AQ930" s="112">
        <v>107.98</v>
      </c>
      <c r="AR930" s="112" t="s">
        <v>208</v>
      </c>
      <c r="AS930" s="112">
        <v>165.83</v>
      </c>
      <c r="AT930" s="112" t="s">
        <v>208</v>
      </c>
      <c r="AU930" s="112">
        <f t="shared" si="28"/>
        <v>1149.48</v>
      </c>
      <c r="AV930" s="111">
        <v>0.44362000000000001</v>
      </c>
      <c r="AW930" s="111" t="s">
        <v>1904</v>
      </c>
      <c r="AX930" s="25"/>
      <c r="AY930" s="25"/>
      <c r="AZ930" s="25"/>
    </row>
    <row r="931" spans="1:52" ht="31.2" x14ac:dyDescent="0.3">
      <c r="A931" s="103">
        <v>921</v>
      </c>
      <c r="B931" s="109" t="s">
        <v>1791</v>
      </c>
      <c r="C931" s="30" t="s">
        <v>1899</v>
      </c>
      <c r="D931" s="110" t="s">
        <v>1900</v>
      </c>
      <c r="E931" s="110" t="s">
        <v>1917</v>
      </c>
      <c r="F931" s="30" t="s">
        <v>2703</v>
      </c>
      <c r="G931" s="26" t="s">
        <v>145</v>
      </c>
      <c r="H931" s="24" t="s">
        <v>146</v>
      </c>
      <c r="I931" s="109">
        <v>1</v>
      </c>
      <c r="J931" s="109" t="s">
        <v>1918</v>
      </c>
      <c r="K931" s="109">
        <v>89</v>
      </c>
      <c r="L931" s="109" t="s">
        <v>1919</v>
      </c>
      <c r="M931" s="109" t="s">
        <v>1904</v>
      </c>
      <c r="N931" s="109" t="s">
        <v>529</v>
      </c>
      <c r="O931" s="109" t="s">
        <v>1920</v>
      </c>
      <c r="P931" s="109" t="s">
        <v>1921</v>
      </c>
      <c r="Q931" s="102">
        <v>0</v>
      </c>
      <c r="R931" s="109" t="s">
        <v>1907</v>
      </c>
      <c r="S931" s="109" t="s">
        <v>1922</v>
      </c>
      <c r="T931" s="25"/>
      <c r="U931" s="111" t="s">
        <v>1923</v>
      </c>
      <c r="V931" s="111" t="s">
        <v>1923</v>
      </c>
      <c r="W931" s="112" t="s">
        <v>2605</v>
      </c>
      <c r="X931" s="112" t="s">
        <v>1906</v>
      </c>
      <c r="Y931" s="112" t="s">
        <v>2605</v>
      </c>
      <c r="Z931" s="112" t="s">
        <v>1906</v>
      </c>
      <c r="AA931" s="112" t="s">
        <v>2605</v>
      </c>
      <c r="AB931" s="112" t="s">
        <v>1906</v>
      </c>
      <c r="AC931" s="112">
        <v>110.17</v>
      </c>
      <c r="AD931" s="112" t="s">
        <v>1906</v>
      </c>
      <c r="AE931" s="112">
        <v>31.99</v>
      </c>
      <c r="AF931" s="112" t="s">
        <v>1906</v>
      </c>
      <c r="AG931" s="112">
        <v>0</v>
      </c>
      <c r="AH931" s="112"/>
      <c r="AI931" s="112">
        <v>0</v>
      </c>
      <c r="AJ931" s="112"/>
      <c r="AK931" s="112">
        <v>0</v>
      </c>
      <c r="AL931" s="112"/>
      <c r="AM931" s="112">
        <v>24.55</v>
      </c>
      <c r="AN931" s="112" t="s">
        <v>1906</v>
      </c>
      <c r="AO931" s="112">
        <v>105.22</v>
      </c>
      <c r="AP931" s="112" t="s">
        <v>1906</v>
      </c>
      <c r="AQ931" s="112">
        <v>105.22</v>
      </c>
      <c r="AR931" s="112" t="s">
        <v>1906</v>
      </c>
      <c r="AS931" s="112">
        <v>105.22</v>
      </c>
      <c r="AT931" s="112" t="s">
        <v>1906</v>
      </c>
      <c r="AU931" s="112">
        <f t="shared" si="28"/>
        <v>812.88000000000011</v>
      </c>
      <c r="AV931" s="111">
        <v>0.26395999999999997</v>
      </c>
      <c r="AW931" s="111" t="s">
        <v>1904</v>
      </c>
      <c r="AX931" s="25"/>
      <c r="AY931" s="25"/>
      <c r="AZ931" s="25"/>
    </row>
    <row r="932" spans="1:52" ht="31.2" x14ac:dyDescent="0.3">
      <c r="A932" s="103">
        <v>922</v>
      </c>
      <c r="B932" s="109" t="s">
        <v>1794</v>
      </c>
      <c r="C932" s="30" t="s">
        <v>1899</v>
      </c>
      <c r="D932" s="110" t="s">
        <v>1900</v>
      </c>
      <c r="E932" s="110" t="s">
        <v>1917</v>
      </c>
      <c r="F932" s="30" t="s">
        <v>2703</v>
      </c>
      <c r="G932" s="26" t="s">
        <v>145</v>
      </c>
      <c r="H932" s="24" t="s">
        <v>146</v>
      </c>
      <c r="I932" s="109">
        <v>1</v>
      </c>
      <c r="J932" s="109" t="s">
        <v>1918</v>
      </c>
      <c r="K932" s="109">
        <v>133</v>
      </c>
      <c r="L932" s="109" t="s">
        <v>1919</v>
      </c>
      <c r="M932" s="109" t="s">
        <v>1904</v>
      </c>
      <c r="N932" s="109" t="s">
        <v>529</v>
      </c>
      <c r="O932" s="109" t="s">
        <v>1920</v>
      </c>
      <c r="P932" s="109" t="s">
        <v>1921</v>
      </c>
      <c r="Q932" s="102">
        <v>0</v>
      </c>
      <c r="R932" s="109" t="s">
        <v>1907</v>
      </c>
      <c r="S932" s="109" t="s">
        <v>1922</v>
      </c>
      <c r="T932" s="25"/>
      <c r="U932" s="111" t="s">
        <v>1923</v>
      </c>
      <c r="V932" s="111" t="s">
        <v>1923</v>
      </c>
      <c r="W932" s="112" t="s">
        <v>2606</v>
      </c>
      <c r="X932" s="112" t="s">
        <v>1906</v>
      </c>
      <c r="Y932" s="112" t="s">
        <v>2606</v>
      </c>
      <c r="Z932" s="112" t="s">
        <v>1906</v>
      </c>
      <c r="AA932" s="112" t="s">
        <v>2607</v>
      </c>
      <c r="AB932" s="112" t="s">
        <v>1906</v>
      </c>
      <c r="AC932" s="112">
        <v>123.02</v>
      </c>
      <c r="AD932" s="112" t="s">
        <v>1906</v>
      </c>
      <c r="AE932" s="112">
        <v>64.38</v>
      </c>
      <c r="AF932" s="112" t="s">
        <v>1906</v>
      </c>
      <c r="AG932" s="112">
        <v>0</v>
      </c>
      <c r="AH932" s="112"/>
      <c r="AI932" s="112">
        <v>0</v>
      </c>
      <c r="AJ932" s="112"/>
      <c r="AK932" s="112">
        <v>0</v>
      </c>
      <c r="AL932" s="112"/>
      <c r="AM932" s="112">
        <v>0</v>
      </c>
      <c r="AN932" s="112"/>
      <c r="AO932" s="112">
        <v>91.81</v>
      </c>
      <c r="AP932" s="112" t="s">
        <v>208</v>
      </c>
      <c r="AQ932" s="112">
        <v>133.82</v>
      </c>
      <c r="AR932" s="112" t="s">
        <v>208</v>
      </c>
      <c r="AS932" s="112">
        <v>195.76</v>
      </c>
      <c r="AT932" s="112" t="s">
        <v>208</v>
      </c>
      <c r="AU932" s="112">
        <f t="shared" si="28"/>
        <v>1263.6099999999999</v>
      </c>
      <c r="AV932" s="111">
        <v>0.62326999999999999</v>
      </c>
      <c r="AW932" s="111" t="s">
        <v>1904</v>
      </c>
      <c r="AX932" s="25"/>
      <c r="AY932" s="25"/>
      <c r="AZ932" s="25"/>
    </row>
    <row r="933" spans="1:52" ht="31.2" x14ac:dyDescent="0.3">
      <c r="A933" s="103">
        <v>923</v>
      </c>
      <c r="B933" s="109" t="s">
        <v>1795</v>
      </c>
      <c r="C933" s="30" t="s">
        <v>1899</v>
      </c>
      <c r="D933" s="110" t="s">
        <v>1900</v>
      </c>
      <c r="E933" s="110" t="s">
        <v>1917</v>
      </c>
      <c r="F933" s="30" t="s">
        <v>2703</v>
      </c>
      <c r="G933" s="26" t="s">
        <v>145</v>
      </c>
      <c r="H933" s="24" t="s">
        <v>146</v>
      </c>
      <c r="I933" s="109">
        <v>1</v>
      </c>
      <c r="J933" s="109" t="s">
        <v>1918</v>
      </c>
      <c r="K933" s="109"/>
      <c r="L933" s="109" t="s">
        <v>1919</v>
      </c>
      <c r="M933" s="109" t="s">
        <v>1904</v>
      </c>
      <c r="N933" s="109" t="s">
        <v>529</v>
      </c>
      <c r="O933" s="109" t="s">
        <v>1920</v>
      </c>
      <c r="P933" s="109" t="s">
        <v>1921</v>
      </c>
      <c r="Q933" s="102">
        <v>0</v>
      </c>
      <c r="R933" s="109" t="s">
        <v>1907</v>
      </c>
      <c r="S933" s="109" t="s">
        <v>1922</v>
      </c>
      <c r="T933" s="25"/>
      <c r="U933" s="111" t="s">
        <v>1923</v>
      </c>
      <c r="V933" s="111" t="s">
        <v>1923</v>
      </c>
      <c r="W933" s="112" t="s">
        <v>2606</v>
      </c>
      <c r="X933" s="112" t="s">
        <v>1906</v>
      </c>
      <c r="Y933" s="112" t="s">
        <v>2606</v>
      </c>
      <c r="Z933" s="112" t="s">
        <v>1906</v>
      </c>
      <c r="AA933" s="112" t="s">
        <v>2607</v>
      </c>
      <c r="AB933" s="112" t="s">
        <v>1906</v>
      </c>
      <c r="AC933" s="112">
        <v>123.02</v>
      </c>
      <c r="AD933" s="112" t="s">
        <v>1906</v>
      </c>
      <c r="AE933" s="112">
        <v>64.38</v>
      </c>
      <c r="AF933" s="112" t="s">
        <v>1906</v>
      </c>
      <c r="AG933" s="112">
        <v>0</v>
      </c>
      <c r="AH933" s="112"/>
      <c r="AI933" s="112">
        <v>0</v>
      </c>
      <c r="AJ933" s="112"/>
      <c r="AK933" s="112">
        <v>0</v>
      </c>
      <c r="AL933" s="112"/>
      <c r="AM933" s="112">
        <v>0</v>
      </c>
      <c r="AN933" s="112"/>
      <c r="AO933" s="112">
        <v>91.81</v>
      </c>
      <c r="AP933" s="112" t="s">
        <v>208</v>
      </c>
      <c r="AQ933" s="112">
        <v>133.82</v>
      </c>
      <c r="AR933" s="112" t="s">
        <v>208</v>
      </c>
      <c r="AS933" s="112">
        <v>195.76</v>
      </c>
      <c r="AT933" s="112" t="s">
        <v>208</v>
      </c>
      <c r="AU933" s="112">
        <f t="shared" si="28"/>
        <v>1263.6099999999999</v>
      </c>
      <c r="AV933" s="111">
        <v>0.62326999999999999</v>
      </c>
      <c r="AW933" s="111" t="s">
        <v>1904</v>
      </c>
      <c r="AX933" s="25"/>
      <c r="AY933" s="25"/>
      <c r="AZ933" s="25"/>
    </row>
    <row r="934" spans="1:52" ht="31.2" x14ac:dyDescent="0.3">
      <c r="A934" s="103">
        <v>924</v>
      </c>
      <c r="B934" s="109" t="s">
        <v>1796</v>
      </c>
      <c r="C934" s="30" t="s">
        <v>1899</v>
      </c>
      <c r="D934" s="110" t="s">
        <v>1900</v>
      </c>
      <c r="E934" s="110" t="s">
        <v>1917</v>
      </c>
      <c r="F934" s="30" t="s">
        <v>2703</v>
      </c>
      <c r="G934" s="26" t="s">
        <v>145</v>
      </c>
      <c r="H934" s="24" t="s">
        <v>146</v>
      </c>
      <c r="I934" s="109">
        <v>2</v>
      </c>
      <c r="J934" s="109" t="s">
        <v>1918</v>
      </c>
      <c r="K934" s="109">
        <v>89</v>
      </c>
      <c r="L934" s="109" t="s">
        <v>1919</v>
      </c>
      <c r="M934" s="109" t="s">
        <v>1904</v>
      </c>
      <c r="N934" s="109" t="s">
        <v>529</v>
      </c>
      <c r="O934" s="109" t="s">
        <v>1920</v>
      </c>
      <c r="P934" s="109" t="s">
        <v>1921</v>
      </c>
      <c r="Q934" s="102">
        <v>0</v>
      </c>
      <c r="R934" s="109" t="s">
        <v>1907</v>
      </c>
      <c r="S934" s="109" t="s">
        <v>1922</v>
      </c>
      <c r="T934" s="25"/>
      <c r="U934" s="111" t="s">
        <v>1923</v>
      </c>
      <c r="V934" s="111" t="s">
        <v>1923</v>
      </c>
      <c r="W934" s="112" t="s">
        <v>2608</v>
      </c>
      <c r="X934" s="112" t="s">
        <v>1906</v>
      </c>
      <c r="Y934" s="112" t="s">
        <v>2609</v>
      </c>
      <c r="Z934" s="112" t="s">
        <v>1906</v>
      </c>
      <c r="AA934" s="112" t="s">
        <v>2608</v>
      </c>
      <c r="AB934" s="112" t="s">
        <v>1906</v>
      </c>
      <c r="AC934" s="112">
        <v>42.85</v>
      </c>
      <c r="AD934" s="112" t="s">
        <v>1906</v>
      </c>
      <c r="AE934" s="112">
        <v>21.83</v>
      </c>
      <c r="AF934" s="112" t="s">
        <v>1906</v>
      </c>
      <c r="AG934" s="112">
        <v>0</v>
      </c>
      <c r="AH934" s="112"/>
      <c r="AI934" s="112">
        <v>0</v>
      </c>
      <c r="AJ934" s="112"/>
      <c r="AK934" s="112">
        <v>0</v>
      </c>
      <c r="AL934" s="112"/>
      <c r="AM934" s="112">
        <v>0</v>
      </c>
      <c r="AN934" s="112"/>
      <c r="AO934" s="112">
        <v>41.45</v>
      </c>
      <c r="AP934" s="112" t="s">
        <v>208</v>
      </c>
      <c r="AQ934" s="112">
        <v>45.31</v>
      </c>
      <c r="AR934" s="112" t="s">
        <v>208</v>
      </c>
      <c r="AS934" s="112">
        <v>67.12</v>
      </c>
      <c r="AT934" s="112" t="s">
        <v>208</v>
      </c>
      <c r="AU934" s="112">
        <f t="shared" si="28"/>
        <v>431.18</v>
      </c>
      <c r="AV934" s="111">
        <v>0.193019</v>
      </c>
      <c r="AW934" s="111" t="s">
        <v>1904</v>
      </c>
      <c r="AX934" s="25"/>
      <c r="AY934" s="25"/>
      <c r="AZ934" s="25"/>
    </row>
    <row r="935" spans="1:52" ht="31.2" x14ac:dyDescent="0.3">
      <c r="A935" s="103">
        <v>925</v>
      </c>
      <c r="B935" s="109" t="s">
        <v>1799</v>
      </c>
      <c r="C935" s="30" t="s">
        <v>1899</v>
      </c>
      <c r="D935" s="110" t="s">
        <v>1900</v>
      </c>
      <c r="E935" s="110" t="s">
        <v>1917</v>
      </c>
      <c r="F935" s="30" t="s">
        <v>2703</v>
      </c>
      <c r="G935" s="26" t="s">
        <v>145</v>
      </c>
      <c r="H935" s="24" t="s">
        <v>146</v>
      </c>
      <c r="I935" s="109">
        <v>1</v>
      </c>
      <c r="J935" s="109" t="s">
        <v>1918</v>
      </c>
      <c r="K935" s="109">
        <v>89</v>
      </c>
      <c r="L935" s="109" t="s">
        <v>1919</v>
      </c>
      <c r="M935" s="109" t="s">
        <v>1904</v>
      </c>
      <c r="N935" s="109" t="s">
        <v>529</v>
      </c>
      <c r="O935" s="109" t="s">
        <v>1920</v>
      </c>
      <c r="P935" s="109" t="s">
        <v>1921</v>
      </c>
      <c r="Q935" s="102">
        <v>0</v>
      </c>
      <c r="R935" s="109" t="s">
        <v>1907</v>
      </c>
      <c r="S935" s="109" t="s">
        <v>1922</v>
      </c>
      <c r="T935" s="25"/>
      <c r="U935" s="111" t="s">
        <v>1923</v>
      </c>
      <c r="V935" s="111" t="s">
        <v>1923</v>
      </c>
      <c r="W935" s="112" t="s">
        <v>2610</v>
      </c>
      <c r="X935" s="112" t="s">
        <v>1906</v>
      </c>
      <c r="Y935" s="112" t="s">
        <v>2611</v>
      </c>
      <c r="Z935" s="112" t="s">
        <v>1906</v>
      </c>
      <c r="AA935" s="112" t="s">
        <v>2612</v>
      </c>
      <c r="AB935" s="112" t="s">
        <v>1906</v>
      </c>
      <c r="AC935" s="112">
        <v>46.36</v>
      </c>
      <c r="AD935" s="112" t="s">
        <v>1906</v>
      </c>
      <c r="AE935" s="112">
        <v>22.99</v>
      </c>
      <c r="AF935" s="112" t="s">
        <v>1906</v>
      </c>
      <c r="AG935" s="112">
        <v>0</v>
      </c>
      <c r="AH935" s="112"/>
      <c r="AI935" s="112">
        <v>0</v>
      </c>
      <c r="AJ935" s="112"/>
      <c r="AK935" s="112">
        <v>0</v>
      </c>
      <c r="AL935" s="112"/>
      <c r="AM935" s="112">
        <v>0</v>
      </c>
      <c r="AN935" s="112"/>
      <c r="AO935" s="112">
        <v>85.29</v>
      </c>
      <c r="AP935" s="112" t="s">
        <v>208</v>
      </c>
      <c r="AQ935" s="112">
        <v>40.22</v>
      </c>
      <c r="AR935" s="112" t="s">
        <v>208</v>
      </c>
      <c r="AS935" s="112">
        <v>82.67</v>
      </c>
      <c r="AT935" s="112" t="s">
        <v>208</v>
      </c>
      <c r="AU935" s="112">
        <f t="shared" si="28"/>
        <v>514.93999999999994</v>
      </c>
      <c r="AV935" s="111">
        <v>0.29407</v>
      </c>
      <c r="AW935" s="111" t="s">
        <v>1904</v>
      </c>
      <c r="AX935" s="25"/>
      <c r="AY935" s="25"/>
      <c r="AZ935" s="25"/>
    </row>
    <row r="936" spans="1:52" ht="31.2" x14ac:dyDescent="0.3">
      <c r="A936" s="103">
        <v>926</v>
      </c>
      <c r="B936" s="109" t="s">
        <v>1800</v>
      </c>
      <c r="C936" s="30" t="s">
        <v>1899</v>
      </c>
      <c r="D936" s="110" t="s">
        <v>1900</v>
      </c>
      <c r="E936" s="110" t="s">
        <v>1917</v>
      </c>
      <c r="F936" s="30" t="s">
        <v>2703</v>
      </c>
      <c r="G936" s="26" t="s">
        <v>145</v>
      </c>
      <c r="H936" s="24" t="s">
        <v>146</v>
      </c>
      <c r="I936" s="109">
        <v>2</v>
      </c>
      <c r="J936" s="109" t="s">
        <v>1918</v>
      </c>
      <c r="K936" s="109">
        <v>89</v>
      </c>
      <c r="L936" s="109" t="s">
        <v>1919</v>
      </c>
      <c r="M936" s="109" t="s">
        <v>1904</v>
      </c>
      <c r="N936" s="109" t="s">
        <v>529</v>
      </c>
      <c r="O936" s="109" t="s">
        <v>1920</v>
      </c>
      <c r="P936" s="109" t="s">
        <v>1921</v>
      </c>
      <c r="Q936" s="102">
        <v>0</v>
      </c>
      <c r="R936" s="109" t="s">
        <v>1907</v>
      </c>
      <c r="S936" s="109" t="s">
        <v>1922</v>
      </c>
      <c r="T936" s="25"/>
      <c r="U936" s="111" t="s">
        <v>1923</v>
      </c>
      <c r="V936" s="111" t="s">
        <v>1923</v>
      </c>
      <c r="W936" s="112" t="s">
        <v>2613</v>
      </c>
      <c r="X936" s="112" t="s">
        <v>1906</v>
      </c>
      <c r="Y936" s="112" t="s">
        <v>2613</v>
      </c>
      <c r="Z936" s="112" t="s">
        <v>1906</v>
      </c>
      <c r="AA936" s="112" t="s">
        <v>2613</v>
      </c>
      <c r="AB936" s="112" t="s">
        <v>1906</v>
      </c>
      <c r="AC936" s="112">
        <v>130.26</v>
      </c>
      <c r="AD936" s="112" t="s">
        <v>1906</v>
      </c>
      <c r="AE936" s="112">
        <v>37.82</v>
      </c>
      <c r="AF936" s="112" t="s">
        <v>1906</v>
      </c>
      <c r="AG936" s="112">
        <v>0</v>
      </c>
      <c r="AH936" s="112"/>
      <c r="AI936" s="112">
        <v>0</v>
      </c>
      <c r="AJ936" s="112"/>
      <c r="AK936" s="112">
        <v>0</v>
      </c>
      <c r="AL936" s="112"/>
      <c r="AM936" s="112">
        <v>29.54</v>
      </c>
      <c r="AN936" s="112" t="s">
        <v>1906</v>
      </c>
      <c r="AO936" s="112">
        <v>96.53</v>
      </c>
      <c r="AP936" s="112" t="s">
        <v>208</v>
      </c>
      <c r="AQ936" s="112">
        <v>63.3</v>
      </c>
      <c r="AR936" s="112" t="s">
        <v>208</v>
      </c>
      <c r="AS936" s="112">
        <v>63.3</v>
      </c>
      <c r="AT936" s="112" t="s">
        <v>208</v>
      </c>
      <c r="AU936" s="112">
        <f t="shared" si="28"/>
        <v>811.52999999999986</v>
      </c>
      <c r="AV936" s="111">
        <v>0.36643999999999999</v>
      </c>
      <c r="AW936" s="111" t="s">
        <v>1904</v>
      </c>
      <c r="AX936" s="25"/>
      <c r="AY936" s="25"/>
      <c r="AZ936" s="25"/>
    </row>
    <row r="937" spans="1:52" ht="31.2" x14ac:dyDescent="0.3">
      <c r="A937" s="103">
        <v>927</v>
      </c>
      <c r="B937" s="109" t="s">
        <v>1801</v>
      </c>
      <c r="C937" s="30" t="s">
        <v>1899</v>
      </c>
      <c r="D937" s="110" t="s">
        <v>1900</v>
      </c>
      <c r="E937" s="110" t="s">
        <v>1917</v>
      </c>
      <c r="F937" s="30" t="s">
        <v>2703</v>
      </c>
      <c r="G937" s="26" t="s">
        <v>145</v>
      </c>
      <c r="H937" s="24" t="s">
        <v>146</v>
      </c>
      <c r="I937" s="109">
        <v>1</v>
      </c>
      <c r="J937" s="109" t="s">
        <v>1918</v>
      </c>
      <c r="K937" s="109">
        <v>89</v>
      </c>
      <c r="L937" s="109" t="s">
        <v>1919</v>
      </c>
      <c r="M937" s="109" t="s">
        <v>1904</v>
      </c>
      <c r="N937" s="109" t="s">
        <v>529</v>
      </c>
      <c r="O937" s="109" t="s">
        <v>1920</v>
      </c>
      <c r="P937" s="109" t="s">
        <v>1921</v>
      </c>
      <c r="Q937" s="102">
        <v>0</v>
      </c>
      <c r="R937" s="109" t="s">
        <v>1907</v>
      </c>
      <c r="S937" s="109" t="s">
        <v>1922</v>
      </c>
      <c r="T937" s="25"/>
      <c r="U937" s="111" t="s">
        <v>1923</v>
      </c>
      <c r="V937" s="111" t="s">
        <v>1923</v>
      </c>
      <c r="W937" s="112" t="s">
        <v>2614</v>
      </c>
      <c r="X937" s="112" t="s">
        <v>1906</v>
      </c>
      <c r="Y937" s="112" t="s">
        <v>2615</v>
      </c>
      <c r="Z937" s="112" t="s">
        <v>1906</v>
      </c>
      <c r="AA937" s="112" t="s">
        <v>2616</v>
      </c>
      <c r="AB937" s="112" t="s">
        <v>1906</v>
      </c>
      <c r="AC937" s="112">
        <v>50.26</v>
      </c>
      <c r="AD937" s="112" t="s">
        <v>1906</v>
      </c>
      <c r="AE937" s="112">
        <v>27.2</v>
      </c>
      <c r="AF937" s="112" t="s">
        <v>1906</v>
      </c>
      <c r="AG937" s="112">
        <v>0</v>
      </c>
      <c r="AH937" s="112"/>
      <c r="AI937" s="112">
        <v>0</v>
      </c>
      <c r="AJ937" s="112"/>
      <c r="AK937" s="112">
        <v>0</v>
      </c>
      <c r="AL937" s="112"/>
      <c r="AM937" s="112">
        <v>0</v>
      </c>
      <c r="AN937" s="112"/>
      <c r="AO937" s="112">
        <v>46</v>
      </c>
      <c r="AP937" s="112" t="s">
        <v>208</v>
      </c>
      <c r="AQ937" s="112">
        <v>46.07</v>
      </c>
      <c r="AR937" s="112" t="s">
        <v>208</v>
      </c>
      <c r="AS937" s="112">
        <v>70.5</v>
      </c>
      <c r="AT937" s="112" t="s">
        <v>208</v>
      </c>
      <c r="AU937" s="112">
        <f t="shared" si="28"/>
        <v>504.45</v>
      </c>
      <c r="AV937" s="111">
        <v>0.25592999999999999</v>
      </c>
      <c r="AW937" s="111" t="s">
        <v>1904</v>
      </c>
      <c r="AX937" s="25"/>
      <c r="AY937" s="25"/>
      <c r="AZ937" s="25"/>
    </row>
    <row r="938" spans="1:52" ht="31.2" x14ac:dyDescent="0.3">
      <c r="A938" s="103">
        <v>928</v>
      </c>
      <c r="B938" s="109" t="s">
        <v>1802</v>
      </c>
      <c r="C938" s="30" t="s">
        <v>1899</v>
      </c>
      <c r="D938" s="110" t="s">
        <v>1900</v>
      </c>
      <c r="E938" s="110" t="s">
        <v>1917</v>
      </c>
      <c r="F938" s="30" t="s">
        <v>2703</v>
      </c>
      <c r="G938" s="26" t="s">
        <v>145</v>
      </c>
      <c r="H938" s="24" t="s">
        <v>146</v>
      </c>
      <c r="I938" s="109">
        <v>1</v>
      </c>
      <c r="J938" s="109" t="s">
        <v>1918</v>
      </c>
      <c r="K938" s="109">
        <v>89</v>
      </c>
      <c r="L938" s="109" t="s">
        <v>1919</v>
      </c>
      <c r="M938" s="109" t="s">
        <v>1904</v>
      </c>
      <c r="N938" s="109" t="s">
        <v>529</v>
      </c>
      <c r="O938" s="109" t="s">
        <v>1920</v>
      </c>
      <c r="P938" s="109" t="s">
        <v>1921</v>
      </c>
      <c r="Q938" s="102">
        <v>0</v>
      </c>
      <c r="R938" s="109" t="s">
        <v>1907</v>
      </c>
      <c r="S938" s="109" t="s">
        <v>1922</v>
      </c>
      <c r="T938" s="25"/>
      <c r="U938" s="111" t="s">
        <v>1923</v>
      </c>
      <c r="V938" s="111" t="s">
        <v>1923</v>
      </c>
      <c r="W938" s="112" t="s">
        <v>2617</v>
      </c>
      <c r="X938" s="112" t="s">
        <v>1906</v>
      </c>
      <c r="Y938" s="112" t="s">
        <v>2618</v>
      </c>
      <c r="Z938" s="112" t="s">
        <v>1906</v>
      </c>
      <c r="AA938" s="112" t="s">
        <v>2618</v>
      </c>
      <c r="AB938" s="112" t="s">
        <v>1906</v>
      </c>
      <c r="AC938" s="112">
        <v>45.82</v>
      </c>
      <c r="AD938" s="112" t="s">
        <v>1906</v>
      </c>
      <c r="AE938" s="112">
        <v>13.3</v>
      </c>
      <c r="AF938" s="112" t="s">
        <v>1906</v>
      </c>
      <c r="AG938" s="112">
        <v>0</v>
      </c>
      <c r="AH938" s="112"/>
      <c r="AI938" s="112">
        <v>0</v>
      </c>
      <c r="AJ938" s="112"/>
      <c r="AK938" s="112">
        <v>0</v>
      </c>
      <c r="AL938" s="112"/>
      <c r="AM938" s="112">
        <v>0</v>
      </c>
      <c r="AN938" s="112"/>
      <c r="AO938" s="112">
        <v>45.46</v>
      </c>
      <c r="AP938" s="112" t="s">
        <v>1906</v>
      </c>
      <c r="AQ938" s="112">
        <v>44.81</v>
      </c>
      <c r="AR938" s="112" t="s">
        <v>1906</v>
      </c>
      <c r="AS938" s="112">
        <v>44.81</v>
      </c>
      <c r="AT938" s="112" t="s">
        <v>1906</v>
      </c>
      <c r="AU938" s="112">
        <f t="shared" si="28"/>
        <v>332.14000000000004</v>
      </c>
      <c r="AV938" s="111">
        <v>0.22331999999999999</v>
      </c>
      <c r="AW938" s="111" t="s">
        <v>1904</v>
      </c>
      <c r="AX938" s="25"/>
      <c r="AY938" s="25"/>
      <c r="AZ938" s="25"/>
    </row>
    <row r="939" spans="1:52" ht="31.2" x14ac:dyDescent="0.3">
      <c r="A939" s="103">
        <v>929</v>
      </c>
      <c r="B939" s="109" t="s">
        <v>1803</v>
      </c>
      <c r="C939" s="30" t="s">
        <v>1899</v>
      </c>
      <c r="D939" s="110" t="s">
        <v>1900</v>
      </c>
      <c r="E939" s="110" t="s">
        <v>1917</v>
      </c>
      <c r="F939" s="30" t="s">
        <v>2703</v>
      </c>
      <c r="G939" s="26" t="s">
        <v>145</v>
      </c>
      <c r="H939" s="24" t="s">
        <v>146</v>
      </c>
      <c r="I939" s="109">
        <v>0</v>
      </c>
      <c r="J939" s="109" t="s">
        <v>1918</v>
      </c>
      <c r="K939" s="109">
        <v>76</v>
      </c>
      <c r="L939" s="109" t="s">
        <v>1919</v>
      </c>
      <c r="M939" s="109" t="s">
        <v>1904</v>
      </c>
      <c r="N939" s="109" t="s">
        <v>529</v>
      </c>
      <c r="O939" s="109" t="s">
        <v>1920</v>
      </c>
      <c r="P939" s="109" t="s">
        <v>1920</v>
      </c>
      <c r="Q939" s="102">
        <v>0</v>
      </c>
      <c r="R939" s="109" t="s">
        <v>1907</v>
      </c>
      <c r="S939" s="109" t="s">
        <v>1922</v>
      </c>
      <c r="T939" s="25"/>
      <c r="U939" s="111" t="s">
        <v>1923</v>
      </c>
      <c r="V939" s="111" t="s">
        <v>1923</v>
      </c>
      <c r="W939" s="112" t="s">
        <v>2619</v>
      </c>
      <c r="X939" s="112" t="s">
        <v>1906</v>
      </c>
      <c r="Y939" s="112" t="s">
        <v>2619</v>
      </c>
      <c r="Z939" s="112" t="s">
        <v>1906</v>
      </c>
      <c r="AA939" s="112" t="s">
        <v>2619</v>
      </c>
      <c r="AB939" s="112" t="s">
        <v>1906</v>
      </c>
      <c r="AC939" s="112">
        <v>33.64</v>
      </c>
      <c r="AD939" s="112" t="s">
        <v>1906</v>
      </c>
      <c r="AE939" s="112">
        <v>9.76</v>
      </c>
      <c r="AF939" s="112" t="s">
        <v>1906</v>
      </c>
      <c r="AG939" s="112">
        <v>0</v>
      </c>
      <c r="AH939" s="112"/>
      <c r="AI939" s="112">
        <v>0</v>
      </c>
      <c r="AJ939" s="112"/>
      <c r="AK939" s="112">
        <v>0</v>
      </c>
      <c r="AL939" s="112"/>
      <c r="AM939" s="112">
        <v>8.0299999999999994</v>
      </c>
      <c r="AN939" s="112" t="s">
        <v>1906</v>
      </c>
      <c r="AO939" s="112">
        <v>34.409999999999997</v>
      </c>
      <c r="AP939" s="112" t="s">
        <v>1906</v>
      </c>
      <c r="AQ939" s="112">
        <v>34.409999999999997</v>
      </c>
      <c r="AR939" s="112" t="s">
        <v>1906</v>
      </c>
      <c r="AS939" s="112">
        <v>34.409999999999997</v>
      </c>
      <c r="AT939" s="112" t="s">
        <v>1906</v>
      </c>
      <c r="AU939" s="112">
        <f t="shared" si="28"/>
        <v>255.57999999999998</v>
      </c>
      <c r="AV939" s="111">
        <v>6.5240000000000006E-2</v>
      </c>
      <c r="AW939" s="111" t="s">
        <v>1904</v>
      </c>
      <c r="AX939" s="25"/>
      <c r="AY939" s="25"/>
      <c r="AZ939" s="25"/>
    </row>
    <row r="940" spans="1:52" ht="31.2" x14ac:dyDescent="0.3">
      <c r="A940" s="103">
        <v>930</v>
      </c>
      <c r="B940" s="109" t="s">
        <v>1804</v>
      </c>
      <c r="C940" s="30" t="s">
        <v>1899</v>
      </c>
      <c r="D940" s="110" t="s">
        <v>1900</v>
      </c>
      <c r="E940" s="110" t="s">
        <v>1917</v>
      </c>
      <c r="F940" s="30" t="s">
        <v>2703</v>
      </c>
      <c r="G940" s="26" t="s">
        <v>145</v>
      </c>
      <c r="H940" s="24" t="s">
        <v>146</v>
      </c>
      <c r="I940" s="109">
        <v>0</v>
      </c>
      <c r="J940" s="109" t="s">
        <v>1918</v>
      </c>
      <c r="K940" s="109">
        <v>89</v>
      </c>
      <c r="L940" s="109" t="s">
        <v>1919</v>
      </c>
      <c r="M940" s="109" t="s">
        <v>1904</v>
      </c>
      <c r="N940" s="109" t="s">
        <v>529</v>
      </c>
      <c r="O940" s="109" t="s">
        <v>1920</v>
      </c>
      <c r="P940" s="109" t="s">
        <v>1920</v>
      </c>
      <c r="Q940" s="102">
        <v>0</v>
      </c>
      <c r="R940" s="109" t="s">
        <v>1907</v>
      </c>
      <c r="S940" s="109" t="s">
        <v>1922</v>
      </c>
      <c r="T940" s="25"/>
      <c r="U940" s="111" t="s">
        <v>1923</v>
      </c>
      <c r="V940" s="111" t="s">
        <v>1923</v>
      </c>
      <c r="W940" s="112" t="s">
        <v>2620</v>
      </c>
      <c r="X940" s="112" t="s">
        <v>1906</v>
      </c>
      <c r="Y940" s="112" t="s">
        <v>2621</v>
      </c>
      <c r="Z940" s="112" t="s">
        <v>1906</v>
      </c>
      <c r="AA940" s="112" t="s">
        <v>2621</v>
      </c>
      <c r="AB940" s="112" t="s">
        <v>1906</v>
      </c>
      <c r="AC940" s="112">
        <v>49.57</v>
      </c>
      <c r="AD940" s="112" t="s">
        <v>1906</v>
      </c>
      <c r="AE940" s="112">
        <v>14.39</v>
      </c>
      <c r="AF940" s="112" t="s">
        <v>1906</v>
      </c>
      <c r="AG940" s="112">
        <v>0</v>
      </c>
      <c r="AH940" s="112"/>
      <c r="AI940" s="112">
        <v>0</v>
      </c>
      <c r="AJ940" s="112"/>
      <c r="AK940" s="112">
        <v>0</v>
      </c>
      <c r="AL940" s="112"/>
      <c r="AM940" s="112">
        <v>10.92</v>
      </c>
      <c r="AN940" s="112" t="s">
        <v>1906</v>
      </c>
      <c r="AO940" s="112">
        <v>47.55</v>
      </c>
      <c r="AP940" s="112" t="s">
        <v>1906</v>
      </c>
      <c r="AQ940" s="112">
        <v>46.82</v>
      </c>
      <c r="AR940" s="112" t="s">
        <v>1906</v>
      </c>
      <c r="AS940" s="112">
        <v>46.82</v>
      </c>
      <c r="AT940" s="112" t="s">
        <v>1906</v>
      </c>
      <c r="AU940" s="112">
        <f t="shared" si="28"/>
        <v>364.78999999999996</v>
      </c>
      <c r="AV940" s="111">
        <v>0.19492000000000001</v>
      </c>
      <c r="AW940" s="111" t="s">
        <v>1904</v>
      </c>
      <c r="AX940" s="25"/>
      <c r="AY940" s="25"/>
      <c r="AZ940" s="25"/>
    </row>
    <row r="941" spans="1:52" ht="31.2" x14ac:dyDescent="0.3">
      <c r="A941" s="103">
        <v>931</v>
      </c>
      <c r="B941" s="109" t="s">
        <v>1806</v>
      </c>
      <c r="C941" s="114" t="s">
        <v>2622</v>
      </c>
      <c r="D941" s="110" t="s">
        <v>1900</v>
      </c>
      <c r="E941" s="110" t="s">
        <v>1917</v>
      </c>
      <c r="F941" s="30" t="s">
        <v>2703</v>
      </c>
      <c r="G941" s="26" t="s">
        <v>145</v>
      </c>
      <c r="H941" s="24" t="s">
        <v>146</v>
      </c>
      <c r="I941" s="109" t="s">
        <v>2623</v>
      </c>
      <c r="J941" s="109" t="s">
        <v>1918</v>
      </c>
      <c r="K941" s="109">
        <v>76</v>
      </c>
      <c r="L941" s="109" t="s">
        <v>1919</v>
      </c>
      <c r="M941" s="109" t="s">
        <v>1904</v>
      </c>
      <c r="N941" s="109" t="s">
        <v>529</v>
      </c>
      <c r="O941" s="109" t="s">
        <v>1920</v>
      </c>
      <c r="P941" s="109" t="s">
        <v>1920</v>
      </c>
      <c r="Q941" s="102">
        <v>0</v>
      </c>
      <c r="R941" s="109" t="s">
        <v>1907</v>
      </c>
      <c r="S941" s="109" t="s">
        <v>1922</v>
      </c>
      <c r="T941" s="25"/>
      <c r="U941" s="111" t="s">
        <v>1923</v>
      </c>
      <c r="V941" s="111" t="s">
        <v>1923</v>
      </c>
      <c r="W941" s="112" t="s">
        <v>2624</v>
      </c>
      <c r="X941" s="112" t="s">
        <v>1906</v>
      </c>
      <c r="Y941" s="112" t="s">
        <v>2624</v>
      </c>
      <c r="Z941" s="112" t="s">
        <v>1906</v>
      </c>
      <c r="AA941" s="112" t="s">
        <v>2624</v>
      </c>
      <c r="AB941" s="112" t="s">
        <v>1906</v>
      </c>
      <c r="AC941" s="112" t="s">
        <v>2624</v>
      </c>
      <c r="AD941" s="112" t="s">
        <v>1906</v>
      </c>
      <c r="AE941" s="112" t="s">
        <v>2624</v>
      </c>
      <c r="AF941" s="112" t="s">
        <v>1906</v>
      </c>
      <c r="AG941" s="112" t="s">
        <v>2624</v>
      </c>
      <c r="AH941" s="112"/>
      <c r="AI941" s="112" t="s">
        <v>2624</v>
      </c>
      <c r="AJ941" s="112"/>
      <c r="AK941" s="112" t="s">
        <v>2624</v>
      </c>
      <c r="AL941" s="112"/>
      <c r="AM941" s="112" t="s">
        <v>2624</v>
      </c>
      <c r="AN941" s="112" t="s">
        <v>1906</v>
      </c>
      <c r="AO941" s="112" t="s">
        <v>2624</v>
      </c>
      <c r="AP941" s="112" t="s">
        <v>1906</v>
      </c>
      <c r="AQ941" s="112" t="s">
        <v>2624</v>
      </c>
      <c r="AR941" s="112" t="s">
        <v>1906</v>
      </c>
      <c r="AS941" s="112" t="s">
        <v>2624</v>
      </c>
      <c r="AT941" s="112" t="s">
        <v>1906</v>
      </c>
      <c r="AU941" s="112" t="s">
        <v>2624</v>
      </c>
      <c r="AV941" s="111" t="s">
        <v>2623</v>
      </c>
      <c r="AW941" s="111" t="s">
        <v>1904</v>
      </c>
      <c r="AX941" s="25"/>
      <c r="AY941" s="25"/>
      <c r="AZ941" s="25"/>
    </row>
    <row r="942" spans="1:52" ht="31.2" x14ac:dyDescent="0.3">
      <c r="A942" s="103">
        <v>932</v>
      </c>
      <c r="B942" s="109" t="s">
        <v>1807</v>
      </c>
      <c r="C942" s="30" t="s">
        <v>1899</v>
      </c>
      <c r="D942" s="110" t="s">
        <v>1900</v>
      </c>
      <c r="E942" s="110" t="s">
        <v>1917</v>
      </c>
      <c r="F942" s="30" t="s">
        <v>2703</v>
      </c>
      <c r="G942" s="26" t="s">
        <v>145</v>
      </c>
      <c r="H942" s="24" t="s">
        <v>146</v>
      </c>
      <c r="I942" s="109">
        <v>1</v>
      </c>
      <c r="J942" s="109" t="s">
        <v>1991</v>
      </c>
      <c r="K942" s="109">
        <v>89</v>
      </c>
      <c r="L942" s="109" t="s">
        <v>1919</v>
      </c>
      <c r="M942" s="109" t="s">
        <v>1904</v>
      </c>
      <c r="N942" s="109" t="s">
        <v>528</v>
      </c>
      <c r="O942" s="109" t="s">
        <v>1920</v>
      </c>
      <c r="P942" s="109" t="s">
        <v>1921</v>
      </c>
      <c r="Q942" s="102">
        <v>0</v>
      </c>
      <c r="R942" s="109" t="s">
        <v>1907</v>
      </c>
      <c r="S942" s="109" t="s">
        <v>1922</v>
      </c>
      <c r="T942" s="25"/>
      <c r="U942" s="111" t="s">
        <v>1923</v>
      </c>
      <c r="V942" s="111" t="s">
        <v>1923</v>
      </c>
      <c r="W942" s="112" t="s">
        <v>2625</v>
      </c>
      <c r="X942" s="112" t="s">
        <v>1906</v>
      </c>
      <c r="Y942" s="112" t="s">
        <v>2624</v>
      </c>
      <c r="Z942" s="112" t="s">
        <v>1906</v>
      </c>
      <c r="AA942" s="112" t="s">
        <v>2626</v>
      </c>
      <c r="AB942" s="112" t="s">
        <v>1906</v>
      </c>
      <c r="AC942" s="112">
        <v>3.72</v>
      </c>
      <c r="AD942" s="112" t="s">
        <v>1906</v>
      </c>
      <c r="AE942" s="112">
        <v>3.72</v>
      </c>
      <c r="AF942" s="112" t="s">
        <v>1906</v>
      </c>
      <c r="AG942" s="112">
        <v>3.28</v>
      </c>
      <c r="AH942" s="112" t="s">
        <v>1906</v>
      </c>
      <c r="AI942" s="112">
        <v>3.28</v>
      </c>
      <c r="AJ942" s="112" t="s">
        <v>1906</v>
      </c>
      <c r="AK942" s="112">
        <v>3.28</v>
      </c>
      <c r="AL942" s="112" t="s">
        <v>1906</v>
      </c>
      <c r="AM942" s="112">
        <v>3.28</v>
      </c>
      <c r="AN942" s="112" t="s">
        <v>1906</v>
      </c>
      <c r="AO942" s="112">
        <v>3.28</v>
      </c>
      <c r="AP942" s="112" t="s">
        <v>1906</v>
      </c>
      <c r="AQ942" s="112">
        <v>3.28</v>
      </c>
      <c r="AR942" s="112" t="s">
        <v>1906</v>
      </c>
      <c r="AS942" s="112">
        <v>3.28</v>
      </c>
      <c r="AT942" s="112" t="s">
        <v>1906</v>
      </c>
      <c r="AU942" s="112" t="e">
        <f t="shared" si="28"/>
        <v>#VALUE!</v>
      </c>
      <c r="AV942" s="111">
        <v>7.6280000000000001E-2</v>
      </c>
      <c r="AW942" s="111" t="s">
        <v>1904</v>
      </c>
      <c r="AX942" s="25"/>
      <c r="AY942" s="25"/>
      <c r="AZ942" s="25"/>
    </row>
    <row r="943" spans="1:52" ht="31.2" x14ac:dyDescent="0.3">
      <c r="A943" s="103">
        <v>933</v>
      </c>
      <c r="B943" s="109" t="s">
        <v>1809</v>
      </c>
      <c r="C943" s="30" t="s">
        <v>1899</v>
      </c>
      <c r="D943" s="110" t="s">
        <v>1900</v>
      </c>
      <c r="E943" s="110" t="s">
        <v>1917</v>
      </c>
      <c r="F943" s="30" t="s">
        <v>2703</v>
      </c>
      <c r="G943" s="26" t="s">
        <v>145</v>
      </c>
      <c r="H943" s="24" t="s">
        <v>146</v>
      </c>
      <c r="I943" s="109">
        <v>1</v>
      </c>
      <c r="J943" s="109" t="s">
        <v>1918</v>
      </c>
      <c r="K943" s="109">
        <v>76</v>
      </c>
      <c r="L943" s="109" t="s">
        <v>1919</v>
      </c>
      <c r="M943" s="109" t="s">
        <v>1904</v>
      </c>
      <c r="N943" s="109" t="s">
        <v>529</v>
      </c>
      <c r="O943" s="109" t="s">
        <v>1920</v>
      </c>
      <c r="P943" s="109" t="s">
        <v>1921</v>
      </c>
      <c r="Q943" s="102">
        <v>0</v>
      </c>
      <c r="R943" s="109" t="s">
        <v>1907</v>
      </c>
      <c r="S943" s="109" t="s">
        <v>1922</v>
      </c>
      <c r="T943" s="25"/>
      <c r="U943" s="111" t="s">
        <v>1923</v>
      </c>
      <c r="V943" s="111" t="s">
        <v>1923</v>
      </c>
      <c r="W943" s="112" t="s">
        <v>2627</v>
      </c>
      <c r="X943" s="112" t="s">
        <v>1906</v>
      </c>
      <c r="Y943" s="112" t="s">
        <v>2628</v>
      </c>
      <c r="Z943" s="112" t="s">
        <v>1906</v>
      </c>
      <c r="AA943" s="112" t="s">
        <v>2629</v>
      </c>
      <c r="AB943" s="112" t="s">
        <v>1906</v>
      </c>
      <c r="AC943" s="112">
        <v>42.23</v>
      </c>
      <c r="AD943" s="112" t="s">
        <v>1906</v>
      </c>
      <c r="AE943" s="112">
        <v>12.26</v>
      </c>
      <c r="AF943" s="112" t="s">
        <v>1906</v>
      </c>
      <c r="AG943" s="112">
        <v>0</v>
      </c>
      <c r="AH943" s="112"/>
      <c r="AI943" s="112">
        <v>0</v>
      </c>
      <c r="AJ943" s="112"/>
      <c r="AK943" s="112">
        <v>0</v>
      </c>
      <c r="AL943" s="112"/>
      <c r="AM943" s="112">
        <v>0</v>
      </c>
      <c r="AN943" s="112"/>
      <c r="AO943" s="112">
        <v>40.5</v>
      </c>
      <c r="AP943" s="112" t="s">
        <v>1906</v>
      </c>
      <c r="AQ943" s="112">
        <v>40.5</v>
      </c>
      <c r="AR943" s="112" t="s">
        <v>1906</v>
      </c>
      <c r="AS943" s="112">
        <v>40.5</v>
      </c>
      <c r="AT943" s="112" t="s">
        <v>1906</v>
      </c>
      <c r="AU943" s="112">
        <f t="shared" si="28"/>
        <v>291.53999999999996</v>
      </c>
      <c r="AV943" s="111">
        <v>0.12645999999999999</v>
      </c>
      <c r="AW943" s="111" t="s">
        <v>1904</v>
      </c>
      <c r="AX943" s="25"/>
      <c r="AY943" s="25"/>
      <c r="AZ943" s="25"/>
    </row>
    <row r="944" spans="1:52" ht="31.2" x14ac:dyDescent="0.3">
      <c r="A944" s="103">
        <v>934</v>
      </c>
      <c r="B944" s="109" t="s">
        <v>1812</v>
      </c>
      <c r="C944" s="30" t="s">
        <v>1899</v>
      </c>
      <c r="D944" s="110" t="s">
        <v>1900</v>
      </c>
      <c r="E944" s="110" t="s">
        <v>1917</v>
      </c>
      <c r="F944" s="30" t="s">
        <v>2703</v>
      </c>
      <c r="G944" s="26" t="s">
        <v>145</v>
      </c>
      <c r="H944" s="24" t="s">
        <v>146</v>
      </c>
      <c r="I944" s="109">
        <v>1</v>
      </c>
      <c r="J944" s="109" t="s">
        <v>1918</v>
      </c>
      <c r="K944" s="109">
        <v>89</v>
      </c>
      <c r="L944" s="109" t="s">
        <v>1919</v>
      </c>
      <c r="M944" s="109" t="s">
        <v>1904</v>
      </c>
      <c r="N944" s="109" t="s">
        <v>529</v>
      </c>
      <c r="O944" s="109" t="s">
        <v>1920</v>
      </c>
      <c r="P944" s="109" t="s">
        <v>1921</v>
      </c>
      <c r="Q944" s="102">
        <v>0</v>
      </c>
      <c r="R944" s="109" t="s">
        <v>1907</v>
      </c>
      <c r="S944" s="109" t="s">
        <v>1922</v>
      </c>
      <c r="T944" s="25"/>
      <c r="U944" s="111" t="s">
        <v>1923</v>
      </c>
      <c r="V944" s="111" t="s">
        <v>1923</v>
      </c>
      <c r="W944" s="112" t="s">
        <v>2630</v>
      </c>
      <c r="X944" s="112" t="s">
        <v>1906</v>
      </c>
      <c r="Y944" s="112" t="s">
        <v>2631</v>
      </c>
      <c r="Z944" s="112" t="s">
        <v>1906</v>
      </c>
      <c r="AA944" s="112" t="s">
        <v>2632</v>
      </c>
      <c r="AB944" s="112" t="s">
        <v>1906</v>
      </c>
      <c r="AC944" s="112">
        <v>102.16</v>
      </c>
      <c r="AD944" s="112" t="s">
        <v>1906</v>
      </c>
      <c r="AE944" s="112">
        <v>54.22</v>
      </c>
      <c r="AF944" s="112" t="s">
        <v>1906</v>
      </c>
      <c r="AG944" s="112">
        <v>0</v>
      </c>
      <c r="AH944" s="112"/>
      <c r="AI944" s="112">
        <v>0</v>
      </c>
      <c r="AJ944" s="112"/>
      <c r="AK944" s="112">
        <v>0</v>
      </c>
      <c r="AL944" s="112"/>
      <c r="AM944" s="112">
        <v>0</v>
      </c>
      <c r="AN944" s="112"/>
      <c r="AO944" s="112">
        <v>110.35</v>
      </c>
      <c r="AP944" s="112" t="s">
        <v>208</v>
      </c>
      <c r="AQ944" s="112">
        <v>118.31</v>
      </c>
      <c r="AR944" s="112" t="s">
        <v>208</v>
      </c>
      <c r="AS944" s="112">
        <v>167.08</v>
      </c>
      <c r="AT944" s="112" t="s">
        <v>208</v>
      </c>
      <c r="AU944" s="112">
        <f t="shared" si="28"/>
        <v>1210.99</v>
      </c>
      <c r="AV944" s="111">
        <v>0.25091999999999998</v>
      </c>
      <c r="AW944" s="111" t="s">
        <v>1904</v>
      </c>
      <c r="AX944" s="25"/>
      <c r="AY944" s="25"/>
      <c r="AZ944" s="25"/>
    </row>
    <row r="945" spans="1:52" ht="31.2" x14ac:dyDescent="0.3">
      <c r="A945" s="103">
        <v>935</v>
      </c>
      <c r="B945" s="109" t="s">
        <v>1814</v>
      </c>
      <c r="C945" s="30" t="s">
        <v>1899</v>
      </c>
      <c r="D945" s="110" t="s">
        <v>1900</v>
      </c>
      <c r="E945" s="110" t="s">
        <v>1917</v>
      </c>
      <c r="F945" s="30" t="s">
        <v>2703</v>
      </c>
      <c r="G945" s="26" t="s">
        <v>145</v>
      </c>
      <c r="H945" s="24" t="s">
        <v>146</v>
      </c>
      <c r="I945" s="109">
        <v>1</v>
      </c>
      <c r="J945" s="109" t="s">
        <v>1918</v>
      </c>
      <c r="K945" s="109">
        <v>89</v>
      </c>
      <c r="L945" s="109" t="s">
        <v>1919</v>
      </c>
      <c r="M945" s="109" t="s">
        <v>1904</v>
      </c>
      <c r="N945" s="109" t="s">
        <v>529</v>
      </c>
      <c r="O945" s="109" t="s">
        <v>1920</v>
      </c>
      <c r="P945" s="109" t="s">
        <v>1921</v>
      </c>
      <c r="Q945" s="102">
        <v>0</v>
      </c>
      <c r="R945" s="109" t="s">
        <v>1907</v>
      </c>
      <c r="S945" s="109" t="s">
        <v>1922</v>
      </c>
      <c r="T945" s="25"/>
      <c r="U945" s="111" t="s">
        <v>1923</v>
      </c>
      <c r="V945" s="111" t="s">
        <v>1923</v>
      </c>
      <c r="W945" s="112" t="s">
        <v>2633</v>
      </c>
      <c r="X945" s="112" t="s">
        <v>1906</v>
      </c>
      <c r="Y945" s="112" t="s">
        <v>2633</v>
      </c>
      <c r="Z945" s="112" t="s">
        <v>1906</v>
      </c>
      <c r="AA945" s="112" t="s">
        <v>2633</v>
      </c>
      <c r="AB945" s="112" t="s">
        <v>1906</v>
      </c>
      <c r="AC945" s="112">
        <v>119.2</v>
      </c>
      <c r="AD945" s="112" t="s">
        <v>1906</v>
      </c>
      <c r="AE945" s="112">
        <v>34.6</v>
      </c>
      <c r="AF945" s="112" t="s">
        <v>1906</v>
      </c>
      <c r="AG945" s="112">
        <v>0</v>
      </c>
      <c r="AH945" s="112"/>
      <c r="AI945" s="112">
        <v>0</v>
      </c>
      <c r="AJ945" s="112"/>
      <c r="AK945" s="112">
        <v>0</v>
      </c>
      <c r="AL945" s="112"/>
      <c r="AM945" s="112">
        <v>0</v>
      </c>
      <c r="AN945" s="112"/>
      <c r="AO945" s="112">
        <v>108.16</v>
      </c>
      <c r="AP945" s="112" t="s">
        <v>208</v>
      </c>
      <c r="AQ945" s="112">
        <v>108.16</v>
      </c>
      <c r="AR945" s="112" t="s">
        <v>208</v>
      </c>
      <c r="AS945" s="112">
        <v>108.16</v>
      </c>
      <c r="AT945" s="112" t="s">
        <v>208</v>
      </c>
      <c r="AU945" s="112">
        <f t="shared" si="28"/>
        <v>835.88</v>
      </c>
      <c r="AV945" s="111">
        <v>0.25694</v>
      </c>
      <c r="AW945" s="111" t="s">
        <v>1904</v>
      </c>
      <c r="AX945" s="25"/>
      <c r="AY945" s="25"/>
      <c r="AZ945" s="25"/>
    </row>
    <row r="946" spans="1:52" ht="31.2" x14ac:dyDescent="0.3">
      <c r="A946" s="103">
        <v>936</v>
      </c>
      <c r="B946" s="109" t="s">
        <v>1816</v>
      </c>
      <c r="C946" s="30" t="s">
        <v>1899</v>
      </c>
      <c r="D946" s="110" t="s">
        <v>1900</v>
      </c>
      <c r="E946" s="110" t="s">
        <v>1917</v>
      </c>
      <c r="F946" s="30" t="s">
        <v>2703</v>
      </c>
      <c r="G946" s="26" t="s">
        <v>145</v>
      </c>
      <c r="H946" s="24" t="s">
        <v>146</v>
      </c>
      <c r="I946" s="109">
        <v>1</v>
      </c>
      <c r="J946" s="109" t="s">
        <v>1918</v>
      </c>
      <c r="K946" s="109">
        <v>133</v>
      </c>
      <c r="L946" s="109" t="s">
        <v>1919</v>
      </c>
      <c r="M946" s="109" t="s">
        <v>1904</v>
      </c>
      <c r="N946" s="109" t="s">
        <v>529</v>
      </c>
      <c r="O946" s="109" t="s">
        <v>1920</v>
      </c>
      <c r="P946" s="109" t="s">
        <v>1921</v>
      </c>
      <c r="Q946" s="102">
        <v>0</v>
      </c>
      <c r="R946" s="109" t="s">
        <v>1907</v>
      </c>
      <c r="S946" s="109" t="s">
        <v>1922</v>
      </c>
      <c r="T946" s="25"/>
      <c r="U946" s="111" t="s">
        <v>1923</v>
      </c>
      <c r="V946" s="111" t="s">
        <v>1923</v>
      </c>
      <c r="W946" s="112" t="s">
        <v>2634</v>
      </c>
      <c r="X946" s="112" t="s">
        <v>1906</v>
      </c>
      <c r="Y946" s="112" t="s">
        <v>2635</v>
      </c>
      <c r="Z946" s="112" t="s">
        <v>1906</v>
      </c>
      <c r="AA946" s="112" t="s">
        <v>2636</v>
      </c>
      <c r="AB946" s="112" t="s">
        <v>1906</v>
      </c>
      <c r="AC946" s="112">
        <v>55.15</v>
      </c>
      <c r="AD946" s="112" t="s">
        <v>1906</v>
      </c>
      <c r="AE946" s="112">
        <v>26.91</v>
      </c>
      <c r="AF946" s="112" t="s">
        <v>1906</v>
      </c>
      <c r="AG946" s="112">
        <v>0</v>
      </c>
      <c r="AH946" s="112"/>
      <c r="AI946" s="112">
        <v>0</v>
      </c>
      <c r="AJ946" s="112"/>
      <c r="AK946" s="112">
        <v>0</v>
      </c>
      <c r="AL946" s="112"/>
      <c r="AM946" s="112">
        <v>0</v>
      </c>
      <c r="AN946" s="112"/>
      <c r="AO946" s="112">
        <v>125.02</v>
      </c>
      <c r="AP946" s="112" t="s">
        <v>208</v>
      </c>
      <c r="AQ946" s="112">
        <v>125.02</v>
      </c>
      <c r="AR946" s="112" t="s">
        <v>208</v>
      </c>
      <c r="AS946" s="112">
        <v>125.02</v>
      </c>
      <c r="AT946" s="112" t="s">
        <v>208</v>
      </c>
      <c r="AU946" s="112">
        <f t="shared" si="28"/>
        <v>827.02</v>
      </c>
      <c r="AV946" s="111">
        <v>0.42454999999999998</v>
      </c>
      <c r="AW946" s="111" t="s">
        <v>1904</v>
      </c>
      <c r="AX946" s="25"/>
      <c r="AY946" s="25"/>
      <c r="AZ946" s="25"/>
    </row>
    <row r="947" spans="1:52" ht="31.2" x14ac:dyDescent="0.3">
      <c r="A947" s="103">
        <v>937</v>
      </c>
      <c r="B947" s="109" t="s">
        <v>1819</v>
      </c>
      <c r="C947" s="30" t="s">
        <v>1899</v>
      </c>
      <c r="D947" s="110" t="s">
        <v>1900</v>
      </c>
      <c r="E947" s="110" t="s">
        <v>1917</v>
      </c>
      <c r="F947" s="30" t="s">
        <v>2703</v>
      </c>
      <c r="G947" s="26" t="s">
        <v>145</v>
      </c>
      <c r="H947" s="24" t="s">
        <v>146</v>
      </c>
      <c r="I947" s="109">
        <v>1</v>
      </c>
      <c r="J947" s="109" t="s">
        <v>1918</v>
      </c>
      <c r="K947" s="109">
        <v>89</v>
      </c>
      <c r="L947" s="109" t="s">
        <v>1919</v>
      </c>
      <c r="M947" s="109" t="s">
        <v>1904</v>
      </c>
      <c r="N947" s="109" t="s">
        <v>529</v>
      </c>
      <c r="O947" s="109" t="s">
        <v>1920</v>
      </c>
      <c r="P947" s="109" t="s">
        <v>1921</v>
      </c>
      <c r="Q947" s="102">
        <v>0</v>
      </c>
      <c r="R947" s="109" t="s">
        <v>1907</v>
      </c>
      <c r="S947" s="109" t="s">
        <v>1922</v>
      </c>
      <c r="T947" s="25"/>
      <c r="U947" s="111" t="s">
        <v>1923</v>
      </c>
      <c r="V947" s="111" t="s">
        <v>1923</v>
      </c>
      <c r="W947" s="112" t="s">
        <v>2637</v>
      </c>
      <c r="X947" s="112" t="s">
        <v>1906</v>
      </c>
      <c r="Y947" s="112" t="s">
        <v>2637</v>
      </c>
      <c r="Z947" s="112" t="s">
        <v>1906</v>
      </c>
      <c r="AA947" s="112">
        <v>104</v>
      </c>
      <c r="AB947" s="112" t="s">
        <v>1906</v>
      </c>
      <c r="AC947" s="112">
        <v>43.11</v>
      </c>
      <c r="AD947" s="112" t="s">
        <v>1906</v>
      </c>
      <c r="AE947" s="112">
        <v>21.62</v>
      </c>
      <c r="AF947" s="112" t="s">
        <v>1906</v>
      </c>
      <c r="AG947" s="112">
        <v>0</v>
      </c>
      <c r="AH947" s="112"/>
      <c r="AI947" s="112">
        <v>0</v>
      </c>
      <c r="AJ947" s="112"/>
      <c r="AK947" s="112">
        <v>0</v>
      </c>
      <c r="AL947" s="112"/>
      <c r="AM947" s="112">
        <v>0</v>
      </c>
      <c r="AN947" s="112"/>
      <c r="AO947" s="112">
        <v>41.76</v>
      </c>
      <c r="AP947" s="112" t="s">
        <v>208</v>
      </c>
      <c r="AQ947" s="112">
        <v>49.08</v>
      </c>
      <c r="AR947" s="112" t="s">
        <v>208</v>
      </c>
      <c r="AS947" s="112">
        <v>70.31</v>
      </c>
      <c r="AT947" s="112" t="s">
        <v>208</v>
      </c>
      <c r="AU947" s="112">
        <f t="shared" si="28"/>
        <v>503.78</v>
      </c>
      <c r="AV947" s="111">
        <v>0.24890999999999999</v>
      </c>
      <c r="AW947" s="111" t="s">
        <v>1904</v>
      </c>
      <c r="AX947" s="25"/>
      <c r="AY947" s="25"/>
      <c r="AZ947" s="25"/>
    </row>
    <row r="948" spans="1:52" ht="31.2" x14ac:dyDescent="0.3">
      <c r="A948" s="103">
        <v>938</v>
      </c>
      <c r="B948" s="109" t="s">
        <v>1822</v>
      </c>
      <c r="C948" s="30" t="s">
        <v>1899</v>
      </c>
      <c r="D948" s="110" t="s">
        <v>1900</v>
      </c>
      <c r="E948" s="110" t="s">
        <v>1917</v>
      </c>
      <c r="F948" s="30" t="s">
        <v>2703</v>
      </c>
      <c r="G948" s="26" t="s">
        <v>145</v>
      </c>
      <c r="H948" s="24" t="s">
        <v>146</v>
      </c>
      <c r="I948" s="109">
        <v>1</v>
      </c>
      <c r="J948" s="109" t="s">
        <v>1918</v>
      </c>
      <c r="K948" s="109">
        <v>89</v>
      </c>
      <c r="L948" s="109" t="s">
        <v>1919</v>
      </c>
      <c r="M948" s="109" t="s">
        <v>1904</v>
      </c>
      <c r="N948" s="109" t="s">
        <v>529</v>
      </c>
      <c r="O948" s="109" t="s">
        <v>1920</v>
      </c>
      <c r="P948" s="109" t="s">
        <v>1921</v>
      </c>
      <c r="Q948" s="102">
        <v>0</v>
      </c>
      <c r="R948" s="109" t="s">
        <v>1907</v>
      </c>
      <c r="S948" s="109" t="s">
        <v>1922</v>
      </c>
      <c r="T948" s="25"/>
      <c r="U948" s="111" t="s">
        <v>1923</v>
      </c>
      <c r="V948" s="111" t="s">
        <v>1923</v>
      </c>
      <c r="W948" s="112" t="s">
        <v>2638</v>
      </c>
      <c r="X948" s="112" t="s">
        <v>1906</v>
      </c>
      <c r="Y948" s="112" t="s">
        <v>2639</v>
      </c>
      <c r="Z948" s="112" t="s">
        <v>1906</v>
      </c>
      <c r="AA948" s="112" t="s">
        <v>2640</v>
      </c>
      <c r="AB948" s="112" t="s">
        <v>1906</v>
      </c>
      <c r="AC948" s="112">
        <v>98.15</v>
      </c>
      <c r="AD948" s="112" t="s">
        <v>1906</v>
      </c>
      <c r="AE948" s="112">
        <v>28.5</v>
      </c>
      <c r="AF948" s="112" t="s">
        <v>1906</v>
      </c>
      <c r="AG948" s="112">
        <v>0</v>
      </c>
      <c r="AH948" s="112"/>
      <c r="AI948" s="112">
        <v>0</v>
      </c>
      <c r="AJ948" s="112"/>
      <c r="AK948" s="112">
        <v>0</v>
      </c>
      <c r="AL948" s="112"/>
      <c r="AM948" s="112">
        <v>0</v>
      </c>
      <c r="AN948" s="112"/>
      <c r="AO948" s="112">
        <v>45.4</v>
      </c>
      <c r="AP948" s="112" t="s">
        <v>208</v>
      </c>
      <c r="AQ948" s="112">
        <v>55.13</v>
      </c>
      <c r="AR948" s="112" t="s">
        <v>208</v>
      </c>
      <c r="AS948" s="112">
        <v>76.87</v>
      </c>
      <c r="AT948" s="112" t="s">
        <v>208</v>
      </c>
      <c r="AU948" s="112">
        <f t="shared" si="28"/>
        <v>618.52</v>
      </c>
      <c r="AV948" s="111">
        <v>0.29709000000000002</v>
      </c>
      <c r="AW948" s="111" t="s">
        <v>1904</v>
      </c>
      <c r="AX948" s="25"/>
      <c r="AY948" s="25"/>
      <c r="AZ948" s="25"/>
    </row>
    <row r="949" spans="1:52" ht="31.2" x14ac:dyDescent="0.3">
      <c r="A949" s="103">
        <v>939</v>
      </c>
      <c r="B949" s="109" t="s">
        <v>1824</v>
      </c>
      <c r="C949" s="30" t="s">
        <v>1899</v>
      </c>
      <c r="D949" s="110" t="s">
        <v>1900</v>
      </c>
      <c r="E949" s="110" t="s">
        <v>1917</v>
      </c>
      <c r="F949" s="30" t="s">
        <v>2703</v>
      </c>
      <c r="G949" s="26" t="s">
        <v>145</v>
      </c>
      <c r="H949" s="24" t="s">
        <v>146</v>
      </c>
      <c r="I949" s="109">
        <v>1</v>
      </c>
      <c r="J949" s="109" t="s">
        <v>1918</v>
      </c>
      <c r="K949" s="109">
        <v>133</v>
      </c>
      <c r="L949" s="109" t="s">
        <v>1919</v>
      </c>
      <c r="M949" s="109" t="s">
        <v>1904</v>
      </c>
      <c r="N949" s="109" t="s">
        <v>529</v>
      </c>
      <c r="O949" s="109" t="s">
        <v>1920</v>
      </c>
      <c r="P949" s="109" t="s">
        <v>1921</v>
      </c>
      <c r="Q949" s="102">
        <v>0</v>
      </c>
      <c r="R949" s="109" t="s">
        <v>1907</v>
      </c>
      <c r="S949" s="109" t="s">
        <v>1922</v>
      </c>
      <c r="T949" s="25"/>
      <c r="U949" s="111" t="s">
        <v>1923</v>
      </c>
      <c r="V949" s="111" t="s">
        <v>1923</v>
      </c>
      <c r="W949" s="112" t="s">
        <v>2641</v>
      </c>
      <c r="X949" s="112" t="s">
        <v>1906</v>
      </c>
      <c r="Y949" s="112" t="s">
        <v>2641</v>
      </c>
      <c r="Z949" s="112" t="s">
        <v>1906</v>
      </c>
      <c r="AA949" s="112" t="s">
        <v>2641</v>
      </c>
      <c r="AB949" s="112" t="s">
        <v>1906</v>
      </c>
      <c r="AC949" s="112">
        <v>313.52999999999997</v>
      </c>
      <c r="AD949" s="112" t="s">
        <v>1906</v>
      </c>
      <c r="AE949" s="112">
        <v>91.02</v>
      </c>
      <c r="AF949" s="112" t="s">
        <v>1906</v>
      </c>
      <c r="AG949" s="112">
        <v>0</v>
      </c>
      <c r="AH949" s="112"/>
      <c r="AI949" s="112">
        <v>0</v>
      </c>
      <c r="AJ949" s="112"/>
      <c r="AK949" s="112">
        <v>0</v>
      </c>
      <c r="AL949" s="112"/>
      <c r="AM949" s="112">
        <v>72.34</v>
      </c>
      <c r="AN949" s="112" t="s">
        <v>1906</v>
      </c>
      <c r="AO949" s="112">
        <v>311.42</v>
      </c>
      <c r="AP949" s="112" t="s">
        <v>208</v>
      </c>
      <c r="AQ949" s="112">
        <v>94.49</v>
      </c>
      <c r="AR949" s="112" t="s">
        <v>208</v>
      </c>
      <c r="AS949" s="112">
        <v>218.05</v>
      </c>
      <c r="AT949" s="112" t="s">
        <v>208</v>
      </c>
      <c r="AU949" s="112">
        <f t="shared" si="28"/>
        <v>2041.4399999999998</v>
      </c>
      <c r="AV949" s="111">
        <v>0.96211000000000002</v>
      </c>
      <c r="AW949" s="111" t="s">
        <v>1904</v>
      </c>
      <c r="AX949" s="25"/>
      <c r="AY949" s="25"/>
      <c r="AZ949" s="25"/>
    </row>
    <row r="950" spans="1:52" ht="31.2" x14ac:dyDescent="0.3">
      <c r="A950" s="103">
        <v>940</v>
      </c>
      <c r="B950" s="109" t="s">
        <v>1825</v>
      </c>
      <c r="C950" s="30" t="s">
        <v>1899</v>
      </c>
      <c r="D950" s="110" t="s">
        <v>1900</v>
      </c>
      <c r="E950" s="110" t="s">
        <v>1917</v>
      </c>
      <c r="F950" s="30" t="s">
        <v>2703</v>
      </c>
      <c r="G950" s="26" t="s">
        <v>145</v>
      </c>
      <c r="H950" s="24" t="s">
        <v>146</v>
      </c>
      <c r="I950" s="109">
        <v>1</v>
      </c>
      <c r="J950" s="109" t="s">
        <v>1918</v>
      </c>
      <c r="K950" s="109">
        <v>76</v>
      </c>
      <c r="L950" s="109" t="s">
        <v>1919</v>
      </c>
      <c r="M950" s="109" t="s">
        <v>1904</v>
      </c>
      <c r="N950" s="109" t="s">
        <v>529</v>
      </c>
      <c r="O950" s="109" t="s">
        <v>1920</v>
      </c>
      <c r="P950" s="109" t="s">
        <v>1921</v>
      </c>
      <c r="Q950" s="102">
        <v>0</v>
      </c>
      <c r="R950" s="109" t="s">
        <v>1907</v>
      </c>
      <c r="S950" s="109" t="s">
        <v>1922</v>
      </c>
      <c r="T950" s="25"/>
      <c r="U950" s="111" t="s">
        <v>1923</v>
      </c>
      <c r="V950" s="111" t="s">
        <v>1923</v>
      </c>
      <c r="W950" s="112" t="s">
        <v>2642</v>
      </c>
      <c r="X950" s="112" t="s">
        <v>1906</v>
      </c>
      <c r="Y950" s="112" t="s">
        <v>2643</v>
      </c>
      <c r="Z950" s="112" t="s">
        <v>1906</v>
      </c>
      <c r="AA950" s="112" t="s">
        <v>2134</v>
      </c>
      <c r="AB950" s="112" t="s">
        <v>1906</v>
      </c>
      <c r="AC950" s="112">
        <v>22.46</v>
      </c>
      <c r="AD950" s="112" t="s">
        <v>1906</v>
      </c>
      <c r="AE950" s="112">
        <v>11.77</v>
      </c>
      <c r="AF950" s="112" t="s">
        <v>1906</v>
      </c>
      <c r="AG950" s="112">
        <v>0</v>
      </c>
      <c r="AH950" s="112"/>
      <c r="AI950" s="112">
        <v>0</v>
      </c>
      <c r="AJ950" s="112"/>
      <c r="AK950" s="112">
        <v>0</v>
      </c>
      <c r="AL950" s="112"/>
      <c r="AM950" s="112">
        <v>0</v>
      </c>
      <c r="AN950" s="112"/>
      <c r="AO950" s="112">
        <v>23.25</v>
      </c>
      <c r="AP950" s="112" t="s">
        <v>208</v>
      </c>
      <c r="AQ950" s="112">
        <v>23.27</v>
      </c>
      <c r="AR950" s="112" t="s">
        <v>208</v>
      </c>
      <c r="AS950" s="112">
        <v>35.57</v>
      </c>
      <c r="AT950" s="112" t="s">
        <v>208</v>
      </c>
      <c r="AU950" s="112">
        <f t="shared" si="28"/>
        <v>239.08</v>
      </c>
      <c r="AV950" s="111">
        <v>9.6967999999999999E-2</v>
      </c>
      <c r="AW950" s="111" t="s">
        <v>1904</v>
      </c>
      <c r="AX950" s="25"/>
      <c r="AY950" s="25"/>
      <c r="AZ950" s="25"/>
    </row>
    <row r="951" spans="1:52" ht="31.2" x14ac:dyDescent="0.3">
      <c r="A951" s="103">
        <v>941</v>
      </c>
      <c r="B951" s="109" t="s">
        <v>1827</v>
      </c>
      <c r="C951" s="30" t="s">
        <v>1899</v>
      </c>
      <c r="D951" s="110" t="s">
        <v>1900</v>
      </c>
      <c r="E951" s="110" t="s">
        <v>1917</v>
      </c>
      <c r="F951" s="30" t="s">
        <v>2703</v>
      </c>
      <c r="G951" s="26" t="s">
        <v>145</v>
      </c>
      <c r="H951" s="24" t="s">
        <v>146</v>
      </c>
      <c r="I951" s="109">
        <v>1</v>
      </c>
      <c r="J951" s="109" t="s">
        <v>1918</v>
      </c>
      <c r="K951" s="109">
        <v>89</v>
      </c>
      <c r="L951" s="109" t="s">
        <v>1919</v>
      </c>
      <c r="M951" s="109" t="s">
        <v>1904</v>
      </c>
      <c r="N951" s="109" t="s">
        <v>529</v>
      </c>
      <c r="O951" s="109" t="s">
        <v>1920</v>
      </c>
      <c r="P951" s="109" t="s">
        <v>1921</v>
      </c>
      <c r="Q951" s="102">
        <v>0</v>
      </c>
      <c r="R951" s="109" t="s">
        <v>1907</v>
      </c>
      <c r="S951" s="109" t="s">
        <v>1922</v>
      </c>
      <c r="T951" s="25"/>
      <c r="U951" s="111" t="s">
        <v>1923</v>
      </c>
      <c r="V951" s="111" t="s">
        <v>1923</v>
      </c>
      <c r="W951" s="112" t="s">
        <v>2644</v>
      </c>
      <c r="X951" s="112" t="s">
        <v>1906</v>
      </c>
      <c r="Y951" s="112" t="s">
        <v>2644</v>
      </c>
      <c r="Z951" s="112" t="s">
        <v>1906</v>
      </c>
      <c r="AA951" s="112" t="s">
        <v>2644</v>
      </c>
      <c r="AB951" s="112" t="s">
        <v>1906</v>
      </c>
      <c r="AC951" s="112">
        <v>92.61</v>
      </c>
      <c r="AD951" s="112" t="s">
        <v>1906</v>
      </c>
      <c r="AE951" s="112">
        <v>26.89</v>
      </c>
      <c r="AF951" s="112" t="s">
        <v>1906</v>
      </c>
      <c r="AG951" s="112">
        <v>0</v>
      </c>
      <c r="AH951" s="112"/>
      <c r="AI951" s="112">
        <v>0</v>
      </c>
      <c r="AJ951" s="112"/>
      <c r="AK951" s="112">
        <v>0</v>
      </c>
      <c r="AL951" s="112"/>
      <c r="AM951" s="112">
        <v>0</v>
      </c>
      <c r="AN951" s="112"/>
      <c r="AO951" s="112">
        <v>84.24</v>
      </c>
      <c r="AP951" s="112" t="s">
        <v>208</v>
      </c>
      <c r="AQ951" s="112">
        <v>28.96</v>
      </c>
      <c r="AR951" s="112" t="s">
        <v>208</v>
      </c>
      <c r="AS951" s="112">
        <v>61.43</v>
      </c>
      <c r="AT951" s="112" t="s">
        <v>208</v>
      </c>
      <c r="AU951" s="112">
        <f t="shared" si="28"/>
        <v>571.95999999999992</v>
      </c>
      <c r="AV951" s="111">
        <v>0.21278</v>
      </c>
      <c r="AW951" s="111" t="s">
        <v>1904</v>
      </c>
      <c r="AX951" s="25"/>
      <c r="AY951" s="25"/>
      <c r="AZ951" s="25"/>
    </row>
    <row r="952" spans="1:52" ht="31.2" x14ac:dyDescent="0.3">
      <c r="A952" s="103">
        <v>942</v>
      </c>
      <c r="B952" s="109" t="s">
        <v>1829</v>
      </c>
      <c r="C952" s="30" t="s">
        <v>1899</v>
      </c>
      <c r="D952" s="110" t="s">
        <v>1900</v>
      </c>
      <c r="E952" s="110" t="s">
        <v>1917</v>
      </c>
      <c r="F952" s="30" t="s">
        <v>2703</v>
      </c>
      <c r="G952" s="26" t="s">
        <v>145</v>
      </c>
      <c r="H952" s="24" t="s">
        <v>146</v>
      </c>
      <c r="I952" s="109">
        <v>1</v>
      </c>
      <c r="J952" s="109" t="s">
        <v>1918</v>
      </c>
      <c r="K952" s="109">
        <v>89</v>
      </c>
      <c r="L952" s="109" t="s">
        <v>1919</v>
      </c>
      <c r="M952" s="109" t="s">
        <v>1904</v>
      </c>
      <c r="N952" s="109" t="s">
        <v>529</v>
      </c>
      <c r="O952" s="109" t="s">
        <v>1920</v>
      </c>
      <c r="P952" s="109" t="s">
        <v>1921</v>
      </c>
      <c r="Q952" s="102">
        <v>0</v>
      </c>
      <c r="R952" s="109" t="s">
        <v>1907</v>
      </c>
      <c r="S952" s="109" t="s">
        <v>1922</v>
      </c>
      <c r="T952" s="25"/>
      <c r="U952" s="111" t="s">
        <v>1923</v>
      </c>
      <c r="V952" s="111" t="s">
        <v>1923</v>
      </c>
      <c r="W952" s="112" t="s">
        <v>2645</v>
      </c>
      <c r="X952" s="112" t="s">
        <v>1906</v>
      </c>
      <c r="Y952" s="112" t="s">
        <v>2645</v>
      </c>
      <c r="Z952" s="112" t="s">
        <v>1906</v>
      </c>
      <c r="AA952" s="112" t="s">
        <v>2645</v>
      </c>
      <c r="AB952" s="112" t="s">
        <v>1906</v>
      </c>
      <c r="AC952" s="112">
        <v>94.12</v>
      </c>
      <c r="AD952" s="112" t="s">
        <v>1906</v>
      </c>
      <c r="AE952" s="112">
        <v>27.33</v>
      </c>
      <c r="AF952" s="112" t="s">
        <v>1906</v>
      </c>
      <c r="AG952" s="112">
        <v>0</v>
      </c>
      <c r="AH952" s="112"/>
      <c r="AI952" s="112">
        <v>0</v>
      </c>
      <c r="AJ952" s="112"/>
      <c r="AK952" s="112">
        <v>0</v>
      </c>
      <c r="AL952" s="112"/>
      <c r="AM952" s="112">
        <v>0</v>
      </c>
      <c r="AN952" s="112"/>
      <c r="AO952" s="112">
        <v>33.33</v>
      </c>
      <c r="AP952" s="112" t="s">
        <v>208</v>
      </c>
      <c r="AQ952" s="112">
        <v>37.99</v>
      </c>
      <c r="AR952" s="112" t="s">
        <v>208</v>
      </c>
      <c r="AS952" s="112">
        <v>53.89</v>
      </c>
      <c r="AT952" s="112" t="s">
        <v>208</v>
      </c>
      <c r="AU952" s="112">
        <f t="shared" si="28"/>
        <v>529.02</v>
      </c>
      <c r="AV952" s="111">
        <v>0.21306</v>
      </c>
      <c r="AW952" s="111" t="s">
        <v>1904</v>
      </c>
      <c r="AX952" s="25"/>
      <c r="AY952" s="25"/>
      <c r="AZ952" s="25"/>
    </row>
    <row r="953" spans="1:52" ht="31.2" x14ac:dyDescent="0.3">
      <c r="A953" s="103">
        <v>943</v>
      </c>
      <c r="B953" s="109" t="s">
        <v>1831</v>
      </c>
      <c r="C953" s="109" t="s">
        <v>2623</v>
      </c>
      <c r="D953" s="110" t="s">
        <v>2623</v>
      </c>
      <c r="E953" s="110" t="s">
        <v>1917</v>
      </c>
      <c r="F953" s="30" t="s">
        <v>2703</v>
      </c>
      <c r="G953" s="26" t="s">
        <v>145</v>
      </c>
      <c r="H953" s="24" t="s">
        <v>146</v>
      </c>
      <c r="I953" s="109">
        <v>0</v>
      </c>
      <c r="J953" s="109" t="s">
        <v>1918</v>
      </c>
      <c r="K953" s="109"/>
      <c r="L953" s="109" t="s">
        <v>1919</v>
      </c>
      <c r="M953" s="109" t="s">
        <v>1904</v>
      </c>
      <c r="N953" s="109" t="s">
        <v>529</v>
      </c>
      <c r="O953" s="109" t="s">
        <v>1920</v>
      </c>
      <c r="P953" s="109" t="s">
        <v>1920</v>
      </c>
      <c r="Q953" s="102">
        <v>0</v>
      </c>
      <c r="R953" s="109" t="s">
        <v>1907</v>
      </c>
      <c r="S953" s="109" t="s">
        <v>1922</v>
      </c>
      <c r="T953" s="25"/>
      <c r="U953" s="111" t="s">
        <v>1923</v>
      </c>
      <c r="V953" s="111" t="s">
        <v>1923</v>
      </c>
      <c r="W953" s="115" t="s">
        <v>2624</v>
      </c>
      <c r="X953" s="115" t="s">
        <v>1906</v>
      </c>
      <c r="Y953" s="115" t="s">
        <v>2624</v>
      </c>
      <c r="Z953" s="115" t="s">
        <v>1906</v>
      </c>
      <c r="AA953" s="115" t="s">
        <v>2624</v>
      </c>
      <c r="AB953" s="115" t="s">
        <v>1906</v>
      </c>
      <c r="AC953" s="115" t="s">
        <v>2624</v>
      </c>
      <c r="AD953" s="115" t="s">
        <v>1906</v>
      </c>
      <c r="AE953" s="115" t="s">
        <v>2624</v>
      </c>
      <c r="AF953" s="115" t="s">
        <v>1906</v>
      </c>
      <c r="AG953" s="115" t="s">
        <v>2624</v>
      </c>
      <c r="AH953" s="115"/>
      <c r="AI953" s="115" t="s">
        <v>2624</v>
      </c>
      <c r="AJ953" s="115"/>
      <c r="AK953" s="115" t="s">
        <v>2624</v>
      </c>
      <c r="AL953" s="115"/>
      <c r="AM953" s="115" t="s">
        <v>2624</v>
      </c>
      <c r="AN953" s="115" t="s">
        <v>1906</v>
      </c>
      <c r="AO953" s="115" t="s">
        <v>2624</v>
      </c>
      <c r="AP953" s="115" t="s">
        <v>1906</v>
      </c>
      <c r="AQ953" s="115" t="s">
        <v>2624</v>
      </c>
      <c r="AR953" s="115" t="s">
        <v>1906</v>
      </c>
      <c r="AS953" s="115" t="s">
        <v>2624</v>
      </c>
      <c r="AT953" s="112" t="s">
        <v>1906</v>
      </c>
      <c r="AU953" s="112" t="s">
        <v>2624</v>
      </c>
      <c r="AV953" s="112" t="s">
        <v>2624</v>
      </c>
      <c r="AW953" s="111" t="s">
        <v>1904</v>
      </c>
      <c r="AX953" s="25"/>
      <c r="AY953" s="25"/>
      <c r="AZ953" s="25"/>
    </row>
    <row r="954" spans="1:52" ht="31.2" x14ac:dyDescent="0.3">
      <c r="A954" s="103">
        <v>944</v>
      </c>
      <c r="B954" s="109" t="s">
        <v>1833</v>
      </c>
      <c r="C954" s="30" t="s">
        <v>1899</v>
      </c>
      <c r="D954" s="110" t="s">
        <v>1900</v>
      </c>
      <c r="E954" s="110" t="s">
        <v>1917</v>
      </c>
      <c r="F954" s="30" t="s">
        <v>2703</v>
      </c>
      <c r="G954" s="26" t="s">
        <v>145</v>
      </c>
      <c r="H954" s="24" t="s">
        <v>146</v>
      </c>
      <c r="I954" s="109">
        <v>0</v>
      </c>
      <c r="J954" s="109" t="s">
        <v>1918</v>
      </c>
      <c r="K954" s="109">
        <v>76</v>
      </c>
      <c r="L954" s="109" t="s">
        <v>1919</v>
      </c>
      <c r="M954" s="109" t="s">
        <v>1904</v>
      </c>
      <c r="N954" s="109" t="s">
        <v>529</v>
      </c>
      <c r="O954" s="109" t="s">
        <v>1920</v>
      </c>
      <c r="P954" s="109" t="s">
        <v>1920</v>
      </c>
      <c r="Q954" s="102">
        <v>0</v>
      </c>
      <c r="R954" s="109" t="s">
        <v>1907</v>
      </c>
      <c r="S954" s="109" t="s">
        <v>1922</v>
      </c>
      <c r="T954" s="25"/>
      <c r="U954" s="111" t="s">
        <v>1923</v>
      </c>
      <c r="V954" s="111" t="s">
        <v>1923</v>
      </c>
      <c r="W954" s="112" t="s">
        <v>2646</v>
      </c>
      <c r="X954" s="112" t="s">
        <v>1906</v>
      </c>
      <c r="Y954" s="112" t="s">
        <v>2646</v>
      </c>
      <c r="Z954" s="112" t="s">
        <v>1906</v>
      </c>
      <c r="AA954" s="112" t="s">
        <v>2646</v>
      </c>
      <c r="AB954" s="112" t="s">
        <v>1906</v>
      </c>
      <c r="AC954" s="112">
        <v>18.88</v>
      </c>
      <c r="AD954" s="112" t="s">
        <v>1906</v>
      </c>
      <c r="AE954" s="112">
        <v>5.48</v>
      </c>
      <c r="AF954" s="112" t="s">
        <v>1906</v>
      </c>
      <c r="AG954" s="112">
        <v>0</v>
      </c>
      <c r="AH954" s="112"/>
      <c r="AI954" s="112">
        <v>0</v>
      </c>
      <c r="AJ954" s="112"/>
      <c r="AK954" s="112">
        <v>0</v>
      </c>
      <c r="AL954" s="112"/>
      <c r="AM954" s="112">
        <v>4.2</v>
      </c>
      <c r="AN954" s="112" t="s">
        <v>1906</v>
      </c>
      <c r="AO954" s="112">
        <v>18.010000000000002</v>
      </c>
      <c r="AP954" s="112" t="s">
        <v>1906</v>
      </c>
      <c r="AQ954" s="112">
        <v>18.010000000000002</v>
      </c>
      <c r="AR954" s="112" t="s">
        <v>1906</v>
      </c>
      <c r="AS954" s="112">
        <v>18.010000000000002</v>
      </c>
      <c r="AT954" s="112" t="s">
        <v>1906</v>
      </c>
      <c r="AU954" s="112">
        <f t="shared" si="28"/>
        <v>139.23000000000002</v>
      </c>
      <c r="AV954" s="111">
        <v>8.0799999999999997E-2</v>
      </c>
      <c r="AW954" s="111" t="s">
        <v>1904</v>
      </c>
      <c r="AX954" s="25"/>
      <c r="AY954" s="25"/>
      <c r="AZ954" s="25"/>
    </row>
    <row r="955" spans="1:52" ht="31.2" x14ac:dyDescent="0.3">
      <c r="A955" s="103">
        <v>945</v>
      </c>
      <c r="B955" s="109" t="s">
        <v>1834</v>
      </c>
      <c r="C955" s="30" t="s">
        <v>1899</v>
      </c>
      <c r="D955" s="110" t="s">
        <v>1900</v>
      </c>
      <c r="E955" s="110" t="s">
        <v>1917</v>
      </c>
      <c r="F955" s="30" t="s">
        <v>2703</v>
      </c>
      <c r="G955" s="26" t="s">
        <v>145</v>
      </c>
      <c r="H955" s="24" t="s">
        <v>146</v>
      </c>
      <c r="I955" s="109">
        <v>0</v>
      </c>
      <c r="J955" s="109" t="s">
        <v>1918</v>
      </c>
      <c r="K955" s="109">
        <v>76</v>
      </c>
      <c r="L955" s="109" t="s">
        <v>1919</v>
      </c>
      <c r="M955" s="109" t="s">
        <v>1904</v>
      </c>
      <c r="N955" s="109" t="s">
        <v>529</v>
      </c>
      <c r="O955" s="109" t="s">
        <v>1920</v>
      </c>
      <c r="P955" s="109" t="s">
        <v>1920</v>
      </c>
      <c r="Q955" s="102">
        <v>0</v>
      </c>
      <c r="R955" s="109" t="s">
        <v>1907</v>
      </c>
      <c r="S955" s="109" t="s">
        <v>1922</v>
      </c>
      <c r="T955" s="25"/>
      <c r="U955" s="111" t="s">
        <v>1923</v>
      </c>
      <c r="V955" s="111" t="s">
        <v>1923</v>
      </c>
      <c r="W955" s="112" t="s">
        <v>2646</v>
      </c>
      <c r="X955" s="112" t="s">
        <v>1906</v>
      </c>
      <c r="Y955" s="112" t="s">
        <v>2646</v>
      </c>
      <c r="Z955" s="112" t="s">
        <v>1906</v>
      </c>
      <c r="AA955" s="112" t="s">
        <v>2646</v>
      </c>
      <c r="AB955" s="112" t="s">
        <v>1906</v>
      </c>
      <c r="AC955" s="112">
        <v>18.88</v>
      </c>
      <c r="AD955" s="112" t="s">
        <v>1906</v>
      </c>
      <c r="AE955" s="112">
        <v>5.48</v>
      </c>
      <c r="AF955" s="112" t="s">
        <v>1906</v>
      </c>
      <c r="AG955" s="112">
        <v>0</v>
      </c>
      <c r="AH955" s="112"/>
      <c r="AI955" s="112">
        <v>0</v>
      </c>
      <c r="AJ955" s="112"/>
      <c r="AK955" s="112">
        <v>0</v>
      </c>
      <c r="AL955" s="112"/>
      <c r="AM955" s="112">
        <v>4.2</v>
      </c>
      <c r="AN955" s="112" t="s">
        <v>1906</v>
      </c>
      <c r="AO955" s="112">
        <v>18.010000000000002</v>
      </c>
      <c r="AP955" s="112" t="s">
        <v>1906</v>
      </c>
      <c r="AQ955" s="112">
        <v>18.010000000000002</v>
      </c>
      <c r="AR955" s="112" t="s">
        <v>1906</v>
      </c>
      <c r="AS955" s="112">
        <v>18.010000000000002</v>
      </c>
      <c r="AT955" s="112" t="s">
        <v>1906</v>
      </c>
      <c r="AU955" s="112">
        <f t="shared" si="28"/>
        <v>139.23000000000002</v>
      </c>
      <c r="AV955" s="111">
        <v>8.0799999999999997E-2</v>
      </c>
      <c r="AW955" s="111" t="s">
        <v>1904</v>
      </c>
      <c r="AX955" s="25"/>
      <c r="AY955" s="25"/>
      <c r="AZ955" s="25"/>
    </row>
    <row r="956" spans="1:52" ht="31.2" x14ac:dyDescent="0.3">
      <c r="A956" s="103">
        <v>946</v>
      </c>
      <c r="B956" s="109" t="s">
        <v>1835</v>
      </c>
      <c r="C956" s="30" t="s">
        <v>1899</v>
      </c>
      <c r="D956" s="110" t="s">
        <v>1900</v>
      </c>
      <c r="E956" s="110" t="s">
        <v>1917</v>
      </c>
      <c r="F956" s="30" t="s">
        <v>2703</v>
      </c>
      <c r="G956" s="26" t="s">
        <v>145</v>
      </c>
      <c r="H956" s="24" t="s">
        <v>146</v>
      </c>
      <c r="I956" s="109">
        <v>0</v>
      </c>
      <c r="J956" s="109" t="s">
        <v>1918</v>
      </c>
      <c r="K956" s="109">
        <v>76</v>
      </c>
      <c r="L956" s="109" t="s">
        <v>1919</v>
      </c>
      <c r="M956" s="109" t="s">
        <v>1904</v>
      </c>
      <c r="N956" s="109" t="s">
        <v>529</v>
      </c>
      <c r="O956" s="109" t="s">
        <v>1920</v>
      </c>
      <c r="P956" s="109" t="s">
        <v>1920</v>
      </c>
      <c r="Q956" s="102">
        <v>0</v>
      </c>
      <c r="R956" s="109" t="s">
        <v>1907</v>
      </c>
      <c r="S956" s="109" t="s">
        <v>1922</v>
      </c>
      <c r="T956" s="25"/>
      <c r="U956" s="111" t="s">
        <v>1923</v>
      </c>
      <c r="V956" s="111" t="s">
        <v>1923</v>
      </c>
      <c r="W956" s="112" t="s">
        <v>2647</v>
      </c>
      <c r="X956" s="112" t="s">
        <v>1906</v>
      </c>
      <c r="Y956" s="112" t="s">
        <v>2647</v>
      </c>
      <c r="Z956" s="112" t="s">
        <v>1906</v>
      </c>
      <c r="AA956" s="112" t="s">
        <v>2647</v>
      </c>
      <c r="AB956" s="112" t="s">
        <v>1906</v>
      </c>
      <c r="AC956" s="112">
        <v>18.420000000000002</v>
      </c>
      <c r="AD956" s="112" t="s">
        <v>1906</v>
      </c>
      <c r="AE956" s="112">
        <v>5.34</v>
      </c>
      <c r="AF956" s="112" t="s">
        <v>1906</v>
      </c>
      <c r="AG956" s="112">
        <v>0</v>
      </c>
      <c r="AH956" s="112"/>
      <c r="AI956" s="112">
        <v>0</v>
      </c>
      <c r="AJ956" s="112"/>
      <c r="AK956" s="112">
        <v>0</v>
      </c>
      <c r="AL956" s="112"/>
      <c r="AM956" s="112">
        <v>4.3899999999999997</v>
      </c>
      <c r="AN956" s="112" t="s">
        <v>1906</v>
      </c>
      <c r="AO956" s="112">
        <v>18.809999999999999</v>
      </c>
      <c r="AP956" s="112" t="s">
        <v>1906</v>
      </c>
      <c r="AQ956" s="112">
        <v>18.809999999999999</v>
      </c>
      <c r="AR956" s="112" t="s">
        <v>1906</v>
      </c>
      <c r="AS956" s="112">
        <v>18.809999999999999</v>
      </c>
      <c r="AT956" s="112" t="s">
        <v>1906</v>
      </c>
      <c r="AU956" s="112">
        <f t="shared" si="28"/>
        <v>139.84</v>
      </c>
      <c r="AV956" s="111">
        <v>7.9719999999999999E-2</v>
      </c>
      <c r="AW956" s="111" t="s">
        <v>1904</v>
      </c>
      <c r="AX956" s="25"/>
      <c r="AY956" s="25"/>
      <c r="AZ956" s="25"/>
    </row>
    <row r="957" spans="1:52" ht="31.2" x14ac:dyDescent="0.3">
      <c r="A957" s="103">
        <v>947</v>
      </c>
      <c r="B957" s="109" t="s">
        <v>1836</v>
      </c>
      <c r="C957" s="30" t="s">
        <v>1899</v>
      </c>
      <c r="D957" s="110" t="s">
        <v>1900</v>
      </c>
      <c r="E957" s="110" t="s">
        <v>1917</v>
      </c>
      <c r="F957" s="30" t="s">
        <v>2703</v>
      </c>
      <c r="G957" s="26" t="s">
        <v>145</v>
      </c>
      <c r="H957" s="24" t="s">
        <v>146</v>
      </c>
      <c r="I957" s="109">
        <v>0</v>
      </c>
      <c r="J957" s="109" t="s">
        <v>1918</v>
      </c>
      <c r="K957" s="109">
        <v>89</v>
      </c>
      <c r="L957" s="109" t="s">
        <v>1919</v>
      </c>
      <c r="M957" s="109" t="s">
        <v>1904</v>
      </c>
      <c r="N957" s="109" t="s">
        <v>529</v>
      </c>
      <c r="O957" s="109" t="s">
        <v>1920</v>
      </c>
      <c r="P957" s="109" t="s">
        <v>1920</v>
      </c>
      <c r="Q957" s="102">
        <v>0</v>
      </c>
      <c r="R957" s="109" t="s">
        <v>1907</v>
      </c>
      <c r="S957" s="109" t="s">
        <v>1922</v>
      </c>
      <c r="T957" s="25"/>
      <c r="U957" s="111" t="s">
        <v>1923</v>
      </c>
      <c r="V957" s="111" t="s">
        <v>1923</v>
      </c>
      <c r="W957" s="112" t="s">
        <v>2648</v>
      </c>
      <c r="X957" s="112" t="s">
        <v>1906</v>
      </c>
      <c r="Y957" s="112" t="s">
        <v>2648</v>
      </c>
      <c r="Z957" s="112" t="s">
        <v>1906</v>
      </c>
      <c r="AA957" s="112" t="s">
        <v>2648</v>
      </c>
      <c r="AB957" s="112" t="s">
        <v>1906</v>
      </c>
      <c r="AC957" s="112">
        <v>54.34</v>
      </c>
      <c r="AD957" s="112" t="s">
        <v>1906</v>
      </c>
      <c r="AE957" s="112">
        <v>15.78</v>
      </c>
      <c r="AF957" s="112" t="s">
        <v>1906</v>
      </c>
      <c r="AG957" s="112">
        <v>0</v>
      </c>
      <c r="AH957" s="112"/>
      <c r="AI957" s="112">
        <v>0</v>
      </c>
      <c r="AJ957" s="112"/>
      <c r="AK957" s="112">
        <v>0</v>
      </c>
      <c r="AL957" s="112"/>
      <c r="AM957" s="112">
        <v>12.44</v>
      </c>
      <c r="AN957" s="112" t="s">
        <v>1906</v>
      </c>
      <c r="AO957" s="112">
        <v>53.33</v>
      </c>
      <c r="AP957" s="112" t="s">
        <v>1906</v>
      </c>
      <c r="AQ957" s="112">
        <v>53.33</v>
      </c>
      <c r="AR957" s="112" t="s">
        <v>1906</v>
      </c>
      <c r="AS957" s="112">
        <v>53.33</v>
      </c>
      <c r="AT957" s="112" t="s">
        <v>1906</v>
      </c>
      <c r="AU957" s="112">
        <f t="shared" si="28"/>
        <v>405.57</v>
      </c>
      <c r="AV957" s="111">
        <v>0.19134000000000001</v>
      </c>
      <c r="AW957" s="111" t="s">
        <v>1904</v>
      </c>
      <c r="AX957" s="25"/>
      <c r="AY957" s="25"/>
      <c r="AZ957" s="25"/>
    </row>
    <row r="958" spans="1:52" ht="31.2" x14ac:dyDescent="0.3">
      <c r="A958" s="103">
        <v>948</v>
      </c>
      <c r="B958" s="109" t="s">
        <v>1838</v>
      </c>
      <c r="C958" s="30" t="s">
        <v>1899</v>
      </c>
      <c r="D958" s="110" t="s">
        <v>1900</v>
      </c>
      <c r="E958" s="110" t="s">
        <v>1917</v>
      </c>
      <c r="F958" s="30" t="s">
        <v>2703</v>
      </c>
      <c r="G958" s="26" t="s">
        <v>145</v>
      </c>
      <c r="H958" s="24" t="s">
        <v>146</v>
      </c>
      <c r="I958" s="109">
        <v>0</v>
      </c>
      <c r="J958" s="109" t="s">
        <v>1918</v>
      </c>
      <c r="K958" s="109">
        <v>76</v>
      </c>
      <c r="L958" s="109" t="s">
        <v>1919</v>
      </c>
      <c r="M958" s="109" t="s">
        <v>1904</v>
      </c>
      <c r="N958" s="109" t="s">
        <v>529</v>
      </c>
      <c r="O958" s="109" t="s">
        <v>1920</v>
      </c>
      <c r="P958" s="109" t="s">
        <v>1920</v>
      </c>
      <c r="Q958" s="102">
        <v>0</v>
      </c>
      <c r="R958" s="109" t="s">
        <v>1907</v>
      </c>
      <c r="S958" s="109" t="s">
        <v>1922</v>
      </c>
      <c r="T958" s="25"/>
      <c r="U958" s="111" t="s">
        <v>1923</v>
      </c>
      <c r="V958" s="111" t="s">
        <v>1923</v>
      </c>
      <c r="W958" s="112" t="s">
        <v>2649</v>
      </c>
      <c r="X958" s="112" t="s">
        <v>1906</v>
      </c>
      <c r="Y958" s="112" t="s">
        <v>2649</v>
      </c>
      <c r="Z958" s="112" t="s">
        <v>1906</v>
      </c>
      <c r="AA958" s="112" t="s">
        <v>2649</v>
      </c>
      <c r="AB958" s="112" t="s">
        <v>1906</v>
      </c>
      <c r="AC958" s="112">
        <v>38.380000000000003</v>
      </c>
      <c r="AD958" s="112" t="s">
        <v>1906</v>
      </c>
      <c r="AE958" s="112">
        <v>11.15</v>
      </c>
      <c r="AF958" s="112" t="s">
        <v>1906</v>
      </c>
      <c r="AG958" s="112">
        <v>0</v>
      </c>
      <c r="AH958" s="112"/>
      <c r="AI958" s="112">
        <v>0</v>
      </c>
      <c r="AJ958" s="112"/>
      <c r="AK958" s="112">
        <v>0</v>
      </c>
      <c r="AL958" s="112"/>
      <c r="AM958" s="112">
        <v>8.77</v>
      </c>
      <c r="AN958" s="112" t="s">
        <v>1906</v>
      </c>
      <c r="AO958" s="112">
        <v>37.58</v>
      </c>
      <c r="AP958" s="112" t="s">
        <v>1906</v>
      </c>
      <c r="AQ958" s="112">
        <v>37.58</v>
      </c>
      <c r="AR958" s="112" t="s">
        <v>1906</v>
      </c>
      <c r="AS958" s="112">
        <v>37.58</v>
      </c>
      <c r="AT958" s="112" t="s">
        <v>1906</v>
      </c>
      <c r="AU958" s="112">
        <f t="shared" si="28"/>
        <v>286.18</v>
      </c>
      <c r="AV958" s="111">
        <v>0.14757000000000001</v>
      </c>
      <c r="AW958" s="111" t="s">
        <v>1904</v>
      </c>
      <c r="AX958" s="25"/>
      <c r="AY958" s="25"/>
      <c r="AZ958" s="25"/>
    </row>
    <row r="959" spans="1:52" ht="31.2" x14ac:dyDescent="0.3">
      <c r="A959" s="103">
        <v>949</v>
      </c>
      <c r="B959" s="109" t="s">
        <v>1840</v>
      </c>
      <c r="C959" s="30" t="s">
        <v>1899</v>
      </c>
      <c r="D959" s="110" t="s">
        <v>1900</v>
      </c>
      <c r="E959" s="110" t="s">
        <v>1917</v>
      </c>
      <c r="F959" s="30" t="s">
        <v>2703</v>
      </c>
      <c r="G959" s="26" t="s">
        <v>145</v>
      </c>
      <c r="H959" s="24" t="s">
        <v>146</v>
      </c>
      <c r="I959" s="109">
        <v>0</v>
      </c>
      <c r="J959" s="109" t="s">
        <v>1918</v>
      </c>
      <c r="K959" s="109">
        <v>50</v>
      </c>
      <c r="L959" s="109" t="s">
        <v>1919</v>
      </c>
      <c r="M959" s="109" t="s">
        <v>1904</v>
      </c>
      <c r="N959" s="109" t="s">
        <v>529</v>
      </c>
      <c r="O959" s="109" t="s">
        <v>1920</v>
      </c>
      <c r="P959" s="109" t="s">
        <v>1920</v>
      </c>
      <c r="Q959" s="102">
        <v>0</v>
      </c>
      <c r="R959" s="109" t="s">
        <v>1907</v>
      </c>
      <c r="S959" s="109" t="s">
        <v>1922</v>
      </c>
      <c r="T959" s="25"/>
      <c r="U959" s="111" t="s">
        <v>1923</v>
      </c>
      <c r="V959" s="111" t="s">
        <v>1923</v>
      </c>
      <c r="W959" s="112" t="s">
        <v>2650</v>
      </c>
      <c r="X959" s="112" t="s">
        <v>1906</v>
      </c>
      <c r="Y959" s="112" t="s">
        <v>2650</v>
      </c>
      <c r="Z959" s="112" t="s">
        <v>1906</v>
      </c>
      <c r="AA959" s="112" t="s">
        <v>2650</v>
      </c>
      <c r="AB959" s="112" t="s">
        <v>1906</v>
      </c>
      <c r="AC959" s="112">
        <v>22.09</v>
      </c>
      <c r="AD959" s="112" t="s">
        <v>1906</v>
      </c>
      <c r="AE959" s="112">
        <v>6.41</v>
      </c>
      <c r="AF959" s="112" t="s">
        <v>1906</v>
      </c>
      <c r="AG959" s="112">
        <v>0</v>
      </c>
      <c r="AH959" s="112"/>
      <c r="AI959" s="112">
        <v>0</v>
      </c>
      <c r="AJ959" s="112"/>
      <c r="AK959" s="112">
        <v>0</v>
      </c>
      <c r="AL959" s="112"/>
      <c r="AM959" s="112">
        <v>4.9000000000000004</v>
      </c>
      <c r="AN959" s="112" t="s">
        <v>1906</v>
      </c>
      <c r="AO959" s="112">
        <v>21.02</v>
      </c>
      <c r="AP959" s="112" t="s">
        <v>1906</v>
      </c>
      <c r="AQ959" s="112">
        <v>21.02</v>
      </c>
      <c r="AR959" s="112" t="s">
        <v>1906</v>
      </c>
      <c r="AS959" s="112">
        <v>21.02</v>
      </c>
      <c r="AT959" s="112" t="s">
        <v>1906</v>
      </c>
      <c r="AU959" s="112">
        <f t="shared" si="28"/>
        <v>162.73000000000002</v>
      </c>
      <c r="AV959" s="111">
        <v>9.1950000000000004E-2</v>
      </c>
      <c r="AW959" s="111" t="s">
        <v>1904</v>
      </c>
      <c r="AX959" s="25"/>
      <c r="AY959" s="25"/>
      <c r="AZ959" s="25"/>
    </row>
    <row r="960" spans="1:52" ht="31.2" x14ac:dyDescent="0.3">
      <c r="A960" s="103">
        <v>950</v>
      </c>
      <c r="B960" s="109" t="s">
        <v>1841</v>
      </c>
      <c r="C960" s="30" t="s">
        <v>1899</v>
      </c>
      <c r="D960" s="110" t="s">
        <v>1900</v>
      </c>
      <c r="E960" s="110" t="s">
        <v>1917</v>
      </c>
      <c r="F960" s="30" t="s">
        <v>2703</v>
      </c>
      <c r="G960" s="26" t="s">
        <v>145</v>
      </c>
      <c r="H960" s="24" t="s">
        <v>146</v>
      </c>
      <c r="I960" s="109">
        <v>0</v>
      </c>
      <c r="J960" s="109" t="s">
        <v>1918</v>
      </c>
      <c r="K960" s="109">
        <v>50</v>
      </c>
      <c r="L960" s="109" t="s">
        <v>1919</v>
      </c>
      <c r="M960" s="109" t="s">
        <v>1904</v>
      </c>
      <c r="N960" s="109" t="s">
        <v>529</v>
      </c>
      <c r="O960" s="109" t="s">
        <v>1920</v>
      </c>
      <c r="P960" s="109" t="s">
        <v>1920</v>
      </c>
      <c r="Q960" s="102">
        <v>0</v>
      </c>
      <c r="R960" s="109" t="s">
        <v>1907</v>
      </c>
      <c r="S960" s="109" t="s">
        <v>1922</v>
      </c>
      <c r="T960" s="25"/>
      <c r="U960" s="111" t="s">
        <v>1923</v>
      </c>
      <c r="V960" s="111" t="s">
        <v>1923</v>
      </c>
      <c r="W960" s="112" t="s">
        <v>2651</v>
      </c>
      <c r="X960" s="112" t="s">
        <v>1906</v>
      </c>
      <c r="Y960" s="112" t="s">
        <v>2652</v>
      </c>
      <c r="Z960" s="112" t="s">
        <v>1906</v>
      </c>
      <c r="AA960" s="112" t="s">
        <v>2652</v>
      </c>
      <c r="AB960" s="112" t="s">
        <v>1906</v>
      </c>
      <c r="AC960" s="112">
        <v>15.01</v>
      </c>
      <c r="AD960" s="112" t="s">
        <v>1906</v>
      </c>
      <c r="AE960" s="112">
        <v>4.3600000000000003</v>
      </c>
      <c r="AF960" s="112" t="s">
        <v>1906</v>
      </c>
      <c r="AG960" s="112">
        <v>0</v>
      </c>
      <c r="AH960" s="112"/>
      <c r="AI960" s="112">
        <v>0</v>
      </c>
      <c r="AJ960" s="112"/>
      <c r="AK960" s="112">
        <v>0</v>
      </c>
      <c r="AL960" s="112"/>
      <c r="AM960" s="112">
        <v>3.44</v>
      </c>
      <c r="AN960" s="112" t="s">
        <v>1906</v>
      </c>
      <c r="AO960" s="112">
        <v>14.76</v>
      </c>
      <c r="AP960" s="112" t="s">
        <v>1906</v>
      </c>
      <c r="AQ960" s="112">
        <v>14.76</v>
      </c>
      <c r="AR960" s="112" t="s">
        <v>1906</v>
      </c>
      <c r="AS960" s="112">
        <v>14.76</v>
      </c>
      <c r="AT960" s="112" t="s">
        <v>1906</v>
      </c>
      <c r="AU960" s="112">
        <f t="shared" si="28"/>
        <v>112.13000000000001</v>
      </c>
      <c r="AV960" s="111">
        <v>6.7710000000000006E-2</v>
      </c>
      <c r="AW960" s="111" t="s">
        <v>1904</v>
      </c>
      <c r="AX960" s="25"/>
      <c r="AY960" s="25"/>
      <c r="AZ960" s="25"/>
    </row>
    <row r="961" spans="1:52" ht="31.2" x14ac:dyDescent="0.3">
      <c r="A961" s="103">
        <v>951</v>
      </c>
      <c r="B961" s="109" t="s">
        <v>1842</v>
      </c>
      <c r="C961" s="30" t="s">
        <v>1899</v>
      </c>
      <c r="D961" s="110" t="s">
        <v>1900</v>
      </c>
      <c r="E961" s="110" t="s">
        <v>1917</v>
      </c>
      <c r="F961" s="30" t="s">
        <v>2703</v>
      </c>
      <c r="G961" s="26" t="s">
        <v>145</v>
      </c>
      <c r="H961" s="24" t="s">
        <v>146</v>
      </c>
      <c r="I961" s="109">
        <v>1</v>
      </c>
      <c r="J961" s="109" t="s">
        <v>1918</v>
      </c>
      <c r="K961" s="109">
        <v>76</v>
      </c>
      <c r="L961" s="109" t="s">
        <v>1919</v>
      </c>
      <c r="M961" s="109" t="s">
        <v>1904</v>
      </c>
      <c r="N961" s="109" t="s">
        <v>529</v>
      </c>
      <c r="O961" s="109" t="s">
        <v>1920</v>
      </c>
      <c r="P961" s="109" t="s">
        <v>1921</v>
      </c>
      <c r="Q961" s="102">
        <v>0</v>
      </c>
      <c r="R961" s="109" t="s">
        <v>1907</v>
      </c>
      <c r="S961" s="109" t="s">
        <v>1922</v>
      </c>
      <c r="T961" s="25"/>
      <c r="U961" s="111" t="s">
        <v>1923</v>
      </c>
      <c r="V961" s="111" t="s">
        <v>1923</v>
      </c>
      <c r="W961" s="112" t="s">
        <v>2653</v>
      </c>
      <c r="X961" s="112" t="s">
        <v>1906</v>
      </c>
      <c r="Y961" s="112" t="s">
        <v>2654</v>
      </c>
      <c r="Z961" s="112" t="s">
        <v>1906</v>
      </c>
      <c r="AA961" s="112" t="s">
        <v>2653</v>
      </c>
      <c r="AB961" s="112" t="s">
        <v>1906</v>
      </c>
      <c r="AC961" s="112">
        <v>36.770000000000003</v>
      </c>
      <c r="AD961" s="112" t="s">
        <v>1906</v>
      </c>
      <c r="AE961" s="112">
        <v>14.3</v>
      </c>
      <c r="AF961" s="112" t="s">
        <v>1906</v>
      </c>
      <c r="AG961" s="112">
        <v>0</v>
      </c>
      <c r="AH961" s="112"/>
      <c r="AI961" s="112">
        <v>0</v>
      </c>
      <c r="AJ961" s="112"/>
      <c r="AK961" s="112">
        <v>0</v>
      </c>
      <c r="AL961" s="112"/>
      <c r="AM961" s="112">
        <v>0</v>
      </c>
      <c r="AN961" s="112"/>
      <c r="AO961" s="112">
        <v>32.96</v>
      </c>
      <c r="AP961" s="112" t="s">
        <v>208</v>
      </c>
      <c r="AQ961" s="112">
        <v>26.23</v>
      </c>
      <c r="AR961" s="112" t="s">
        <v>208</v>
      </c>
      <c r="AS961" s="112">
        <v>57.16</v>
      </c>
      <c r="AT961" s="112" t="s">
        <v>208</v>
      </c>
      <c r="AU961" s="112">
        <f t="shared" si="28"/>
        <v>325.98</v>
      </c>
      <c r="AV961" s="111">
        <v>0.21823600000000001</v>
      </c>
      <c r="AW961" s="111" t="s">
        <v>1904</v>
      </c>
      <c r="AX961" s="25"/>
      <c r="AY961" s="25"/>
      <c r="AZ961" s="25"/>
    </row>
    <row r="962" spans="1:52" ht="31.2" x14ac:dyDescent="0.3">
      <c r="A962" s="103">
        <v>952</v>
      </c>
      <c r="B962" s="109" t="s">
        <v>1843</v>
      </c>
      <c r="C962" s="30" t="s">
        <v>1899</v>
      </c>
      <c r="D962" s="110" t="s">
        <v>1900</v>
      </c>
      <c r="E962" s="110" t="s">
        <v>1917</v>
      </c>
      <c r="F962" s="30" t="s">
        <v>2703</v>
      </c>
      <c r="G962" s="26" t="s">
        <v>145</v>
      </c>
      <c r="H962" s="24" t="s">
        <v>146</v>
      </c>
      <c r="I962" s="109">
        <v>0</v>
      </c>
      <c r="J962" s="109" t="s">
        <v>1918</v>
      </c>
      <c r="K962" s="109">
        <v>76</v>
      </c>
      <c r="L962" s="109" t="s">
        <v>1919</v>
      </c>
      <c r="M962" s="109" t="s">
        <v>1904</v>
      </c>
      <c r="N962" s="109" t="s">
        <v>529</v>
      </c>
      <c r="O962" s="109" t="s">
        <v>1920</v>
      </c>
      <c r="P962" s="109" t="s">
        <v>1920</v>
      </c>
      <c r="Q962" s="102">
        <v>0</v>
      </c>
      <c r="R962" s="109" t="s">
        <v>1907</v>
      </c>
      <c r="S962" s="109" t="s">
        <v>1922</v>
      </c>
      <c r="T962" s="25"/>
      <c r="U962" s="111" t="s">
        <v>1923</v>
      </c>
      <c r="V962" s="111" t="s">
        <v>1923</v>
      </c>
      <c r="W962" s="112" t="s">
        <v>1995</v>
      </c>
      <c r="X962" s="112" t="s">
        <v>1906</v>
      </c>
      <c r="Y962" s="112" t="s">
        <v>1995</v>
      </c>
      <c r="Z962" s="112" t="s">
        <v>1906</v>
      </c>
      <c r="AA962" s="112" t="s">
        <v>1995</v>
      </c>
      <c r="AB962" s="112" t="s">
        <v>1906</v>
      </c>
      <c r="AC962" s="112">
        <v>9.35</v>
      </c>
      <c r="AD962" s="112" t="s">
        <v>1906</v>
      </c>
      <c r="AE962" s="112">
        <v>2.71</v>
      </c>
      <c r="AF962" s="112" t="s">
        <v>1906</v>
      </c>
      <c r="AG962" s="112">
        <v>0</v>
      </c>
      <c r="AH962" s="112"/>
      <c r="AI962" s="112">
        <v>0</v>
      </c>
      <c r="AJ962" s="112"/>
      <c r="AK962" s="112">
        <v>0</v>
      </c>
      <c r="AL962" s="112"/>
      <c r="AM962" s="112">
        <v>2.15</v>
      </c>
      <c r="AN962" s="112" t="s">
        <v>1906</v>
      </c>
      <c r="AO962" s="112">
        <v>9.1999999999999993</v>
      </c>
      <c r="AP962" s="112" t="s">
        <v>1906</v>
      </c>
      <c r="AQ962" s="112">
        <v>9.1999999999999993</v>
      </c>
      <c r="AR962" s="112" t="s">
        <v>1906</v>
      </c>
      <c r="AS962" s="112">
        <v>9.1999999999999993</v>
      </c>
      <c r="AT962" s="112" t="s">
        <v>1906</v>
      </c>
      <c r="AU962" s="112">
        <f t="shared" si="28"/>
        <v>69.86</v>
      </c>
      <c r="AV962" s="111">
        <v>7.0180000000000006E-2</v>
      </c>
      <c r="AW962" s="111" t="s">
        <v>1904</v>
      </c>
      <c r="AX962" s="25"/>
      <c r="AY962" s="25"/>
      <c r="AZ962" s="25"/>
    </row>
    <row r="963" spans="1:52" ht="31.2" x14ac:dyDescent="0.3">
      <c r="A963" s="103">
        <v>953</v>
      </c>
      <c r="B963" s="109" t="s">
        <v>1844</v>
      </c>
      <c r="C963" s="30" t="s">
        <v>1899</v>
      </c>
      <c r="D963" s="110" t="s">
        <v>1900</v>
      </c>
      <c r="E963" s="110" t="s">
        <v>1917</v>
      </c>
      <c r="F963" s="30" t="s">
        <v>2703</v>
      </c>
      <c r="G963" s="26" t="s">
        <v>145</v>
      </c>
      <c r="H963" s="24" t="s">
        <v>146</v>
      </c>
      <c r="I963" s="109">
        <v>0</v>
      </c>
      <c r="J963" s="109" t="s">
        <v>1918</v>
      </c>
      <c r="K963" s="109">
        <v>76</v>
      </c>
      <c r="L963" s="109" t="s">
        <v>1919</v>
      </c>
      <c r="M963" s="109" t="s">
        <v>1904</v>
      </c>
      <c r="N963" s="109" t="s">
        <v>529</v>
      </c>
      <c r="O963" s="109" t="s">
        <v>1920</v>
      </c>
      <c r="P963" s="109" t="s">
        <v>1920</v>
      </c>
      <c r="Q963" s="102">
        <v>0</v>
      </c>
      <c r="R963" s="109" t="s">
        <v>1907</v>
      </c>
      <c r="S963" s="109" t="s">
        <v>1922</v>
      </c>
      <c r="T963" s="25"/>
      <c r="U963" s="111" t="s">
        <v>1923</v>
      </c>
      <c r="V963" s="111" t="s">
        <v>1923</v>
      </c>
      <c r="W963" s="112" t="s">
        <v>1995</v>
      </c>
      <c r="X963" s="112" t="s">
        <v>1906</v>
      </c>
      <c r="Y963" s="112" t="s">
        <v>1995</v>
      </c>
      <c r="Z963" s="112" t="s">
        <v>1906</v>
      </c>
      <c r="AA963" s="112" t="s">
        <v>1995</v>
      </c>
      <c r="AB963" s="112" t="s">
        <v>1906</v>
      </c>
      <c r="AC963" s="112">
        <v>9.35</v>
      </c>
      <c r="AD963" s="112" t="s">
        <v>1906</v>
      </c>
      <c r="AE963" s="112">
        <v>2.71</v>
      </c>
      <c r="AF963" s="112" t="s">
        <v>1906</v>
      </c>
      <c r="AG963" s="112">
        <v>0</v>
      </c>
      <c r="AH963" s="112"/>
      <c r="AI963" s="112">
        <v>0</v>
      </c>
      <c r="AJ963" s="112"/>
      <c r="AK963" s="112">
        <v>0</v>
      </c>
      <c r="AL963" s="112"/>
      <c r="AM963" s="112">
        <v>2.15</v>
      </c>
      <c r="AN963" s="112" t="s">
        <v>1906</v>
      </c>
      <c r="AO963" s="112">
        <v>9.1999999999999993</v>
      </c>
      <c r="AP963" s="112" t="s">
        <v>1906</v>
      </c>
      <c r="AQ963" s="112">
        <v>9.1999999999999993</v>
      </c>
      <c r="AR963" s="112" t="s">
        <v>1906</v>
      </c>
      <c r="AS963" s="112">
        <v>9.1999999999999993</v>
      </c>
      <c r="AT963" s="112" t="s">
        <v>1906</v>
      </c>
      <c r="AU963" s="112">
        <f t="shared" si="28"/>
        <v>69.86</v>
      </c>
      <c r="AV963" s="111">
        <v>7.0180000000000006E-2</v>
      </c>
      <c r="AW963" s="111" t="s">
        <v>1904</v>
      </c>
      <c r="AX963" s="25"/>
      <c r="AY963" s="25"/>
      <c r="AZ963" s="25"/>
    </row>
    <row r="964" spans="1:52" ht="31.2" x14ac:dyDescent="0.3">
      <c r="A964" s="103">
        <v>954</v>
      </c>
      <c r="B964" s="109" t="s">
        <v>1845</v>
      </c>
      <c r="C964" s="30" t="s">
        <v>1899</v>
      </c>
      <c r="D964" s="110" t="s">
        <v>1900</v>
      </c>
      <c r="E964" s="110" t="s">
        <v>1917</v>
      </c>
      <c r="F964" s="30" t="s">
        <v>2703</v>
      </c>
      <c r="G964" s="26" t="s">
        <v>145</v>
      </c>
      <c r="H964" s="24" t="s">
        <v>146</v>
      </c>
      <c r="I964" s="109">
        <v>0</v>
      </c>
      <c r="J964" s="109" t="s">
        <v>1918</v>
      </c>
      <c r="K964" s="109">
        <v>76</v>
      </c>
      <c r="L964" s="109" t="s">
        <v>1919</v>
      </c>
      <c r="M964" s="109" t="s">
        <v>1904</v>
      </c>
      <c r="N964" s="109" t="s">
        <v>529</v>
      </c>
      <c r="O964" s="109" t="s">
        <v>1920</v>
      </c>
      <c r="P964" s="109" t="s">
        <v>1920</v>
      </c>
      <c r="Q964" s="102">
        <v>0</v>
      </c>
      <c r="R964" s="109" t="s">
        <v>1907</v>
      </c>
      <c r="S964" s="109" t="s">
        <v>1922</v>
      </c>
      <c r="T964" s="25"/>
      <c r="U964" s="111" t="s">
        <v>1923</v>
      </c>
      <c r="V964" s="111" t="s">
        <v>1923</v>
      </c>
      <c r="W964" s="112" t="s">
        <v>1995</v>
      </c>
      <c r="X964" s="112" t="s">
        <v>1906</v>
      </c>
      <c r="Y964" s="112" t="s">
        <v>1995</v>
      </c>
      <c r="Z964" s="112" t="s">
        <v>1906</v>
      </c>
      <c r="AA964" s="112" t="s">
        <v>1995</v>
      </c>
      <c r="AB964" s="112" t="s">
        <v>1906</v>
      </c>
      <c r="AC964" s="112">
        <v>9.35</v>
      </c>
      <c r="AD964" s="112" t="s">
        <v>1906</v>
      </c>
      <c r="AE964" s="112">
        <v>2.71</v>
      </c>
      <c r="AF964" s="112" t="s">
        <v>1906</v>
      </c>
      <c r="AG964" s="112">
        <v>0</v>
      </c>
      <c r="AH964" s="112"/>
      <c r="AI964" s="112">
        <v>0</v>
      </c>
      <c r="AJ964" s="112"/>
      <c r="AK964" s="112">
        <v>0</v>
      </c>
      <c r="AL964" s="112"/>
      <c r="AM964" s="112">
        <v>2.15</v>
      </c>
      <c r="AN964" s="112" t="s">
        <v>1906</v>
      </c>
      <c r="AO964" s="112">
        <v>9.1999999999999993</v>
      </c>
      <c r="AP964" s="112" t="s">
        <v>1906</v>
      </c>
      <c r="AQ964" s="112">
        <v>9.1999999999999993</v>
      </c>
      <c r="AR964" s="112" t="s">
        <v>1906</v>
      </c>
      <c r="AS964" s="112">
        <v>9.1999999999999993</v>
      </c>
      <c r="AT964" s="112" t="s">
        <v>1906</v>
      </c>
      <c r="AU964" s="112">
        <f t="shared" si="28"/>
        <v>69.86</v>
      </c>
      <c r="AV964" s="111">
        <v>7.0180000000000006E-2</v>
      </c>
      <c r="AW964" s="111" t="s">
        <v>1904</v>
      </c>
      <c r="AX964" s="25"/>
      <c r="AY964" s="25"/>
      <c r="AZ964" s="25"/>
    </row>
    <row r="965" spans="1:52" ht="31.2" x14ac:dyDescent="0.3">
      <c r="A965" s="103">
        <v>955</v>
      </c>
      <c r="B965" s="109" t="s">
        <v>1847</v>
      </c>
      <c r="C965" s="30" t="s">
        <v>1899</v>
      </c>
      <c r="D965" s="110" t="s">
        <v>1900</v>
      </c>
      <c r="E965" s="110" t="s">
        <v>1917</v>
      </c>
      <c r="F965" s="30" t="s">
        <v>2703</v>
      </c>
      <c r="G965" s="26" t="s">
        <v>145</v>
      </c>
      <c r="H965" s="24" t="s">
        <v>146</v>
      </c>
      <c r="I965" s="109">
        <v>0</v>
      </c>
      <c r="J965" s="109" t="s">
        <v>1918</v>
      </c>
      <c r="K965" s="109">
        <v>50</v>
      </c>
      <c r="L965" s="109" t="s">
        <v>1919</v>
      </c>
      <c r="M965" s="109" t="s">
        <v>1904</v>
      </c>
      <c r="N965" s="109" t="s">
        <v>529</v>
      </c>
      <c r="O965" s="109" t="s">
        <v>1920</v>
      </c>
      <c r="P965" s="109" t="s">
        <v>1920</v>
      </c>
      <c r="Q965" s="102">
        <v>0</v>
      </c>
      <c r="R965" s="109" t="s">
        <v>1907</v>
      </c>
      <c r="S965" s="109" t="s">
        <v>1922</v>
      </c>
      <c r="T965" s="25"/>
      <c r="U965" s="111" t="s">
        <v>1923</v>
      </c>
      <c r="V965" s="111" t="s">
        <v>1923</v>
      </c>
      <c r="W965" s="112" t="s">
        <v>2655</v>
      </c>
      <c r="X965" s="112" t="s">
        <v>1906</v>
      </c>
      <c r="Y965" s="112" t="s">
        <v>2655</v>
      </c>
      <c r="Z965" s="112" t="s">
        <v>1906</v>
      </c>
      <c r="AA965" s="112" t="s">
        <v>2655</v>
      </c>
      <c r="AB965" s="112" t="s">
        <v>1906</v>
      </c>
      <c r="AC965" s="112">
        <v>9.43</v>
      </c>
      <c r="AD965" s="112" t="s">
        <v>1906</v>
      </c>
      <c r="AE965" s="112">
        <v>2.74</v>
      </c>
      <c r="AF965" s="112" t="s">
        <v>1906</v>
      </c>
      <c r="AG965" s="112">
        <v>0</v>
      </c>
      <c r="AH965" s="112"/>
      <c r="AI965" s="112">
        <v>0</v>
      </c>
      <c r="AJ965" s="112"/>
      <c r="AK965" s="112">
        <v>0</v>
      </c>
      <c r="AL965" s="112"/>
      <c r="AM965" s="112">
        <v>1.71</v>
      </c>
      <c r="AN965" s="112" t="s">
        <v>1906</v>
      </c>
      <c r="AO965" s="112">
        <v>8.57</v>
      </c>
      <c r="AP965" s="112" t="s">
        <v>1906</v>
      </c>
      <c r="AQ965" s="112">
        <v>8.57</v>
      </c>
      <c r="AR965" s="112" t="s">
        <v>1906</v>
      </c>
      <c r="AS965" s="112">
        <v>8.57</v>
      </c>
      <c r="AT965" s="112" t="s">
        <v>1906</v>
      </c>
      <c r="AU965" s="112">
        <f t="shared" si="28"/>
        <v>67.88</v>
      </c>
      <c r="AV965" s="111">
        <v>4.1149999999999999E-2</v>
      </c>
      <c r="AW965" s="111" t="s">
        <v>1904</v>
      </c>
      <c r="AX965" s="25"/>
      <c r="AY965" s="25"/>
      <c r="AZ965" s="25"/>
    </row>
    <row r="966" spans="1:52" ht="31.2" x14ac:dyDescent="0.3">
      <c r="A966" s="103">
        <v>956</v>
      </c>
      <c r="B966" s="109" t="s">
        <v>1848</v>
      </c>
      <c r="C966" s="30" t="s">
        <v>1899</v>
      </c>
      <c r="D966" s="110" t="s">
        <v>1900</v>
      </c>
      <c r="E966" s="110" t="s">
        <v>1917</v>
      </c>
      <c r="F966" s="30" t="s">
        <v>2703</v>
      </c>
      <c r="G966" s="26" t="s">
        <v>145</v>
      </c>
      <c r="H966" s="24" t="s">
        <v>146</v>
      </c>
      <c r="I966" s="109">
        <v>0</v>
      </c>
      <c r="J966" s="109" t="s">
        <v>1918</v>
      </c>
      <c r="K966" s="109">
        <v>50</v>
      </c>
      <c r="L966" s="109" t="s">
        <v>1919</v>
      </c>
      <c r="M966" s="109" t="s">
        <v>1904</v>
      </c>
      <c r="N966" s="109" t="s">
        <v>529</v>
      </c>
      <c r="O966" s="109" t="s">
        <v>1920</v>
      </c>
      <c r="P966" s="109" t="s">
        <v>1920</v>
      </c>
      <c r="Q966" s="102">
        <v>0</v>
      </c>
      <c r="R966" s="109" t="s">
        <v>1907</v>
      </c>
      <c r="S966" s="109" t="s">
        <v>1922</v>
      </c>
      <c r="T966" s="25"/>
      <c r="U966" s="111" t="s">
        <v>1923</v>
      </c>
      <c r="V966" s="111" t="s">
        <v>1923</v>
      </c>
      <c r="W966" s="112" t="s">
        <v>2371</v>
      </c>
      <c r="X966" s="112" t="s">
        <v>1906</v>
      </c>
      <c r="Y966" s="112" t="s">
        <v>2371</v>
      </c>
      <c r="Z966" s="112" t="s">
        <v>1906</v>
      </c>
      <c r="AA966" s="112" t="s">
        <v>2371</v>
      </c>
      <c r="AB966" s="112" t="s">
        <v>1906</v>
      </c>
      <c r="AC966" s="112">
        <v>24.48</v>
      </c>
      <c r="AD966" s="112" t="s">
        <v>1906</v>
      </c>
      <c r="AE966" s="112">
        <v>7.11</v>
      </c>
      <c r="AF966" s="112" t="s">
        <v>1906</v>
      </c>
      <c r="AG966" s="112">
        <v>0</v>
      </c>
      <c r="AH966" s="112"/>
      <c r="AI966" s="112">
        <v>0</v>
      </c>
      <c r="AJ966" s="112"/>
      <c r="AK966" s="112">
        <v>0</v>
      </c>
      <c r="AL966" s="112"/>
      <c r="AM966" s="112">
        <v>4.92</v>
      </c>
      <c r="AN966" s="112" t="s">
        <v>1906</v>
      </c>
      <c r="AO966" s="112">
        <v>24.58</v>
      </c>
      <c r="AP966" s="112" t="s">
        <v>1906</v>
      </c>
      <c r="AQ966" s="112">
        <v>24.58</v>
      </c>
      <c r="AR966" s="112" t="s">
        <v>1906</v>
      </c>
      <c r="AS966" s="112">
        <v>24.58</v>
      </c>
      <c r="AT966" s="112" t="s">
        <v>1906</v>
      </c>
      <c r="AU966" s="112">
        <f t="shared" si="28"/>
        <v>183.69</v>
      </c>
      <c r="AV966" s="111">
        <v>0.11328000000000001</v>
      </c>
      <c r="AW966" s="111" t="s">
        <v>1904</v>
      </c>
      <c r="AX966" s="25"/>
      <c r="AY966" s="25"/>
      <c r="AZ966" s="25"/>
    </row>
    <row r="967" spans="1:52" ht="31.2" x14ac:dyDescent="0.3">
      <c r="A967" s="103">
        <v>957</v>
      </c>
      <c r="B967" s="109" t="s">
        <v>1849</v>
      </c>
      <c r="C967" s="30" t="s">
        <v>1899</v>
      </c>
      <c r="D967" s="110" t="s">
        <v>1900</v>
      </c>
      <c r="E967" s="110" t="s">
        <v>1917</v>
      </c>
      <c r="F967" s="30" t="s">
        <v>2703</v>
      </c>
      <c r="G967" s="26" t="s">
        <v>145</v>
      </c>
      <c r="H967" s="24" t="s">
        <v>146</v>
      </c>
      <c r="I967" s="109">
        <v>0</v>
      </c>
      <c r="J967" s="109" t="s">
        <v>1918</v>
      </c>
      <c r="K967" s="109">
        <v>76</v>
      </c>
      <c r="L967" s="109" t="s">
        <v>1919</v>
      </c>
      <c r="M967" s="109" t="s">
        <v>1904</v>
      </c>
      <c r="N967" s="109" t="s">
        <v>529</v>
      </c>
      <c r="O967" s="109" t="s">
        <v>1920</v>
      </c>
      <c r="P967" s="109" t="s">
        <v>1920</v>
      </c>
      <c r="Q967" s="102">
        <v>0</v>
      </c>
      <c r="R967" s="109" t="s">
        <v>1907</v>
      </c>
      <c r="S967" s="109" t="s">
        <v>1922</v>
      </c>
      <c r="T967" s="25"/>
      <c r="U967" s="111" t="s">
        <v>1923</v>
      </c>
      <c r="V967" s="111" t="s">
        <v>1923</v>
      </c>
      <c r="W967" s="112" t="s">
        <v>2656</v>
      </c>
      <c r="X967" s="112" t="s">
        <v>1906</v>
      </c>
      <c r="Y967" s="112" t="s">
        <v>2656</v>
      </c>
      <c r="Z967" s="112" t="s">
        <v>1906</v>
      </c>
      <c r="AA967" s="112" t="s">
        <v>2656</v>
      </c>
      <c r="AB967" s="112" t="s">
        <v>1906</v>
      </c>
      <c r="AC967" s="112">
        <v>22.37</v>
      </c>
      <c r="AD967" s="112" t="s">
        <v>1906</v>
      </c>
      <c r="AE967" s="112">
        <v>6.5</v>
      </c>
      <c r="AF967" s="112" t="s">
        <v>1906</v>
      </c>
      <c r="AG967" s="112">
        <v>0</v>
      </c>
      <c r="AH967" s="112"/>
      <c r="AI967" s="112">
        <v>0</v>
      </c>
      <c r="AJ967" s="112"/>
      <c r="AK967" s="112">
        <v>0</v>
      </c>
      <c r="AL967" s="112"/>
      <c r="AM967" s="112">
        <v>4.42</v>
      </c>
      <c r="AN967" s="112" t="s">
        <v>1906</v>
      </c>
      <c r="AO967" s="112">
        <v>22.1</v>
      </c>
      <c r="AP967" s="112" t="s">
        <v>1906</v>
      </c>
      <c r="AQ967" s="112">
        <v>22.1</v>
      </c>
      <c r="AR967" s="112" t="s">
        <v>1906</v>
      </c>
      <c r="AS967" s="112">
        <v>22.1</v>
      </c>
      <c r="AT967" s="112" t="s">
        <v>1906</v>
      </c>
      <c r="AU967" s="112">
        <f t="shared" si="28"/>
        <v>166.7</v>
      </c>
      <c r="AV967" s="111">
        <v>9.2230000000000006E-2</v>
      </c>
      <c r="AW967" s="111" t="s">
        <v>1904</v>
      </c>
      <c r="AX967" s="25"/>
      <c r="AY967" s="25"/>
      <c r="AZ967" s="25"/>
    </row>
    <row r="968" spans="1:52" ht="31.2" x14ac:dyDescent="0.3">
      <c r="A968" s="103">
        <v>958</v>
      </c>
      <c r="B968" s="109" t="s">
        <v>1851</v>
      </c>
      <c r="C968" s="114" t="s">
        <v>2139</v>
      </c>
      <c r="D968" s="108" t="s">
        <v>2139</v>
      </c>
      <c r="E968" s="110" t="s">
        <v>1917</v>
      </c>
      <c r="F968" s="30" t="s">
        <v>2703</v>
      </c>
      <c r="G968" s="26" t="s">
        <v>145</v>
      </c>
      <c r="H968" s="24" t="s">
        <v>146</v>
      </c>
      <c r="I968" s="109">
        <v>0</v>
      </c>
      <c r="J968" s="109" t="s">
        <v>1918</v>
      </c>
      <c r="K968" s="109"/>
      <c r="L968" s="109" t="s">
        <v>1919</v>
      </c>
      <c r="M968" s="109" t="s">
        <v>1904</v>
      </c>
      <c r="N968" s="109" t="s">
        <v>529</v>
      </c>
      <c r="O968" s="109" t="s">
        <v>1920</v>
      </c>
      <c r="P968" s="109"/>
      <c r="Q968" s="102">
        <v>0</v>
      </c>
      <c r="R968" s="109" t="s">
        <v>1907</v>
      </c>
      <c r="S968" s="109" t="s">
        <v>1922</v>
      </c>
      <c r="T968" s="25"/>
      <c r="U968" s="111" t="s">
        <v>1923</v>
      </c>
      <c r="V968" s="111" t="s">
        <v>1923</v>
      </c>
      <c r="W968" s="112">
        <v>0</v>
      </c>
      <c r="X968" s="112"/>
      <c r="Y968" s="112">
        <v>0</v>
      </c>
      <c r="Z968" s="112"/>
      <c r="AA968" s="112">
        <v>0</v>
      </c>
      <c r="AB968" s="112"/>
      <c r="AC968" s="112">
        <v>0</v>
      </c>
      <c r="AD968" s="112"/>
      <c r="AE968" s="112">
        <v>0</v>
      </c>
      <c r="AF968" s="112"/>
      <c r="AG968" s="112">
        <v>0</v>
      </c>
      <c r="AH968" s="112"/>
      <c r="AI968" s="112">
        <v>0</v>
      </c>
      <c r="AJ968" s="112"/>
      <c r="AK968" s="112">
        <v>0</v>
      </c>
      <c r="AL968" s="112"/>
      <c r="AM968" s="112">
        <v>0</v>
      </c>
      <c r="AN968" s="112"/>
      <c r="AO968" s="112">
        <v>0</v>
      </c>
      <c r="AP968" s="112"/>
      <c r="AQ968" s="112">
        <v>0</v>
      </c>
      <c r="AR968" s="112"/>
      <c r="AS968" s="112">
        <v>0</v>
      </c>
      <c r="AT968" s="112"/>
      <c r="AU968" s="112">
        <f t="shared" si="28"/>
        <v>0</v>
      </c>
      <c r="AV968" s="111">
        <v>0.16139999999999999</v>
      </c>
      <c r="AW968" s="111" t="s">
        <v>1904</v>
      </c>
      <c r="AX968" s="25"/>
      <c r="AY968" s="25"/>
      <c r="AZ968" s="25"/>
    </row>
    <row r="969" spans="1:52" ht="31.2" x14ac:dyDescent="0.3">
      <c r="A969" s="103">
        <v>959</v>
      </c>
      <c r="B969" s="109" t="s">
        <v>1852</v>
      </c>
      <c r="C969" s="30" t="s">
        <v>1899</v>
      </c>
      <c r="D969" s="110" t="s">
        <v>1900</v>
      </c>
      <c r="E969" s="110" t="s">
        <v>1917</v>
      </c>
      <c r="F969" s="30" t="s">
        <v>2703</v>
      </c>
      <c r="G969" s="26" t="s">
        <v>145</v>
      </c>
      <c r="H969" s="24" t="s">
        <v>146</v>
      </c>
      <c r="I969" s="109">
        <v>1</v>
      </c>
      <c r="J969" s="109" t="s">
        <v>1918</v>
      </c>
      <c r="K969" s="109">
        <v>76</v>
      </c>
      <c r="L969" s="109" t="s">
        <v>1919</v>
      </c>
      <c r="M969" s="109" t="s">
        <v>1904</v>
      </c>
      <c r="N969" s="109" t="s">
        <v>529</v>
      </c>
      <c r="O969" s="109" t="s">
        <v>1920</v>
      </c>
      <c r="P969" s="109" t="s">
        <v>1921</v>
      </c>
      <c r="Q969" s="102">
        <v>0</v>
      </c>
      <c r="R969" s="109" t="s">
        <v>1907</v>
      </c>
      <c r="S969" s="109" t="s">
        <v>1922</v>
      </c>
      <c r="T969" s="25"/>
      <c r="U969" s="111" t="s">
        <v>1923</v>
      </c>
      <c r="V969" s="111" t="s">
        <v>1923</v>
      </c>
      <c r="W969" s="112" t="s">
        <v>2657</v>
      </c>
      <c r="X969" s="112" t="s">
        <v>1906</v>
      </c>
      <c r="Y969" s="112" t="s">
        <v>2657</v>
      </c>
      <c r="Z969" s="112" t="s">
        <v>1906</v>
      </c>
      <c r="AA969" s="112" t="s">
        <v>2657</v>
      </c>
      <c r="AB969" s="112" t="s">
        <v>1906</v>
      </c>
      <c r="AC969" s="112">
        <v>30.58</v>
      </c>
      <c r="AD969" s="112" t="s">
        <v>1906</v>
      </c>
      <c r="AE969" s="112">
        <v>8.8800000000000008</v>
      </c>
      <c r="AF969" s="112" t="s">
        <v>1906</v>
      </c>
      <c r="AG969" s="112">
        <v>0</v>
      </c>
      <c r="AH969" s="112"/>
      <c r="AI969" s="112">
        <v>0</v>
      </c>
      <c r="AJ969" s="112"/>
      <c r="AK969" s="112">
        <v>0</v>
      </c>
      <c r="AL969" s="112"/>
      <c r="AM969" s="112">
        <v>0</v>
      </c>
      <c r="AN969" s="112"/>
      <c r="AO969" s="112">
        <v>29.47</v>
      </c>
      <c r="AP969" s="112" t="s">
        <v>1906</v>
      </c>
      <c r="AQ969" s="112">
        <v>29.47</v>
      </c>
      <c r="AR969" s="112" t="s">
        <v>1906</v>
      </c>
      <c r="AS969" s="112">
        <v>29.47</v>
      </c>
      <c r="AT969" s="112" t="s">
        <v>1906</v>
      </c>
      <c r="AU969" s="112">
        <f t="shared" si="28"/>
        <v>219.60999999999999</v>
      </c>
      <c r="AV969" s="111">
        <v>0.15054999999999999</v>
      </c>
      <c r="AW969" s="111" t="s">
        <v>1904</v>
      </c>
      <c r="AX969" s="25"/>
      <c r="AY969" s="25"/>
      <c r="AZ969" s="25"/>
    </row>
    <row r="970" spans="1:52" ht="31.2" x14ac:dyDescent="0.3">
      <c r="A970" s="103">
        <v>960</v>
      </c>
      <c r="B970" s="109" t="s">
        <v>1853</v>
      </c>
      <c r="C970" s="30" t="s">
        <v>1899</v>
      </c>
      <c r="D970" s="110" t="s">
        <v>1900</v>
      </c>
      <c r="E970" s="110" t="s">
        <v>1917</v>
      </c>
      <c r="F970" s="30" t="s">
        <v>2703</v>
      </c>
      <c r="G970" s="26" t="s">
        <v>145</v>
      </c>
      <c r="H970" s="24" t="s">
        <v>146</v>
      </c>
      <c r="I970" s="109">
        <v>1</v>
      </c>
      <c r="J970" s="109" t="s">
        <v>1918</v>
      </c>
      <c r="K970" s="109">
        <v>89</v>
      </c>
      <c r="L970" s="109" t="s">
        <v>1919</v>
      </c>
      <c r="M970" s="109" t="s">
        <v>1904</v>
      </c>
      <c r="N970" s="109" t="s">
        <v>529</v>
      </c>
      <c r="O970" s="109" t="s">
        <v>1920</v>
      </c>
      <c r="P970" s="109" t="s">
        <v>1921</v>
      </c>
      <c r="Q970" s="102">
        <v>0</v>
      </c>
      <c r="R970" s="109" t="s">
        <v>1907</v>
      </c>
      <c r="S970" s="109" t="s">
        <v>1922</v>
      </c>
      <c r="T970" s="25"/>
      <c r="U970" s="111" t="s">
        <v>1923</v>
      </c>
      <c r="V970" s="111" t="s">
        <v>1923</v>
      </c>
      <c r="W970" s="112" t="s">
        <v>2658</v>
      </c>
      <c r="X970" s="112" t="s">
        <v>1906</v>
      </c>
      <c r="Y970" s="112" t="s">
        <v>2659</v>
      </c>
      <c r="Z970" s="112" t="s">
        <v>1906</v>
      </c>
      <c r="AA970" s="112" t="s">
        <v>2660</v>
      </c>
      <c r="AB970" s="112" t="s">
        <v>1906</v>
      </c>
      <c r="AC970" s="112">
        <v>35.08</v>
      </c>
      <c r="AD970" s="112" t="s">
        <v>1906</v>
      </c>
      <c r="AE970" s="112">
        <v>13.67</v>
      </c>
      <c r="AF970" s="112" t="s">
        <v>1906</v>
      </c>
      <c r="AG970" s="112">
        <v>0</v>
      </c>
      <c r="AH970" s="112"/>
      <c r="AI970" s="112">
        <v>0</v>
      </c>
      <c r="AJ970" s="112"/>
      <c r="AK970" s="112">
        <v>0</v>
      </c>
      <c r="AL970" s="112"/>
      <c r="AM970" s="112">
        <v>0</v>
      </c>
      <c r="AN970" s="112"/>
      <c r="AO970" s="112">
        <v>39.97</v>
      </c>
      <c r="AP970" s="112" t="s">
        <v>208</v>
      </c>
      <c r="AQ970" s="112">
        <v>36.9</v>
      </c>
      <c r="AR970" s="112" t="s">
        <v>208</v>
      </c>
      <c r="AS970" s="112">
        <v>55.68</v>
      </c>
      <c r="AT970" s="112" t="s">
        <v>208</v>
      </c>
      <c r="AU970" s="112">
        <f t="shared" si="28"/>
        <v>419.33</v>
      </c>
      <c r="AV970" s="111">
        <v>0.22783</v>
      </c>
      <c r="AW970" s="111" t="s">
        <v>1904</v>
      </c>
      <c r="AX970" s="25"/>
      <c r="AY970" s="25"/>
      <c r="AZ970" s="25"/>
    </row>
    <row r="971" spans="1:52" ht="31.2" x14ac:dyDescent="0.3">
      <c r="A971" s="103">
        <v>961</v>
      </c>
      <c r="B971" s="109" t="s">
        <v>1854</v>
      </c>
      <c r="C971" s="30" t="s">
        <v>1899</v>
      </c>
      <c r="D971" s="110" t="s">
        <v>1900</v>
      </c>
      <c r="E971" s="110" t="s">
        <v>1917</v>
      </c>
      <c r="F971" s="30" t="s">
        <v>2703</v>
      </c>
      <c r="G971" s="26" t="s">
        <v>145</v>
      </c>
      <c r="H971" s="24" t="s">
        <v>146</v>
      </c>
      <c r="I971" s="109">
        <v>1</v>
      </c>
      <c r="J971" s="109" t="s">
        <v>1918</v>
      </c>
      <c r="K971" s="109">
        <v>108</v>
      </c>
      <c r="L971" s="109" t="s">
        <v>1919</v>
      </c>
      <c r="M971" s="109" t="s">
        <v>1904</v>
      </c>
      <c r="N971" s="109" t="s">
        <v>529</v>
      </c>
      <c r="O971" s="109" t="s">
        <v>1920</v>
      </c>
      <c r="P971" s="109" t="s">
        <v>1921</v>
      </c>
      <c r="Q971" s="102">
        <v>0</v>
      </c>
      <c r="R971" s="109" t="s">
        <v>1907</v>
      </c>
      <c r="S971" s="109" t="s">
        <v>1922</v>
      </c>
      <c r="T971" s="25"/>
      <c r="U971" s="111" t="s">
        <v>1923</v>
      </c>
      <c r="V971" s="111" t="s">
        <v>1923</v>
      </c>
      <c r="W971" s="112" t="s">
        <v>2661</v>
      </c>
      <c r="X971" s="112" t="s">
        <v>208</v>
      </c>
      <c r="Y971" s="112" t="s">
        <v>2662</v>
      </c>
      <c r="Z971" s="112" t="s">
        <v>208</v>
      </c>
      <c r="AA971" s="112" t="s">
        <v>2434</v>
      </c>
      <c r="AB971" s="112" t="s">
        <v>208</v>
      </c>
      <c r="AC971" s="112">
        <v>53.46</v>
      </c>
      <c r="AD971" s="112" t="s">
        <v>208</v>
      </c>
      <c r="AE971" s="112">
        <v>20.25</v>
      </c>
      <c r="AF971" s="112" t="s">
        <v>208</v>
      </c>
      <c r="AG971" s="112">
        <v>0</v>
      </c>
      <c r="AH971" s="112"/>
      <c r="AI971" s="112">
        <v>0</v>
      </c>
      <c r="AJ971" s="112"/>
      <c r="AK971" s="112">
        <v>0</v>
      </c>
      <c r="AL971" s="112"/>
      <c r="AM971" s="112">
        <v>0</v>
      </c>
      <c r="AN971" s="112"/>
      <c r="AO971" s="112">
        <v>70.239999999999995</v>
      </c>
      <c r="AP971" s="112" t="s">
        <v>208</v>
      </c>
      <c r="AQ971" s="112">
        <v>64.52</v>
      </c>
      <c r="AR971" s="112" t="s">
        <v>208</v>
      </c>
      <c r="AS971" s="112">
        <v>98.16</v>
      </c>
      <c r="AT971" s="112" t="s">
        <v>208</v>
      </c>
      <c r="AU971" s="112">
        <f t="shared" si="28"/>
        <v>694.59999999999991</v>
      </c>
      <c r="AV971" s="111">
        <v>0.35127999999999998</v>
      </c>
      <c r="AW971" s="111" t="s">
        <v>1904</v>
      </c>
      <c r="AX971" s="25"/>
      <c r="AY971" s="25"/>
      <c r="AZ971" s="25"/>
    </row>
    <row r="972" spans="1:52" ht="31.2" x14ac:dyDescent="0.3">
      <c r="A972" s="103">
        <v>962</v>
      </c>
      <c r="B972" s="109" t="s">
        <v>1856</v>
      </c>
      <c r="C972" s="30" t="s">
        <v>1899</v>
      </c>
      <c r="D972" s="110" t="s">
        <v>1900</v>
      </c>
      <c r="E972" s="110" t="s">
        <v>1917</v>
      </c>
      <c r="F972" s="30" t="s">
        <v>2703</v>
      </c>
      <c r="G972" s="26" t="s">
        <v>145</v>
      </c>
      <c r="H972" s="24" t="s">
        <v>146</v>
      </c>
      <c r="I972" s="109">
        <v>0</v>
      </c>
      <c r="J972" s="109" t="s">
        <v>1918</v>
      </c>
      <c r="K972" s="109">
        <v>76</v>
      </c>
      <c r="L972" s="109" t="s">
        <v>1919</v>
      </c>
      <c r="M972" s="109" t="s">
        <v>1904</v>
      </c>
      <c r="N972" s="109" t="s">
        <v>529</v>
      </c>
      <c r="O972" s="109" t="s">
        <v>1920</v>
      </c>
      <c r="P972" s="109" t="s">
        <v>1920</v>
      </c>
      <c r="Q972" s="102">
        <v>0</v>
      </c>
      <c r="R972" s="109" t="s">
        <v>1907</v>
      </c>
      <c r="S972" s="109" t="s">
        <v>1922</v>
      </c>
      <c r="T972" s="25"/>
      <c r="U972" s="111" t="s">
        <v>1923</v>
      </c>
      <c r="V972" s="111" t="s">
        <v>1923</v>
      </c>
      <c r="W972" s="112" t="s">
        <v>2663</v>
      </c>
      <c r="X972" s="112" t="s">
        <v>1906</v>
      </c>
      <c r="Y972" s="112" t="s">
        <v>2663</v>
      </c>
      <c r="Z972" s="112" t="s">
        <v>1906</v>
      </c>
      <c r="AA972" s="112" t="s">
        <v>2663</v>
      </c>
      <c r="AB972" s="112" t="s">
        <v>1906</v>
      </c>
      <c r="AC972" s="112">
        <v>25.86</v>
      </c>
      <c r="AD972" s="112" t="s">
        <v>1906</v>
      </c>
      <c r="AE972" s="112">
        <v>7.51</v>
      </c>
      <c r="AF972" s="112" t="s">
        <v>1906</v>
      </c>
      <c r="AG972" s="112">
        <v>0</v>
      </c>
      <c r="AH972" s="112"/>
      <c r="AI972" s="112">
        <v>0</v>
      </c>
      <c r="AJ972" s="112"/>
      <c r="AK972" s="112">
        <v>0</v>
      </c>
      <c r="AL972" s="112"/>
      <c r="AM972" s="112">
        <v>5.51</v>
      </c>
      <c r="AN972" s="112" t="s">
        <v>1906</v>
      </c>
      <c r="AO972" s="112">
        <v>23.61</v>
      </c>
      <c r="AP972" s="112" t="s">
        <v>1906</v>
      </c>
      <c r="AQ972" s="112">
        <v>23.61</v>
      </c>
      <c r="AR972" s="112" t="s">
        <v>1906</v>
      </c>
      <c r="AS972" s="112">
        <v>23.61</v>
      </c>
      <c r="AT972" s="112" t="s">
        <v>1906</v>
      </c>
      <c r="AU972" s="112">
        <f t="shared" ref="AU972:AU1005" si="29">W972+Y972+AA972+AC972+AE972+AG972+AI972+AK972+AM972+AO972+AQ972+AS972</f>
        <v>187.29000000000002</v>
      </c>
      <c r="AV972" s="111">
        <v>0.11341</v>
      </c>
      <c r="AW972" s="111" t="s">
        <v>1904</v>
      </c>
      <c r="AX972" s="25"/>
      <c r="AY972" s="25"/>
      <c r="AZ972" s="25"/>
    </row>
    <row r="973" spans="1:52" ht="31.2" x14ac:dyDescent="0.3">
      <c r="A973" s="103">
        <v>963</v>
      </c>
      <c r="B973" s="109" t="s">
        <v>1857</v>
      </c>
      <c r="C973" s="30" t="s">
        <v>1899</v>
      </c>
      <c r="D973" s="110" t="s">
        <v>1900</v>
      </c>
      <c r="E973" s="110" t="s">
        <v>1917</v>
      </c>
      <c r="F973" s="30" t="s">
        <v>2703</v>
      </c>
      <c r="G973" s="26" t="s">
        <v>145</v>
      </c>
      <c r="H973" s="24" t="s">
        <v>146</v>
      </c>
      <c r="I973" s="109">
        <v>0</v>
      </c>
      <c r="J973" s="109" t="s">
        <v>1918</v>
      </c>
      <c r="K973" s="109">
        <v>76</v>
      </c>
      <c r="L973" s="109" t="s">
        <v>1919</v>
      </c>
      <c r="M973" s="109" t="s">
        <v>1904</v>
      </c>
      <c r="N973" s="109" t="s">
        <v>529</v>
      </c>
      <c r="O973" s="109" t="s">
        <v>1920</v>
      </c>
      <c r="P973" s="109" t="s">
        <v>1920</v>
      </c>
      <c r="Q973" s="102">
        <v>0</v>
      </c>
      <c r="R973" s="109" t="s">
        <v>1907</v>
      </c>
      <c r="S973" s="109" t="s">
        <v>1922</v>
      </c>
      <c r="T973" s="25"/>
      <c r="U973" s="111" t="s">
        <v>1923</v>
      </c>
      <c r="V973" s="111" t="s">
        <v>1923</v>
      </c>
      <c r="W973" s="112" t="s">
        <v>2663</v>
      </c>
      <c r="X973" s="112" t="s">
        <v>1906</v>
      </c>
      <c r="Y973" s="112" t="s">
        <v>2663</v>
      </c>
      <c r="Z973" s="112" t="s">
        <v>1906</v>
      </c>
      <c r="AA973" s="112" t="s">
        <v>2663</v>
      </c>
      <c r="AB973" s="112" t="s">
        <v>1906</v>
      </c>
      <c r="AC973" s="112">
        <v>25.86</v>
      </c>
      <c r="AD973" s="112" t="s">
        <v>1906</v>
      </c>
      <c r="AE973" s="112">
        <v>7.51</v>
      </c>
      <c r="AF973" s="112" t="s">
        <v>1906</v>
      </c>
      <c r="AG973" s="112">
        <v>0</v>
      </c>
      <c r="AH973" s="112"/>
      <c r="AI973" s="112">
        <v>0</v>
      </c>
      <c r="AJ973" s="112"/>
      <c r="AK973" s="112">
        <v>0</v>
      </c>
      <c r="AL973" s="112"/>
      <c r="AM973" s="112">
        <v>5.51</v>
      </c>
      <c r="AN973" s="112" t="s">
        <v>1906</v>
      </c>
      <c r="AO973" s="112">
        <v>23.61</v>
      </c>
      <c r="AP973" s="112" t="s">
        <v>1906</v>
      </c>
      <c r="AQ973" s="112">
        <v>23.61</v>
      </c>
      <c r="AR973" s="112" t="s">
        <v>1906</v>
      </c>
      <c r="AS973" s="112">
        <v>23.61</v>
      </c>
      <c r="AT973" s="112" t="s">
        <v>1906</v>
      </c>
      <c r="AU973" s="112">
        <f t="shared" si="29"/>
        <v>187.29000000000002</v>
      </c>
      <c r="AV973" s="111">
        <v>0.11341</v>
      </c>
      <c r="AW973" s="111" t="s">
        <v>1904</v>
      </c>
      <c r="AX973" s="25"/>
      <c r="AY973" s="25"/>
      <c r="AZ973" s="25"/>
    </row>
    <row r="974" spans="1:52" ht="31.2" x14ac:dyDescent="0.3">
      <c r="A974" s="103">
        <v>964</v>
      </c>
      <c r="B974" s="109" t="s">
        <v>1858</v>
      </c>
      <c r="C974" s="30" t="s">
        <v>1899</v>
      </c>
      <c r="D974" s="110" t="s">
        <v>1900</v>
      </c>
      <c r="E974" s="110" t="s">
        <v>1917</v>
      </c>
      <c r="F974" s="30" t="s">
        <v>2703</v>
      </c>
      <c r="G974" s="26" t="s">
        <v>145</v>
      </c>
      <c r="H974" s="24" t="s">
        <v>146</v>
      </c>
      <c r="I974" s="109">
        <v>1</v>
      </c>
      <c r="J974" s="109" t="s">
        <v>1918</v>
      </c>
      <c r="K974" s="109">
        <v>108</v>
      </c>
      <c r="L974" s="109" t="s">
        <v>1919</v>
      </c>
      <c r="M974" s="109" t="s">
        <v>1904</v>
      </c>
      <c r="N974" s="109" t="s">
        <v>529</v>
      </c>
      <c r="O974" s="109" t="s">
        <v>1920</v>
      </c>
      <c r="P974" s="109" t="s">
        <v>1921</v>
      </c>
      <c r="Q974" s="102">
        <v>0</v>
      </c>
      <c r="R974" s="109" t="s">
        <v>1907</v>
      </c>
      <c r="S974" s="109" t="s">
        <v>1922</v>
      </c>
      <c r="T974" s="25"/>
      <c r="U974" s="111" t="s">
        <v>1923</v>
      </c>
      <c r="V974" s="111" t="s">
        <v>1923</v>
      </c>
      <c r="W974" s="112" t="s">
        <v>2664</v>
      </c>
      <c r="X974" s="112" t="s">
        <v>208</v>
      </c>
      <c r="Y974" s="112" t="s">
        <v>2665</v>
      </c>
      <c r="Z974" s="112" t="s">
        <v>208</v>
      </c>
      <c r="AA974" s="112" t="s">
        <v>2666</v>
      </c>
      <c r="AB974" s="112" t="s">
        <v>208</v>
      </c>
      <c r="AC974" s="112">
        <v>71.239999999999995</v>
      </c>
      <c r="AD974" s="112" t="s">
        <v>208</v>
      </c>
      <c r="AE974" s="112">
        <v>30.02</v>
      </c>
      <c r="AF974" s="112" t="s">
        <v>208</v>
      </c>
      <c r="AG974" s="112">
        <v>0</v>
      </c>
      <c r="AH974" s="112"/>
      <c r="AI974" s="112">
        <v>0</v>
      </c>
      <c r="AJ974" s="112"/>
      <c r="AK974" s="112">
        <v>0</v>
      </c>
      <c r="AL974" s="112"/>
      <c r="AM974" s="112">
        <v>0</v>
      </c>
      <c r="AN974" s="112"/>
      <c r="AO974" s="112">
        <v>54.37</v>
      </c>
      <c r="AP974" s="112" t="s">
        <v>208</v>
      </c>
      <c r="AQ974" s="112">
        <v>64.13</v>
      </c>
      <c r="AR974" s="112" t="s">
        <v>208</v>
      </c>
      <c r="AS974" s="112">
        <v>97.72</v>
      </c>
      <c r="AT974" s="112" t="s">
        <v>208</v>
      </c>
      <c r="AU974" s="112">
        <f t="shared" si="29"/>
        <v>809.41</v>
      </c>
      <c r="AV974" s="111">
        <v>0.3609</v>
      </c>
      <c r="AW974" s="111" t="s">
        <v>1904</v>
      </c>
      <c r="AX974" s="25"/>
      <c r="AY974" s="25"/>
      <c r="AZ974" s="25"/>
    </row>
    <row r="975" spans="1:52" ht="31.2" x14ac:dyDescent="0.3">
      <c r="A975" s="103">
        <v>965</v>
      </c>
      <c r="B975" s="109" t="s">
        <v>1859</v>
      </c>
      <c r="C975" s="30" t="s">
        <v>1899</v>
      </c>
      <c r="D975" s="110" t="s">
        <v>1900</v>
      </c>
      <c r="E975" s="110" t="s">
        <v>1917</v>
      </c>
      <c r="F975" s="30" t="s">
        <v>2703</v>
      </c>
      <c r="G975" s="26" t="s">
        <v>145</v>
      </c>
      <c r="H975" s="24" t="s">
        <v>146</v>
      </c>
      <c r="I975" s="109">
        <v>1</v>
      </c>
      <c r="J975" s="109" t="s">
        <v>1918</v>
      </c>
      <c r="K975" s="109">
        <v>89</v>
      </c>
      <c r="L975" s="109" t="s">
        <v>1919</v>
      </c>
      <c r="M975" s="109" t="s">
        <v>1904</v>
      </c>
      <c r="N975" s="109" t="s">
        <v>529</v>
      </c>
      <c r="O975" s="109" t="s">
        <v>1920</v>
      </c>
      <c r="P975" s="109" t="s">
        <v>1921</v>
      </c>
      <c r="Q975" s="102">
        <v>0</v>
      </c>
      <c r="R975" s="109" t="s">
        <v>1907</v>
      </c>
      <c r="S975" s="109" t="s">
        <v>1922</v>
      </c>
      <c r="T975" s="25"/>
      <c r="U975" s="111" t="s">
        <v>1923</v>
      </c>
      <c r="V975" s="111" t="s">
        <v>1923</v>
      </c>
      <c r="W975" s="112">
        <v>0</v>
      </c>
      <c r="X975" s="112" t="s">
        <v>1906</v>
      </c>
      <c r="Y975" s="112">
        <v>0</v>
      </c>
      <c r="Z975" s="112" t="s">
        <v>1906</v>
      </c>
      <c r="AA975" s="112">
        <v>0</v>
      </c>
      <c r="AB975" s="112" t="s">
        <v>1906</v>
      </c>
      <c r="AC975" s="112">
        <v>0</v>
      </c>
      <c r="AD975" s="112" t="s">
        <v>1906</v>
      </c>
      <c r="AE975" s="112">
        <v>30.33</v>
      </c>
      <c r="AF975" s="112" t="s">
        <v>1906</v>
      </c>
      <c r="AG975" s="112">
        <v>30.33</v>
      </c>
      <c r="AH975" s="112"/>
      <c r="AI975" s="112">
        <v>30.33</v>
      </c>
      <c r="AJ975" s="112"/>
      <c r="AK975" s="112">
        <v>30.33</v>
      </c>
      <c r="AL975" s="112"/>
      <c r="AM975" s="112">
        <v>0</v>
      </c>
      <c r="AN975" s="112"/>
      <c r="AO975" s="112">
        <v>0</v>
      </c>
      <c r="AP975" s="112" t="s">
        <v>208</v>
      </c>
      <c r="AQ975" s="112">
        <v>30.33</v>
      </c>
      <c r="AR975" s="112" t="s">
        <v>208</v>
      </c>
      <c r="AS975" s="112">
        <v>30.33</v>
      </c>
      <c r="AT975" s="112" t="s">
        <v>208</v>
      </c>
      <c r="AU975" s="112">
        <f t="shared" si="29"/>
        <v>181.97999999999996</v>
      </c>
      <c r="AV975" s="111">
        <v>0.1867</v>
      </c>
      <c r="AW975" s="111" t="s">
        <v>1904</v>
      </c>
      <c r="AX975" s="25"/>
      <c r="AY975" s="25"/>
      <c r="AZ975" s="25"/>
    </row>
    <row r="976" spans="1:52" ht="31.2" x14ac:dyDescent="0.3">
      <c r="A976" s="103">
        <v>966</v>
      </c>
      <c r="B976" s="109" t="s">
        <v>1860</v>
      </c>
      <c r="C976" s="30" t="s">
        <v>1899</v>
      </c>
      <c r="D976" s="110" t="s">
        <v>1900</v>
      </c>
      <c r="E976" s="110" t="s">
        <v>1917</v>
      </c>
      <c r="F976" s="30" t="s">
        <v>2703</v>
      </c>
      <c r="G976" s="26" t="s">
        <v>145</v>
      </c>
      <c r="H976" s="24" t="s">
        <v>146</v>
      </c>
      <c r="I976" s="109">
        <v>0</v>
      </c>
      <c r="J976" s="109" t="s">
        <v>1991</v>
      </c>
      <c r="K976" s="109">
        <v>76</v>
      </c>
      <c r="L976" s="109" t="s">
        <v>1919</v>
      </c>
      <c r="M976" s="109" t="s">
        <v>1904</v>
      </c>
      <c r="N976" s="109" t="s">
        <v>528</v>
      </c>
      <c r="O976" s="109" t="s">
        <v>1920</v>
      </c>
      <c r="P976" s="109" t="s">
        <v>1920</v>
      </c>
      <c r="Q976" s="102">
        <v>0</v>
      </c>
      <c r="R976" s="109" t="s">
        <v>1907</v>
      </c>
      <c r="S976" s="109" t="s">
        <v>1922</v>
      </c>
      <c r="T976" s="25"/>
      <c r="U976" s="111" t="s">
        <v>1923</v>
      </c>
      <c r="V976" s="111" t="s">
        <v>1923</v>
      </c>
      <c r="W976" s="112" t="s">
        <v>2667</v>
      </c>
      <c r="X976" s="112" t="s">
        <v>1906</v>
      </c>
      <c r="Y976" s="112" t="s">
        <v>2667</v>
      </c>
      <c r="Z976" s="112" t="s">
        <v>1906</v>
      </c>
      <c r="AA976" s="112" t="s">
        <v>2667</v>
      </c>
      <c r="AB976" s="112" t="s">
        <v>1906</v>
      </c>
      <c r="AC976" s="112">
        <v>31.86</v>
      </c>
      <c r="AD976" s="112" t="s">
        <v>1906</v>
      </c>
      <c r="AE976" s="112">
        <v>16.34</v>
      </c>
      <c r="AF976" s="112" t="s">
        <v>1906</v>
      </c>
      <c r="AG976" s="112">
        <v>9.27</v>
      </c>
      <c r="AH976" s="112" t="s">
        <v>1906</v>
      </c>
      <c r="AI976" s="112">
        <v>9.27</v>
      </c>
      <c r="AJ976" s="112" t="s">
        <v>1906</v>
      </c>
      <c r="AK976" s="112">
        <v>9.27</v>
      </c>
      <c r="AL976" s="112" t="s">
        <v>1906</v>
      </c>
      <c r="AM976" s="112">
        <v>13.67</v>
      </c>
      <c r="AN976" s="112" t="s">
        <v>1906</v>
      </c>
      <c r="AO976" s="112">
        <v>31.27</v>
      </c>
      <c r="AP976" s="112" t="s">
        <v>1906</v>
      </c>
      <c r="AQ976" s="112">
        <v>31.27</v>
      </c>
      <c r="AR976" s="112" t="s">
        <v>1906</v>
      </c>
      <c r="AS976" s="112">
        <v>31.27</v>
      </c>
      <c r="AT976" s="112" t="s">
        <v>1906</v>
      </c>
      <c r="AU976" s="112">
        <f t="shared" si="29"/>
        <v>279.07000000000005</v>
      </c>
      <c r="AV976" s="111">
        <v>9.8119999999999999E-2</v>
      </c>
      <c r="AW976" s="111" t="s">
        <v>1904</v>
      </c>
      <c r="AX976" s="25"/>
      <c r="AY976" s="25"/>
      <c r="AZ976" s="25"/>
    </row>
    <row r="977" spans="1:52" ht="31.2" x14ac:dyDescent="0.3">
      <c r="A977" s="103">
        <v>967</v>
      </c>
      <c r="B977" s="109" t="s">
        <v>1862</v>
      </c>
      <c r="C977" s="30" t="s">
        <v>1899</v>
      </c>
      <c r="D977" s="110" t="s">
        <v>1900</v>
      </c>
      <c r="E977" s="110" t="s">
        <v>1917</v>
      </c>
      <c r="F977" s="30" t="s">
        <v>2703</v>
      </c>
      <c r="G977" s="26" t="s">
        <v>145</v>
      </c>
      <c r="H977" s="24" t="s">
        <v>146</v>
      </c>
      <c r="I977" s="109">
        <v>1</v>
      </c>
      <c r="J977" s="109" t="s">
        <v>1918</v>
      </c>
      <c r="K977" s="109">
        <v>76</v>
      </c>
      <c r="L977" s="109" t="s">
        <v>1919</v>
      </c>
      <c r="M977" s="109" t="s">
        <v>1904</v>
      </c>
      <c r="N977" s="109" t="s">
        <v>529</v>
      </c>
      <c r="O977" s="109" t="s">
        <v>1920</v>
      </c>
      <c r="P977" s="109" t="s">
        <v>1921</v>
      </c>
      <c r="Q977" s="102">
        <v>0</v>
      </c>
      <c r="R977" s="109" t="s">
        <v>1907</v>
      </c>
      <c r="S977" s="109" t="s">
        <v>1922</v>
      </c>
      <c r="T977" s="25"/>
      <c r="U977" s="111" t="s">
        <v>1923</v>
      </c>
      <c r="V977" s="111" t="s">
        <v>1923</v>
      </c>
      <c r="W977" s="112" t="s">
        <v>2668</v>
      </c>
      <c r="X977" s="112" t="s">
        <v>208</v>
      </c>
      <c r="Y977" s="112" t="s">
        <v>2669</v>
      </c>
      <c r="Z977" s="112" t="s">
        <v>208</v>
      </c>
      <c r="AA977" s="112" t="s">
        <v>2670</v>
      </c>
      <c r="AB977" s="112" t="s">
        <v>208</v>
      </c>
      <c r="AC977" s="112">
        <v>30.55</v>
      </c>
      <c r="AD977" s="112" t="s">
        <v>208</v>
      </c>
      <c r="AE977" s="112">
        <v>8.8699999999999992</v>
      </c>
      <c r="AF977" s="112" t="s">
        <v>208</v>
      </c>
      <c r="AG977" s="112">
        <v>0</v>
      </c>
      <c r="AH977" s="112"/>
      <c r="AI977" s="112">
        <v>0</v>
      </c>
      <c r="AJ977" s="112"/>
      <c r="AK977" s="112">
        <v>0</v>
      </c>
      <c r="AL977" s="112"/>
      <c r="AM977" s="112">
        <v>0</v>
      </c>
      <c r="AN977" s="112"/>
      <c r="AO977" s="112">
        <v>30.39</v>
      </c>
      <c r="AP977" s="112" t="s">
        <v>1906</v>
      </c>
      <c r="AQ977" s="112">
        <v>30.39</v>
      </c>
      <c r="AR977" s="112" t="s">
        <v>1906</v>
      </c>
      <c r="AS977" s="112">
        <v>30.39</v>
      </c>
      <c r="AT977" s="112" t="s">
        <v>1906</v>
      </c>
      <c r="AU977" s="112">
        <f t="shared" si="29"/>
        <v>230.33999999999997</v>
      </c>
      <c r="AV977" s="111">
        <v>0.13122</v>
      </c>
      <c r="AW977" s="111" t="s">
        <v>1904</v>
      </c>
      <c r="AX977" s="25"/>
      <c r="AY977" s="25"/>
      <c r="AZ977" s="25"/>
    </row>
    <row r="978" spans="1:52" ht="31.2" x14ac:dyDescent="0.3">
      <c r="A978" s="103">
        <v>968</v>
      </c>
      <c r="B978" s="109" t="s">
        <v>1864</v>
      </c>
      <c r="C978" s="30" t="s">
        <v>1899</v>
      </c>
      <c r="D978" s="110" t="s">
        <v>1900</v>
      </c>
      <c r="E978" s="110" t="s">
        <v>1917</v>
      </c>
      <c r="F978" s="30" t="s">
        <v>2703</v>
      </c>
      <c r="G978" s="26" t="s">
        <v>145</v>
      </c>
      <c r="H978" s="24" t="s">
        <v>146</v>
      </c>
      <c r="I978" s="109">
        <v>0</v>
      </c>
      <c r="J978" s="109" t="s">
        <v>1918</v>
      </c>
      <c r="K978" s="109">
        <v>50</v>
      </c>
      <c r="L978" s="109" t="s">
        <v>1919</v>
      </c>
      <c r="M978" s="109" t="s">
        <v>1904</v>
      </c>
      <c r="N978" s="109" t="s">
        <v>529</v>
      </c>
      <c r="O978" s="109" t="s">
        <v>1920</v>
      </c>
      <c r="P978" s="109" t="s">
        <v>1920</v>
      </c>
      <c r="Q978" s="102">
        <v>0</v>
      </c>
      <c r="R978" s="109" t="s">
        <v>1907</v>
      </c>
      <c r="S978" s="109" t="s">
        <v>1922</v>
      </c>
      <c r="T978" s="25"/>
      <c r="U978" s="111" t="s">
        <v>1923</v>
      </c>
      <c r="V978" s="111" t="s">
        <v>1923</v>
      </c>
      <c r="W978" s="112" t="s">
        <v>2671</v>
      </c>
      <c r="X978" s="112" t="s">
        <v>1906</v>
      </c>
      <c r="Y978" s="112" t="s">
        <v>2671</v>
      </c>
      <c r="Z978" s="112" t="s">
        <v>1906</v>
      </c>
      <c r="AA978" s="112" t="s">
        <v>2671</v>
      </c>
      <c r="AB978" s="112" t="s">
        <v>1906</v>
      </c>
      <c r="AC978" s="112">
        <v>12.69</v>
      </c>
      <c r="AD978" s="112" t="s">
        <v>1906</v>
      </c>
      <c r="AE978" s="112">
        <v>3.69</v>
      </c>
      <c r="AF978" s="112" t="s">
        <v>1906</v>
      </c>
      <c r="AG978" s="112">
        <v>0</v>
      </c>
      <c r="AH978" s="112"/>
      <c r="AI978" s="112">
        <v>0</v>
      </c>
      <c r="AJ978" s="112"/>
      <c r="AK978" s="112">
        <v>0</v>
      </c>
      <c r="AL978" s="112"/>
      <c r="AM978" s="112">
        <v>2.77</v>
      </c>
      <c r="AN978" s="112" t="s">
        <v>1906</v>
      </c>
      <c r="AO978" s="112">
        <v>13.85</v>
      </c>
      <c r="AP978" s="112" t="s">
        <v>1906</v>
      </c>
      <c r="AQ978" s="112">
        <v>13.85</v>
      </c>
      <c r="AR978" s="112" t="s">
        <v>1906</v>
      </c>
      <c r="AS978" s="112">
        <v>13.85</v>
      </c>
      <c r="AT978" s="112" t="s">
        <v>1906</v>
      </c>
      <c r="AU978" s="112">
        <f t="shared" si="29"/>
        <v>98.769999999999982</v>
      </c>
      <c r="AV978" s="111">
        <v>8.6142999999999997E-2</v>
      </c>
      <c r="AW978" s="111" t="s">
        <v>1904</v>
      </c>
      <c r="AX978" s="25"/>
      <c r="AY978" s="25"/>
      <c r="AZ978" s="25"/>
    </row>
    <row r="979" spans="1:52" ht="31.2" x14ac:dyDescent="0.3">
      <c r="A979" s="103">
        <v>969</v>
      </c>
      <c r="B979" s="109" t="s">
        <v>1866</v>
      </c>
      <c r="C979" s="30" t="s">
        <v>1899</v>
      </c>
      <c r="D979" s="110" t="s">
        <v>1900</v>
      </c>
      <c r="E979" s="110" t="s">
        <v>1917</v>
      </c>
      <c r="F979" s="30" t="s">
        <v>2703</v>
      </c>
      <c r="G979" s="26" t="s">
        <v>145</v>
      </c>
      <c r="H979" s="24" t="s">
        <v>146</v>
      </c>
      <c r="I979" s="109">
        <v>0</v>
      </c>
      <c r="J979" s="109" t="s">
        <v>1918</v>
      </c>
      <c r="K979" s="109">
        <v>50</v>
      </c>
      <c r="L979" s="109" t="s">
        <v>1919</v>
      </c>
      <c r="M979" s="109" t="s">
        <v>1904</v>
      </c>
      <c r="N979" s="109" t="s">
        <v>529</v>
      </c>
      <c r="O979" s="109" t="s">
        <v>1920</v>
      </c>
      <c r="P979" s="109" t="s">
        <v>1920</v>
      </c>
      <c r="Q979" s="102">
        <v>0</v>
      </c>
      <c r="R979" s="109" t="s">
        <v>1907</v>
      </c>
      <c r="S979" s="109" t="s">
        <v>1922</v>
      </c>
      <c r="T979" s="25"/>
      <c r="U979" s="111" t="s">
        <v>1923</v>
      </c>
      <c r="V979" s="111" t="s">
        <v>1923</v>
      </c>
      <c r="W979" s="112" t="s">
        <v>2672</v>
      </c>
      <c r="X979" s="112" t="s">
        <v>1906</v>
      </c>
      <c r="Y979" s="112" t="s">
        <v>2672</v>
      </c>
      <c r="Z979" s="112" t="s">
        <v>1906</v>
      </c>
      <c r="AA979" s="112" t="s">
        <v>2672</v>
      </c>
      <c r="AB979" s="112" t="s">
        <v>1906</v>
      </c>
      <c r="AC979" s="112">
        <v>24.37</v>
      </c>
      <c r="AD979" s="112" t="s">
        <v>1906</v>
      </c>
      <c r="AE979" s="112">
        <v>7.08</v>
      </c>
      <c r="AF979" s="112" t="s">
        <v>1906</v>
      </c>
      <c r="AG979" s="112">
        <v>0</v>
      </c>
      <c r="AH979" s="112"/>
      <c r="AI979" s="112">
        <v>0</v>
      </c>
      <c r="AJ979" s="112"/>
      <c r="AK979" s="112">
        <v>0</v>
      </c>
      <c r="AL979" s="112"/>
      <c r="AM979" s="112">
        <v>4.8</v>
      </c>
      <c r="AN979" s="112" t="s">
        <v>1906</v>
      </c>
      <c r="AO979" s="112">
        <v>23.98</v>
      </c>
      <c r="AP979" s="112" t="s">
        <v>1906</v>
      </c>
      <c r="AQ979" s="112">
        <v>23.98</v>
      </c>
      <c r="AR979" s="112" t="s">
        <v>1906</v>
      </c>
      <c r="AS979" s="112">
        <v>23.98</v>
      </c>
      <c r="AT979" s="112" t="s">
        <v>1906</v>
      </c>
      <c r="AU979" s="112">
        <f t="shared" si="29"/>
        <v>181.29999999999998</v>
      </c>
      <c r="AV979" s="111">
        <v>9.8671999999999996E-2</v>
      </c>
      <c r="AW979" s="111" t="s">
        <v>1904</v>
      </c>
      <c r="AX979" s="25"/>
      <c r="AY979" s="25"/>
      <c r="AZ979" s="25"/>
    </row>
    <row r="980" spans="1:52" ht="31.2" x14ac:dyDescent="0.3">
      <c r="A980" s="103">
        <v>970</v>
      </c>
      <c r="B980" s="109" t="s">
        <v>1868</v>
      </c>
      <c r="C980" s="30" t="s">
        <v>1899</v>
      </c>
      <c r="D980" s="110" t="s">
        <v>1900</v>
      </c>
      <c r="E980" s="110" t="s">
        <v>1917</v>
      </c>
      <c r="F980" s="30" t="s">
        <v>2703</v>
      </c>
      <c r="G980" s="26" t="s">
        <v>145</v>
      </c>
      <c r="H980" s="24" t="s">
        <v>146</v>
      </c>
      <c r="I980" s="109">
        <v>0</v>
      </c>
      <c r="J980" s="109" t="s">
        <v>1918</v>
      </c>
      <c r="K980" s="109">
        <v>25</v>
      </c>
      <c r="L980" s="109" t="s">
        <v>1919</v>
      </c>
      <c r="M980" s="109" t="s">
        <v>1904</v>
      </c>
      <c r="N980" s="109" t="s">
        <v>529</v>
      </c>
      <c r="O980" s="109" t="s">
        <v>1920</v>
      </c>
      <c r="P980" s="109" t="s">
        <v>1920</v>
      </c>
      <c r="Q980" s="102">
        <v>0</v>
      </c>
      <c r="R980" s="109" t="s">
        <v>1907</v>
      </c>
      <c r="S980" s="109" t="s">
        <v>1922</v>
      </c>
      <c r="T980" s="25"/>
      <c r="U980" s="111" t="s">
        <v>1923</v>
      </c>
      <c r="V980" s="111" t="s">
        <v>1923</v>
      </c>
      <c r="W980" s="112" t="s">
        <v>2673</v>
      </c>
      <c r="X980" s="112" t="s">
        <v>1906</v>
      </c>
      <c r="Y980" s="112" t="s">
        <v>2673</v>
      </c>
      <c r="Z980" s="112" t="s">
        <v>1906</v>
      </c>
      <c r="AA980" s="112" t="s">
        <v>2673</v>
      </c>
      <c r="AB980" s="112" t="s">
        <v>1906</v>
      </c>
      <c r="AC980" s="112">
        <v>1.87</v>
      </c>
      <c r="AD980" s="112" t="s">
        <v>1906</v>
      </c>
      <c r="AE980" s="112">
        <v>0.55000000000000004</v>
      </c>
      <c r="AF980" s="112" t="s">
        <v>1906</v>
      </c>
      <c r="AG980" s="112">
        <v>0</v>
      </c>
      <c r="AH980" s="112"/>
      <c r="AI980" s="112">
        <v>0</v>
      </c>
      <c r="AJ980" s="112"/>
      <c r="AK980" s="112">
        <v>0</v>
      </c>
      <c r="AL980" s="112"/>
      <c r="AM980" s="112">
        <v>0.41</v>
      </c>
      <c r="AN980" s="112" t="s">
        <v>1906</v>
      </c>
      <c r="AO980" s="112">
        <v>2.0299999999999998</v>
      </c>
      <c r="AP980" s="112" t="s">
        <v>1906</v>
      </c>
      <c r="AQ980" s="112">
        <v>2.0299999999999998</v>
      </c>
      <c r="AR980" s="112" t="s">
        <v>1906</v>
      </c>
      <c r="AS980" s="112">
        <v>2.0299999999999998</v>
      </c>
      <c r="AT980" s="112" t="s">
        <v>1906</v>
      </c>
      <c r="AU980" s="112">
        <f t="shared" si="29"/>
        <v>14.53</v>
      </c>
      <c r="AV980" s="111">
        <v>1.3576E-2</v>
      </c>
      <c r="AW980" s="111" t="s">
        <v>1904</v>
      </c>
      <c r="AX980" s="25"/>
      <c r="AY980" s="25"/>
      <c r="AZ980" s="25"/>
    </row>
    <row r="981" spans="1:52" ht="31.2" x14ac:dyDescent="0.3">
      <c r="A981" s="103">
        <v>971</v>
      </c>
      <c r="B981" s="109" t="s">
        <v>1870</v>
      </c>
      <c r="C981" s="30" t="s">
        <v>1899</v>
      </c>
      <c r="D981" s="110" t="s">
        <v>1900</v>
      </c>
      <c r="E981" s="110" t="s">
        <v>1917</v>
      </c>
      <c r="F981" s="30" t="s">
        <v>2703</v>
      </c>
      <c r="G981" s="26" t="s">
        <v>145</v>
      </c>
      <c r="H981" s="24" t="s">
        <v>146</v>
      </c>
      <c r="I981" s="109">
        <v>0</v>
      </c>
      <c r="J981" s="109" t="s">
        <v>1918</v>
      </c>
      <c r="K981" s="109">
        <v>32</v>
      </c>
      <c r="L981" s="109" t="s">
        <v>1919</v>
      </c>
      <c r="M981" s="109" t="s">
        <v>1904</v>
      </c>
      <c r="N981" s="109" t="s">
        <v>529</v>
      </c>
      <c r="O981" s="109" t="s">
        <v>1920</v>
      </c>
      <c r="P981" s="109" t="s">
        <v>1920</v>
      </c>
      <c r="Q981" s="102">
        <v>0</v>
      </c>
      <c r="R981" s="109" t="s">
        <v>1907</v>
      </c>
      <c r="S981" s="109" t="s">
        <v>1922</v>
      </c>
      <c r="T981" s="25"/>
      <c r="U981" s="111" t="s">
        <v>1923</v>
      </c>
      <c r="V981" s="111" t="s">
        <v>1923</v>
      </c>
      <c r="W981" s="112" t="s">
        <v>2674</v>
      </c>
      <c r="X981" s="112" t="s">
        <v>1906</v>
      </c>
      <c r="Y981" s="112" t="s">
        <v>2674</v>
      </c>
      <c r="Z981" s="112" t="s">
        <v>1906</v>
      </c>
      <c r="AA981" s="112" t="s">
        <v>2674</v>
      </c>
      <c r="AB981" s="112" t="s">
        <v>1906</v>
      </c>
      <c r="AC981" s="112">
        <v>5.24</v>
      </c>
      <c r="AD981" s="112" t="s">
        <v>1906</v>
      </c>
      <c r="AE981" s="112">
        <v>1.53</v>
      </c>
      <c r="AF981" s="112" t="s">
        <v>1906</v>
      </c>
      <c r="AG981" s="112">
        <v>0</v>
      </c>
      <c r="AH981" s="112"/>
      <c r="AI981" s="112">
        <v>0</v>
      </c>
      <c r="AJ981" s="112"/>
      <c r="AK981" s="112">
        <v>0</v>
      </c>
      <c r="AL981" s="112"/>
      <c r="AM981" s="112">
        <v>1.1399999999999999</v>
      </c>
      <c r="AN981" s="112" t="s">
        <v>1906</v>
      </c>
      <c r="AO981" s="112">
        <v>5.71</v>
      </c>
      <c r="AP981" s="112" t="s">
        <v>1906</v>
      </c>
      <c r="AQ981" s="112">
        <v>5.71</v>
      </c>
      <c r="AR981" s="112" t="s">
        <v>1906</v>
      </c>
      <c r="AS981" s="112">
        <v>5.71</v>
      </c>
      <c r="AT981" s="112" t="s">
        <v>1906</v>
      </c>
      <c r="AU981" s="112">
        <f t="shared" si="29"/>
        <v>40.760000000000005</v>
      </c>
      <c r="AV981" s="111">
        <v>2.4684999999999999E-2</v>
      </c>
      <c r="AW981" s="111" t="s">
        <v>1904</v>
      </c>
      <c r="AX981" s="25"/>
      <c r="AY981" s="25"/>
      <c r="AZ981" s="25"/>
    </row>
    <row r="982" spans="1:52" ht="31.2" x14ac:dyDescent="0.3">
      <c r="A982" s="103">
        <v>972</v>
      </c>
      <c r="B982" s="109" t="s">
        <v>1872</v>
      </c>
      <c r="C982" s="30" t="s">
        <v>1899</v>
      </c>
      <c r="D982" s="110" t="s">
        <v>1900</v>
      </c>
      <c r="E982" s="110" t="s">
        <v>1917</v>
      </c>
      <c r="F982" s="30" t="s">
        <v>2703</v>
      </c>
      <c r="G982" s="26" t="s">
        <v>145</v>
      </c>
      <c r="H982" s="24" t="s">
        <v>146</v>
      </c>
      <c r="I982" s="109">
        <v>0</v>
      </c>
      <c r="J982" s="109" t="s">
        <v>1918</v>
      </c>
      <c r="K982" s="109">
        <v>50</v>
      </c>
      <c r="L982" s="109" t="s">
        <v>1919</v>
      </c>
      <c r="M982" s="109" t="s">
        <v>1904</v>
      </c>
      <c r="N982" s="109" t="s">
        <v>529</v>
      </c>
      <c r="O982" s="109" t="s">
        <v>1920</v>
      </c>
      <c r="P982" s="109" t="s">
        <v>1920</v>
      </c>
      <c r="Q982" s="102">
        <v>0</v>
      </c>
      <c r="R982" s="109" t="s">
        <v>1907</v>
      </c>
      <c r="S982" s="109" t="s">
        <v>1922</v>
      </c>
      <c r="T982" s="25"/>
      <c r="U982" s="111" t="s">
        <v>1923</v>
      </c>
      <c r="V982" s="111" t="s">
        <v>1923</v>
      </c>
      <c r="W982" s="112" t="s">
        <v>2675</v>
      </c>
      <c r="X982" s="112" t="s">
        <v>1906</v>
      </c>
      <c r="Y982" s="112" t="s">
        <v>2675</v>
      </c>
      <c r="Z982" s="112" t="s">
        <v>1906</v>
      </c>
      <c r="AA982" s="112" t="s">
        <v>2675</v>
      </c>
      <c r="AB982" s="112" t="s">
        <v>1906</v>
      </c>
      <c r="AC982" s="112">
        <v>30.42</v>
      </c>
      <c r="AD982" s="112" t="s">
        <v>1906</v>
      </c>
      <c r="AE982" s="112">
        <v>8.83</v>
      </c>
      <c r="AF982" s="112" t="s">
        <v>1906</v>
      </c>
      <c r="AG982" s="112">
        <v>0</v>
      </c>
      <c r="AH982" s="112"/>
      <c r="AI982" s="112">
        <v>0</v>
      </c>
      <c r="AJ982" s="112"/>
      <c r="AK982" s="112">
        <v>0</v>
      </c>
      <c r="AL982" s="112"/>
      <c r="AM982" s="112">
        <v>6.14</v>
      </c>
      <c r="AN982" s="112" t="s">
        <v>1906</v>
      </c>
      <c r="AO982" s="112">
        <v>30.68</v>
      </c>
      <c r="AP982" s="112" t="s">
        <v>1906</v>
      </c>
      <c r="AQ982" s="112">
        <v>30.68</v>
      </c>
      <c r="AR982" s="112" t="s">
        <v>1906</v>
      </c>
      <c r="AS982" s="112">
        <v>30.68</v>
      </c>
      <c r="AT982" s="112" t="s">
        <v>1906</v>
      </c>
      <c r="AU982" s="112">
        <f t="shared" si="29"/>
        <v>228.69000000000003</v>
      </c>
      <c r="AV982" s="111">
        <v>0.10234</v>
      </c>
      <c r="AW982" s="111" t="s">
        <v>1904</v>
      </c>
      <c r="AX982" s="25"/>
      <c r="AY982" s="25"/>
      <c r="AZ982" s="25"/>
    </row>
    <row r="983" spans="1:52" ht="31.2" x14ac:dyDescent="0.3">
      <c r="A983" s="103">
        <v>973</v>
      </c>
      <c r="B983" s="109" t="s">
        <v>1873</v>
      </c>
      <c r="C983" s="30" t="s">
        <v>1899</v>
      </c>
      <c r="D983" s="110" t="s">
        <v>1900</v>
      </c>
      <c r="E983" s="110" t="s">
        <v>1917</v>
      </c>
      <c r="F983" s="30" t="s">
        <v>2703</v>
      </c>
      <c r="G983" s="26" t="s">
        <v>145</v>
      </c>
      <c r="H983" s="24" t="s">
        <v>146</v>
      </c>
      <c r="I983" s="109">
        <v>1</v>
      </c>
      <c r="J983" s="109" t="s">
        <v>1918</v>
      </c>
      <c r="K983" s="109">
        <v>108</v>
      </c>
      <c r="L983" s="109" t="s">
        <v>1919</v>
      </c>
      <c r="M983" s="109" t="s">
        <v>1904</v>
      </c>
      <c r="N983" s="109" t="s">
        <v>529</v>
      </c>
      <c r="O983" s="109" t="s">
        <v>1920</v>
      </c>
      <c r="P983" s="109" t="s">
        <v>1921</v>
      </c>
      <c r="Q983" s="102">
        <v>0</v>
      </c>
      <c r="R983" s="109" t="s">
        <v>1907</v>
      </c>
      <c r="S983" s="109" t="s">
        <v>1922</v>
      </c>
      <c r="T983" s="25"/>
      <c r="U983" s="111" t="s">
        <v>1923</v>
      </c>
      <c r="V983" s="111" t="s">
        <v>1923</v>
      </c>
      <c r="W983" s="112" t="s">
        <v>2676</v>
      </c>
      <c r="X983" s="112" t="s">
        <v>1906</v>
      </c>
      <c r="Y983" s="112" t="s">
        <v>2676</v>
      </c>
      <c r="Z983" s="112" t="s">
        <v>1906</v>
      </c>
      <c r="AA983" s="112" t="s">
        <v>2676</v>
      </c>
      <c r="AB983" s="112" t="s">
        <v>1906</v>
      </c>
      <c r="AC983" s="112">
        <v>89.79</v>
      </c>
      <c r="AD983" s="112" t="s">
        <v>1906</v>
      </c>
      <c r="AE983" s="112">
        <v>26.06</v>
      </c>
      <c r="AF983" s="112" t="s">
        <v>1906</v>
      </c>
      <c r="AG983" s="112">
        <v>0</v>
      </c>
      <c r="AH983" s="112"/>
      <c r="AI983" s="112">
        <v>0</v>
      </c>
      <c r="AJ983" s="112"/>
      <c r="AK983" s="112">
        <v>0</v>
      </c>
      <c r="AL983" s="112"/>
      <c r="AM983" s="112">
        <v>0</v>
      </c>
      <c r="AN983" s="112"/>
      <c r="AO983" s="112">
        <v>98.19</v>
      </c>
      <c r="AP983" s="112" t="s">
        <v>1906</v>
      </c>
      <c r="AQ983" s="112">
        <v>83.9</v>
      </c>
      <c r="AR983" s="112" t="s">
        <v>1906</v>
      </c>
      <c r="AS983" s="112">
        <v>83.9</v>
      </c>
      <c r="AT983" s="112" t="s">
        <v>1906</v>
      </c>
      <c r="AU983" s="112">
        <f t="shared" si="29"/>
        <v>651.21</v>
      </c>
      <c r="AV983" s="111">
        <v>0.34897</v>
      </c>
      <c r="AW983" s="111" t="s">
        <v>1904</v>
      </c>
      <c r="AX983" s="25"/>
      <c r="AY983" s="25"/>
      <c r="AZ983" s="25"/>
    </row>
    <row r="984" spans="1:52" ht="31.2" x14ac:dyDescent="0.3">
      <c r="A984" s="103">
        <v>974</v>
      </c>
      <c r="B984" s="109" t="s">
        <v>1874</v>
      </c>
      <c r="C984" s="30" t="s">
        <v>1899</v>
      </c>
      <c r="D984" s="110" t="s">
        <v>1900</v>
      </c>
      <c r="E984" s="110" t="s">
        <v>1917</v>
      </c>
      <c r="F984" s="30" t="s">
        <v>2703</v>
      </c>
      <c r="G984" s="26" t="s">
        <v>145</v>
      </c>
      <c r="H984" s="24" t="s">
        <v>146</v>
      </c>
      <c r="I984" s="109">
        <v>1</v>
      </c>
      <c r="J984" s="109" t="s">
        <v>1991</v>
      </c>
      <c r="K984" s="109">
        <v>108</v>
      </c>
      <c r="L984" s="109" t="s">
        <v>1919</v>
      </c>
      <c r="M984" s="109" t="s">
        <v>1904</v>
      </c>
      <c r="N984" s="109" t="s">
        <v>528</v>
      </c>
      <c r="O984" s="109" t="s">
        <v>1920</v>
      </c>
      <c r="P984" s="109" t="s">
        <v>1921</v>
      </c>
      <c r="Q984" s="102">
        <v>0</v>
      </c>
      <c r="R984" s="109" t="s">
        <v>1907</v>
      </c>
      <c r="S984" s="109" t="s">
        <v>1922</v>
      </c>
      <c r="T984" s="25"/>
      <c r="U984" s="111" t="s">
        <v>1923</v>
      </c>
      <c r="V984" s="111" t="s">
        <v>1923</v>
      </c>
      <c r="W984" s="112">
        <v>0</v>
      </c>
      <c r="X984" s="112" t="s">
        <v>1906</v>
      </c>
      <c r="Y984" s="112">
        <v>0</v>
      </c>
      <c r="Z984" s="112" t="s">
        <v>1906</v>
      </c>
      <c r="AA984" s="112">
        <v>0</v>
      </c>
      <c r="AB984" s="112" t="s">
        <v>1906</v>
      </c>
      <c r="AC984" s="112">
        <v>0</v>
      </c>
      <c r="AD984" s="112" t="s">
        <v>1906</v>
      </c>
      <c r="AE984" s="112">
        <v>0</v>
      </c>
      <c r="AF984" s="112" t="s">
        <v>1906</v>
      </c>
      <c r="AG984" s="112">
        <v>53.81</v>
      </c>
      <c r="AH984" s="112" t="s">
        <v>1906</v>
      </c>
      <c r="AI984" s="112">
        <v>53.81</v>
      </c>
      <c r="AJ984" s="112" t="s">
        <v>1906</v>
      </c>
      <c r="AK984" s="112">
        <v>53.81</v>
      </c>
      <c r="AL984" s="112" t="s">
        <v>1906</v>
      </c>
      <c r="AM984" s="112">
        <v>53.81</v>
      </c>
      <c r="AN984" s="112" t="s">
        <v>1906</v>
      </c>
      <c r="AO984" s="112">
        <v>0</v>
      </c>
      <c r="AP984" s="112" t="s">
        <v>208</v>
      </c>
      <c r="AQ984" s="112">
        <v>53.81</v>
      </c>
      <c r="AR984" s="112" t="s">
        <v>208</v>
      </c>
      <c r="AS984" s="112">
        <v>53.81</v>
      </c>
      <c r="AT984" s="112" t="s">
        <v>208</v>
      </c>
      <c r="AU984" s="112">
        <f t="shared" si="29"/>
        <v>322.86</v>
      </c>
      <c r="AV984" s="111">
        <v>0.36146</v>
      </c>
      <c r="AW984" s="111" t="s">
        <v>1904</v>
      </c>
      <c r="AX984" s="25"/>
      <c r="AY984" s="25"/>
      <c r="AZ984" s="25"/>
    </row>
    <row r="985" spans="1:52" ht="31.2" x14ac:dyDescent="0.3">
      <c r="A985" s="103">
        <v>975</v>
      </c>
      <c r="B985" s="109" t="s">
        <v>1875</v>
      </c>
      <c r="C985" s="30" t="s">
        <v>1899</v>
      </c>
      <c r="D985" s="110" t="s">
        <v>1900</v>
      </c>
      <c r="E985" s="110" t="s">
        <v>1917</v>
      </c>
      <c r="F985" s="30" t="s">
        <v>2703</v>
      </c>
      <c r="G985" s="26" t="s">
        <v>145</v>
      </c>
      <c r="H985" s="24" t="s">
        <v>146</v>
      </c>
      <c r="I985" s="109">
        <v>1</v>
      </c>
      <c r="J985" s="109" t="s">
        <v>1918</v>
      </c>
      <c r="K985" s="109">
        <v>108</v>
      </c>
      <c r="L985" s="109" t="s">
        <v>1919</v>
      </c>
      <c r="M985" s="109" t="s">
        <v>1904</v>
      </c>
      <c r="N985" s="109" t="s">
        <v>529</v>
      </c>
      <c r="O985" s="109" t="s">
        <v>1920</v>
      </c>
      <c r="P985" s="109" t="s">
        <v>1921</v>
      </c>
      <c r="Q985" s="102">
        <v>0</v>
      </c>
      <c r="R985" s="109" t="s">
        <v>1907</v>
      </c>
      <c r="S985" s="109" t="s">
        <v>1922</v>
      </c>
      <c r="T985" s="25"/>
      <c r="U985" s="111" t="s">
        <v>1923</v>
      </c>
      <c r="V985" s="111" t="s">
        <v>1923</v>
      </c>
      <c r="W985" s="112" t="s">
        <v>2614</v>
      </c>
      <c r="X985" s="112" t="s">
        <v>1906</v>
      </c>
      <c r="Y985" s="112" t="s">
        <v>2614</v>
      </c>
      <c r="Z985" s="112" t="s">
        <v>1906</v>
      </c>
      <c r="AA985" s="112" t="s">
        <v>2614</v>
      </c>
      <c r="AB985" s="112" t="s">
        <v>1906</v>
      </c>
      <c r="AC985" s="112">
        <v>115.34</v>
      </c>
      <c r="AD985" s="112" t="s">
        <v>1906</v>
      </c>
      <c r="AE985" s="112">
        <v>33.49</v>
      </c>
      <c r="AF985" s="112" t="s">
        <v>1906</v>
      </c>
      <c r="AG985" s="112">
        <v>0</v>
      </c>
      <c r="AH985" s="112"/>
      <c r="AI985" s="112">
        <v>0</v>
      </c>
      <c r="AJ985" s="112"/>
      <c r="AK985" s="112">
        <v>0</v>
      </c>
      <c r="AL985" s="112"/>
      <c r="AM985" s="112">
        <v>0</v>
      </c>
      <c r="AN985" s="112"/>
      <c r="AO985" s="112">
        <v>47.34</v>
      </c>
      <c r="AP985" s="112" t="s">
        <v>208</v>
      </c>
      <c r="AQ985" s="112">
        <v>58.71</v>
      </c>
      <c r="AR985" s="112" t="s">
        <v>208</v>
      </c>
      <c r="AS985" s="112">
        <v>93.68</v>
      </c>
      <c r="AT985" s="112" t="s">
        <v>208</v>
      </c>
      <c r="AU985" s="112">
        <f t="shared" si="29"/>
        <v>694.58000000000015</v>
      </c>
      <c r="AV985" s="111">
        <v>0.30109999999999998</v>
      </c>
      <c r="AW985" s="111" t="s">
        <v>1904</v>
      </c>
      <c r="AX985" s="25"/>
      <c r="AY985" s="25"/>
      <c r="AZ985" s="25"/>
    </row>
    <row r="986" spans="1:52" ht="31.2" x14ac:dyDescent="0.3">
      <c r="A986" s="103">
        <v>976</v>
      </c>
      <c r="B986" s="109" t="s">
        <v>1876</v>
      </c>
      <c r="C986" s="30" t="s">
        <v>1899</v>
      </c>
      <c r="D986" s="110" t="s">
        <v>1900</v>
      </c>
      <c r="E986" s="110" t="s">
        <v>1917</v>
      </c>
      <c r="F986" s="30" t="s">
        <v>2703</v>
      </c>
      <c r="G986" s="26" t="s">
        <v>145</v>
      </c>
      <c r="H986" s="24" t="s">
        <v>146</v>
      </c>
      <c r="I986" s="109">
        <v>1</v>
      </c>
      <c r="J986" s="109" t="s">
        <v>1918</v>
      </c>
      <c r="K986" s="109">
        <v>89</v>
      </c>
      <c r="L986" s="109" t="s">
        <v>1919</v>
      </c>
      <c r="M986" s="109" t="s">
        <v>1904</v>
      </c>
      <c r="N986" s="109" t="s">
        <v>529</v>
      </c>
      <c r="O986" s="109" t="s">
        <v>1920</v>
      </c>
      <c r="P986" s="109" t="s">
        <v>1921</v>
      </c>
      <c r="Q986" s="102">
        <v>0</v>
      </c>
      <c r="R986" s="109" t="s">
        <v>1907</v>
      </c>
      <c r="S986" s="109" t="s">
        <v>1922</v>
      </c>
      <c r="T986" s="25"/>
      <c r="U986" s="111" t="s">
        <v>1923</v>
      </c>
      <c r="V986" s="111" t="s">
        <v>1923</v>
      </c>
      <c r="W986" s="112" t="s">
        <v>2677</v>
      </c>
      <c r="X986" s="112" t="s">
        <v>208</v>
      </c>
      <c r="Y986" s="112" t="s">
        <v>2678</v>
      </c>
      <c r="Z986" s="112" t="s">
        <v>208</v>
      </c>
      <c r="AA986" s="112" t="s">
        <v>2679</v>
      </c>
      <c r="AB986" s="112" t="s">
        <v>208</v>
      </c>
      <c r="AC986" s="112">
        <v>71.06</v>
      </c>
      <c r="AD986" s="112" t="s">
        <v>208</v>
      </c>
      <c r="AE986" s="112">
        <v>20.63</v>
      </c>
      <c r="AF986" s="112" t="s">
        <v>208</v>
      </c>
      <c r="AG986" s="112">
        <v>0</v>
      </c>
      <c r="AH986" s="112"/>
      <c r="AI986" s="112">
        <v>0</v>
      </c>
      <c r="AJ986" s="112"/>
      <c r="AK986" s="112">
        <v>0</v>
      </c>
      <c r="AL986" s="112"/>
      <c r="AM986" s="112">
        <v>0</v>
      </c>
      <c r="AN986" s="112"/>
      <c r="AO986" s="112">
        <v>68.319999999999993</v>
      </c>
      <c r="AP986" s="112" t="s">
        <v>208</v>
      </c>
      <c r="AQ986" s="112">
        <v>33.700000000000003</v>
      </c>
      <c r="AR986" s="112" t="s">
        <v>208</v>
      </c>
      <c r="AS986" s="112">
        <v>72.83</v>
      </c>
      <c r="AT986" s="112" t="s">
        <v>208</v>
      </c>
      <c r="AU986" s="112">
        <f t="shared" si="29"/>
        <v>580.29</v>
      </c>
      <c r="AV986" s="111">
        <v>0.22061</v>
      </c>
      <c r="AW986" s="111" t="s">
        <v>1904</v>
      </c>
      <c r="AX986" s="25"/>
      <c r="AY986" s="25"/>
      <c r="AZ986" s="25"/>
    </row>
    <row r="987" spans="1:52" ht="31.2" x14ac:dyDescent="0.3">
      <c r="A987" s="103">
        <v>977</v>
      </c>
      <c r="B987" s="109" t="s">
        <v>1877</v>
      </c>
      <c r="C987" s="30" t="s">
        <v>1899</v>
      </c>
      <c r="D987" s="110" t="s">
        <v>1900</v>
      </c>
      <c r="E987" s="110" t="s">
        <v>1917</v>
      </c>
      <c r="F987" s="30" t="s">
        <v>2703</v>
      </c>
      <c r="G987" s="26" t="s">
        <v>145</v>
      </c>
      <c r="H987" s="24" t="s">
        <v>146</v>
      </c>
      <c r="I987" s="109">
        <v>0</v>
      </c>
      <c r="J987" s="109" t="s">
        <v>1918</v>
      </c>
      <c r="K987" s="109">
        <v>76</v>
      </c>
      <c r="L987" s="109" t="s">
        <v>1919</v>
      </c>
      <c r="M987" s="109" t="s">
        <v>1904</v>
      </c>
      <c r="N987" s="109" t="s">
        <v>529</v>
      </c>
      <c r="O987" s="109" t="s">
        <v>1920</v>
      </c>
      <c r="P987" s="109" t="s">
        <v>1920</v>
      </c>
      <c r="Q987" s="102">
        <v>0</v>
      </c>
      <c r="R987" s="109" t="s">
        <v>1907</v>
      </c>
      <c r="S987" s="109" t="s">
        <v>1922</v>
      </c>
      <c r="T987" s="25"/>
      <c r="U987" s="111" t="s">
        <v>1923</v>
      </c>
      <c r="V987" s="111" t="s">
        <v>1923</v>
      </c>
      <c r="W987" s="112" t="s">
        <v>2680</v>
      </c>
      <c r="X987" s="112" t="s">
        <v>1906</v>
      </c>
      <c r="Y987" s="112" t="s">
        <v>2680</v>
      </c>
      <c r="Z987" s="112" t="s">
        <v>1906</v>
      </c>
      <c r="AA987" s="112" t="s">
        <v>2680</v>
      </c>
      <c r="AB987" s="112" t="s">
        <v>1906</v>
      </c>
      <c r="AC987" s="112">
        <v>25.17</v>
      </c>
      <c r="AD987" s="112" t="s">
        <v>1906</v>
      </c>
      <c r="AE987" s="112">
        <v>7.31</v>
      </c>
      <c r="AF987" s="112" t="s">
        <v>1906</v>
      </c>
      <c r="AG987" s="112">
        <v>0</v>
      </c>
      <c r="AH987" s="112"/>
      <c r="AI987" s="112">
        <v>0</v>
      </c>
      <c r="AJ987" s="112"/>
      <c r="AK987" s="112">
        <v>0</v>
      </c>
      <c r="AL987" s="112"/>
      <c r="AM987" s="112">
        <v>5.4</v>
      </c>
      <c r="AN987" s="112" t="s">
        <v>1906</v>
      </c>
      <c r="AO987" s="112">
        <v>23.14</v>
      </c>
      <c r="AP987" s="112" t="s">
        <v>1906</v>
      </c>
      <c r="AQ987" s="112">
        <v>23.14</v>
      </c>
      <c r="AR987" s="112" t="s">
        <v>1906</v>
      </c>
      <c r="AS987" s="112">
        <v>23.14</v>
      </c>
      <c r="AT987" s="112" t="s">
        <v>1906</v>
      </c>
      <c r="AU987" s="112">
        <f t="shared" si="29"/>
        <v>182.81</v>
      </c>
      <c r="AV987" s="111">
        <v>8.899E-2</v>
      </c>
      <c r="AW987" s="111" t="s">
        <v>1904</v>
      </c>
      <c r="AX987" s="25"/>
      <c r="AY987" s="25"/>
      <c r="AZ987" s="25"/>
    </row>
    <row r="988" spans="1:52" ht="31.2" x14ac:dyDescent="0.3">
      <c r="A988" s="103">
        <v>978</v>
      </c>
      <c r="B988" s="109" t="s">
        <v>1879</v>
      </c>
      <c r="C988" s="30" t="s">
        <v>1899</v>
      </c>
      <c r="D988" s="110" t="s">
        <v>1900</v>
      </c>
      <c r="E988" s="110" t="s">
        <v>1917</v>
      </c>
      <c r="F988" s="30" t="s">
        <v>2703</v>
      </c>
      <c r="G988" s="26" t="s">
        <v>145</v>
      </c>
      <c r="H988" s="24" t="s">
        <v>146</v>
      </c>
      <c r="I988" s="109">
        <v>1</v>
      </c>
      <c r="J988" s="109" t="s">
        <v>1918</v>
      </c>
      <c r="K988" s="109">
        <v>76</v>
      </c>
      <c r="L988" s="109" t="s">
        <v>1919</v>
      </c>
      <c r="M988" s="109" t="s">
        <v>1904</v>
      </c>
      <c r="N988" s="109" t="s">
        <v>529</v>
      </c>
      <c r="O988" s="109" t="s">
        <v>1920</v>
      </c>
      <c r="P988" s="109" t="s">
        <v>1921</v>
      </c>
      <c r="Q988" s="102">
        <v>0</v>
      </c>
      <c r="R988" s="109" t="s">
        <v>1907</v>
      </c>
      <c r="S988" s="109" t="s">
        <v>1922</v>
      </c>
      <c r="T988" s="25"/>
      <c r="U988" s="111" t="s">
        <v>1923</v>
      </c>
      <c r="V988" s="111" t="s">
        <v>1923</v>
      </c>
      <c r="W988" s="112" t="s">
        <v>2681</v>
      </c>
      <c r="X988" s="112" t="s">
        <v>208</v>
      </c>
      <c r="Y988" s="112" t="s">
        <v>2682</v>
      </c>
      <c r="Z988" s="112" t="s">
        <v>208</v>
      </c>
      <c r="AA988" s="112" t="s">
        <v>2683</v>
      </c>
      <c r="AB988" s="112" t="s">
        <v>208</v>
      </c>
      <c r="AC988" s="112">
        <v>38.94</v>
      </c>
      <c r="AD988" s="112" t="s">
        <v>208</v>
      </c>
      <c r="AE988" s="112">
        <v>11.3</v>
      </c>
      <c r="AF988" s="112" t="s">
        <v>208</v>
      </c>
      <c r="AG988" s="112">
        <v>0</v>
      </c>
      <c r="AH988" s="112"/>
      <c r="AI988" s="112">
        <v>0</v>
      </c>
      <c r="AJ988" s="112"/>
      <c r="AK988" s="112">
        <v>0</v>
      </c>
      <c r="AL988" s="112"/>
      <c r="AM988" s="112">
        <v>0</v>
      </c>
      <c r="AN988" s="112"/>
      <c r="AO988" s="112">
        <v>37.950000000000003</v>
      </c>
      <c r="AP988" s="112" t="s">
        <v>1906</v>
      </c>
      <c r="AQ988" s="112">
        <v>37.950000000000003</v>
      </c>
      <c r="AR988" s="112" t="s">
        <v>1906</v>
      </c>
      <c r="AS988" s="112">
        <v>37.950000000000003</v>
      </c>
      <c r="AT988" s="112" t="s">
        <v>1906</v>
      </c>
      <c r="AU988" s="112">
        <f t="shared" si="29"/>
        <v>316.02999999999997</v>
      </c>
      <c r="AV988" s="111">
        <v>0.12227200000000001</v>
      </c>
      <c r="AW988" s="111" t="s">
        <v>1904</v>
      </c>
      <c r="AX988" s="25"/>
      <c r="AY988" s="25"/>
      <c r="AZ988" s="25"/>
    </row>
    <row r="989" spans="1:52" ht="31.2" x14ac:dyDescent="0.3">
      <c r="A989" s="103">
        <v>979</v>
      </c>
      <c r="B989" s="109" t="s">
        <v>1880</v>
      </c>
      <c r="C989" s="30" t="s">
        <v>1899</v>
      </c>
      <c r="D989" s="110" t="s">
        <v>1900</v>
      </c>
      <c r="E989" s="110" t="s">
        <v>1917</v>
      </c>
      <c r="F989" s="30" t="s">
        <v>2703</v>
      </c>
      <c r="G989" s="26" t="s">
        <v>145</v>
      </c>
      <c r="H989" s="24" t="s">
        <v>146</v>
      </c>
      <c r="I989" s="109">
        <v>1</v>
      </c>
      <c r="J989" s="109" t="s">
        <v>1918</v>
      </c>
      <c r="K989" s="109">
        <v>89</v>
      </c>
      <c r="L989" s="109" t="s">
        <v>1919</v>
      </c>
      <c r="M989" s="109" t="s">
        <v>1904</v>
      </c>
      <c r="N989" s="109" t="s">
        <v>529</v>
      </c>
      <c r="O989" s="109" t="s">
        <v>1920</v>
      </c>
      <c r="P989" s="109" t="s">
        <v>1921</v>
      </c>
      <c r="Q989" s="102">
        <v>0</v>
      </c>
      <c r="R989" s="109" t="s">
        <v>1907</v>
      </c>
      <c r="S989" s="109" t="s">
        <v>1922</v>
      </c>
      <c r="T989" s="25"/>
      <c r="U989" s="111" t="s">
        <v>1923</v>
      </c>
      <c r="V989" s="111" t="s">
        <v>1923</v>
      </c>
      <c r="W989" s="112" t="s">
        <v>2681</v>
      </c>
      <c r="X989" s="112" t="s">
        <v>208</v>
      </c>
      <c r="Y989" s="112" t="s">
        <v>2682</v>
      </c>
      <c r="Z989" s="112" t="s">
        <v>208</v>
      </c>
      <c r="AA989" s="112" t="s">
        <v>2683</v>
      </c>
      <c r="AB989" s="112" t="s">
        <v>208</v>
      </c>
      <c r="AC989" s="112">
        <v>38.94</v>
      </c>
      <c r="AD989" s="112" t="s">
        <v>208</v>
      </c>
      <c r="AE989" s="112">
        <v>11.3</v>
      </c>
      <c r="AF989" s="112" t="s">
        <v>208</v>
      </c>
      <c r="AG989" s="112">
        <v>0</v>
      </c>
      <c r="AH989" s="112"/>
      <c r="AI989" s="112">
        <v>0</v>
      </c>
      <c r="AJ989" s="112"/>
      <c r="AK989" s="112">
        <v>0</v>
      </c>
      <c r="AL989" s="112"/>
      <c r="AM989" s="112">
        <v>0</v>
      </c>
      <c r="AN989" s="112"/>
      <c r="AO989" s="112">
        <v>37.950000000000003</v>
      </c>
      <c r="AP989" s="112" t="s">
        <v>1906</v>
      </c>
      <c r="AQ989" s="112">
        <v>37.950000000000003</v>
      </c>
      <c r="AR989" s="112" t="s">
        <v>1906</v>
      </c>
      <c r="AS989" s="112">
        <v>37.950000000000003</v>
      </c>
      <c r="AT989" s="112" t="s">
        <v>1906</v>
      </c>
      <c r="AU989" s="112">
        <f t="shared" si="29"/>
        <v>316.02999999999997</v>
      </c>
      <c r="AV989" s="111">
        <v>0.12227200000000001</v>
      </c>
      <c r="AW989" s="111" t="s">
        <v>1904</v>
      </c>
      <c r="AX989" s="25"/>
      <c r="AY989" s="25"/>
      <c r="AZ989" s="25"/>
    </row>
    <row r="990" spans="1:52" ht="31.2" x14ac:dyDescent="0.3">
      <c r="A990" s="103">
        <v>980</v>
      </c>
      <c r="B990" s="109" t="s">
        <v>1881</v>
      </c>
      <c r="C990" s="30" t="s">
        <v>1899</v>
      </c>
      <c r="D990" s="110" t="s">
        <v>1900</v>
      </c>
      <c r="E990" s="110" t="s">
        <v>1917</v>
      </c>
      <c r="F990" s="30" t="s">
        <v>2703</v>
      </c>
      <c r="G990" s="26" t="s">
        <v>145</v>
      </c>
      <c r="H990" s="24" t="s">
        <v>146</v>
      </c>
      <c r="I990" s="109">
        <v>1</v>
      </c>
      <c r="J990" s="109" t="s">
        <v>1918</v>
      </c>
      <c r="K990" s="109">
        <v>50</v>
      </c>
      <c r="L990" s="109" t="s">
        <v>1919</v>
      </c>
      <c r="M990" s="109" t="s">
        <v>1904</v>
      </c>
      <c r="N990" s="109" t="s">
        <v>529</v>
      </c>
      <c r="O990" s="109" t="s">
        <v>1920</v>
      </c>
      <c r="P990" s="109" t="s">
        <v>1921</v>
      </c>
      <c r="Q990" s="102">
        <v>0</v>
      </c>
      <c r="R990" s="109" t="s">
        <v>1907</v>
      </c>
      <c r="S990" s="109" t="s">
        <v>1922</v>
      </c>
      <c r="T990" s="25"/>
      <c r="U990" s="111" t="s">
        <v>1923</v>
      </c>
      <c r="V990" s="111" t="s">
        <v>1923</v>
      </c>
      <c r="W990" s="112" t="s">
        <v>2681</v>
      </c>
      <c r="X990" s="112" t="s">
        <v>208</v>
      </c>
      <c r="Y990" s="112" t="s">
        <v>2682</v>
      </c>
      <c r="Z990" s="112" t="s">
        <v>208</v>
      </c>
      <c r="AA990" s="112" t="s">
        <v>2683</v>
      </c>
      <c r="AB990" s="112" t="s">
        <v>208</v>
      </c>
      <c r="AC990" s="112">
        <v>38.94</v>
      </c>
      <c r="AD990" s="112" t="s">
        <v>208</v>
      </c>
      <c r="AE990" s="112">
        <v>11.3</v>
      </c>
      <c r="AF990" s="112" t="s">
        <v>208</v>
      </c>
      <c r="AG990" s="112">
        <v>0</v>
      </c>
      <c r="AH990" s="112"/>
      <c r="AI990" s="112">
        <v>0</v>
      </c>
      <c r="AJ990" s="112"/>
      <c r="AK990" s="112">
        <v>0</v>
      </c>
      <c r="AL990" s="112"/>
      <c r="AM990" s="112">
        <v>0</v>
      </c>
      <c r="AN990" s="112"/>
      <c r="AO990" s="112">
        <v>37.950000000000003</v>
      </c>
      <c r="AP990" s="112" t="s">
        <v>1906</v>
      </c>
      <c r="AQ990" s="112">
        <v>37.950000000000003</v>
      </c>
      <c r="AR990" s="112" t="s">
        <v>1906</v>
      </c>
      <c r="AS990" s="112">
        <v>37.950000000000003</v>
      </c>
      <c r="AT990" s="112" t="s">
        <v>1906</v>
      </c>
      <c r="AU990" s="112">
        <f t="shared" si="29"/>
        <v>316.02999999999997</v>
      </c>
      <c r="AV990" s="111">
        <v>0.12227200000000001</v>
      </c>
      <c r="AW990" s="111" t="s">
        <v>1904</v>
      </c>
      <c r="AX990" s="25"/>
      <c r="AY990" s="25"/>
      <c r="AZ990" s="25"/>
    </row>
    <row r="991" spans="1:52" ht="31.2" x14ac:dyDescent="0.3">
      <c r="A991" s="103">
        <v>981</v>
      </c>
      <c r="B991" s="109" t="s">
        <v>1882</v>
      </c>
      <c r="C991" s="30" t="s">
        <v>1899</v>
      </c>
      <c r="D991" s="110" t="s">
        <v>1900</v>
      </c>
      <c r="E991" s="110" t="s">
        <v>1917</v>
      </c>
      <c r="F991" s="30" t="s">
        <v>2703</v>
      </c>
      <c r="G991" s="26" t="s">
        <v>145</v>
      </c>
      <c r="H991" s="24" t="s">
        <v>146</v>
      </c>
      <c r="I991" s="109">
        <v>1</v>
      </c>
      <c r="J991" s="109" t="s">
        <v>1918</v>
      </c>
      <c r="K991" s="109">
        <v>40</v>
      </c>
      <c r="L991" s="109" t="s">
        <v>1919</v>
      </c>
      <c r="M991" s="109" t="s">
        <v>1904</v>
      </c>
      <c r="N991" s="109" t="s">
        <v>529</v>
      </c>
      <c r="O991" s="109" t="s">
        <v>1920</v>
      </c>
      <c r="P991" s="109" t="s">
        <v>1921</v>
      </c>
      <c r="Q991" s="102">
        <v>0</v>
      </c>
      <c r="R991" s="109" t="s">
        <v>1907</v>
      </c>
      <c r="S991" s="109" t="s">
        <v>1922</v>
      </c>
      <c r="T991" s="25"/>
      <c r="U991" s="111" t="s">
        <v>1923</v>
      </c>
      <c r="V991" s="111" t="s">
        <v>1923</v>
      </c>
      <c r="W991" s="112" t="s">
        <v>2684</v>
      </c>
      <c r="X991" s="112" t="s">
        <v>1906</v>
      </c>
      <c r="Y991" s="112" t="s">
        <v>2685</v>
      </c>
      <c r="Z991" s="112" t="s">
        <v>1906</v>
      </c>
      <c r="AA991" s="112" t="s">
        <v>2686</v>
      </c>
      <c r="AB991" s="112" t="s">
        <v>1906</v>
      </c>
      <c r="AC991" s="112">
        <v>72.680000000000007</v>
      </c>
      <c r="AD991" s="112" t="s">
        <v>1906</v>
      </c>
      <c r="AE991" s="112">
        <v>36.159999999999997</v>
      </c>
      <c r="AF991" s="112" t="s">
        <v>1906</v>
      </c>
      <c r="AG991" s="112">
        <v>0</v>
      </c>
      <c r="AH991" s="112"/>
      <c r="AI991" s="112">
        <v>0</v>
      </c>
      <c r="AJ991" s="112"/>
      <c r="AK991" s="112">
        <v>0</v>
      </c>
      <c r="AL991" s="112"/>
      <c r="AM991" s="112">
        <v>3.34</v>
      </c>
      <c r="AN991" s="112" t="s">
        <v>1906</v>
      </c>
      <c r="AO991" s="112">
        <v>64.430000000000007</v>
      </c>
      <c r="AP991" s="112" t="s">
        <v>208</v>
      </c>
      <c r="AQ991" s="112">
        <v>54.5</v>
      </c>
      <c r="AR991" s="112" t="s">
        <v>208</v>
      </c>
      <c r="AS991" s="112">
        <v>99.82</v>
      </c>
      <c r="AT991" s="112" t="s">
        <v>208</v>
      </c>
      <c r="AU991" s="112">
        <f t="shared" si="29"/>
        <v>804.52</v>
      </c>
      <c r="AV991" s="111">
        <v>0.32378000000000001</v>
      </c>
      <c r="AW991" s="111" t="s">
        <v>1904</v>
      </c>
      <c r="AX991" s="25"/>
      <c r="AY991" s="25"/>
      <c r="AZ991" s="25"/>
    </row>
    <row r="992" spans="1:52" ht="31.2" x14ac:dyDescent="0.3">
      <c r="A992" s="103">
        <v>982</v>
      </c>
      <c r="B992" s="109" t="s">
        <v>1883</v>
      </c>
      <c r="C992" s="30" t="s">
        <v>1899</v>
      </c>
      <c r="D992" s="110" t="s">
        <v>1900</v>
      </c>
      <c r="E992" s="110" t="s">
        <v>1917</v>
      </c>
      <c r="F992" s="30" t="s">
        <v>2703</v>
      </c>
      <c r="G992" s="26" t="s">
        <v>145</v>
      </c>
      <c r="H992" s="24" t="s">
        <v>146</v>
      </c>
      <c r="I992" s="109">
        <v>1</v>
      </c>
      <c r="J992" s="109" t="s">
        <v>1918</v>
      </c>
      <c r="K992" s="109">
        <v>89</v>
      </c>
      <c r="L992" s="109" t="s">
        <v>1919</v>
      </c>
      <c r="M992" s="109" t="s">
        <v>1904</v>
      </c>
      <c r="N992" s="109" t="s">
        <v>529</v>
      </c>
      <c r="O992" s="109" t="s">
        <v>1920</v>
      </c>
      <c r="P992" s="109" t="s">
        <v>1921</v>
      </c>
      <c r="Q992" s="102">
        <v>0</v>
      </c>
      <c r="R992" s="109" t="s">
        <v>1907</v>
      </c>
      <c r="S992" s="109" t="s">
        <v>1922</v>
      </c>
      <c r="T992" s="25"/>
      <c r="U992" s="111" t="s">
        <v>1923</v>
      </c>
      <c r="V992" s="111" t="s">
        <v>1923</v>
      </c>
      <c r="W992" s="112" t="s">
        <v>2684</v>
      </c>
      <c r="X992" s="112" t="s">
        <v>1906</v>
      </c>
      <c r="Y992" s="112" t="s">
        <v>2685</v>
      </c>
      <c r="Z992" s="112" t="s">
        <v>1906</v>
      </c>
      <c r="AA992" s="112" t="s">
        <v>2686</v>
      </c>
      <c r="AB992" s="112" t="s">
        <v>1906</v>
      </c>
      <c r="AC992" s="112">
        <v>72.680000000000007</v>
      </c>
      <c r="AD992" s="112" t="s">
        <v>1906</v>
      </c>
      <c r="AE992" s="112">
        <v>36.159999999999997</v>
      </c>
      <c r="AF992" s="112" t="s">
        <v>1906</v>
      </c>
      <c r="AG992" s="112">
        <v>0</v>
      </c>
      <c r="AH992" s="112"/>
      <c r="AI992" s="112">
        <v>0</v>
      </c>
      <c r="AJ992" s="112"/>
      <c r="AK992" s="112">
        <v>0</v>
      </c>
      <c r="AL992" s="112"/>
      <c r="AM992" s="112">
        <v>3.34</v>
      </c>
      <c r="AN992" s="112" t="s">
        <v>1906</v>
      </c>
      <c r="AO992" s="112">
        <v>64.430000000000007</v>
      </c>
      <c r="AP992" s="112" t="s">
        <v>208</v>
      </c>
      <c r="AQ992" s="112">
        <v>54.5</v>
      </c>
      <c r="AR992" s="112" t="s">
        <v>208</v>
      </c>
      <c r="AS992" s="112">
        <v>99.82</v>
      </c>
      <c r="AT992" s="112" t="s">
        <v>208</v>
      </c>
      <c r="AU992" s="112">
        <f t="shared" si="29"/>
        <v>804.52</v>
      </c>
      <c r="AV992" s="111">
        <v>0.32378000000000001</v>
      </c>
      <c r="AW992" s="111" t="s">
        <v>1904</v>
      </c>
      <c r="AX992" s="25"/>
      <c r="AY992" s="25"/>
      <c r="AZ992" s="25"/>
    </row>
    <row r="993" spans="1:52" ht="31.2" x14ac:dyDescent="0.3">
      <c r="A993" s="103">
        <v>983</v>
      </c>
      <c r="B993" s="109" t="s">
        <v>1884</v>
      </c>
      <c r="C993" s="30" t="s">
        <v>1899</v>
      </c>
      <c r="D993" s="110" t="s">
        <v>1900</v>
      </c>
      <c r="E993" s="110" t="s">
        <v>1917</v>
      </c>
      <c r="F993" s="30" t="s">
        <v>2703</v>
      </c>
      <c r="G993" s="26" t="s">
        <v>145</v>
      </c>
      <c r="H993" s="24" t="s">
        <v>146</v>
      </c>
      <c r="I993" s="109">
        <v>1</v>
      </c>
      <c r="J993" s="109" t="s">
        <v>1918</v>
      </c>
      <c r="K993" s="109">
        <v>108</v>
      </c>
      <c r="L993" s="109" t="s">
        <v>1919</v>
      </c>
      <c r="M993" s="109" t="s">
        <v>1904</v>
      </c>
      <c r="N993" s="109" t="s">
        <v>529</v>
      </c>
      <c r="O993" s="109" t="s">
        <v>1920</v>
      </c>
      <c r="P993" s="109" t="s">
        <v>1921</v>
      </c>
      <c r="Q993" s="102">
        <v>0</v>
      </c>
      <c r="R993" s="109" t="s">
        <v>1907</v>
      </c>
      <c r="S993" s="109" t="s">
        <v>1922</v>
      </c>
      <c r="T993" s="25"/>
      <c r="U993" s="111" t="s">
        <v>1923</v>
      </c>
      <c r="V993" s="111" t="s">
        <v>1923</v>
      </c>
      <c r="W993" s="112" t="s">
        <v>2687</v>
      </c>
      <c r="X993" s="112" t="s">
        <v>1906</v>
      </c>
      <c r="Y993" s="112" t="s">
        <v>2687</v>
      </c>
      <c r="Z993" s="112" t="s">
        <v>1906</v>
      </c>
      <c r="AA993" s="112" t="s">
        <v>2687</v>
      </c>
      <c r="AB993" s="112" t="s">
        <v>1906</v>
      </c>
      <c r="AC993" s="112">
        <v>220.28</v>
      </c>
      <c r="AD993" s="112" t="s">
        <v>1906</v>
      </c>
      <c r="AE993" s="112">
        <v>63.95</v>
      </c>
      <c r="AF993" s="112" t="s">
        <v>1906</v>
      </c>
      <c r="AG993" s="112">
        <v>0</v>
      </c>
      <c r="AH993" s="112"/>
      <c r="AI993" s="112">
        <v>0</v>
      </c>
      <c r="AJ993" s="112"/>
      <c r="AK993" s="112">
        <v>0</v>
      </c>
      <c r="AL993" s="112"/>
      <c r="AM993" s="112">
        <v>48.5</v>
      </c>
      <c r="AN993" s="112" t="s">
        <v>1906</v>
      </c>
      <c r="AO993" s="112">
        <v>207.86</v>
      </c>
      <c r="AP993" s="112" t="s">
        <v>1906</v>
      </c>
      <c r="AQ993" s="112">
        <v>207.86</v>
      </c>
      <c r="AR993" s="112" t="s">
        <v>1906</v>
      </c>
      <c r="AS993" s="112">
        <v>207.86</v>
      </c>
      <c r="AT993" s="112" t="s">
        <v>1906</v>
      </c>
      <c r="AU993" s="112">
        <f t="shared" si="29"/>
        <v>1617.15</v>
      </c>
      <c r="AV993" s="111">
        <v>0.32067000000000001</v>
      </c>
      <c r="AW993" s="111" t="s">
        <v>1904</v>
      </c>
      <c r="AX993" s="25"/>
      <c r="AY993" s="25"/>
      <c r="AZ993" s="25"/>
    </row>
    <row r="994" spans="1:52" ht="31.2" x14ac:dyDescent="0.3">
      <c r="A994" s="103">
        <v>984</v>
      </c>
      <c r="B994" s="109" t="s">
        <v>1885</v>
      </c>
      <c r="C994" s="30" t="s">
        <v>1899</v>
      </c>
      <c r="D994" s="110" t="s">
        <v>1900</v>
      </c>
      <c r="E994" s="110" t="s">
        <v>1917</v>
      </c>
      <c r="F994" s="30" t="s">
        <v>2703</v>
      </c>
      <c r="G994" s="26" t="s">
        <v>145</v>
      </c>
      <c r="H994" s="24" t="s">
        <v>146</v>
      </c>
      <c r="I994" s="109">
        <v>1</v>
      </c>
      <c r="J994" s="109" t="s">
        <v>1918</v>
      </c>
      <c r="K994" s="109">
        <v>89</v>
      </c>
      <c r="L994" s="109" t="s">
        <v>1919</v>
      </c>
      <c r="M994" s="109" t="s">
        <v>1904</v>
      </c>
      <c r="N994" s="109" t="s">
        <v>529</v>
      </c>
      <c r="O994" s="109" t="s">
        <v>1920</v>
      </c>
      <c r="P994" s="109" t="s">
        <v>1921</v>
      </c>
      <c r="Q994" s="102">
        <v>0</v>
      </c>
      <c r="R994" s="109" t="s">
        <v>1907</v>
      </c>
      <c r="S994" s="109" t="s">
        <v>1922</v>
      </c>
      <c r="T994" s="25"/>
      <c r="U994" s="111" t="s">
        <v>1923</v>
      </c>
      <c r="V994" s="111" t="s">
        <v>1923</v>
      </c>
      <c r="W994" s="112" t="s">
        <v>2687</v>
      </c>
      <c r="X994" s="112" t="s">
        <v>1906</v>
      </c>
      <c r="Y994" s="112" t="s">
        <v>2687</v>
      </c>
      <c r="Z994" s="112" t="s">
        <v>1906</v>
      </c>
      <c r="AA994" s="112" t="s">
        <v>2687</v>
      </c>
      <c r="AB994" s="112" t="s">
        <v>1906</v>
      </c>
      <c r="AC994" s="112">
        <v>220.28</v>
      </c>
      <c r="AD994" s="112" t="s">
        <v>1906</v>
      </c>
      <c r="AE994" s="112">
        <v>63.95</v>
      </c>
      <c r="AF994" s="112" t="s">
        <v>1906</v>
      </c>
      <c r="AG994" s="112">
        <v>0</v>
      </c>
      <c r="AH994" s="112"/>
      <c r="AI994" s="112">
        <v>0</v>
      </c>
      <c r="AJ994" s="112"/>
      <c r="AK994" s="112">
        <v>0</v>
      </c>
      <c r="AL994" s="112"/>
      <c r="AM994" s="112">
        <v>48.5</v>
      </c>
      <c r="AN994" s="112" t="s">
        <v>1906</v>
      </c>
      <c r="AO994" s="112">
        <v>207.86</v>
      </c>
      <c r="AP994" s="112" t="s">
        <v>1906</v>
      </c>
      <c r="AQ994" s="112">
        <v>207.86</v>
      </c>
      <c r="AR994" s="112" t="s">
        <v>1906</v>
      </c>
      <c r="AS994" s="112">
        <v>207.86</v>
      </c>
      <c r="AT994" s="112" t="s">
        <v>1906</v>
      </c>
      <c r="AU994" s="112">
        <f t="shared" si="29"/>
        <v>1617.15</v>
      </c>
      <c r="AV994" s="111">
        <v>0.32067000000000001</v>
      </c>
      <c r="AW994" s="111" t="s">
        <v>1904</v>
      </c>
      <c r="AX994" s="25"/>
      <c r="AY994" s="25"/>
      <c r="AZ994" s="25"/>
    </row>
    <row r="995" spans="1:52" ht="31.2" x14ac:dyDescent="0.3">
      <c r="A995" s="103">
        <v>985</v>
      </c>
      <c r="B995" s="109" t="s">
        <v>1887</v>
      </c>
      <c r="C995" s="30" t="s">
        <v>1899</v>
      </c>
      <c r="D995" s="110" t="s">
        <v>1900</v>
      </c>
      <c r="E995" s="110" t="s">
        <v>1917</v>
      </c>
      <c r="F995" s="30" t="s">
        <v>2703</v>
      </c>
      <c r="G995" s="26" t="s">
        <v>145</v>
      </c>
      <c r="H995" s="24" t="s">
        <v>146</v>
      </c>
      <c r="I995" s="109">
        <v>1</v>
      </c>
      <c r="J995" s="109" t="s">
        <v>1918</v>
      </c>
      <c r="K995" s="109">
        <v>108</v>
      </c>
      <c r="L995" s="109" t="s">
        <v>1919</v>
      </c>
      <c r="M995" s="109" t="s">
        <v>1904</v>
      </c>
      <c r="N995" s="109" t="s">
        <v>529</v>
      </c>
      <c r="O995" s="109" t="s">
        <v>1920</v>
      </c>
      <c r="P995" s="109" t="s">
        <v>1921</v>
      </c>
      <c r="Q995" s="102">
        <v>0</v>
      </c>
      <c r="R995" s="109" t="s">
        <v>1907</v>
      </c>
      <c r="S995" s="109" t="s">
        <v>1922</v>
      </c>
      <c r="T995" s="25"/>
      <c r="U995" s="111" t="s">
        <v>1923</v>
      </c>
      <c r="V995" s="111" t="s">
        <v>1923</v>
      </c>
      <c r="W995" s="112" t="s">
        <v>2688</v>
      </c>
      <c r="X995" s="112" t="s">
        <v>208</v>
      </c>
      <c r="Y995" s="112" t="s">
        <v>2688</v>
      </c>
      <c r="Z995" s="112" t="s">
        <v>208</v>
      </c>
      <c r="AA995" s="112" t="s">
        <v>2688</v>
      </c>
      <c r="AB995" s="112" t="s">
        <v>208</v>
      </c>
      <c r="AC995" s="112">
        <v>58.9</v>
      </c>
      <c r="AD995" s="112" t="s">
        <v>208</v>
      </c>
      <c r="AE995" s="112">
        <v>17.11</v>
      </c>
      <c r="AF995" s="112" t="s">
        <v>208</v>
      </c>
      <c r="AG995" s="112">
        <v>0</v>
      </c>
      <c r="AH995" s="112"/>
      <c r="AI995" s="112">
        <v>0</v>
      </c>
      <c r="AJ995" s="112"/>
      <c r="AK995" s="112">
        <v>0</v>
      </c>
      <c r="AL995" s="112"/>
      <c r="AM995" s="112">
        <v>14.13</v>
      </c>
      <c r="AN995" s="112" t="s">
        <v>1906</v>
      </c>
      <c r="AO995" s="112">
        <v>60.55</v>
      </c>
      <c r="AP995" s="112" t="s">
        <v>208</v>
      </c>
      <c r="AQ995" s="112">
        <v>60.55</v>
      </c>
      <c r="AR995" s="112" t="s">
        <v>208</v>
      </c>
      <c r="AS995" s="112">
        <v>60.55</v>
      </c>
      <c r="AT995" s="112" t="s">
        <v>208</v>
      </c>
      <c r="AU995" s="112">
        <f t="shared" si="29"/>
        <v>448.49</v>
      </c>
      <c r="AV995" s="111">
        <v>0.42547000000000001</v>
      </c>
      <c r="AW995" s="111" t="s">
        <v>1904</v>
      </c>
      <c r="AX995" s="25"/>
      <c r="AY995" s="25"/>
      <c r="AZ995" s="25"/>
    </row>
    <row r="996" spans="1:52" ht="31.2" x14ac:dyDescent="0.3">
      <c r="A996" s="103">
        <v>986</v>
      </c>
      <c r="B996" s="109" t="s">
        <v>1888</v>
      </c>
      <c r="C996" s="30" t="s">
        <v>1899</v>
      </c>
      <c r="D996" s="110" t="s">
        <v>1900</v>
      </c>
      <c r="E996" s="110" t="s">
        <v>1917</v>
      </c>
      <c r="F996" s="30" t="s">
        <v>2703</v>
      </c>
      <c r="G996" s="26" t="s">
        <v>145</v>
      </c>
      <c r="H996" s="24" t="s">
        <v>146</v>
      </c>
      <c r="I996" s="109">
        <v>1</v>
      </c>
      <c r="J996" s="109" t="s">
        <v>1918</v>
      </c>
      <c r="K996" s="109">
        <v>89</v>
      </c>
      <c r="L996" s="109" t="s">
        <v>1919</v>
      </c>
      <c r="M996" s="109" t="s">
        <v>1904</v>
      </c>
      <c r="N996" s="109" t="s">
        <v>529</v>
      </c>
      <c r="O996" s="109" t="s">
        <v>1920</v>
      </c>
      <c r="P996" s="109" t="s">
        <v>1921</v>
      </c>
      <c r="Q996" s="102">
        <v>0</v>
      </c>
      <c r="R996" s="109" t="s">
        <v>1907</v>
      </c>
      <c r="S996" s="109" t="s">
        <v>1922</v>
      </c>
      <c r="T996" s="25"/>
      <c r="U996" s="111" t="s">
        <v>1923</v>
      </c>
      <c r="V996" s="111" t="s">
        <v>1923</v>
      </c>
      <c r="W996" s="112" t="s">
        <v>2689</v>
      </c>
      <c r="X996" s="112" t="s">
        <v>1906</v>
      </c>
      <c r="Y996" s="112" t="s">
        <v>2690</v>
      </c>
      <c r="Z996" s="112" t="s">
        <v>1906</v>
      </c>
      <c r="AA996" s="112" t="s">
        <v>2691</v>
      </c>
      <c r="AB996" s="112" t="s">
        <v>1906</v>
      </c>
      <c r="AC996" s="112">
        <v>34.96</v>
      </c>
      <c r="AD996" s="112" t="s">
        <v>1906</v>
      </c>
      <c r="AE996" s="112">
        <v>18.07</v>
      </c>
      <c r="AF996" s="112" t="s">
        <v>1906</v>
      </c>
      <c r="AG996" s="112">
        <v>0</v>
      </c>
      <c r="AH996" s="112"/>
      <c r="AI996" s="112">
        <v>0</v>
      </c>
      <c r="AJ996" s="112"/>
      <c r="AK996" s="112">
        <v>0</v>
      </c>
      <c r="AL996" s="112"/>
      <c r="AM996" s="112">
        <v>0</v>
      </c>
      <c r="AN996" s="112"/>
      <c r="AO996" s="112">
        <v>28.27</v>
      </c>
      <c r="AP996" s="112" t="s">
        <v>208</v>
      </c>
      <c r="AQ996" s="112">
        <v>35.380000000000003</v>
      </c>
      <c r="AR996" s="112" t="s">
        <v>208</v>
      </c>
      <c r="AS996" s="112">
        <v>66.52</v>
      </c>
      <c r="AT996" s="112" t="s">
        <v>208</v>
      </c>
      <c r="AU996" s="112">
        <f t="shared" si="29"/>
        <v>374.24</v>
      </c>
      <c r="AV996" s="111">
        <v>0.20274</v>
      </c>
      <c r="AW996" s="111" t="s">
        <v>1904</v>
      </c>
      <c r="AX996" s="25"/>
      <c r="AY996" s="25"/>
      <c r="AZ996" s="25"/>
    </row>
    <row r="997" spans="1:52" ht="31.2" x14ac:dyDescent="0.3">
      <c r="A997" s="103">
        <v>987</v>
      </c>
      <c r="B997" s="109" t="s">
        <v>1889</v>
      </c>
      <c r="C997" s="30" t="s">
        <v>1899</v>
      </c>
      <c r="D997" s="110" t="s">
        <v>1900</v>
      </c>
      <c r="E997" s="110" t="s">
        <v>1917</v>
      </c>
      <c r="F997" s="30" t="s">
        <v>2703</v>
      </c>
      <c r="G997" s="26" t="s">
        <v>145</v>
      </c>
      <c r="H997" s="24" t="s">
        <v>146</v>
      </c>
      <c r="I997" s="109">
        <v>0</v>
      </c>
      <c r="J997" s="109" t="s">
        <v>1918</v>
      </c>
      <c r="K997" s="109">
        <v>89</v>
      </c>
      <c r="L997" s="109" t="s">
        <v>1919</v>
      </c>
      <c r="M997" s="109" t="s">
        <v>1904</v>
      </c>
      <c r="N997" s="109" t="s">
        <v>529</v>
      </c>
      <c r="O997" s="109" t="s">
        <v>1920</v>
      </c>
      <c r="P997" s="109" t="s">
        <v>1920</v>
      </c>
      <c r="Q997" s="102">
        <v>0</v>
      </c>
      <c r="R997" s="109" t="s">
        <v>1907</v>
      </c>
      <c r="S997" s="109" t="s">
        <v>1922</v>
      </c>
      <c r="T997" s="25"/>
      <c r="U997" s="111" t="s">
        <v>1923</v>
      </c>
      <c r="V997" s="111" t="s">
        <v>1923</v>
      </c>
      <c r="W997" s="112" t="s">
        <v>2692</v>
      </c>
      <c r="X997" s="112" t="s">
        <v>1906</v>
      </c>
      <c r="Y997" s="112" t="s">
        <v>2693</v>
      </c>
      <c r="Z997" s="112" t="s">
        <v>1906</v>
      </c>
      <c r="AA997" s="112" t="s">
        <v>2693</v>
      </c>
      <c r="AB997" s="112" t="s">
        <v>1906</v>
      </c>
      <c r="AC997" s="112">
        <v>56.98</v>
      </c>
      <c r="AD997" s="112" t="s">
        <v>1906</v>
      </c>
      <c r="AE997" s="112">
        <v>16.55</v>
      </c>
      <c r="AF997" s="112" t="s">
        <v>1906</v>
      </c>
      <c r="AG997" s="112">
        <v>0</v>
      </c>
      <c r="AH997" s="112"/>
      <c r="AI997" s="112">
        <v>0</v>
      </c>
      <c r="AJ997" s="112"/>
      <c r="AK997" s="112">
        <v>0</v>
      </c>
      <c r="AL997" s="112"/>
      <c r="AM997" s="112">
        <v>13.01</v>
      </c>
      <c r="AN997" s="112" t="s">
        <v>1906</v>
      </c>
      <c r="AO997" s="112">
        <v>55.77</v>
      </c>
      <c r="AP997" s="112" t="s">
        <v>1906</v>
      </c>
      <c r="AQ997" s="112">
        <v>55.77</v>
      </c>
      <c r="AR997" s="112" t="s">
        <v>1906</v>
      </c>
      <c r="AS997" s="112">
        <v>55.77</v>
      </c>
      <c r="AT997" s="112" t="s">
        <v>1906</v>
      </c>
      <c r="AU997" s="112">
        <f t="shared" si="29"/>
        <v>425.11999999999995</v>
      </c>
      <c r="AV997" s="111">
        <v>0.17263000000000001</v>
      </c>
      <c r="AW997" s="111" t="s">
        <v>1904</v>
      </c>
      <c r="AX997" s="25"/>
      <c r="AY997" s="25"/>
      <c r="AZ997" s="25"/>
    </row>
    <row r="998" spans="1:52" ht="31.2" x14ac:dyDescent="0.3">
      <c r="A998" s="103">
        <v>988</v>
      </c>
      <c r="B998" s="109" t="s">
        <v>1890</v>
      </c>
      <c r="C998" s="30" t="s">
        <v>1899</v>
      </c>
      <c r="D998" s="110" t="s">
        <v>1900</v>
      </c>
      <c r="E998" s="110" t="s">
        <v>1917</v>
      </c>
      <c r="F998" s="30" t="s">
        <v>2703</v>
      </c>
      <c r="G998" s="26" t="s">
        <v>145</v>
      </c>
      <c r="H998" s="24" t="s">
        <v>146</v>
      </c>
      <c r="I998" s="109">
        <v>1</v>
      </c>
      <c r="J998" s="109" t="s">
        <v>1918</v>
      </c>
      <c r="K998" s="109">
        <v>108</v>
      </c>
      <c r="L998" s="109" t="s">
        <v>1919</v>
      </c>
      <c r="M998" s="109" t="s">
        <v>1904</v>
      </c>
      <c r="N998" s="109" t="s">
        <v>529</v>
      </c>
      <c r="O998" s="109" t="s">
        <v>1920</v>
      </c>
      <c r="P998" s="109" t="s">
        <v>1921</v>
      </c>
      <c r="Q998" s="102">
        <v>0</v>
      </c>
      <c r="R998" s="109" t="s">
        <v>1907</v>
      </c>
      <c r="S998" s="109" t="s">
        <v>1922</v>
      </c>
      <c r="T998" s="25"/>
      <c r="U998" s="111" t="s">
        <v>1923</v>
      </c>
      <c r="V998" s="111" t="s">
        <v>1923</v>
      </c>
      <c r="W998" s="112" t="s">
        <v>2694</v>
      </c>
      <c r="X998" s="112" t="s">
        <v>1906</v>
      </c>
      <c r="Y998" s="112" t="s">
        <v>2694</v>
      </c>
      <c r="Z998" s="112" t="s">
        <v>1906</v>
      </c>
      <c r="AA998" s="112" t="s">
        <v>2694</v>
      </c>
      <c r="AB998" s="112" t="s">
        <v>1906</v>
      </c>
      <c r="AC998" s="112">
        <v>124.44</v>
      </c>
      <c r="AD998" s="112" t="s">
        <v>1906</v>
      </c>
      <c r="AE998" s="112">
        <v>36.130000000000003</v>
      </c>
      <c r="AF998" s="112" t="s">
        <v>1906</v>
      </c>
      <c r="AG998" s="112">
        <v>0</v>
      </c>
      <c r="AH998" s="112"/>
      <c r="AI998" s="112">
        <v>0</v>
      </c>
      <c r="AJ998" s="112"/>
      <c r="AK998" s="112">
        <v>0</v>
      </c>
      <c r="AL998" s="112"/>
      <c r="AM998" s="112">
        <v>27.74</v>
      </c>
      <c r="AN998" s="112" t="s">
        <v>1906</v>
      </c>
      <c r="AO998" s="112">
        <v>118.9</v>
      </c>
      <c r="AP998" s="112" t="s">
        <v>1906</v>
      </c>
      <c r="AQ998" s="112">
        <v>118.9</v>
      </c>
      <c r="AR998" s="112" t="s">
        <v>1906</v>
      </c>
      <c r="AS998" s="112">
        <v>118.9</v>
      </c>
      <c r="AT998" s="112" t="s">
        <v>1906</v>
      </c>
      <c r="AU998" s="112">
        <f t="shared" si="29"/>
        <v>918.32999999999993</v>
      </c>
      <c r="AV998" s="111">
        <v>0.31303999999999998</v>
      </c>
      <c r="AW998" s="111" t="s">
        <v>1904</v>
      </c>
      <c r="AX998" s="25"/>
      <c r="AY998" s="25"/>
      <c r="AZ998" s="25"/>
    </row>
    <row r="999" spans="1:52" ht="31.2" x14ac:dyDescent="0.3">
      <c r="A999" s="103">
        <v>989</v>
      </c>
      <c r="B999" s="109" t="s">
        <v>1891</v>
      </c>
      <c r="C999" s="30" t="s">
        <v>1899</v>
      </c>
      <c r="D999" s="110" t="s">
        <v>1900</v>
      </c>
      <c r="E999" s="110" t="s">
        <v>1917</v>
      </c>
      <c r="F999" s="30" t="s">
        <v>2703</v>
      </c>
      <c r="G999" s="26" t="s">
        <v>145</v>
      </c>
      <c r="H999" s="24" t="s">
        <v>146</v>
      </c>
      <c r="I999" s="109">
        <v>0</v>
      </c>
      <c r="J999" s="109" t="s">
        <v>1918</v>
      </c>
      <c r="K999" s="109">
        <v>76</v>
      </c>
      <c r="L999" s="109" t="s">
        <v>1919</v>
      </c>
      <c r="M999" s="109" t="s">
        <v>1904</v>
      </c>
      <c r="N999" s="109" t="s">
        <v>529</v>
      </c>
      <c r="O999" s="109" t="s">
        <v>1920</v>
      </c>
      <c r="P999" s="109" t="s">
        <v>1920</v>
      </c>
      <c r="Q999" s="102">
        <v>0</v>
      </c>
      <c r="R999" s="109" t="s">
        <v>1907</v>
      </c>
      <c r="S999" s="109" t="s">
        <v>1922</v>
      </c>
      <c r="T999" s="25"/>
      <c r="U999" s="111" t="s">
        <v>1923</v>
      </c>
      <c r="V999" s="111" t="s">
        <v>1923</v>
      </c>
      <c r="W999" s="112" t="s">
        <v>2695</v>
      </c>
      <c r="X999" s="112" t="s">
        <v>1906</v>
      </c>
      <c r="Y999" s="112" t="s">
        <v>2695</v>
      </c>
      <c r="Z999" s="112" t="s">
        <v>1906</v>
      </c>
      <c r="AA999" s="112" t="s">
        <v>2695</v>
      </c>
      <c r="AB999" s="112" t="s">
        <v>1906</v>
      </c>
      <c r="AC999" s="112">
        <v>43.92</v>
      </c>
      <c r="AD999" s="112" t="s">
        <v>1906</v>
      </c>
      <c r="AE999" s="112">
        <v>12.75</v>
      </c>
      <c r="AF999" s="112" t="s">
        <v>1906</v>
      </c>
      <c r="AG999" s="112">
        <v>0</v>
      </c>
      <c r="AH999" s="112"/>
      <c r="AI999" s="112">
        <v>0</v>
      </c>
      <c r="AJ999" s="112"/>
      <c r="AK999" s="112">
        <v>0</v>
      </c>
      <c r="AL999" s="112"/>
      <c r="AM999" s="112">
        <v>7.76</v>
      </c>
      <c r="AN999" s="112" t="s">
        <v>1906</v>
      </c>
      <c r="AO999" s="112">
        <v>33.270000000000003</v>
      </c>
      <c r="AP999" s="112" t="s">
        <v>1906</v>
      </c>
      <c r="AQ999" s="112">
        <v>33.270000000000003</v>
      </c>
      <c r="AR999" s="112" t="s">
        <v>1906</v>
      </c>
      <c r="AS999" s="112">
        <v>33.270000000000003</v>
      </c>
      <c r="AT999" s="112" t="s">
        <v>1906</v>
      </c>
      <c r="AU999" s="112">
        <f t="shared" si="29"/>
        <v>296</v>
      </c>
      <c r="AV999" s="111">
        <v>0.14191999999999999</v>
      </c>
      <c r="AW999" s="111" t="s">
        <v>1904</v>
      </c>
      <c r="AX999" s="25"/>
      <c r="AY999" s="25"/>
      <c r="AZ999" s="25"/>
    </row>
    <row r="1000" spans="1:52" ht="31.2" x14ac:dyDescent="0.3">
      <c r="A1000" s="103">
        <v>990</v>
      </c>
      <c r="B1000" s="109" t="s">
        <v>1892</v>
      </c>
      <c r="C1000" s="30" t="s">
        <v>1899</v>
      </c>
      <c r="D1000" s="110" t="s">
        <v>1900</v>
      </c>
      <c r="E1000" s="110" t="s">
        <v>1917</v>
      </c>
      <c r="F1000" s="30" t="s">
        <v>2703</v>
      </c>
      <c r="G1000" s="26" t="s">
        <v>145</v>
      </c>
      <c r="H1000" s="24" t="s">
        <v>146</v>
      </c>
      <c r="I1000" s="109">
        <v>0</v>
      </c>
      <c r="J1000" s="109" t="s">
        <v>1918</v>
      </c>
      <c r="K1000" s="109">
        <v>76</v>
      </c>
      <c r="L1000" s="109" t="s">
        <v>1919</v>
      </c>
      <c r="M1000" s="109" t="s">
        <v>1904</v>
      </c>
      <c r="N1000" s="109" t="s">
        <v>529</v>
      </c>
      <c r="O1000" s="109" t="s">
        <v>1920</v>
      </c>
      <c r="P1000" s="109" t="s">
        <v>1920</v>
      </c>
      <c r="Q1000" s="102">
        <v>0</v>
      </c>
      <c r="R1000" s="109" t="s">
        <v>1907</v>
      </c>
      <c r="S1000" s="109" t="s">
        <v>1922</v>
      </c>
      <c r="T1000" s="25"/>
      <c r="U1000" s="111" t="s">
        <v>1923</v>
      </c>
      <c r="V1000" s="111" t="s">
        <v>1923</v>
      </c>
      <c r="W1000" s="112" t="s">
        <v>2695</v>
      </c>
      <c r="X1000" s="112" t="s">
        <v>1906</v>
      </c>
      <c r="Y1000" s="112" t="s">
        <v>2695</v>
      </c>
      <c r="Z1000" s="112" t="s">
        <v>1906</v>
      </c>
      <c r="AA1000" s="112" t="s">
        <v>2695</v>
      </c>
      <c r="AB1000" s="112" t="s">
        <v>1906</v>
      </c>
      <c r="AC1000" s="112">
        <v>43.92</v>
      </c>
      <c r="AD1000" s="112" t="s">
        <v>1906</v>
      </c>
      <c r="AE1000" s="112">
        <v>12.75</v>
      </c>
      <c r="AF1000" s="112" t="s">
        <v>1906</v>
      </c>
      <c r="AG1000" s="112">
        <v>0</v>
      </c>
      <c r="AH1000" s="112"/>
      <c r="AI1000" s="112">
        <v>0</v>
      </c>
      <c r="AJ1000" s="112"/>
      <c r="AK1000" s="112">
        <v>0</v>
      </c>
      <c r="AL1000" s="112"/>
      <c r="AM1000" s="112">
        <v>7.76</v>
      </c>
      <c r="AN1000" s="112" t="s">
        <v>1906</v>
      </c>
      <c r="AO1000" s="112">
        <v>33.270000000000003</v>
      </c>
      <c r="AP1000" s="112" t="s">
        <v>1906</v>
      </c>
      <c r="AQ1000" s="112">
        <v>33.270000000000003</v>
      </c>
      <c r="AR1000" s="112" t="s">
        <v>1906</v>
      </c>
      <c r="AS1000" s="112">
        <v>33.270000000000003</v>
      </c>
      <c r="AT1000" s="112" t="s">
        <v>1906</v>
      </c>
      <c r="AU1000" s="112">
        <f t="shared" si="29"/>
        <v>296</v>
      </c>
      <c r="AV1000" s="111">
        <v>0.14191999999999999</v>
      </c>
      <c r="AW1000" s="111" t="s">
        <v>1904</v>
      </c>
      <c r="AX1000" s="25"/>
      <c r="AY1000" s="25"/>
      <c r="AZ1000" s="25"/>
    </row>
    <row r="1001" spans="1:52" ht="31.2" x14ac:dyDescent="0.3">
      <c r="A1001" s="103">
        <v>991</v>
      </c>
      <c r="B1001" s="109" t="s">
        <v>1893</v>
      </c>
      <c r="C1001" s="30" t="s">
        <v>1899</v>
      </c>
      <c r="D1001" s="110" t="s">
        <v>1900</v>
      </c>
      <c r="E1001" s="110" t="s">
        <v>1917</v>
      </c>
      <c r="F1001" s="30" t="s">
        <v>2703</v>
      </c>
      <c r="G1001" s="26" t="s">
        <v>145</v>
      </c>
      <c r="H1001" s="24" t="s">
        <v>146</v>
      </c>
      <c r="I1001" s="109">
        <v>0</v>
      </c>
      <c r="J1001" s="109" t="s">
        <v>1918</v>
      </c>
      <c r="K1001" s="109">
        <v>76</v>
      </c>
      <c r="L1001" s="109" t="s">
        <v>1919</v>
      </c>
      <c r="M1001" s="109" t="s">
        <v>1904</v>
      </c>
      <c r="N1001" s="109" t="s">
        <v>529</v>
      </c>
      <c r="O1001" s="109" t="s">
        <v>1920</v>
      </c>
      <c r="P1001" s="109" t="s">
        <v>1920</v>
      </c>
      <c r="Q1001" s="102">
        <v>0</v>
      </c>
      <c r="R1001" s="109" t="s">
        <v>1907</v>
      </c>
      <c r="S1001" s="109" t="s">
        <v>1922</v>
      </c>
      <c r="T1001" s="25"/>
      <c r="U1001" s="111" t="s">
        <v>1923</v>
      </c>
      <c r="V1001" s="111" t="s">
        <v>1923</v>
      </c>
      <c r="W1001" s="112" t="s">
        <v>2695</v>
      </c>
      <c r="X1001" s="112" t="s">
        <v>1906</v>
      </c>
      <c r="Y1001" s="112" t="s">
        <v>2695</v>
      </c>
      <c r="Z1001" s="112" t="s">
        <v>1906</v>
      </c>
      <c r="AA1001" s="112" t="s">
        <v>2695</v>
      </c>
      <c r="AB1001" s="112" t="s">
        <v>1906</v>
      </c>
      <c r="AC1001" s="112">
        <v>43.92</v>
      </c>
      <c r="AD1001" s="112" t="s">
        <v>1906</v>
      </c>
      <c r="AE1001" s="112">
        <v>12.75</v>
      </c>
      <c r="AF1001" s="112" t="s">
        <v>1906</v>
      </c>
      <c r="AG1001" s="112">
        <v>0</v>
      </c>
      <c r="AH1001" s="112"/>
      <c r="AI1001" s="112">
        <v>0</v>
      </c>
      <c r="AJ1001" s="112"/>
      <c r="AK1001" s="112">
        <v>0</v>
      </c>
      <c r="AL1001" s="112"/>
      <c r="AM1001" s="112">
        <v>7.76</v>
      </c>
      <c r="AN1001" s="112" t="s">
        <v>1906</v>
      </c>
      <c r="AO1001" s="112">
        <v>33.270000000000003</v>
      </c>
      <c r="AP1001" s="112" t="s">
        <v>1906</v>
      </c>
      <c r="AQ1001" s="112">
        <v>33.270000000000003</v>
      </c>
      <c r="AR1001" s="112" t="s">
        <v>1906</v>
      </c>
      <c r="AS1001" s="112">
        <v>33.270000000000003</v>
      </c>
      <c r="AT1001" s="112" t="s">
        <v>1906</v>
      </c>
      <c r="AU1001" s="112">
        <f t="shared" si="29"/>
        <v>296</v>
      </c>
      <c r="AV1001" s="111">
        <v>0.14191999999999999</v>
      </c>
      <c r="AW1001" s="111" t="s">
        <v>1904</v>
      </c>
      <c r="AX1001" s="25"/>
      <c r="AY1001" s="25"/>
      <c r="AZ1001" s="25"/>
    </row>
    <row r="1002" spans="1:52" ht="31.2" x14ac:dyDescent="0.3">
      <c r="A1002" s="103">
        <v>992</v>
      </c>
      <c r="B1002" s="109" t="s">
        <v>1894</v>
      </c>
      <c r="C1002" s="30" t="s">
        <v>1899</v>
      </c>
      <c r="D1002" s="110" t="s">
        <v>1900</v>
      </c>
      <c r="E1002" s="110" t="s">
        <v>1917</v>
      </c>
      <c r="F1002" s="30" t="s">
        <v>2703</v>
      </c>
      <c r="G1002" s="26" t="s">
        <v>145</v>
      </c>
      <c r="H1002" s="24" t="s">
        <v>146</v>
      </c>
      <c r="I1002" s="109">
        <v>1</v>
      </c>
      <c r="J1002" s="109" t="s">
        <v>1991</v>
      </c>
      <c r="K1002" s="109">
        <v>76</v>
      </c>
      <c r="L1002" s="109" t="s">
        <v>1919</v>
      </c>
      <c r="M1002" s="109" t="s">
        <v>1904</v>
      </c>
      <c r="N1002" s="109" t="s">
        <v>528</v>
      </c>
      <c r="O1002" s="109" t="s">
        <v>1920</v>
      </c>
      <c r="P1002" s="109" t="s">
        <v>1921</v>
      </c>
      <c r="Q1002" s="102">
        <v>0</v>
      </c>
      <c r="R1002" s="109" t="s">
        <v>1907</v>
      </c>
      <c r="S1002" s="109" t="s">
        <v>1922</v>
      </c>
      <c r="T1002" s="25"/>
      <c r="U1002" s="111" t="s">
        <v>1923</v>
      </c>
      <c r="V1002" s="111" t="s">
        <v>1923</v>
      </c>
      <c r="W1002" s="112" t="s">
        <v>2696</v>
      </c>
      <c r="X1002" s="112" t="s">
        <v>1906</v>
      </c>
      <c r="Y1002" s="112" t="s">
        <v>2697</v>
      </c>
      <c r="Z1002" s="112" t="s">
        <v>1906</v>
      </c>
      <c r="AA1002" s="112" t="s">
        <v>2696</v>
      </c>
      <c r="AB1002" s="112" t="s">
        <v>1906</v>
      </c>
      <c r="AC1002" s="112">
        <v>12.12</v>
      </c>
      <c r="AD1002" s="112" t="s">
        <v>1906</v>
      </c>
      <c r="AE1002" s="112">
        <v>24.64</v>
      </c>
      <c r="AF1002" s="112" t="s">
        <v>1906</v>
      </c>
      <c r="AG1002" s="112">
        <v>21.21</v>
      </c>
      <c r="AH1002" s="112" t="s">
        <v>1906</v>
      </c>
      <c r="AI1002" s="112">
        <v>8.4700000000000006</v>
      </c>
      <c r="AJ1002" s="112" t="s">
        <v>1906</v>
      </c>
      <c r="AK1002" s="112">
        <v>10.99</v>
      </c>
      <c r="AL1002" s="112" t="s">
        <v>1906</v>
      </c>
      <c r="AM1002" s="112">
        <v>11.98</v>
      </c>
      <c r="AN1002" s="112" t="s">
        <v>1906</v>
      </c>
      <c r="AO1002" s="112">
        <v>12.3</v>
      </c>
      <c r="AP1002" s="112" t="s">
        <v>208</v>
      </c>
      <c r="AQ1002" s="112">
        <v>13.5</v>
      </c>
      <c r="AR1002" s="112" t="s">
        <v>208</v>
      </c>
      <c r="AS1002" s="112">
        <v>13.82</v>
      </c>
      <c r="AT1002" s="112" t="s">
        <v>208</v>
      </c>
      <c r="AU1002" s="112">
        <f t="shared" si="29"/>
        <v>185.64000000000001</v>
      </c>
      <c r="AV1002" s="111">
        <v>0.18065999999999999</v>
      </c>
      <c r="AW1002" s="111" t="s">
        <v>1904</v>
      </c>
      <c r="AX1002" s="25"/>
      <c r="AY1002" s="25"/>
      <c r="AZ1002" s="25"/>
    </row>
    <row r="1003" spans="1:52" ht="31.2" x14ac:dyDescent="0.3">
      <c r="A1003" s="103">
        <v>993</v>
      </c>
      <c r="B1003" s="109" t="s">
        <v>1895</v>
      </c>
      <c r="C1003" s="30" t="s">
        <v>1899</v>
      </c>
      <c r="D1003" s="110" t="s">
        <v>1900</v>
      </c>
      <c r="E1003" s="110" t="s">
        <v>1917</v>
      </c>
      <c r="F1003" s="30" t="s">
        <v>2703</v>
      </c>
      <c r="G1003" s="26" t="s">
        <v>145</v>
      </c>
      <c r="H1003" s="24" t="s">
        <v>146</v>
      </c>
      <c r="I1003" s="109">
        <v>0</v>
      </c>
      <c r="J1003" s="109" t="s">
        <v>1918</v>
      </c>
      <c r="K1003" s="109">
        <v>76</v>
      </c>
      <c r="L1003" s="109" t="s">
        <v>1919</v>
      </c>
      <c r="M1003" s="109" t="s">
        <v>1904</v>
      </c>
      <c r="N1003" s="109" t="s">
        <v>529</v>
      </c>
      <c r="O1003" s="109" t="s">
        <v>1920</v>
      </c>
      <c r="P1003" s="109" t="s">
        <v>1920</v>
      </c>
      <c r="Q1003" s="102">
        <v>0</v>
      </c>
      <c r="R1003" s="109" t="s">
        <v>1907</v>
      </c>
      <c r="S1003" s="109" t="s">
        <v>1922</v>
      </c>
      <c r="T1003" s="25"/>
      <c r="U1003" s="111" t="s">
        <v>1923</v>
      </c>
      <c r="V1003" s="111" t="s">
        <v>1923</v>
      </c>
      <c r="W1003" s="112" t="s">
        <v>2698</v>
      </c>
      <c r="X1003" s="112" t="s">
        <v>1906</v>
      </c>
      <c r="Y1003" s="112" t="s">
        <v>2698</v>
      </c>
      <c r="Z1003" s="112" t="s">
        <v>1906</v>
      </c>
      <c r="AA1003" s="112" t="s">
        <v>2698</v>
      </c>
      <c r="AB1003" s="112" t="s">
        <v>1906</v>
      </c>
      <c r="AC1003" s="112">
        <v>42.71</v>
      </c>
      <c r="AD1003" s="112" t="s">
        <v>1906</v>
      </c>
      <c r="AE1003" s="112">
        <v>12.4</v>
      </c>
      <c r="AF1003" s="112" t="s">
        <v>1906</v>
      </c>
      <c r="AG1003" s="112">
        <v>0</v>
      </c>
      <c r="AH1003" s="112"/>
      <c r="AI1003" s="112">
        <v>0</v>
      </c>
      <c r="AJ1003" s="112"/>
      <c r="AK1003" s="112">
        <v>0</v>
      </c>
      <c r="AL1003" s="112"/>
      <c r="AM1003" s="112">
        <v>8.6300000000000008</v>
      </c>
      <c r="AN1003" s="112" t="s">
        <v>1906</v>
      </c>
      <c r="AO1003" s="112">
        <v>36.97</v>
      </c>
      <c r="AP1003" s="112" t="s">
        <v>1906</v>
      </c>
      <c r="AQ1003" s="112">
        <v>36.97</v>
      </c>
      <c r="AR1003" s="112" t="s">
        <v>1906</v>
      </c>
      <c r="AS1003" s="112">
        <v>36.97</v>
      </c>
      <c r="AT1003" s="112" t="s">
        <v>1906</v>
      </c>
      <c r="AU1003" s="112">
        <f t="shared" si="29"/>
        <v>302.77999999999997</v>
      </c>
      <c r="AV1003" s="111">
        <v>0.15758</v>
      </c>
      <c r="AW1003" s="111" t="s">
        <v>1904</v>
      </c>
      <c r="AX1003" s="25"/>
      <c r="AY1003" s="25"/>
      <c r="AZ1003" s="25"/>
    </row>
    <row r="1004" spans="1:52" ht="31.2" x14ac:dyDescent="0.3">
      <c r="A1004" s="103">
        <v>994</v>
      </c>
      <c r="B1004" s="109" t="s">
        <v>1897</v>
      </c>
      <c r="C1004" s="30" t="s">
        <v>1899</v>
      </c>
      <c r="D1004" s="110" t="s">
        <v>1900</v>
      </c>
      <c r="E1004" s="110" t="s">
        <v>1917</v>
      </c>
      <c r="F1004" s="30" t="s">
        <v>2703</v>
      </c>
      <c r="G1004" s="26" t="s">
        <v>145</v>
      </c>
      <c r="H1004" s="24" t="s">
        <v>146</v>
      </c>
      <c r="I1004" s="109">
        <v>1</v>
      </c>
      <c r="J1004" s="109" t="s">
        <v>1918</v>
      </c>
      <c r="K1004" s="109">
        <v>89</v>
      </c>
      <c r="L1004" s="109" t="s">
        <v>1919</v>
      </c>
      <c r="M1004" s="109" t="s">
        <v>1904</v>
      </c>
      <c r="N1004" s="109" t="s">
        <v>529</v>
      </c>
      <c r="O1004" s="109" t="s">
        <v>1920</v>
      </c>
      <c r="P1004" s="109" t="s">
        <v>1921</v>
      </c>
      <c r="Q1004" s="102">
        <v>0</v>
      </c>
      <c r="R1004" s="109" t="s">
        <v>1907</v>
      </c>
      <c r="S1004" s="109" t="s">
        <v>1922</v>
      </c>
      <c r="T1004" s="25"/>
      <c r="U1004" s="111" t="s">
        <v>1923</v>
      </c>
      <c r="V1004" s="111" t="s">
        <v>1923</v>
      </c>
      <c r="W1004" s="112" t="s">
        <v>2699</v>
      </c>
      <c r="X1004" s="112" t="s">
        <v>208</v>
      </c>
      <c r="Y1004" s="112" t="s">
        <v>2700</v>
      </c>
      <c r="Z1004" s="112" t="s">
        <v>208</v>
      </c>
      <c r="AA1004" s="112" t="s">
        <v>2701</v>
      </c>
      <c r="AB1004" s="112" t="s">
        <v>208</v>
      </c>
      <c r="AC1004" s="112">
        <v>68.22</v>
      </c>
      <c r="AD1004" s="112" t="s">
        <v>208</v>
      </c>
      <c r="AE1004" s="112">
        <v>35.58</v>
      </c>
      <c r="AF1004" s="112" t="s">
        <v>208</v>
      </c>
      <c r="AG1004" s="112">
        <v>0</v>
      </c>
      <c r="AH1004" s="112"/>
      <c r="AI1004" s="112">
        <v>0</v>
      </c>
      <c r="AJ1004" s="112"/>
      <c r="AK1004" s="112">
        <v>0</v>
      </c>
      <c r="AL1004" s="112"/>
      <c r="AM1004" s="112">
        <v>0</v>
      </c>
      <c r="AN1004" s="112"/>
      <c r="AO1004" s="112">
        <v>72.8</v>
      </c>
      <c r="AP1004" s="112" t="s">
        <v>208</v>
      </c>
      <c r="AQ1004" s="112">
        <v>56.4</v>
      </c>
      <c r="AR1004" s="112" t="s">
        <v>208</v>
      </c>
      <c r="AS1004" s="112">
        <v>101.21</v>
      </c>
      <c r="AT1004" s="112" t="s">
        <v>208</v>
      </c>
      <c r="AU1004" s="112">
        <f t="shared" si="29"/>
        <v>787.51</v>
      </c>
      <c r="AV1004" s="111">
        <v>0.33130999999999999</v>
      </c>
      <c r="AW1004" s="111" t="s">
        <v>1904</v>
      </c>
      <c r="AX1004" s="25"/>
      <c r="AY1004" s="25"/>
      <c r="AZ1004" s="25"/>
    </row>
    <row r="1005" spans="1:52" ht="31.2" x14ac:dyDescent="0.3">
      <c r="A1005" s="103">
        <v>995</v>
      </c>
      <c r="B1005" s="109" t="s">
        <v>1898</v>
      </c>
      <c r="C1005" s="30" t="s">
        <v>1899</v>
      </c>
      <c r="D1005" s="110" t="s">
        <v>1900</v>
      </c>
      <c r="E1005" s="110" t="s">
        <v>1917</v>
      </c>
      <c r="F1005" s="30" t="s">
        <v>2703</v>
      </c>
      <c r="G1005" s="26" t="s">
        <v>145</v>
      </c>
      <c r="H1005" s="24" t="s">
        <v>146</v>
      </c>
      <c r="I1005" s="109">
        <v>0</v>
      </c>
      <c r="J1005" s="109" t="s">
        <v>1918</v>
      </c>
      <c r="K1005" s="109">
        <v>76</v>
      </c>
      <c r="L1005" s="109" t="s">
        <v>1919</v>
      </c>
      <c r="M1005" s="109" t="s">
        <v>1904</v>
      </c>
      <c r="N1005" s="109" t="s">
        <v>529</v>
      </c>
      <c r="O1005" s="109" t="s">
        <v>1920</v>
      </c>
      <c r="P1005" s="109" t="s">
        <v>1920</v>
      </c>
      <c r="Q1005" s="102">
        <v>0</v>
      </c>
      <c r="R1005" s="109" t="s">
        <v>1907</v>
      </c>
      <c r="S1005" s="109" t="s">
        <v>1922</v>
      </c>
      <c r="T1005" s="25"/>
      <c r="U1005" s="111" t="s">
        <v>1923</v>
      </c>
      <c r="V1005" s="111" t="s">
        <v>1923</v>
      </c>
      <c r="W1005" s="112" t="s">
        <v>2702</v>
      </c>
      <c r="X1005" s="112" t="s">
        <v>1906</v>
      </c>
      <c r="Y1005" s="112" t="s">
        <v>2702</v>
      </c>
      <c r="Z1005" s="112" t="s">
        <v>1906</v>
      </c>
      <c r="AA1005" s="112" t="s">
        <v>2702</v>
      </c>
      <c r="AB1005" s="112" t="s">
        <v>1906</v>
      </c>
      <c r="AC1005" s="112">
        <v>37.93</v>
      </c>
      <c r="AD1005" s="112" t="s">
        <v>1906</v>
      </c>
      <c r="AE1005" s="112">
        <v>11.01</v>
      </c>
      <c r="AF1005" s="112" t="s">
        <v>1906</v>
      </c>
      <c r="AG1005" s="112">
        <v>0</v>
      </c>
      <c r="AH1005" s="112"/>
      <c r="AI1005" s="112">
        <v>0</v>
      </c>
      <c r="AJ1005" s="112"/>
      <c r="AK1005" s="112">
        <v>0</v>
      </c>
      <c r="AL1005" s="112"/>
      <c r="AM1005" s="112">
        <v>8.5399999999999991</v>
      </c>
      <c r="AN1005" s="112" t="s">
        <v>1906</v>
      </c>
      <c r="AO1005" s="112">
        <v>36.61</v>
      </c>
      <c r="AP1005" s="112" t="s">
        <v>1906</v>
      </c>
      <c r="AQ1005" s="112">
        <v>36.61</v>
      </c>
      <c r="AR1005" s="112" t="s">
        <v>1906</v>
      </c>
      <c r="AS1005" s="112">
        <v>36.61</v>
      </c>
      <c r="AT1005" s="112" t="s">
        <v>1906</v>
      </c>
      <c r="AU1005" s="112">
        <f t="shared" si="29"/>
        <v>281.10000000000002</v>
      </c>
      <c r="AV1005" s="111">
        <v>0.13850999999999999</v>
      </c>
      <c r="AW1005" s="111" t="s">
        <v>1904</v>
      </c>
      <c r="AX1005" s="25"/>
      <c r="AY1005" s="25"/>
      <c r="AZ1005" s="25"/>
    </row>
  </sheetData>
  <mergeCells count="42">
    <mergeCell ref="A5:A9"/>
    <mergeCell ref="F5:F9"/>
    <mergeCell ref="G5:G9"/>
    <mergeCell ref="H5:H9"/>
    <mergeCell ref="B5:B9"/>
    <mergeCell ref="E5:E9"/>
    <mergeCell ref="D5:D9"/>
    <mergeCell ref="AM7:AN8"/>
    <mergeCell ref="AO7:AP8"/>
    <mergeCell ref="AQ7:AR8"/>
    <mergeCell ref="J5:J9"/>
    <mergeCell ref="K5:K9"/>
    <mergeCell ref="L5:L9"/>
    <mergeCell ref="M5:M9"/>
    <mergeCell ref="S5:S9"/>
    <mergeCell ref="T5:T9"/>
    <mergeCell ref="N5:N9"/>
    <mergeCell ref="O5:O9"/>
    <mergeCell ref="P5:P9"/>
    <mergeCell ref="Q5:Q9"/>
    <mergeCell ref="R5:R9"/>
    <mergeCell ref="AU7:AU8"/>
    <mergeCell ref="C5:C9"/>
    <mergeCell ref="AS7:AT8"/>
    <mergeCell ref="AA7:AB8"/>
    <mergeCell ref="AC7:AD8"/>
    <mergeCell ref="AE7:AF8"/>
    <mergeCell ref="AG7:AH8"/>
    <mergeCell ref="AI7:AJ8"/>
    <mergeCell ref="W7:X8"/>
    <mergeCell ref="Y7:Z8"/>
    <mergeCell ref="W6:AU6"/>
    <mergeCell ref="U5:AU5"/>
    <mergeCell ref="U6:U8"/>
    <mergeCell ref="V6:V8"/>
    <mergeCell ref="I5:I9"/>
    <mergeCell ref="AK7:AL8"/>
    <mergeCell ref="AZ5:AZ9"/>
    <mergeCell ref="AV5:AV9"/>
    <mergeCell ref="AW5:AW9"/>
    <mergeCell ref="AX5:AX9"/>
    <mergeCell ref="AY5:AY9"/>
  </mergeCells>
  <pageMargins left="0.23622047244094491" right="0.23622047244094491" top="0.74803149606299213" bottom="0.74803149606299213" header="0.31496062992125984" footer="0.31496062992125984"/>
  <pageSetup paperSize="9" scale="20" fitToWidth="0" fitToHeight="0" orientation="landscape" r:id="rId1"/>
  <headerFooter>
    <oddFooter>Страница  &amp;P из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27"/>
  <sheetViews>
    <sheetView view="pageBreakPreview" topLeftCell="A1541" zoomScale="60" zoomScaleNormal="100" workbookViewId="0">
      <selection activeCell="A1549" sqref="A1549:A1550"/>
    </sheetView>
  </sheetViews>
  <sheetFormatPr defaultColWidth="9.109375" defaultRowHeight="13.8" x14ac:dyDescent="0.25"/>
  <cols>
    <col min="1" max="2" width="9.6640625" style="10" customWidth="1"/>
    <col min="3" max="3" width="20.6640625" style="10" customWidth="1"/>
    <col min="4" max="4" width="23.33203125" style="10" customWidth="1"/>
    <col min="5" max="5" width="20.6640625" style="10" customWidth="1"/>
    <col min="6" max="9" width="9.6640625" style="10" customWidth="1"/>
    <col min="10" max="10" width="17" style="10" customWidth="1"/>
    <col min="11" max="11" width="19.33203125" style="10" customWidth="1"/>
    <col min="12" max="12" width="19.44140625" style="10" customWidth="1"/>
    <col min="13" max="14" width="14.5546875" style="10" bestFit="1" customWidth="1"/>
    <col min="15" max="16" width="9.6640625" style="10" customWidth="1"/>
    <col min="17" max="18" width="12.33203125" style="10" customWidth="1"/>
    <col min="19" max="38" width="9.6640625" style="10" customWidth="1"/>
    <col min="39" max="39" width="14.5546875" style="10" bestFit="1" customWidth="1"/>
    <col min="40" max="16384" width="9.109375" style="10"/>
  </cols>
  <sheetData>
    <row r="1" spans="1:39" x14ac:dyDescent="0.25">
      <c r="A1" s="9" t="s">
        <v>53</v>
      </c>
    </row>
    <row r="2" spans="1:39" ht="17.399999999999999" x14ac:dyDescent="0.3">
      <c r="A2" s="9"/>
      <c r="C2" s="28" t="s">
        <v>126</v>
      </c>
    </row>
    <row r="3" spans="1:39" ht="17.399999999999999" x14ac:dyDescent="0.3">
      <c r="A3" s="28"/>
      <c r="C3" s="28" t="s">
        <v>138</v>
      </c>
    </row>
    <row r="4" spans="1:39" ht="15" customHeight="1" x14ac:dyDescent="0.25"/>
    <row r="5" spans="1:39" s="7" customFormat="1" ht="16.2" customHeight="1" x14ac:dyDescent="0.3">
      <c r="A5" s="121" t="s">
        <v>22</v>
      </c>
      <c r="B5" s="154" t="s">
        <v>2</v>
      </c>
      <c r="C5" s="135" t="s">
        <v>24</v>
      </c>
      <c r="D5" s="135" t="s">
        <v>83</v>
      </c>
      <c r="E5" s="135" t="s">
        <v>47</v>
      </c>
      <c r="F5" s="135" t="s">
        <v>3</v>
      </c>
      <c r="G5" s="135" t="s">
        <v>103</v>
      </c>
      <c r="H5" s="135"/>
      <c r="I5" s="135" t="s">
        <v>104</v>
      </c>
      <c r="J5" s="135"/>
      <c r="K5" s="175" t="s">
        <v>85</v>
      </c>
      <c r="L5" s="175" t="s">
        <v>86</v>
      </c>
      <c r="M5" s="141" t="s">
        <v>44</v>
      </c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3"/>
    </row>
    <row r="6" spans="1:39" s="7" customFormat="1" ht="16.2" customHeight="1" x14ac:dyDescent="0.3">
      <c r="A6" s="153"/>
      <c r="B6" s="155"/>
      <c r="C6" s="135"/>
      <c r="D6" s="135"/>
      <c r="E6" s="135"/>
      <c r="F6" s="135"/>
      <c r="G6" s="135"/>
      <c r="H6" s="135"/>
      <c r="I6" s="135"/>
      <c r="J6" s="135"/>
      <c r="K6" s="176"/>
      <c r="L6" s="176"/>
      <c r="M6" s="144" t="s">
        <v>45</v>
      </c>
      <c r="N6" s="144" t="s">
        <v>46</v>
      </c>
      <c r="O6" s="138" t="s">
        <v>43</v>
      </c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40"/>
    </row>
    <row r="7" spans="1:39" s="7" customFormat="1" ht="12.75" customHeight="1" x14ac:dyDescent="0.3">
      <c r="A7" s="121"/>
      <c r="B7" s="155"/>
      <c r="C7" s="136"/>
      <c r="D7" s="136"/>
      <c r="E7" s="136"/>
      <c r="F7" s="136"/>
      <c r="G7" s="178" t="s">
        <v>90</v>
      </c>
      <c r="H7" s="135" t="s">
        <v>91</v>
      </c>
      <c r="I7" s="178" t="s">
        <v>90</v>
      </c>
      <c r="J7" s="135" t="s">
        <v>91</v>
      </c>
      <c r="K7" s="176"/>
      <c r="L7" s="176"/>
      <c r="M7" s="145"/>
      <c r="N7" s="145"/>
      <c r="O7" s="134" t="s">
        <v>5</v>
      </c>
      <c r="P7" s="137"/>
      <c r="Q7" s="134" t="s">
        <v>6</v>
      </c>
      <c r="R7" s="137"/>
      <c r="S7" s="134" t="s">
        <v>7</v>
      </c>
      <c r="T7" s="137"/>
      <c r="U7" s="134" t="s">
        <v>8</v>
      </c>
      <c r="V7" s="137"/>
      <c r="W7" s="134" t="s">
        <v>9</v>
      </c>
      <c r="X7" s="137"/>
      <c r="Y7" s="134" t="s">
        <v>10</v>
      </c>
      <c r="Z7" s="137"/>
      <c r="AA7" s="134" t="s">
        <v>11</v>
      </c>
      <c r="AB7" s="137"/>
      <c r="AC7" s="134" t="s">
        <v>12</v>
      </c>
      <c r="AD7" s="137"/>
      <c r="AE7" s="134" t="s">
        <v>13</v>
      </c>
      <c r="AF7" s="137"/>
      <c r="AG7" s="134" t="s">
        <v>14</v>
      </c>
      <c r="AH7" s="137"/>
      <c r="AI7" s="134" t="s">
        <v>15</v>
      </c>
      <c r="AJ7" s="137"/>
      <c r="AK7" s="134" t="s">
        <v>16</v>
      </c>
      <c r="AL7" s="137"/>
      <c r="AM7" s="134" t="s">
        <v>4</v>
      </c>
    </row>
    <row r="8" spans="1:39" s="7" customFormat="1" ht="12.75" customHeight="1" x14ac:dyDescent="0.3">
      <c r="A8" s="121"/>
      <c r="B8" s="155"/>
      <c r="C8" s="136"/>
      <c r="D8" s="136"/>
      <c r="E8" s="136"/>
      <c r="F8" s="136"/>
      <c r="G8" s="178"/>
      <c r="H8" s="135"/>
      <c r="I8" s="178"/>
      <c r="J8" s="135"/>
      <c r="K8" s="176"/>
      <c r="L8" s="176"/>
      <c r="M8" s="146"/>
      <c r="N8" s="146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4"/>
    </row>
    <row r="9" spans="1:39" s="7" customFormat="1" ht="38.25" customHeight="1" x14ac:dyDescent="0.3">
      <c r="A9" s="121"/>
      <c r="B9" s="156"/>
      <c r="C9" s="136"/>
      <c r="D9" s="136"/>
      <c r="E9" s="136"/>
      <c r="F9" s="136"/>
      <c r="G9" s="178"/>
      <c r="H9" s="135"/>
      <c r="I9" s="178"/>
      <c r="J9" s="135"/>
      <c r="K9" s="177"/>
      <c r="L9" s="177"/>
      <c r="M9" s="23" t="s">
        <v>54</v>
      </c>
      <c r="N9" s="23" t="s">
        <v>54</v>
      </c>
      <c r="O9" s="20" t="s">
        <v>37</v>
      </c>
      <c r="P9" s="20" t="s">
        <v>42</v>
      </c>
      <c r="Q9" s="20" t="s">
        <v>37</v>
      </c>
      <c r="R9" s="20" t="s">
        <v>42</v>
      </c>
      <c r="S9" s="20" t="s">
        <v>37</v>
      </c>
      <c r="T9" s="20" t="s">
        <v>42</v>
      </c>
      <c r="U9" s="20" t="s">
        <v>37</v>
      </c>
      <c r="V9" s="20" t="s">
        <v>42</v>
      </c>
      <c r="W9" s="20" t="s">
        <v>37</v>
      </c>
      <c r="X9" s="20" t="s">
        <v>42</v>
      </c>
      <c r="Y9" s="20" t="s">
        <v>37</v>
      </c>
      <c r="Z9" s="20" t="s">
        <v>42</v>
      </c>
      <c r="AA9" s="20" t="s">
        <v>37</v>
      </c>
      <c r="AB9" s="20" t="s">
        <v>42</v>
      </c>
      <c r="AC9" s="20" t="s">
        <v>37</v>
      </c>
      <c r="AD9" s="20" t="s">
        <v>42</v>
      </c>
      <c r="AE9" s="20" t="s">
        <v>37</v>
      </c>
      <c r="AF9" s="20" t="s">
        <v>42</v>
      </c>
      <c r="AG9" s="20" t="s">
        <v>37</v>
      </c>
      <c r="AH9" s="20" t="s">
        <v>42</v>
      </c>
      <c r="AI9" s="20" t="s">
        <v>37</v>
      </c>
      <c r="AJ9" s="20" t="s">
        <v>42</v>
      </c>
      <c r="AK9" s="20" t="s">
        <v>37</v>
      </c>
      <c r="AL9" s="20" t="s">
        <v>42</v>
      </c>
      <c r="AM9" s="23" t="s">
        <v>54</v>
      </c>
    </row>
    <row r="10" spans="1:39" s="6" customFormat="1" ht="15.6" x14ac:dyDescent="0.3">
      <c r="A10" s="48">
        <v>1</v>
      </c>
      <c r="B10" s="48">
        <v>2</v>
      </c>
      <c r="C10" s="49">
        <v>3</v>
      </c>
      <c r="D10" s="49">
        <v>4</v>
      </c>
      <c r="E10" s="49">
        <v>5</v>
      </c>
      <c r="F10" s="49">
        <v>6</v>
      </c>
      <c r="G10" s="46">
        <v>7</v>
      </c>
      <c r="H10" s="46">
        <v>8</v>
      </c>
      <c r="I10" s="46">
        <v>9</v>
      </c>
      <c r="J10" s="46">
        <v>10</v>
      </c>
      <c r="K10" s="54">
        <v>11</v>
      </c>
      <c r="L10" s="54">
        <v>12</v>
      </c>
      <c r="M10" s="51">
        <v>13</v>
      </c>
      <c r="N10" s="51">
        <v>14</v>
      </c>
      <c r="O10" s="51">
        <v>15</v>
      </c>
      <c r="P10" s="51">
        <v>16</v>
      </c>
      <c r="Q10" s="51">
        <v>17</v>
      </c>
      <c r="R10" s="51">
        <v>18</v>
      </c>
      <c r="S10" s="51">
        <v>19</v>
      </c>
      <c r="T10" s="51">
        <v>20</v>
      </c>
      <c r="U10" s="51">
        <v>21</v>
      </c>
      <c r="V10" s="51">
        <v>22</v>
      </c>
      <c r="W10" s="51">
        <v>23</v>
      </c>
      <c r="X10" s="51">
        <v>24</v>
      </c>
      <c r="Y10" s="51">
        <v>25</v>
      </c>
      <c r="Z10" s="51">
        <v>26</v>
      </c>
      <c r="AA10" s="51">
        <v>27</v>
      </c>
      <c r="AB10" s="51">
        <v>28</v>
      </c>
      <c r="AC10" s="51">
        <v>29</v>
      </c>
      <c r="AD10" s="51">
        <v>30</v>
      </c>
      <c r="AE10" s="51">
        <v>31</v>
      </c>
      <c r="AF10" s="51">
        <v>32</v>
      </c>
      <c r="AG10" s="51">
        <v>33</v>
      </c>
      <c r="AH10" s="51">
        <v>34</v>
      </c>
      <c r="AI10" s="51">
        <v>35</v>
      </c>
      <c r="AJ10" s="51">
        <v>36</v>
      </c>
      <c r="AK10" s="51">
        <v>37</v>
      </c>
      <c r="AL10" s="51">
        <v>38</v>
      </c>
      <c r="AM10" s="51">
        <v>39</v>
      </c>
    </row>
    <row r="11" spans="1:39" s="100" customFormat="1" ht="46.8" x14ac:dyDescent="0.3">
      <c r="A11" s="97">
        <v>1</v>
      </c>
      <c r="B11" s="98" t="s">
        <v>547</v>
      </c>
      <c r="C11" s="98" t="s">
        <v>2708</v>
      </c>
      <c r="D11" s="98" t="s">
        <v>1902</v>
      </c>
      <c r="E11" s="98" t="s">
        <v>2709</v>
      </c>
      <c r="F11" s="98" t="s">
        <v>49</v>
      </c>
      <c r="G11" s="99" t="s">
        <v>2710</v>
      </c>
      <c r="H11" s="99">
        <v>12</v>
      </c>
      <c r="I11" s="99" t="s">
        <v>2710</v>
      </c>
      <c r="J11" s="99">
        <v>3</v>
      </c>
      <c r="K11" s="98" t="s">
        <v>528</v>
      </c>
      <c r="L11" s="98" t="s">
        <v>528</v>
      </c>
      <c r="M11" s="116">
        <v>5564.295757078924</v>
      </c>
      <c r="N11" s="116">
        <v>9183.4107921446212</v>
      </c>
      <c r="O11" s="116">
        <v>728.92143121724939</v>
      </c>
      <c r="P11" s="117" t="s">
        <v>208</v>
      </c>
      <c r="Q11" s="116">
        <v>599.98719666458146</v>
      </c>
      <c r="R11" s="117" t="s">
        <v>208</v>
      </c>
      <c r="S11" s="116">
        <v>613.28278737018991</v>
      </c>
      <c r="T11" s="117" t="s">
        <v>208</v>
      </c>
      <c r="U11" s="116">
        <v>602.0469943408574</v>
      </c>
      <c r="V11" s="117" t="s">
        <v>208</v>
      </c>
      <c r="W11" s="116">
        <v>752.73741849367764</v>
      </c>
      <c r="X11" s="117" t="s">
        <v>208</v>
      </c>
      <c r="Y11" s="116">
        <v>660.46989478336764</v>
      </c>
      <c r="Z11" s="117" t="s">
        <v>208</v>
      </c>
      <c r="AA11" s="116">
        <v>670.72472375893426</v>
      </c>
      <c r="AB11" s="117" t="s">
        <v>208</v>
      </c>
      <c r="AC11" s="116">
        <v>621.53440594696121</v>
      </c>
      <c r="AD11" s="117" t="s">
        <v>208</v>
      </c>
      <c r="AE11" s="116">
        <v>690.23500111001511</v>
      </c>
      <c r="AF11" s="117" t="s">
        <v>208</v>
      </c>
      <c r="AG11" s="116">
        <v>747.62696617222082</v>
      </c>
      <c r="AH11" s="117" t="s">
        <v>208</v>
      </c>
      <c r="AI11" s="116">
        <v>533.3167313585775</v>
      </c>
      <c r="AJ11" s="117" t="s">
        <v>208</v>
      </c>
      <c r="AK11" s="116">
        <v>704.75518618377998</v>
      </c>
      <c r="AL11" s="117" t="s">
        <v>208</v>
      </c>
      <c r="AM11" s="116">
        <v>7925.6387374004116</v>
      </c>
    </row>
    <row r="12" spans="1:39" s="100" customFormat="1" ht="46.8" x14ac:dyDescent="0.3">
      <c r="A12" s="97">
        <v>2</v>
      </c>
      <c r="B12" s="98" t="s">
        <v>551</v>
      </c>
      <c r="C12" s="98" t="s">
        <v>2708</v>
      </c>
      <c r="D12" s="98" t="s">
        <v>1902</v>
      </c>
      <c r="E12" s="98" t="s">
        <v>2709</v>
      </c>
      <c r="F12" s="98" t="s">
        <v>49</v>
      </c>
      <c r="G12" s="99" t="s">
        <v>2710</v>
      </c>
      <c r="H12" s="99">
        <v>5</v>
      </c>
      <c r="I12" s="99" t="s">
        <v>2710</v>
      </c>
      <c r="J12" s="99">
        <v>1</v>
      </c>
      <c r="K12" s="98" t="s">
        <v>528</v>
      </c>
      <c r="L12" s="98" t="s">
        <v>528</v>
      </c>
      <c r="M12" s="116">
        <v>5117.6674691148137</v>
      </c>
      <c r="N12" s="116">
        <v>8532.4083945296316</v>
      </c>
      <c r="O12" s="116">
        <v>672.48005298035093</v>
      </c>
      <c r="P12" s="117" t="s">
        <v>208</v>
      </c>
      <c r="Q12" s="116">
        <v>554.77323843768113</v>
      </c>
      <c r="R12" s="117" t="s">
        <v>208</v>
      </c>
      <c r="S12" s="116">
        <v>690.3436944169141</v>
      </c>
      <c r="T12" s="117" t="s">
        <v>208</v>
      </c>
      <c r="U12" s="116">
        <v>685.922179097548</v>
      </c>
      <c r="V12" s="117" t="s">
        <v>208</v>
      </c>
      <c r="W12" s="116">
        <v>415.45136640854935</v>
      </c>
      <c r="X12" s="117" t="s">
        <v>208</v>
      </c>
      <c r="Y12" s="116">
        <v>600.0913851324774</v>
      </c>
      <c r="Z12" s="117" t="s">
        <v>208</v>
      </c>
      <c r="AA12" s="116">
        <v>685.65261012216297</v>
      </c>
      <c r="AB12" s="117" t="s">
        <v>208</v>
      </c>
      <c r="AC12" s="116">
        <v>718.64111242222123</v>
      </c>
      <c r="AD12" s="117" t="s">
        <v>208</v>
      </c>
      <c r="AE12" s="116">
        <v>459.9230299659319</v>
      </c>
      <c r="AF12" s="117" t="s">
        <v>208</v>
      </c>
      <c r="AG12" s="116">
        <v>609.54079280977999</v>
      </c>
      <c r="AH12" s="117" t="s">
        <v>208</v>
      </c>
      <c r="AI12" s="116">
        <v>580.32487705896983</v>
      </c>
      <c r="AJ12" s="117" t="s">
        <v>208</v>
      </c>
      <c r="AK12" s="116">
        <v>527.95228273714156</v>
      </c>
      <c r="AL12" s="117" t="s">
        <v>208</v>
      </c>
      <c r="AM12" s="116">
        <v>7201.0966215897297</v>
      </c>
    </row>
    <row r="13" spans="1:39" s="100" customFormat="1" ht="46.8" x14ac:dyDescent="0.3">
      <c r="A13" s="97">
        <v>3</v>
      </c>
      <c r="B13" s="98" t="s">
        <v>554</v>
      </c>
      <c r="C13" s="98" t="s">
        <v>2708</v>
      </c>
      <c r="D13" s="98" t="s">
        <v>1902</v>
      </c>
      <c r="E13" s="98" t="s">
        <v>2709</v>
      </c>
      <c r="F13" s="98" t="s">
        <v>49</v>
      </c>
      <c r="G13" s="99" t="s">
        <v>2710</v>
      </c>
      <c r="H13" s="99">
        <v>36</v>
      </c>
      <c r="I13" s="99" t="s">
        <v>2710</v>
      </c>
      <c r="J13" s="99">
        <v>6</v>
      </c>
      <c r="K13" s="98" t="s">
        <v>528</v>
      </c>
      <c r="L13" s="98" t="s">
        <v>528</v>
      </c>
      <c r="M13" s="116">
        <v>13809.126851467705</v>
      </c>
      <c r="N13" s="116">
        <v>24339.748655800144</v>
      </c>
      <c r="O13" s="116">
        <v>2037</v>
      </c>
      <c r="P13" s="117" t="s">
        <v>208</v>
      </c>
      <c r="Q13" s="116">
        <v>1731</v>
      </c>
      <c r="R13" s="117" t="s">
        <v>208</v>
      </c>
      <c r="S13" s="116">
        <v>1583</v>
      </c>
      <c r="T13" s="117" t="s">
        <v>208</v>
      </c>
      <c r="U13" s="116">
        <v>1322</v>
      </c>
      <c r="V13" s="117" t="s">
        <v>208</v>
      </c>
      <c r="W13" s="116">
        <v>1477</v>
      </c>
      <c r="X13" s="117" t="s">
        <v>208</v>
      </c>
      <c r="Y13" s="116">
        <v>1660</v>
      </c>
      <c r="Z13" s="117" t="s">
        <v>208</v>
      </c>
      <c r="AA13" s="116">
        <v>1841</v>
      </c>
      <c r="AB13" s="117" t="s">
        <v>208</v>
      </c>
      <c r="AC13" s="116">
        <v>1864</v>
      </c>
      <c r="AD13" s="117" t="s">
        <v>208</v>
      </c>
      <c r="AE13" s="116">
        <v>908</v>
      </c>
      <c r="AF13" s="117" t="s">
        <v>208</v>
      </c>
      <c r="AG13" s="116">
        <v>1675</v>
      </c>
      <c r="AH13" s="117" t="s">
        <v>208</v>
      </c>
      <c r="AI13" s="116">
        <v>2439</v>
      </c>
      <c r="AJ13" s="117" t="s">
        <v>208</v>
      </c>
      <c r="AK13" s="116">
        <v>1383</v>
      </c>
      <c r="AL13" s="117" t="s">
        <v>208</v>
      </c>
      <c r="AM13" s="116">
        <v>19920</v>
      </c>
    </row>
    <row r="14" spans="1:39" s="100" customFormat="1" ht="46.8" x14ac:dyDescent="0.3">
      <c r="A14" s="97">
        <v>4</v>
      </c>
      <c r="B14" s="98" t="s">
        <v>557</v>
      </c>
      <c r="C14" s="98" t="s">
        <v>2708</v>
      </c>
      <c r="D14" s="98" t="s">
        <v>1902</v>
      </c>
      <c r="E14" s="98" t="s">
        <v>2709</v>
      </c>
      <c r="F14" s="98" t="s">
        <v>49</v>
      </c>
      <c r="G14" s="99" t="s">
        <v>2710</v>
      </c>
      <c r="H14" s="99">
        <v>35</v>
      </c>
      <c r="I14" s="99" t="s">
        <v>2710</v>
      </c>
      <c r="J14" s="99">
        <v>5</v>
      </c>
      <c r="K14" s="98" t="s">
        <v>528</v>
      </c>
      <c r="L14" s="98" t="s">
        <v>528</v>
      </c>
      <c r="M14" s="116">
        <v>16785.945363781531</v>
      </c>
      <c r="N14" s="116">
        <v>26467.84849815991</v>
      </c>
      <c r="O14" s="116">
        <v>2577</v>
      </c>
      <c r="P14" s="117" t="s">
        <v>208</v>
      </c>
      <c r="Q14" s="116">
        <v>2447</v>
      </c>
      <c r="R14" s="117" t="s">
        <v>208</v>
      </c>
      <c r="S14" s="116">
        <v>1878</v>
      </c>
      <c r="T14" s="117" t="s">
        <v>208</v>
      </c>
      <c r="U14" s="116">
        <v>1880</v>
      </c>
      <c r="V14" s="117" t="s">
        <v>208</v>
      </c>
      <c r="W14" s="116">
        <v>1603</v>
      </c>
      <c r="X14" s="117" t="s">
        <v>208</v>
      </c>
      <c r="Y14" s="116">
        <v>1915.5454545454545</v>
      </c>
      <c r="Z14" s="117" t="s">
        <v>208</v>
      </c>
      <c r="AA14" s="116">
        <v>1867</v>
      </c>
      <c r="AB14" s="117" t="s">
        <v>208</v>
      </c>
      <c r="AC14" s="116">
        <v>782</v>
      </c>
      <c r="AD14" s="117" t="s">
        <v>208</v>
      </c>
      <c r="AE14" s="116">
        <v>2167</v>
      </c>
      <c r="AF14" s="117" t="s">
        <v>208</v>
      </c>
      <c r="AG14" s="116">
        <v>1787</v>
      </c>
      <c r="AH14" s="117" t="s">
        <v>208</v>
      </c>
      <c r="AI14" s="116">
        <v>1993</v>
      </c>
      <c r="AJ14" s="117" t="s">
        <v>208</v>
      </c>
      <c r="AK14" s="116">
        <v>2090</v>
      </c>
      <c r="AL14" s="117" t="s">
        <v>208</v>
      </c>
      <c r="AM14" s="116">
        <v>22986.545454545456</v>
      </c>
    </row>
    <row r="15" spans="1:39" s="100" customFormat="1" ht="46.8" x14ac:dyDescent="0.3">
      <c r="A15" s="97">
        <v>5</v>
      </c>
      <c r="B15" s="98" t="s">
        <v>559</v>
      </c>
      <c r="C15" s="98" t="s">
        <v>2708</v>
      </c>
      <c r="D15" s="98" t="s">
        <v>1902</v>
      </c>
      <c r="E15" s="98" t="s">
        <v>2709</v>
      </c>
      <c r="F15" s="98" t="s">
        <v>49</v>
      </c>
      <c r="G15" s="99" t="s">
        <v>2710</v>
      </c>
      <c r="H15" s="99">
        <v>15</v>
      </c>
      <c r="I15" s="99" t="s">
        <v>2710</v>
      </c>
      <c r="J15" s="99">
        <v>3</v>
      </c>
      <c r="K15" s="98" t="s">
        <v>528</v>
      </c>
      <c r="L15" s="98" t="s">
        <v>528</v>
      </c>
      <c r="M15" s="116">
        <v>2974.493469902176</v>
      </c>
      <c r="N15" s="116">
        <v>4878.1840734207799</v>
      </c>
      <c r="O15" s="116">
        <v>521.36</v>
      </c>
      <c r="P15" s="117" t="s">
        <v>208</v>
      </c>
      <c r="Q15" s="116">
        <v>411.11</v>
      </c>
      <c r="R15" s="117" t="s">
        <v>208</v>
      </c>
      <c r="S15" s="116">
        <v>314.58</v>
      </c>
      <c r="T15" s="117" t="s">
        <v>208</v>
      </c>
      <c r="U15" s="116">
        <v>291.06</v>
      </c>
      <c r="V15" s="117" t="s">
        <v>208</v>
      </c>
      <c r="W15" s="116">
        <v>185.22</v>
      </c>
      <c r="X15" s="117" t="s">
        <v>208</v>
      </c>
      <c r="Y15" s="116">
        <v>344.87090909090909</v>
      </c>
      <c r="Z15" s="117" t="s">
        <v>208</v>
      </c>
      <c r="AA15" s="116">
        <v>303.31</v>
      </c>
      <c r="AB15" s="117" t="s">
        <v>208</v>
      </c>
      <c r="AC15" s="116">
        <v>154.35</v>
      </c>
      <c r="AD15" s="117" t="s">
        <v>208</v>
      </c>
      <c r="AE15" s="116">
        <v>301.35000000000002</v>
      </c>
      <c r="AF15" s="117" t="s">
        <v>208</v>
      </c>
      <c r="AG15" s="116">
        <v>391.02</v>
      </c>
      <c r="AH15" s="117" t="s">
        <v>208</v>
      </c>
      <c r="AI15" s="116">
        <v>477.26</v>
      </c>
      <c r="AJ15" s="117" t="s">
        <v>208</v>
      </c>
      <c r="AK15" s="116">
        <v>442.96</v>
      </c>
      <c r="AL15" s="117" t="s">
        <v>208</v>
      </c>
      <c r="AM15" s="116">
        <v>4138.4509090909087</v>
      </c>
    </row>
    <row r="16" spans="1:39" s="100" customFormat="1" ht="46.8" x14ac:dyDescent="0.3">
      <c r="A16" s="97">
        <v>6</v>
      </c>
      <c r="B16" s="98" t="s">
        <v>560</v>
      </c>
      <c r="C16" s="98" t="s">
        <v>2708</v>
      </c>
      <c r="D16" s="98" t="s">
        <v>1902</v>
      </c>
      <c r="E16" s="98" t="s">
        <v>2709</v>
      </c>
      <c r="F16" s="98" t="s">
        <v>49</v>
      </c>
      <c r="G16" s="99" t="s">
        <v>2710</v>
      </c>
      <c r="H16" s="99">
        <v>18</v>
      </c>
      <c r="I16" s="99" t="s">
        <v>2710</v>
      </c>
      <c r="J16" s="99">
        <v>3</v>
      </c>
      <c r="K16" s="98" t="s">
        <v>528</v>
      </c>
      <c r="L16" s="98" t="s">
        <v>528</v>
      </c>
      <c r="M16" s="116">
        <v>2989.1706348784242</v>
      </c>
      <c r="N16" s="116">
        <v>5258.7699944709593</v>
      </c>
      <c r="O16" s="116">
        <v>542.64</v>
      </c>
      <c r="P16" s="117" t="s">
        <v>208</v>
      </c>
      <c r="Q16" s="116">
        <v>427.89</v>
      </c>
      <c r="R16" s="117" t="s">
        <v>208</v>
      </c>
      <c r="S16" s="116">
        <v>327.42</v>
      </c>
      <c r="T16" s="117" t="s">
        <v>208</v>
      </c>
      <c r="U16" s="116">
        <v>302.94</v>
      </c>
      <c r="V16" s="117" t="s">
        <v>208</v>
      </c>
      <c r="W16" s="116">
        <v>192.78</v>
      </c>
      <c r="X16" s="117" t="s">
        <v>208</v>
      </c>
      <c r="Y16" s="116">
        <v>358.94727272727272</v>
      </c>
      <c r="Z16" s="117" t="s">
        <v>208</v>
      </c>
      <c r="AA16" s="116">
        <v>315.69</v>
      </c>
      <c r="AB16" s="117" t="s">
        <v>208</v>
      </c>
      <c r="AC16" s="116">
        <v>160.65</v>
      </c>
      <c r="AD16" s="117" t="s">
        <v>208</v>
      </c>
      <c r="AE16" s="116">
        <v>313.64999999999998</v>
      </c>
      <c r="AF16" s="117" t="s">
        <v>208</v>
      </c>
      <c r="AG16" s="116">
        <v>406.98</v>
      </c>
      <c r="AH16" s="117" t="s">
        <v>208</v>
      </c>
      <c r="AI16" s="116">
        <v>496.74</v>
      </c>
      <c r="AJ16" s="117" t="s">
        <v>208</v>
      </c>
      <c r="AK16" s="116">
        <v>461.04</v>
      </c>
      <c r="AL16" s="117" t="s">
        <v>208</v>
      </c>
      <c r="AM16" s="116">
        <v>4307.3672727272733</v>
      </c>
    </row>
    <row r="17" spans="1:39" s="100" customFormat="1" ht="46.8" x14ac:dyDescent="0.3">
      <c r="A17" s="97">
        <v>7</v>
      </c>
      <c r="B17" s="98" t="s">
        <v>561</v>
      </c>
      <c r="C17" s="98" t="s">
        <v>2708</v>
      </c>
      <c r="D17" s="98" t="s">
        <v>1902</v>
      </c>
      <c r="E17" s="98" t="s">
        <v>2709</v>
      </c>
      <c r="F17" s="98" t="s">
        <v>49</v>
      </c>
      <c r="G17" s="99" t="s">
        <v>2710</v>
      </c>
      <c r="H17" s="99">
        <v>12</v>
      </c>
      <c r="I17" s="99" t="s">
        <v>2710</v>
      </c>
      <c r="J17" s="99">
        <v>2</v>
      </c>
      <c r="K17" s="98" t="s">
        <v>528</v>
      </c>
      <c r="L17" s="98" t="s">
        <v>528</v>
      </c>
      <c r="M17" s="116">
        <v>3159.9010275263763</v>
      </c>
      <c r="N17" s="116">
        <v>5298.6180441214101</v>
      </c>
      <c r="O17" s="116">
        <v>439</v>
      </c>
      <c r="P17" s="117" t="s">
        <v>208</v>
      </c>
      <c r="Q17" s="116">
        <v>592</v>
      </c>
      <c r="R17" s="117" t="s">
        <v>208</v>
      </c>
      <c r="S17" s="116">
        <v>458</v>
      </c>
      <c r="T17" s="117" t="s">
        <v>208</v>
      </c>
      <c r="U17" s="116">
        <v>347</v>
      </c>
      <c r="V17" s="117" t="s">
        <v>208</v>
      </c>
      <c r="W17" s="116">
        <v>260</v>
      </c>
      <c r="X17" s="117" t="s">
        <v>208</v>
      </c>
      <c r="Y17" s="116">
        <v>354.72727272727275</v>
      </c>
      <c r="Z17" s="117" t="s">
        <v>208</v>
      </c>
      <c r="AA17" s="116">
        <v>286</v>
      </c>
      <c r="AB17" s="117" t="s">
        <v>208</v>
      </c>
      <c r="AC17" s="116">
        <v>138</v>
      </c>
      <c r="AD17" s="117" t="s">
        <v>208</v>
      </c>
      <c r="AE17" s="116">
        <v>369</v>
      </c>
      <c r="AF17" s="117" t="s">
        <v>208</v>
      </c>
      <c r="AG17" s="116">
        <v>305</v>
      </c>
      <c r="AH17" s="117" t="s">
        <v>208</v>
      </c>
      <c r="AI17" s="116">
        <v>365</v>
      </c>
      <c r="AJ17" s="117" t="s">
        <v>208</v>
      </c>
      <c r="AK17" s="116">
        <v>343</v>
      </c>
      <c r="AL17" s="117" t="s">
        <v>208</v>
      </c>
      <c r="AM17" s="116">
        <v>4256.727272727273</v>
      </c>
    </row>
    <row r="18" spans="1:39" s="100" customFormat="1" ht="46.8" x14ac:dyDescent="0.3">
      <c r="A18" s="97">
        <v>8</v>
      </c>
      <c r="B18" s="98" t="s">
        <v>562</v>
      </c>
      <c r="C18" s="98" t="s">
        <v>2708</v>
      </c>
      <c r="D18" s="98" t="s">
        <v>1902</v>
      </c>
      <c r="E18" s="98" t="s">
        <v>2709</v>
      </c>
      <c r="F18" s="98" t="s">
        <v>49</v>
      </c>
      <c r="G18" s="99" t="s">
        <v>2710</v>
      </c>
      <c r="H18" s="99">
        <v>49</v>
      </c>
      <c r="I18" s="99" t="s">
        <v>2710</v>
      </c>
      <c r="J18" s="99">
        <v>7</v>
      </c>
      <c r="K18" s="98" t="s">
        <v>528</v>
      </c>
      <c r="L18" s="98" t="s">
        <v>528</v>
      </c>
      <c r="M18" s="116">
        <v>13434.160056028048</v>
      </c>
      <c r="N18" s="116">
        <v>22755.411896659472</v>
      </c>
      <c r="O18" s="116">
        <v>2085</v>
      </c>
      <c r="P18" s="117" t="s">
        <v>208</v>
      </c>
      <c r="Q18" s="116">
        <v>2416</v>
      </c>
      <c r="R18" s="117" t="s">
        <v>208</v>
      </c>
      <c r="S18" s="116">
        <v>1791</v>
      </c>
      <c r="T18" s="117" t="s">
        <v>208</v>
      </c>
      <c r="U18" s="116">
        <v>1794</v>
      </c>
      <c r="V18" s="117" t="s">
        <v>208</v>
      </c>
      <c r="W18" s="116">
        <v>1430</v>
      </c>
      <c r="X18" s="117" t="s">
        <v>208</v>
      </c>
      <c r="Y18" s="116">
        <v>1580.1818181818182</v>
      </c>
      <c r="Z18" s="117" t="s">
        <v>208</v>
      </c>
      <c r="AA18" s="116">
        <v>1701</v>
      </c>
      <c r="AB18" s="117" t="s">
        <v>208</v>
      </c>
      <c r="AC18" s="116">
        <v>573</v>
      </c>
      <c r="AD18" s="117" t="s">
        <v>208</v>
      </c>
      <c r="AE18" s="116">
        <v>1580</v>
      </c>
      <c r="AF18" s="117" t="s">
        <v>208</v>
      </c>
      <c r="AG18" s="116">
        <v>1279</v>
      </c>
      <c r="AH18" s="117" t="s">
        <v>208</v>
      </c>
      <c r="AI18" s="116">
        <v>1303</v>
      </c>
      <c r="AJ18" s="117" t="s">
        <v>208</v>
      </c>
      <c r="AK18" s="116">
        <v>1430</v>
      </c>
      <c r="AL18" s="117" t="s">
        <v>208</v>
      </c>
      <c r="AM18" s="116">
        <v>18962.181818181816</v>
      </c>
    </row>
    <row r="19" spans="1:39" s="100" customFormat="1" ht="46.8" x14ac:dyDescent="0.3">
      <c r="A19" s="97">
        <v>9</v>
      </c>
      <c r="B19" s="98" t="s">
        <v>563</v>
      </c>
      <c r="C19" s="98" t="s">
        <v>2708</v>
      </c>
      <c r="D19" s="98" t="s">
        <v>1902</v>
      </c>
      <c r="E19" s="98" t="s">
        <v>2709</v>
      </c>
      <c r="F19" s="98" t="s">
        <v>49</v>
      </c>
      <c r="G19" s="99" t="s">
        <v>2710</v>
      </c>
      <c r="H19" s="99">
        <v>15</v>
      </c>
      <c r="I19" s="99" t="s">
        <v>2710</v>
      </c>
      <c r="J19" s="99">
        <v>3</v>
      </c>
      <c r="K19" s="98" t="s">
        <v>528</v>
      </c>
      <c r="L19" s="98" t="s">
        <v>528</v>
      </c>
      <c r="M19" s="116">
        <v>5638.4208973892401</v>
      </c>
      <c r="N19" s="116">
        <v>9067.7229875005305</v>
      </c>
      <c r="O19" s="116">
        <v>723</v>
      </c>
      <c r="P19" s="117" t="s">
        <v>208</v>
      </c>
      <c r="Q19" s="116">
        <v>1007</v>
      </c>
      <c r="R19" s="117" t="s">
        <v>208</v>
      </c>
      <c r="S19" s="116">
        <v>687</v>
      </c>
      <c r="T19" s="117" t="s">
        <v>208</v>
      </c>
      <c r="U19" s="116">
        <v>711</v>
      </c>
      <c r="V19" s="117" t="s">
        <v>208</v>
      </c>
      <c r="W19" s="116">
        <v>628</v>
      </c>
      <c r="X19" s="117" t="s">
        <v>208</v>
      </c>
      <c r="Y19" s="116">
        <v>629.81818181818187</v>
      </c>
      <c r="Z19" s="117" t="s">
        <v>208</v>
      </c>
      <c r="AA19" s="116">
        <v>467</v>
      </c>
      <c r="AB19" s="117" t="s">
        <v>208</v>
      </c>
      <c r="AC19" s="116">
        <v>183</v>
      </c>
      <c r="AD19" s="117" t="s">
        <v>208</v>
      </c>
      <c r="AE19" s="116">
        <v>528</v>
      </c>
      <c r="AF19" s="117" t="s">
        <v>208</v>
      </c>
      <c r="AG19" s="116">
        <v>519</v>
      </c>
      <c r="AH19" s="117" t="s">
        <v>208</v>
      </c>
      <c r="AI19" s="116">
        <v>756</v>
      </c>
      <c r="AJ19" s="117" t="s">
        <v>208</v>
      </c>
      <c r="AK19" s="116">
        <v>719</v>
      </c>
      <c r="AL19" s="117" t="s">
        <v>208</v>
      </c>
      <c r="AM19" s="116">
        <v>7557.818181818182</v>
      </c>
    </row>
    <row r="20" spans="1:39" s="100" customFormat="1" ht="46.8" x14ac:dyDescent="0.3">
      <c r="A20" s="97">
        <v>10</v>
      </c>
      <c r="B20" s="98" t="s">
        <v>564</v>
      </c>
      <c r="C20" s="98" t="s">
        <v>2708</v>
      </c>
      <c r="D20" s="98" t="s">
        <v>1902</v>
      </c>
      <c r="E20" s="98" t="s">
        <v>2709</v>
      </c>
      <c r="F20" s="98" t="s">
        <v>49</v>
      </c>
      <c r="G20" s="99" t="s">
        <v>2710</v>
      </c>
      <c r="H20" s="99">
        <v>42</v>
      </c>
      <c r="I20" s="99" t="s">
        <v>2710</v>
      </c>
      <c r="J20" s="99">
        <v>6</v>
      </c>
      <c r="K20" s="98" t="s">
        <v>528</v>
      </c>
      <c r="L20" s="98" t="s">
        <v>528</v>
      </c>
      <c r="M20" s="116">
        <v>16142.743873454674</v>
      </c>
      <c r="N20" s="116">
        <v>26887.620596282166</v>
      </c>
      <c r="O20" s="116">
        <v>2072</v>
      </c>
      <c r="P20" s="117" t="s">
        <v>208</v>
      </c>
      <c r="Q20" s="116">
        <v>2132</v>
      </c>
      <c r="R20" s="117" t="s">
        <v>208</v>
      </c>
      <c r="S20" s="116">
        <v>1813</v>
      </c>
      <c r="T20" s="117" t="s">
        <v>208</v>
      </c>
      <c r="U20" s="116">
        <v>1766</v>
      </c>
      <c r="V20" s="117" t="s">
        <v>208</v>
      </c>
      <c r="W20" s="116">
        <v>1515</v>
      </c>
      <c r="X20" s="117" t="s">
        <v>208</v>
      </c>
      <c r="Y20" s="116">
        <v>1942.090909090909</v>
      </c>
      <c r="Z20" s="117" t="s">
        <v>208</v>
      </c>
      <c r="AA20" s="116">
        <v>2425</v>
      </c>
      <c r="AB20" s="117" t="s">
        <v>208</v>
      </c>
      <c r="AC20" s="116">
        <v>1632</v>
      </c>
      <c r="AD20" s="117" t="s">
        <v>208</v>
      </c>
      <c r="AE20" s="116">
        <v>1767</v>
      </c>
      <c r="AF20" s="117" t="s">
        <v>208</v>
      </c>
      <c r="AG20" s="116">
        <v>2319</v>
      </c>
      <c r="AH20" s="117" t="s">
        <v>208</v>
      </c>
      <c r="AI20" s="116">
        <v>1590</v>
      </c>
      <c r="AJ20" s="117" t="s">
        <v>208</v>
      </c>
      <c r="AK20" s="116">
        <v>2332</v>
      </c>
      <c r="AL20" s="117" t="s">
        <v>208</v>
      </c>
      <c r="AM20" s="116">
        <v>23305.090909090908</v>
      </c>
    </row>
    <row r="21" spans="1:39" s="100" customFormat="1" ht="46.8" x14ac:dyDescent="0.3">
      <c r="A21" s="97">
        <v>11</v>
      </c>
      <c r="B21" s="98" t="s">
        <v>566</v>
      </c>
      <c r="C21" s="98" t="s">
        <v>2708</v>
      </c>
      <c r="D21" s="98" t="s">
        <v>1902</v>
      </c>
      <c r="E21" s="98" t="s">
        <v>2709</v>
      </c>
      <c r="F21" s="98" t="s">
        <v>49</v>
      </c>
      <c r="G21" s="99" t="s">
        <v>2710</v>
      </c>
      <c r="H21" s="99">
        <v>20</v>
      </c>
      <c r="I21" s="99" t="s">
        <v>2710</v>
      </c>
      <c r="J21" s="99">
        <v>4</v>
      </c>
      <c r="K21" s="98" t="s">
        <v>528</v>
      </c>
      <c r="L21" s="98" t="s">
        <v>528</v>
      </c>
      <c r="M21" s="116">
        <v>7954.3281781063515</v>
      </c>
      <c r="N21" s="116">
        <v>12492.114406421166</v>
      </c>
      <c r="O21" s="116">
        <v>600</v>
      </c>
      <c r="P21" s="117" t="s">
        <v>208</v>
      </c>
      <c r="Q21" s="116">
        <v>1200</v>
      </c>
      <c r="R21" s="117" t="s">
        <v>208</v>
      </c>
      <c r="S21" s="116">
        <v>1010</v>
      </c>
      <c r="T21" s="117" t="s">
        <v>208</v>
      </c>
      <c r="U21" s="116">
        <v>729</v>
      </c>
      <c r="V21" s="117" t="s">
        <v>208</v>
      </c>
      <c r="W21" s="116">
        <v>842</v>
      </c>
      <c r="X21" s="117" t="s">
        <v>208</v>
      </c>
      <c r="Y21" s="116">
        <v>896.09090909090912</v>
      </c>
      <c r="Z21" s="117" t="s">
        <v>208</v>
      </c>
      <c r="AA21" s="116">
        <v>923</v>
      </c>
      <c r="AB21" s="117" t="s">
        <v>208</v>
      </c>
      <c r="AC21" s="116">
        <v>662</v>
      </c>
      <c r="AD21" s="117" t="s">
        <v>208</v>
      </c>
      <c r="AE21" s="116">
        <v>902</v>
      </c>
      <c r="AF21" s="117" t="s">
        <v>208</v>
      </c>
      <c r="AG21" s="116">
        <v>1123</v>
      </c>
      <c r="AH21" s="117" t="s">
        <v>208</v>
      </c>
      <c r="AI21" s="116">
        <v>893</v>
      </c>
      <c r="AJ21" s="117" t="s">
        <v>208</v>
      </c>
      <c r="AK21" s="116">
        <v>973</v>
      </c>
      <c r="AL21" s="117" t="s">
        <v>208</v>
      </c>
      <c r="AM21" s="116">
        <v>10753.090909090908</v>
      </c>
    </row>
    <row r="22" spans="1:39" s="100" customFormat="1" ht="46.8" x14ac:dyDescent="0.3">
      <c r="A22" s="97">
        <v>12</v>
      </c>
      <c r="B22" s="98" t="s">
        <v>568</v>
      </c>
      <c r="C22" s="98" t="s">
        <v>2708</v>
      </c>
      <c r="D22" s="98" t="s">
        <v>1902</v>
      </c>
      <c r="E22" s="98" t="s">
        <v>2709</v>
      </c>
      <c r="F22" s="98" t="s">
        <v>49</v>
      </c>
      <c r="G22" s="99" t="s">
        <v>2710</v>
      </c>
      <c r="H22" s="99">
        <v>42</v>
      </c>
      <c r="I22" s="99" t="s">
        <v>2710</v>
      </c>
      <c r="J22" s="99">
        <v>7</v>
      </c>
      <c r="K22" s="98" t="s">
        <v>528</v>
      </c>
      <c r="L22" s="98" t="s">
        <v>528</v>
      </c>
      <c r="M22" s="116">
        <v>20772.372925453757</v>
      </c>
      <c r="N22" s="116">
        <v>33427.348770668556</v>
      </c>
      <c r="O22" s="116">
        <v>1990</v>
      </c>
      <c r="P22" s="117" t="s">
        <v>208</v>
      </c>
      <c r="Q22" s="116">
        <v>3163</v>
      </c>
      <c r="R22" s="117" t="s">
        <v>208</v>
      </c>
      <c r="S22" s="116">
        <v>2283</v>
      </c>
      <c r="T22" s="117" t="s">
        <v>208</v>
      </c>
      <c r="U22" s="116">
        <v>1632</v>
      </c>
      <c r="V22" s="117" t="s">
        <v>208</v>
      </c>
      <c r="W22" s="116">
        <v>1896</v>
      </c>
      <c r="X22" s="117" t="s">
        <v>208</v>
      </c>
      <c r="Y22" s="116">
        <v>2371.181818181818</v>
      </c>
      <c r="Z22" s="117" t="s">
        <v>208</v>
      </c>
      <c r="AA22" s="116">
        <v>3042</v>
      </c>
      <c r="AB22" s="117" t="s">
        <v>208</v>
      </c>
      <c r="AC22" s="116">
        <v>3042</v>
      </c>
      <c r="AD22" s="117" t="s">
        <v>208</v>
      </c>
      <c r="AE22" s="116">
        <v>2838</v>
      </c>
      <c r="AF22" s="117" t="s">
        <v>208</v>
      </c>
      <c r="AG22" s="116">
        <v>2341</v>
      </c>
      <c r="AH22" s="117" t="s">
        <v>208</v>
      </c>
      <c r="AI22" s="116">
        <v>1658</v>
      </c>
      <c r="AJ22" s="117" t="s">
        <v>208</v>
      </c>
      <c r="AK22" s="116">
        <v>2198</v>
      </c>
      <c r="AL22" s="117" t="s">
        <v>208</v>
      </c>
      <c r="AM22" s="116">
        <v>28454.181818181816</v>
      </c>
    </row>
    <row r="23" spans="1:39" s="100" customFormat="1" ht="46.8" x14ac:dyDescent="0.3">
      <c r="A23" s="97">
        <v>13</v>
      </c>
      <c r="B23" s="98" t="s">
        <v>569</v>
      </c>
      <c r="C23" s="98" t="s">
        <v>2708</v>
      </c>
      <c r="D23" s="98" t="s">
        <v>1902</v>
      </c>
      <c r="E23" s="98" t="s">
        <v>2709</v>
      </c>
      <c r="F23" s="98" t="s">
        <v>49</v>
      </c>
      <c r="G23" s="99" t="s">
        <v>2710</v>
      </c>
      <c r="H23" s="99">
        <v>36</v>
      </c>
      <c r="I23" s="99" t="s">
        <v>2710</v>
      </c>
      <c r="J23" s="99">
        <v>6</v>
      </c>
      <c r="K23" s="98" t="s">
        <v>528</v>
      </c>
      <c r="L23" s="98" t="s">
        <v>528</v>
      </c>
      <c r="M23" s="116">
        <v>19667.108097308563</v>
      </c>
      <c r="N23" s="116">
        <v>34280.302122501373</v>
      </c>
      <c r="O23" s="116">
        <v>2873</v>
      </c>
      <c r="P23" s="117" t="s">
        <v>208</v>
      </c>
      <c r="Q23" s="116">
        <v>2714</v>
      </c>
      <c r="R23" s="117" t="s">
        <v>208</v>
      </c>
      <c r="S23" s="116">
        <v>2281</v>
      </c>
      <c r="T23" s="117" t="s">
        <v>208</v>
      </c>
      <c r="U23" s="116">
        <v>2272</v>
      </c>
      <c r="V23" s="117" t="s">
        <v>208</v>
      </c>
      <c r="W23" s="116">
        <v>1935</v>
      </c>
      <c r="X23" s="117" t="s">
        <v>208</v>
      </c>
      <c r="Y23" s="116">
        <v>2305.090909090909</v>
      </c>
      <c r="Z23" s="117" t="s">
        <v>208</v>
      </c>
      <c r="AA23" s="116">
        <v>2376</v>
      </c>
      <c r="AB23" s="117" t="s">
        <v>208</v>
      </c>
      <c r="AC23" s="116">
        <v>1690</v>
      </c>
      <c r="AD23" s="117" t="s">
        <v>208</v>
      </c>
      <c r="AE23" s="116">
        <v>1769</v>
      </c>
      <c r="AF23" s="117" t="s">
        <v>208</v>
      </c>
      <c r="AG23" s="116">
        <v>2743</v>
      </c>
      <c r="AH23" s="117" t="s">
        <v>208</v>
      </c>
      <c r="AI23" s="116">
        <v>1931</v>
      </c>
      <c r="AJ23" s="117" t="s">
        <v>208</v>
      </c>
      <c r="AK23" s="116">
        <v>2772</v>
      </c>
      <c r="AL23" s="117" t="s">
        <v>208</v>
      </c>
      <c r="AM23" s="116">
        <v>27661.090909090908</v>
      </c>
    </row>
    <row r="24" spans="1:39" s="100" customFormat="1" ht="46.8" x14ac:dyDescent="0.3">
      <c r="A24" s="97">
        <v>14</v>
      </c>
      <c r="B24" s="98" t="s">
        <v>570</v>
      </c>
      <c r="C24" s="98" t="s">
        <v>2708</v>
      </c>
      <c r="D24" s="98" t="s">
        <v>1902</v>
      </c>
      <c r="E24" s="98" t="s">
        <v>2709</v>
      </c>
      <c r="F24" s="98" t="s">
        <v>49</v>
      </c>
      <c r="G24" s="99" t="s">
        <v>2710</v>
      </c>
      <c r="H24" s="99">
        <v>70</v>
      </c>
      <c r="I24" s="99" t="s">
        <v>2710</v>
      </c>
      <c r="J24" s="99">
        <v>10</v>
      </c>
      <c r="K24" s="98" t="s">
        <v>528</v>
      </c>
      <c r="L24" s="98" t="s">
        <v>528</v>
      </c>
      <c r="M24" s="116">
        <v>33521.282130862935</v>
      </c>
      <c r="N24" s="116">
        <v>55721.624621451876</v>
      </c>
      <c r="O24" s="116">
        <v>4537</v>
      </c>
      <c r="P24" s="117" t="s">
        <v>208</v>
      </c>
      <c r="Q24" s="116">
        <v>4178</v>
      </c>
      <c r="R24" s="117" t="s">
        <v>208</v>
      </c>
      <c r="S24" s="116">
        <v>3416</v>
      </c>
      <c r="T24" s="117" t="s">
        <v>208</v>
      </c>
      <c r="U24" s="116">
        <v>4040</v>
      </c>
      <c r="V24" s="117" t="s">
        <v>208</v>
      </c>
      <c r="W24" s="116">
        <v>3618</v>
      </c>
      <c r="X24" s="117" t="s">
        <v>208</v>
      </c>
      <c r="Y24" s="116">
        <v>3745.181818181818</v>
      </c>
      <c r="Z24" s="117" t="s">
        <v>208</v>
      </c>
      <c r="AA24" s="116">
        <v>3834</v>
      </c>
      <c r="AB24" s="117" t="s">
        <v>208</v>
      </c>
      <c r="AC24" s="116">
        <v>2829</v>
      </c>
      <c r="AD24" s="117" t="s">
        <v>208</v>
      </c>
      <c r="AE24" s="116">
        <v>3150</v>
      </c>
      <c r="AF24" s="117" t="s">
        <v>208</v>
      </c>
      <c r="AG24" s="116">
        <v>4097</v>
      </c>
      <c r="AH24" s="117" t="s">
        <v>208</v>
      </c>
      <c r="AI24" s="116">
        <v>2979</v>
      </c>
      <c r="AJ24" s="117" t="s">
        <v>208</v>
      </c>
      <c r="AK24" s="116">
        <v>4519</v>
      </c>
      <c r="AL24" s="117" t="s">
        <v>208</v>
      </c>
      <c r="AM24" s="116">
        <v>44942.181818181816</v>
      </c>
    </row>
    <row r="25" spans="1:39" s="100" customFormat="1" ht="46.8" x14ac:dyDescent="0.3">
      <c r="A25" s="97">
        <v>15</v>
      </c>
      <c r="B25" s="98" t="s">
        <v>571</v>
      </c>
      <c r="C25" s="98" t="s">
        <v>2708</v>
      </c>
      <c r="D25" s="98" t="s">
        <v>1902</v>
      </c>
      <c r="E25" s="98" t="s">
        <v>2709</v>
      </c>
      <c r="F25" s="98" t="s">
        <v>49</v>
      </c>
      <c r="G25" s="99" t="s">
        <v>2710</v>
      </c>
      <c r="H25" s="99">
        <v>15</v>
      </c>
      <c r="I25" s="99" t="s">
        <v>2710</v>
      </c>
      <c r="J25" s="99">
        <v>3</v>
      </c>
      <c r="K25" s="98" t="s">
        <v>528</v>
      </c>
      <c r="L25" s="98" t="s">
        <v>528</v>
      </c>
      <c r="M25" s="116">
        <v>105.69134744387561</v>
      </c>
      <c r="N25" s="116">
        <v>177.88523332408124</v>
      </c>
      <c r="O25" s="116">
        <v>29</v>
      </c>
      <c r="P25" s="117" t="s">
        <v>208</v>
      </c>
      <c r="Q25" s="116">
        <v>7</v>
      </c>
      <c r="R25" s="117" t="s">
        <v>208</v>
      </c>
      <c r="S25" s="116">
        <v>8</v>
      </c>
      <c r="T25" s="117" t="s">
        <v>208</v>
      </c>
      <c r="U25" s="116">
        <v>7</v>
      </c>
      <c r="V25" s="117" t="s">
        <v>208</v>
      </c>
      <c r="W25" s="116">
        <v>21</v>
      </c>
      <c r="X25" s="117" t="s">
        <v>208</v>
      </c>
      <c r="Y25" s="116">
        <v>12.454545454545455</v>
      </c>
      <c r="Z25" s="117" t="s">
        <v>208</v>
      </c>
      <c r="AA25" s="116">
        <v>0</v>
      </c>
      <c r="AB25" s="117" t="s">
        <v>208</v>
      </c>
      <c r="AC25" s="116">
        <v>0</v>
      </c>
      <c r="AD25" s="117" t="s">
        <v>208</v>
      </c>
      <c r="AE25" s="116">
        <v>0</v>
      </c>
      <c r="AF25" s="117" t="s">
        <v>208</v>
      </c>
      <c r="AG25" s="116">
        <v>0</v>
      </c>
      <c r="AH25" s="117" t="s">
        <v>208</v>
      </c>
      <c r="AI25" s="116">
        <v>9</v>
      </c>
      <c r="AJ25" s="117" t="s">
        <v>208</v>
      </c>
      <c r="AK25" s="116">
        <v>56</v>
      </c>
      <c r="AL25" s="117" t="s">
        <v>208</v>
      </c>
      <c r="AM25" s="116">
        <v>149.45454545454544</v>
      </c>
    </row>
    <row r="26" spans="1:39" s="100" customFormat="1" ht="46.8" x14ac:dyDescent="0.3">
      <c r="A26" s="97">
        <v>16</v>
      </c>
      <c r="B26" s="98" t="s">
        <v>572</v>
      </c>
      <c r="C26" s="98" t="s">
        <v>2708</v>
      </c>
      <c r="D26" s="98" t="s">
        <v>1902</v>
      </c>
      <c r="E26" s="98" t="s">
        <v>2709</v>
      </c>
      <c r="F26" s="98" t="s">
        <v>49</v>
      </c>
      <c r="G26" s="99" t="s">
        <v>2710</v>
      </c>
      <c r="H26" s="99">
        <v>35</v>
      </c>
      <c r="I26" s="99" t="s">
        <v>2710</v>
      </c>
      <c r="J26" s="99">
        <v>7</v>
      </c>
      <c r="K26" s="98" t="s">
        <v>528</v>
      </c>
      <c r="L26" s="98" t="s">
        <v>528</v>
      </c>
      <c r="M26" s="116">
        <v>15171.407607639174</v>
      </c>
      <c r="N26" s="116">
        <v>27666.656975404094</v>
      </c>
      <c r="O26" s="116">
        <v>2199</v>
      </c>
      <c r="P26" s="117" t="s">
        <v>208</v>
      </c>
      <c r="Q26" s="116">
        <v>2230</v>
      </c>
      <c r="R26" s="117" t="s">
        <v>208</v>
      </c>
      <c r="S26" s="116">
        <v>1661</v>
      </c>
      <c r="T26" s="117" t="s">
        <v>208</v>
      </c>
      <c r="U26" s="116">
        <v>1764</v>
      </c>
      <c r="V26" s="117" t="s">
        <v>208</v>
      </c>
      <c r="W26" s="116">
        <v>1460</v>
      </c>
      <c r="X26" s="117" t="s">
        <v>208</v>
      </c>
      <c r="Y26" s="116">
        <v>1897.4545454545455</v>
      </c>
      <c r="Z26" s="117" t="s">
        <v>208</v>
      </c>
      <c r="AA26" s="116">
        <v>2151</v>
      </c>
      <c r="AB26" s="117" t="s">
        <v>208</v>
      </c>
      <c r="AC26" s="116">
        <v>1514</v>
      </c>
      <c r="AD26" s="117" t="s">
        <v>208</v>
      </c>
      <c r="AE26" s="116">
        <v>1666</v>
      </c>
      <c r="AF26" s="117" t="s">
        <v>208</v>
      </c>
      <c r="AG26" s="116">
        <v>1616</v>
      </c>
      <c r="AH26" s="117" t="s">
        <v>208</v>
      </c>
      <c r="AI26" s="116">
        <v>2229</v>
      </c>
      <c r="AJ26" s="117" t="s">
        <v>208</v>
      </c>
      <c r="AK26" s="116">
        <v>2382</v>
      </c>
      <c r="AL26" s="117" t="s">
        <v>208</v>
      </c>
      <c r="AM26" s="116">
        <v>22769.454545454544</v>
      </c>
    </row>
    <row r="27" spans="1:39" s="100" customFormat="1" ht="46.8" x14ac:dyDescent="0.3">
      <c r="A27" s="97">
        <v>17</v>
      </c>
      <c r="B27" s="98" t="s">
        <v>573</v>
      </c>
      <c r="C27" s="98" t="s">
        <v>2708</v>
      </c>
      <c r="D27" s="98" t="s">
        <v>1902</v>
      </c>
      <c r="E27" s="98" t="s">
        <v>2709</v>
      </c>
      <c r="F27" s="98" t="s">
        <v>49</v>
      </c>
      <c r="G27" s="99" t="s">
        <v>2710</v>
      </c>
      <c r="H27" s="99">
        <v>63</v>
      </c>
      <c r="I27" s="99" t="s">
        <v>2710</v>
      </c>
      <c r="J27" s="99">
        <v>9</v>
      </c>
      <c r="K27" s="98" t="s">
        <v>528</v>
      </c>
      <c r="L27" s="98" t="s">
        <v>528</v>
      </c>
      <c r="M27" s="116">
        <v>24918.39920414989</v>
      </c>
      <c r="N27" s="116">
        <v>38489.309196204355</v>
      </c>
      <c r="O27" s="116">
        <v>2830</v>
      </c>
      <c r="P27" s="117" t="s">
        <v>208</v>
      </c>
      <c r="Q27" s="116">
        <v>2740</v>
      </c>
      <c r="R27" s="117" t="s">
        <v>208</v>
      </c>
      <c r="S27" s="116">
        <v>2714</v>
      </c>
      <c r="T27" s="117" t="s">
        <v>208</v>
      </c>
      <c r="U27" s="116">
        <v>2768</v>
      </c>
      <c r="V27" s="117" t="s">
        <v>208</v>
      </c>
      <c r="W27" s="116">
        <v>2685</v>
      </c>
      <c r="X27" s="117" t="s">
        <v>208</v>
      </c>
      <c r="Y27" s="116">
        <v>2777.181818181818</v>
      </c>
      <c r="Z27" s="117" t="s">
        <v>208</v>
      </c>
      <c r="AA27" s="116">
        <v>3481</v>
      </c>
      <c r="AB27" s="117" t="s">
        <v>208</v>
      </c>
      <c r="AC27" s="116">
        <v>2461</v>
      </c>
      <c r="AD27" s="117" t="s">
        <v>208</v>
      </c>
      <c r="AE27" s="116">
        <v>2401</v>
      </c>
      <c r="AF27" s="117" t="s">
        <v>208</v>
      </c>
      <c r="AG27" s="116">
        <v>3288</v>
      </c>
      <c r="AH27" s="117" t="s">
        <v>208</v>
      </c>
      <c r="AI27" s="116">
        <v>2147</v>
      </c>
      <c r="AJ27" s="117" t="s">
        <v>208</v>
      </c>
      <c r="AK27" s="116">
        <v>3034</v>
      </c>
      <c r="AL27" s="117" t="s">
        <v>208</v>
      </c>
      <c r="AM27" s="116">
        <v>33326.181818181816</v>
      </c>
    </row>
    <row r="28" spans="1:39" s="100" customFormat="1" ht="46.8" x14ac:dyDescent="0.3">
      <c r="A28" s="97">
        <v>18</v>
      </c>
      <c r="B28" s="98" t="s">
        <v>574</v>
      </c>
      <c r="C28" s="98" t="s">
        <v>2708</v>
      </c>
      <c r="D28" s="98" t="s">
        <v>1902</v>
      </c>
      <c r="E28" s="98" t="s">
        <v>2709</v>
      </c>
      <c r="F28" s="98" t="s">
        <v>49</v>
      </c>
      <c r="G28" s="99" t="s">
        <v>2710</v>
      </c>
      <c r="H28" s="99">
        <v>54</v>
      </c>
      <c r="I28" s="99" t="s">
        <v>2710</v>
      </c>
      <c r="J28" s="99">
        <v>9</v>
      </c>
      <c r="K28" s="98" t="s">
        <v>528</v>
      </c>
      <c r="L28" s="98" t="s">
        <v>528</v>
      </c>
      <c r="M28" s="116">
        <v>36354.895831986105</v>
      </c>
      <c r="N28" s="116">
        <v>65709.601286493897</v>
      </c>
      <c r="O28" s="116">
        <v>5797</v>
      </c>
      <c r="P28" s="117" t="s">
        <v>208</v>
      </c>
      <c r="Q28" s="116">
        <v>5577</v>
      </c>
      <c r="R28" s="117" t="s">
        <v>208</v>
      </c>
      <c r="S28" s="116">
        <v>4434</v>
      </c>
      <c r="T28" s="117" t="s">
        <v>208</v>
      </c>
      <c r="U28" s="116">
        <v>4172</v>
      </c>
      <c r="V28" s="117" t="s">
        <v>208</v>
      </c>
      <c r="W28" s="116">
        <v>3509</v>
      </c>
      <c r="X28" s="117" t="s">
        <v>208</v>
      </c>
      <c r="Y28" s="116">
        <v>4552.636363636364</v>
      </c>
      <c r="Z28" s="117" t="s">
        <v>208</v>
      </c>
      <c r="AA28" s="116">
        <v>4114</v>
      </c>
      <c r="AB28" s="117" t="s">
        <v>208</v>
      </c>
      <c r="AC28" s="116">
        <v>1317</v>
      </c>
      <c r="AD28" s="117" t="s">
        <v>208</v>
      </c>
      <c r="AE28" s="116">
        <v>3996</v>
      </c>
      <c r="AF28" s="117" t="s">
        <v>208</v>
      </c>
      <c r="AG28" s="116">
        <v>2823</v>
      </c>
      <c r="AH28" s="117" t="s">
        <v>208</v>
      </c>
      <c r="AI28" s="116">
        <v>3123</v>
      </c>
      <c r="AJ28" s="117" t="s">
        <v>208</v>
      </c>
      <c r="AK28" s="116">
        <v>11217</v>
      </c>
      <c r="AL28" s="117" t="s">
        <v>208</v>
      </c>
      <c r="AM28" s="116">
        <v>54631.636363636368</v>
      </c>
    </row>
    <row r="29" spans="1:39" s="100" customFormat="1" ht="46.8" x14ac:dyDescent="0.3">
      <c r="A29" s="97">
        <v>19</v>
      </c>
      <c r="B29" s="98" t="s">
        <v>576</v>
      </c>
      <c r="C29" s="98" t="s">
        <v>2708</v>
      </c>
      <c r="D29" s="98" t="s">
        <v>1902</v>
      </c>
      <c r="E29" s="98" t="s">
        <v>2709</v>
      </c>
      <c r="F29" s="98" t="s">
        <v>49</v>
      </c>
      <c r="G29" s="99" t="s">
        <v>2710</v>
      </c>
      <c r="H29" s="99">
        <v>15</v>
      </c>
      <c r="I29" s="99" t="s">
        <v>2710</v>
      </c>
      <c r="J29" s="99">
        <v>3</v>
      </c>
      <c r="K29" s="98" t="s">
        <v>528</v>
      </c>
      <c r="L29" s="98" t="s">
        <v>528</v>
      </c>
      <c r="M29" s="116">
        <v>7888.5704562033388</v>
      </c>
      <c r="N29" s="116">
        <v>13687.611795710352</v>
      </c>
      <c r="O29" s="116">
        <v>1135</v>
      </c>
      <c r="P29" s="117" t="s">
        <v>208</v>
      </c>
      <c r="Q29" s="116">
        <v>1100</v>
      </c>
      <c r="R29" s="117" t="s">
        <v>208</v>
      </c>
      <c r="S29" s="116">
        <v>801</v>
      </c>
      <c r="T29" s="117" t="s">
        <v>208</v>
      </c>
      <c r="U29" s="116">
        <v>823</v>
      </c>
      <c r="V29" s="117" t="s">
        <v>208</v>
      </c>
      <c r="W29" s="116">
        <v>832</v>
      </c>
      <c r="X29" s="117" t="s">
        <v>208</v>
      </c>
      <c r="Y29" s="116">
        <v>974.4545454545455</v>
      </c>
      <c r="Z29" s="117" t="s">
        <v>208</v>
      </c>
      <c r="AA29" s="116">
        <v>960</v>
      </c>
      <c r="AB29" s="117" t="s">
        <v>208</v>
      </c>
      <c r="AC29" s="116">
        <v>719</v>
      </c>
      <c r="AD29" s="117" t="s">
        <v>208</v>
      </c>
      <c r="AE29" s="116">
        <v>751</v>
      </c>
      <c r="AF29" s="117" t="s">
        <v>208</v>
      </c>
      <c r="AG29" s="116">
        <v>1387</v>
      </c>
      <c r="AH29" s="117" t="s">
        <v>208</v>
      </c>
      <c r="AI29" s="116">
        <v>903</v>
      </c>
      <c r="AJ29" s="117" t="s">
        <v>208</v>
      </c>
      <c r="AK29" s="116">
        <v>1308</v>
      </c>
      <c r="AL29" s="117" t="s">
        <v>208</v>
      </c>
      <c r="AM29" s="116">
        <v>11693.454545454546</v>
      </c>
    </row>
    <row r="30" spans="1:39" s="100" customFormat="1" ht="46.8" x14ac:dyDescent="0.3">
      <c r="A30" s="97">
        <v>20</v>
      </c>
      <c r="B30" s="98" t="s">
        <v>577</v>
      </c>
      <c r="C30" s="98" t="s">
        <v>2708</v>
      </c>
      <c r="D30" s="98" t="s">
        <v>1902</v>
      </c>
      <c r="E30" s="98" t="s">
        <v>2709</v>
      </c>
      <c r="F30" s="98" t="s">
        <v>49</v>
      </c>
      <c r="G30" s="99" t="s">
        <v>2710</v>
      </c>
      <c r="H30" s="99">
        <v>12</v>
      </c>
      <c r="I30" s="99" t="s">
        <v>2710</v>
      </c>
      <c r="J30" s="99">
        <v>3</v>
      </c>
      <c r="K30" s="98" t="s">
        <v>528</v>
      </c>
      <c r="L30" s="98" t="s">
        <v>528</v>
      </c>
      <c r="M30" s="116">
        <v>6273.4551445993366</v>
      </c>
      <c r="N30" s="116">
        <v>10816.661483493501</v>
      </c>
      <c r="O30" s="116">
        <v>637.11279797342718</v>
      </c>
      <c r="P30" s="117" t="s">
        <v>208</v>
      </c>
      <c r="Q30" s="116">
        <v>726.30841989126736</v>
      </c>
      <c r="R30" s="117" t="s">
        <v>208</v>
      </c>
      <c r="S30" s="116">
        <v>809.81076598472396</v>
      </c>
      <c r="T30" s="117" t="s">
        <v>208</v>
      </c>
      <c r="U30" s="116">
        <v>847.64159964302144</v>
      </c>
      <c r="V30" s="117" t="s">
        <v>208</v>
      </c>
      <c r="W30" s="116">
        <v>681.24876879513738</v>
      </c>
      <c r="X30" s="117" t="s">
        <v>208</v>
      </c>
      <c r="Y30" s="116">
        <v>761.69402097037846</v>
      </c>
      <c r="Z30" s="117" t="s">
        <v>208</v>
      </c>
      <c r="AA30" s="116">
        <v>768.86081279672976</v>
      </c>
      <c r="AB30" s="117" t="s">
        <v>208</v>
      </c>
      <c r="AC30" s="116">
        <v>641.16483249855537</v>
      </c>
      <c r="AD30" s="117" t="s">
        <v>208</v>
      </c>
      <c r="AE30" s="116">
        <v>714.5044637495505</v>
      </c>
      <c r="AF30" s="117" t="s">
        <v>208</v>
      </c>
      <c r="AG30" s="116">
        <v>900.38214077273392</v>
      </c>
      <c r="AH30" s="117" t="s">
        <v>208</v>
      </c>
      <c r="AI30" s="116">
        <v>884.85318722312502</v>
      </c>
      <c r="AJ30" s="117" t="s">
        <v>208</v>
      </c>
      <c r="AK30" s="116">
        <v>766.74644134589175</v>
      </c>
      <c r="AL30" s="117" t="s">
        <v>208</v>
      </c>
      <c r="AM30" s="116">
        <v>9140.3282516445415</v>
      </c>
    </row>
    <row r="31" spans="1:39" s="100" customFormat="1" ht="46.8" x14ac:dyDescent="0.3">
      <c r="A31" s="97">
        <v>21</v>
      </c>
      <c r="B31" s="98" t="s">
        <v>578</v>
      </c>
      <c r="C31" s="98" t="s">
        <v>2708</v>
      </c>
      <c r="D31" s="98" t="s">
        <v>1902</v>
      </c>
      <c r="E31" s="98" t="s">
        <v>2709</v>
      </c>
      <c r="F31" s="98" t="s">
        <v>49</v>
      </c>
      <c r="G31" s="99" t="s">
        <v>2710</v>
      </c>
      <c r="H31" s="99">
        <v>20</v>
      </c>
      <c r="I31" s="99" t="s">
        <v>2710</v>
      </c>
      <c r="J31" s="99">
        <v>4</v>
      </c>
      <c r="K31" s="98" t="s">
        <v>528</v>
      </c>
      <c r="L31" s="98" t="s">
        <v>528</v>
      </c>
      <c r="M31" s="116">
        <v>5221.4864955111352</v>
      </c>
      <c r="N31" s="116">
        <v>8250.9362643876193</v>
      </c>
      <c r="O31" s="116">
        <v>888</v>
      </c>
      <c r="P31" s="117" t="s">
        <v>208</v>
      </c>
      <c r="Q31" s="116">
        <v>715</v>
      </c>
      <c r="R31" s="117" t="s">
        <v>208</v>
      </c>
      <c r="S31" s="116">
        <v>409</v>
      </c>
      <c r="T31" s="117" t="s">
        <v>208</v>
      </c>
      <c r="U31" s="116">
        <v>668</v>
      </c>
      <c r="V31" s="117" t="s">
        <v>208</v>
      </c>
      <c r="W31" s="116">
        <v>580</v>
      </c>
      <c r="X31" s="117" t="s">
        <v>208</v>
      </c>
      <c r="Y31" s="116">
        <v>594.4545454545455</v>
      </c>
      <c r="Z31" s="117" t="s">
        <v>208</v>
      </c>
      <c r="AA31" s="116">
        <v>224</v>
      </c>
      <c r="AB31" s="117" t="s">
        <v>208</v>
      </c>
      <c r="AC31" s="116">
        <v>541</v>
      </c>
      <c r="AD31" s="117" t="s">
        <v>208</v>
      </c>
      <c r="AE31" s="116">
        <v>533</v>
      </c>
      <c r="AF31" s="117" t="s">
        <v>208</v>
      </c>
      <c r="AG31" s="116">
        <v>733</v>
      </c>
      <c r="AH31" s="117" t="s">
        <v>208</v>
      </c>
      <c r="AI31" s="116">
        <v>474</v>
      </c>
      <c r="AJ31" s="117" t="s">
        <v>208</v>
      </c>
      <c r="AK31" s="116">
        <v>774</v>
      </c>
      <c r="AL31" s="117" t="s">
        <v>208</v>
      </c>
      <c r="AM31" s="116">
        <v>7133.454545454546</v>
      </c>
    </row>
    <row r="32" spans="1:39" s="100" customFormat="1" ht="46.8" x14ac:dyDescent="0.3">
      <c r="A32" s="97">
        <v>22</v>
      </c>
      <c r="B32" s="98" t="s">
        <v>580</v>
      </c>
      <c r="C32" s="98" t="s">
        <v>2708</v>
      </c>
      <c r="D32" s="98" t="s">
        <v>1902</v>
      </c>
      <c r="E32" s="98" t="s">
        <v>2709</v>
      </c>
      <c r="F32" s="98" t="s">
        <v>49</v>
      </c>
      <c r="G32" s="99" t="s">
        <v>2710</v>
      </c>
      <c r="H32" s="99">
        <v>4</v>
      </c>
      <c r="I32" s="99" t="s">
        <v>2710</v>
      </c>
      <c r="J32" s="99">
        <v>1</v>
      </c>
      <c r="K32" s="98" t="s">
        <v>528</v>
      </c>
      <c r="L32" s="98" t="s">
        <v>529</v>
      </c>
      <c r="M32" s="116">
        <v>2939.3663742570075</v>
      </c>
      <c r="N32" s="116">
        <v>4754.7177850922608</v>
      </c>
      <c r="O32" s="116">
        <v>518</v>
      </c>
      <c r="P32" s="117" t="s">
        <v>1906</v>
      </c>
      <c r="Q32" s="116">
        <v>518</v>
      </c>
      <c r="R32" s="117" t="s">
        <v>1906</v>
      </c>
      <c r="S32" s="116">
        <v>518</v>
      </c>
      <c r="T32" s="117" t="s">
        <v>1906</v>
      </c>
      <c r="U32" s="116">
        <v>518</v>
      </c>
      <c r="V32" s="117" t="s">
        <v>1906</v>
      </c>
      <c r="W32" s="116">
        <v>518</v>
      </c>
      <c r="X32" s="117" t="s">
        <v>1906</v>
      </c>
      <c r="Y32" s="116">
        <v>336.90909090909093</v>
      </c>
      <c r="Z32" s="117" t="s">
        <v>1906</v>
      </c>
      <c r="AA32" s="116">
        <v>186</v>
      </c>
      <c r="AB32" s="117" t="s">
        <v>1906</v>
      </c>
      <c r="AC32" s="116">
        <v>186</v>
      </c>
      <c r="AD32" s="117" t="s">
        <v>1906</v>
      </c>
      <c r="AE32" s="116">
        <v>186</v>
      </c>
      <c r="AF32" s="117" t="s">
        <v>1906</v>
      </c>
      <c r="AG32" s="116">
        <v>186</v>
      </c>
      <c r="AH32" s="117" t="s">
        <v>1906</v>
      </c>
      <c r="AI32" s="116">
        <v>186</v>
      </c>
      <c r="AJ32" s="117" t="s">
        <v>1906</v>
      </c>
      <c r="AK32" s="116">
        <v>186</v>
      </c>
      <c r="AL32" s="117" t="s">
        <v>1906</v>
      </c>
      <c r="AM32" s="116">
        <v>4042.909090909091</v>
      </c>
    </row>
    <row r="33" spans="1:39" s="100" customFormat="1" ht="46.8" x14ac:dyDescent="0.3">
      <c r="A33" s="97">
        <v>23</v>
      </c>
      <c r="B33" s="98" t="s">
        <v>583</v>
      </c>
      <c r="C33" s="98" t="s">
        <v>2708</v>
      </c>
      <c r="D33" s="98" t="s">
        <v>1902</v>
      </c>
      <c r="E33" s="98" t="s">
        <v>2709</v>
      </c>
      <c r="F33" s="98" t="s">
        <v>49</v>
      </c>
      <c r="G33" s="99" t="s">
        <v>2710</v>
      </c>
      <c r="H33" s="99">
        <v>20</v>
      </c>
      <c r="I33" s="99" t="s">
        <v>2710</v>
      </c>
      <c r="J33" s="99">
        <v>4</v>
      </c>
      <c r="K33" s="98" t="s">
        <v>528</v>
      </c>
      <c r="L33" s="98" t="s">
        <v>528</v>
      </c>
      <c r="M33" s="116">
        <v>4812.8138858514476</v>
      </c>
      <c r="N33" s="116">
        <v>7859.0648721129164</v>
      </c>
      <c r="O33" s="116">
        <v>654</v>
      </c>
      <c r="P33" s="117" t="s">
        <v>208</v>
      </c>
      <c r="Q33" s="116">
        <v>574</v>
      </c>
      <c r="R33" s="117" t="s">
        <v>208</v>
      </c>
      <c r="S33" s="116">
        <v>543</v>
      </c>
      <c r="T33" s="117" t="s">
        <v>208</v>
      </c>
      <c r="U33" s="116">
        <v>558</v>
      </c>
      <c r="V33" s="117" t="s">
        <v>208</v>
      </c>
      <c r="W33" s="116">
        <v>638</v>
      </c>
      <c r="X33" s="117" t="s">
        <v>208</v>
      </c>
      <c r="Y33" s="116">
        <v>568.4545454545455</v>
      </c>
      <c r="Z33" s="117" t="s">
        <v>208</v>
      </c>
      <c r="AA33" s="116">
        <v>677</v>
      </c>
      <c r="AB33" s="117" t="s">
        <v>208</v>
      </c>
      <c r="AC33" s="116">
        <v>420</v>
      </c>
      <c r="AD33" s="117" t="s">
        <v>208</v>
      </c>
      <c r="AE33" s="116">
        <v>512</v>
      </c>
      <c r="AF33" s="117" t="s">
        <v>208</v>
      </c>
      <c r="AG33" s="116">
        <v>574</v>
      </c>
      <c r="AH33" s="117" t="s">
        <v>208</v>
      </c>
      <c r="AI33" s="116">
        <v>479</v>
      </c>
      <c r="AJ33" s="117" t="s">
        <v>208</v>
      </c>
      <c r="AK33" s="116">
        <v>624</v>
      </c>
      <c r="AL33" s="117" t="s">
        <v>208</v>
      </c>
      <c r="AM33" s="116">
        <v>6821.454545454546</v>
      </c>
    </row>
    <row r="34" spans="1:39" s="100" customFormat="1" ht="46.8" x14ac:dyDescent="0.3">
      <c r="A34" s="97">
        <v>24</v>
      </c>
      <c r="B34" s="98" t="s">
        <v>585</v>
      </c>
      <c r="C34" s="98" t="s">
        <v>2708</v>
      </c>
      <c r="D34" s="98" t="s">
        <v>1902</v>
      </c>
      <c r="E34" s="98" t="s">
        <v>2709</v>
      </c>
      <c r="F34" s="98" t="s">
        <v>49</v>
      </c>
      <c r="G34" s="99" t="s">
        <v>2710</v>
      </c>
      <c r="H34" s="99">
        <v>28</v>
      </c>
      <c r="I34" s="99" t="s">
        <v>2710</v>
      </c>
      <c r="J34" s="99">
        <v>7</v>
      </c>
      <c r="K34" s="98" t="s">
        <v>528</v>
      </c>
      <c r="L34" s="98" t="s">
        <v>528</v>
      </c>
      <c r="M34" s="116">
        <v>5317.5709552150111</v>
      </c>
      <c r="N34" s="116">
        <v>8661.9202809696253</v>
      </c>
      <c r="O34" s="116">
        <v>948</v>
      </c>
      <c r="P34" s="117" t="s">
        <v>208</v>
      </c>
      <c r="Q34" s="116">
        <v>899</v>
      </c>
      <c r="R34" s="117" t="s">
        <v>208</v>
      </c>
      <c r="S34" s="116">
        <v>580</v>
      </c>
      <c r="T34" s="117" t="s">
        <v>208</v>
      </c>
      <c r="U34" s="116">
        <v>410</v>
      </c>
      <c r="V34" s="117" t="s">
        <v>208</v>
      </c>
      <c r="W34" s="116">
        <v>495</v>
      </c>
      <c r="X34" s="117" t="s">
        <v>208</v>
      </c>
      <c r="Y34" s="116">
        <v>627.27272727272725</v>
      </c>
      <c r="Z34" s="117" t="s">
        <v>208</v>
      </c>
      <c r="AA34" s="116">
        <v>366</v>
      </c>
      <c r="AB34" s="117" t="s">
        <v>208</v>
      </c>
      <c r="AC34" s="116">
        <v>305</v>
      </c>
      <c r="AD34" s="117" t="s">
        <v>208</v>
      </c>
      <c r="AE34" s="116">
        <v>556</v>
      </c>
      <c r="AF34" s="117" t="s">
        <v>208</v>
      </c>
      <c r="AG34" s="116">
        <v>828</v>
      </c>
      <c r="AH34" s="117" t="s">
        <v>208</v>
      </c>
      <c r="AI34" s="116">
        <v>671</v>
      </c>
      <c r="AJ34" s="117" t="s">
        <v>208</v>
      </c>
      <c r="AK34" s="116">
        <v>842</v>
      </c>
      <c r="AL34" s="117" t="s">
        <v>208</v>
      </c>
      <c r="AM34" s="116">
        <v>7527.272727272727</v>
      </c>
    </row>
    <row r="35" spans="1:39" s="100" customFormat="1" ht="46.8" x14ac:dyDescent="0.3">
      <c r="A35" s="97">
        <v>25</v>
      </c>
      <c r="B35" s="98" t="s">
        <v>586</v>
      </c>
      <c r="C35" s="98" t="s">
        <v>2708</v>
      </c>
      <c r="D35" s="98" t="s">
        <v>1902</v>
      </c>
      <c r="E35" s="98" t="s">
        <v>2709</v>
      </c>
      <c r="F35" s="98" t="s">
        <v>49</v>
      </c>
      <c r="G35" s="99" t="s">
        <v>2710</v>
      </c>
      <c r="H35" s="99">
        <v>30</v>
      </c>
      <c r="I35" s="99" t="s">
        <v>2710</v>
      </c>
      <c r="J35" s="99">
        <v>6</v>
      </c>
      <c r="K35" s="98" t="s">
        <v>528</v>
      </c>
      <c r="L35" s="98" t="s">
        <v>528</v>
      </c>
      <c r="M35" s="116">
        <v>3630.122756613096</v>
      </c>
      <c r="N35" s="116">
        <v>6166.721510813788</v>
      </c>
      <c r="O35" s="116">
        <v>419.40882213759147</v>
      </c>
      <c r="P35" s="117" t="s">
        <v>208</v>
      </c>
      <c r="Q35" s="116">
        <v>493.91613274157021</v>
      </c>
      <c r="R35" s="117" t="s">
        <v>208</v>
      </c>
      <c r="S35" s="116">
        <v>466.10307311881013</v>
      </c>
      <c r="T35" s="117" t="s">
        <v>208</v>
      </c>
      <c r="U35" s="116">
        <v>502.95748900920648</v>
      </c>
      <c r="V35" s="117" t="s">
        <v>208</v>
      </c>
      <c r="W35" s="116">
        <v>508.51107737435569</v>
      </c>
      <c r="X35" s="117" t="s">
        <v>208</v>
      </c>
      <c r="Y35" s="116">
        <v>438.04670264132216</v>
      </c>
      <c r="Z35" s="117" t="s">
        <v>208</v>
      </c>
      <c r="AA35" s="116">
        <v>491.01874661193068</v>
      </c>
      <c r="AB35" s="117" t="s">
        <v>208</v>
      </c>
      <c r="AC35" s="116">
        <v>390.27286946405093</v>
      </c>
      <c r="AD35" s="117" t="s">
        <v>208</v>
      </c>
      <c r="AE35" s="116">
        <v>460.3571500212164</v>
      </c>
      <c r="AF35" s="117" t="s">
        <v>208</v>
      </c>
      <c r="AG35" s="116">
        <v>383.93600174502581</v>
      </c>
      <c r="AH35" s="117" t="s">
        <v>208</v>
      </c>
      <c r="AI35" s="116">
        <v>354.33180652958578</v>
      </c>
      <c r="AJ35" s="117" t="s">
        <v>208</v>
      </c>
      <c r="AK35" s="116">
        <v>347.70056030119912</v>
      </c>
      <c r="AL35" s="117" t="s">
        <v>208</v>
      </c>
      <c r="AM35" s="116">
        <v>5256.5604316958643</v>
      </c>
    </row>
    <row r="36" spans="1:39" s="100" customFormat="1" ht="46.8" x14ac:dyDescent="0.3">
      <c r="A36" s="97">
        <v>26</v>
      </c>
      <c r="B36" s="98" t="s">
        <v>587</v>
      </c>
      <c r="C36" s="98" t="s">
        <v>2708</v>
      </c>
      <c r="D36" s="98" t="s">
        <v>1902</v>
      </c>
      <c r="E36" s="98" t="s">
        <v>2709</v>
      </c>
      <c r="F36" s="98" t="s">
        <v>49</v>
      </c>
      <c r="G36" s="99" t="s">
        <v>2710</v>
      </c>
      <c r="H36" s="99">
        <v>30</v>
      </c>
      <c r="I36" s="99" t="s">
        <v>2710</v>
      </c>
      <c r="J36" s="99">
        <v>6</v>
      </c>
      <c r="K36" s="98" t="s">
        <v>528</v>
      </c>
      <c r="L36" s="98" t="s">
        <v>528</v>
      </c>
      <c r="M36" s="116">
        <v>3712.8346205548637</v>
      </c>
      <c r="N36" s="116">
        <v>6297.904459141062</v>
      </c>
      <c r="O36" s="116">
        <v>442.78467625992187</v>
      </c>
      <c r="P36" s="117" t="s">
        <v>208</v>
      </c>
      <c r="Q36" s="116">
        <v>392.54500260528113</v>
      </c>
      <c r="R36" s="117" t="s">
        <v>208</v>
      </c>
      <c r="S36" s="116">
        <v>547.86943170029292</v>
      </c>
      <c r="T36" s="117" t="s">
        <v>208</v>
      </c>
      <c r="U36" s="116">
        <v>432.6239924607487</v>
      </c>
      <c r="V36" s="117" t="s">
        <v>208</v>
      </c>
      <c r="W36" s="116">
        <v>471.5068724397014</v>
      </c>
      <c r="X36" s="117" t="s">
        <v>208</v>
      </c>
      <c r="Y36" s="116">
        <v>421.4122024818061</v>
      </c>
      <c r="Z36" s="117" t="s">
        <v>208</v>
      </c>
      <c r="AA36" s="116">
        <v>398.64854015223199</v>
      </c>
      <c r="AB36" s="117" t="s">
        <v>208</v>
      </c>
      <c r="AC36" s="116">
        <v>508.48207016467319</v>
      </c>
      <c r="AD36" s="117" t="s">
        <v>208</v>
      </c>
      <c r="AE36" s="116">
        <v>332.866584167702</v>
      </c>
      <c r="AF36" s="117" t="s">
        <v>208</v>
      </c>
      <c r="AG36" s="116">
        <v>319.7848528615807</v>
      </c>
      <c r="AH36" s="117" t="s">
        <v>208</v>
      </c>
      <c r="AI36" s="116">
        <v>386.2938574621495</v>
      </c>
      <c r="AJ36" s="117" t="s">
        <v>208</v>
      </c>
      <c r="AK36" s="116">
        <v>402.12834702558354</v>
      </c>
      <c r="AL36" s="117" t="s">
        <v>208</v>
      </c>
      <c r="AM36" s="116">
        <v>5056.946429781673</v>
      </c>
    </row>
    <row r="37" spans="1:39" s="100" customFormat="1" ht="46.8" x14ac:dyDescent="0.3">
      <c r="A37" s="97">
        <v>27</v>
      </c>
      <c r="B37" s="98" t="s">
        <v>588</v>
      </c>
      <c r="C37" s="98" t="s">
        <v>2708</v>
      </c>
      <c r="D37" s="98" t="s">
        <v>1902</v>
      </c>
      <c r="E37" s="98" t="s">
        <v>2709</v>
      </c>
      <c r="F37" s="98" t="s">
        <v>49</v>
      </c>
      <c r="G37" s="99" t="s">
        <v>2710</v>
      </c>
      <c r="H37" s="99">
        <v>30</v>
      </c>
      <c r="I37" s="99" t="s">
        <v>2710</v>
      </c>
      <c r="J37" s="99">
        <v>6</v>
      </c>
      <c r="K37" s="98" t="s">
        <v>528</v>
      </c>
      <c r="L37" s="98" t="s">
        <v>528</v>
      </c>
      <c r="M37" s="116">
        <v>3424.6127328322277</v>
      </c>
      <c r="N37" s="116">
        <v>5686.7394726416142</v>
      </c>
      <c r="O37" s="116">
        <v>480.4837293514052</v>
      </c>
      <c r="P37" s="117" t="s">
        <v>208</v>
      </c>
      <c r="Q37" s="116">
        <v>335.85362894604162</v>
      </c>
      <c r="R37" s="117" t="s">
        <v>208</v>
      </c>
      <c r="S37" s="116">
        <v>350.71499261096608</v>
      </c>
      <c r="T37" s="117" t="s">
        <v>208</v>
      </c>
      <c r="U37" s="116">
        <v>409.39153837404376</v>
      </c>
      <c r="V37" s="117" t="s">
        <v>208</v>
      </c>
      <c r="W37" s="116">
        <v>487.83576708950216</v>
      </c>
      <c r="X37" s="117" t="s">
        <v>208</v>
      </c>
      <c r="Y37" s="116">
        <v>410.61612529274464</v>
      </c>
      <c r="Z37" s="117" t="s">
        <v>208</v>
      </c>
      <c r="AA37" s="116">
        <v>494.26991593655134</v>
      </c>
      <c r="AB37" s="117" t="s">
        <v>208</v>
      </c>
      <c r="AC37" s="116">
        <v>389.10964422100699</v>
      </c>
      <c r="AD37" s="117" t="s">
        <v>208</v>
      </c>
      <c r="AE37" s="116">
        <v>349.02211012758073</v>
      </c>
      <c r="AF37" s="117" t="s">
        <v>208</v>
      </c>
      <c r="AG37" s="116">
        <v>470.83349270476322</v>
      </c>
      <c r="AH37" s="117" t="s">
        <v>208</v>
      </c>
      <c r="AI37" s="116">
        <v>301.34805549535798</v>
      </c>
      <c r="AJ37" s="117" t="s">
        <v>208</v>
      </c>
      <c r="AK37" s="116">
        <v>447.91450336297333</v>
      </c>
      <c r="AL37" s="117" t="s">
        <v>208</v>
      </c>
      <c r="AM37" s="116">
        <v>4927.3935035129361</v>
      </c>
    </row>
    <row r="38" spans="1:39" s="100" customFormat="1" ht="46.8" x14ac:dyDescent="0.3">
      <c r="A38" s="97">
        <v>28</v>
      </c>
      <c r="B38" s="98" t="s">
        <v>590</v>
      </c>
      <c r="C38" s="98" t="s">
        <v>2708</v>
      </c>
      <c r="D38" s="98" t="s">
        <v>1902</v>
      </c>
      <c r="E38" s="98" t="s">
        <v>2709</v>
      </c>
      <c r="F38" s="98" t="s">
        <v>49</v>
      </c>
      <c r="G38" s="99" t="s">
        <v>2710</v>
      </c>
      <c r="H38" s="99">
        <v>30</v>
      </c>
      <c r="I38" s="99" t="s">
        <v>2710</v>
      </c>
      <c r="J38" s="99">
        <v>5</v>
      </c>
      <c r="K38" s="98" t="s">
        <v>528</v>
      </c>
      <c r="L38" s="98" t="s">
        <v>528</v>
      </c>
      <c r="M38" s="116">
        <v>42967.341070941024</v>
      </c>
      <c r="N38" s="116">
        <v>79748.754406644366</v>
      </c>
      <c r="O38" s="116">
        <v>6424</v>
      </c>
      <c r="P38" s="117" t="s">
        <v>208</v>
      </c>
      <c r="Q38" s="116">
        <v>5596</v>
      </c>
      <c r="R38" s="117" t="s">
        <v>208</v>
      </c>
      <c r="S38" s="116">
        <v>4693</v>
      </c>
      <c r="T38" s="117" t="s">
        <v>208</v>
      </c>
      <c r="U38" s="116">
        <v>5034</v>
      </c>
      <c r="V38" s="117" t="s">
        <v>208</v>
      </c>
      <c r="W38" s="116">
        <v>5527</v>
      </c>
      <c r="X38" s="117" t="s">
        <v>208</v>
      </c>
      <c r="Y38" s="116">
        <v>5415.909090909091</v>
      </c>
      <c r="Z38" s="117" t="s">
        <v>208</v>
      </c>
      <c r="AA38" s="116">
        <v>4945</v>
      </c>
      <c r="AB38" s="117" t="s">
        <v>208</v>
      </c>
      <c r="AC38" s="116">
        <v>4413</v>
      </c>
      <c r="AD38" s="117" t="s">
        <v>208</v>
      </c>
      <c r="AE38" s="116">
        <v>4280</v>
      </c>
      <c r="AF38" s="117" t="s">
        <v>208</v>
      </c>
      <c r="AG38" s="116">
        <v>5027</v>
      </c>
      <c r="AH38" s="117" t="s">
        <v>208</v>
      </c>
      <c r="AI38" s="116">
        <v>7673</v>
      </c>
      <c r="AJ38" s="117" t="s">
        <v>208</v>
      </c>
      <c r="AK38" s="116">
        <v>5963</v>
      </c>
      <c r="AL38" s="117" t="s">
        <v>208</v>
      </c>
      <c r="AM38" s="116">
        <v>64990.909090909088</v>
      </c>
    </row>
    <row r="39" spans="1:39" s="100" customFormat="1" ht="46.8" x14ac:dyDescent="0.3">
      <c r="A39" s="97">
        <v>29</v>
      </c>
      <c r="B39" s="98" t="s">
        <v>591</v>
      </c>
      <c r="C39" s="98" t="s">
        <v>2708</v>
      </c>
      <c r="D39" s="98" t="s">
        <v>1902</v>
      </c>
      <c r="E39" s="98" t="s">
        <v>2709</v>
      </c>
      <c r="F39" s="98" t="s">
        <v>49</v>
      </c>
      <c r="G39" s="99" t="s">
        <v>2710</v>
      </c>
      <c r="H39" s="99">
        <v>96</v>
      </c>
      <c r="I39" s="99" t="s">
        <v>2710</v>
      </c>
      <c r="J39" s="99">
        <v>16</v>
      </c>
      <c r="K39" s="98" t="s">
        <v>528</v>
      </c>
      <c r="L39" s="98" t="s">
        <v>528</v>
      </c>
      <c r="M39" s="116">
        <v>23143.11067868604</v>
      </c>
      <c r="N39" s="116">
        <v>38787.005044609003</v>
      </c>
      <c r="O39" s="116">
        <v>2996.9905541638532</v>
      </c>
      <c r="P39" s="117" t="s">
        <v>208</v>
      </c>
      <c r="Q39" s="116">
        <v>3205.6528132219537</v>
      </c>
      <c r="R39" s="117" t="s">
        <v>208</v>
      </c>
      <c r="S39" s="116">
        <v>2269.898790233457</v>
      </c>
      <c r="T39" s="117" t="s">
        <v>208</v>
      </c>
      <c r="U39" s="116">
        <v>2969.7392625703565</v>
      </c>
      <c r="V39" s="117" t="s">
        <v>208</v>
      </c>
      <c r="W39" s="116">
        <v>2842.5574099837581</v>
      </c>
      <c r="X39" s="117" t="s">
        <v>208</v>
      </c>
      <c r="Y39" s="116">
        <v>2623.437317872229</v>
      </c>
      <c r="Z39" s="117" t="s">
        <v>208</v>
      </c>
      <c r="AA39" s="116">
        <v>3247.6200972344473</v>
      </c>
      <c r="AB39" s="117" t="s">
        <v>208</v>
      </c>
      <c r="AC39" s="116">
        <v>2132.7610642303398</v>
      </c>
      <c r="AD39" s="117" t="s">
        <v>208</v>
      </c>
      <c r="AE39" s="116">
        <v>2128.0333086399733</v>
      </c>
      <c r="AF39" s="117" t="s">
        <v>208</v>
      </c>
      <c r="AG39" s="116">
        <v>2496.2637203695626</v>
      </c>
      <c r="AH39" s="117" t="s">
        <v>208</v>
      </c>
      <c r="AI39" s="116">
        <v>2779.0472517902836</v>
      </c>
      <c r="AJ39" s="117" t="s">
        <v>208</v>
      </c>
      <c r="AK39" s="116">
        <v>1789.2462241565288</v>
      </c>
      <c r="AL39" s="117" t="s">
        <v>208</v>
      </c>
      <c r="AM39" s="116">
        <v>31481.247814466748</v>
      </c>
    </row>
    <row r="40" spans="1:39" s="100" customFormat="1" ht="46.8" x14ac:dyDescent="0.3">
      <c r="A40" s="97">
        <v>30</v>
      </c>
      <c r="B40" s="98" t="s">
        <v>592</v>
      </c>
      <c r="C40" s="98" t="s">
        <v>2708</v>
      </c>
      <c r="D40" s="98" t="s">
        <v>1902</v>
      </c>
      <c r="E40" s="98" t="s">
        <v>2709</v>
      </c>
      <c r="F40" s="98" t="s">
        <v>49</v>
      </c>
      <c r="G40" s="99" t="s">
        <v>2710</v>
      </c>
      <c r="H40" s="99">
        <v>30</v>
      </c>
      <c r="I40" s="99" t="s">
        <v>2710</v>
      </c>
      <c r="J40" s="99">
        <v>5</v>
      </c>
      <c r="K40" s="98" t="s">
        <v>528</v>
      </c>
      <c r="L40" s="98" t="s">
        <v>528</v>
      </c>
      <c r="M40" s="116">
        <v>13142.209679257603</v>
      </c>
      <c r="N40" s="116">
        <v>22182.668544730244</v>
      </c>
      <c r="O40" s="116">
        <v>1966</v>
      </c>
      <c r="P40" s="117" t="s">
        <v>208</v>
      </c>
      <c r="Q40" s="116">
        <v>1962</v>
      </c>
      <c r="R40" s="117" t="s">
        <v>208</v>
      </c>
      <c r="S40" s="116">
        <v>521</v>
      </c>
      <c r="T40" s="117" t="s">
        <v>208</v>
      </c>
      <c r="U40" s="116">
        <v>1193</v>
      </c>
      <c r="V40" s="117" t="s">
        <v>208</v>
      </c>
      <c r="W40" s="116">
        <v>714</v>
      </c>
      <c r="X40" s="117" t="s">
        <v>208</v>
      </c>
      <c r="Y40" s="116">
        <v>1581.2727272727273</v>
      </c>
      <c r="Z40" s="117" t="s">
        <v>208</v>
      </c>
      <c r="AA40" s="116">
        <v>2933</v>
      </c>
      <c r="AB40" s="117" t="s">
        <v>208</v>
      </c>
      <c r="AC40" s="116">
        <v>2747</v>
      </c>
      <c r="AD40" s="117" t="s">
        <v>208</v>
      </c>
      <c r="AE40" s="116">
        <v>921</v>
      </c>
      <c r="AF40" s="117" t="s">
        <v>208</v>
      </c>
      <c r="AG40" s="116">
        <v>1770</v>
      </c>
      <c r="AH40" s="117" t="s">
        <v>208</v>
      </c>
      <c r="AI40" s="116">
        <v>1351</v>
      </c>
      <c r="AJ40" s="117" t="s">
        <v>208</v>
      </c>
      <c r="AK40" s="116">
        <v>1316</v>
      </c>
      <c r="AL40" s="117" t="s">
        <v>208</v>
      </c>
      <c r="AM40" s="116">
        <v>18975.272727272728</v>
      </c>
    </row>
    <row r="41" spans="1:39" s="100" customFormat="1" ht="46.8" x14ac:dyDescent="0.3">
      <c r="A41" s="97">
        <v>31</v>
      </c>
      <c r="B41" s="98" t="s">
        <v>593</v>
      </c>
      <c r="C41" s="98" t="s">
        <v>2708</v>
      </c>
      <c r="D41" s="98" t="s">
        <v>1902</v>
      </c>
      <c r="E41" s="98" t="s">
        <v>2709</v>
      </c>
      <c r="F41" s="98" t="s">
        <v>49</v>
      </c>
      <c r="G41" s="99" t="s">
        <v>2710</v>
      </c>
      <c r="H41" s="99">
        <v>25</v>
      </c>
      <c r="I41" s="99" t="s">
        <v>2710</v>
      </c>
      <c r="J41" s="99">
        <v>5</v>
      </c>
      <c r="K41" s="98" t="s">
        <v>528</v>
      </c>
      <c r="L41" s="98" t="s">
        <v>528</v>
      </c>
      <c r="M41" s="116">
        <v>4118.3109358623742</v>
      </c>
      <c r="N41" s="116">
        <v>7652.0155809907646</v>
      </c>
      <c r="O41" s="116">
        <v>375.89164009996551</v>
      </c>
      <c r="P41" s="117" t="s">
        <v>208</v>
      </c>
      <c r="Q41" s="116">
        <v>665.31549349407953</v>
      </c>
      <c r="R41" s="117" t="s">
        <v>208</v>
      </c>
      <c r="S41" s="116">
        <v>563.74847034831748</v>
      </c>
      <c r="T41" s="117" t="s">
        <v>208</v>
      </c>
      <c r="U41" s="116">
        <v>507.17908972629044</v>
      </c>
      <c r="V41" s="117" t="s">
        <v>208</v>
      </c>
      <c r="W41" s="116">
        <v>651.92159536952897</v>
      </c>
      <c r="X41" s="117" t="s">
        <v>208</v>
      </c>
      <c r="Y41" s="116">
        <v>517.15383628951497</v>
      </c>
      <c r="Z41" s="117" t="s">
        <v>208</v>
      </c>
      <c r="AA41" s="116">
        <v>604.5353439628052</v>
      </c>
      <c r="AB41" s="117" t="s">
        <v>208</v>
      </c>
      <c r="AC41" s="116">
        <v>394.25516777053161</v>
      </c>
      <c r="AD41" s="117" t="s">
        <v>208</v>
      </c>
      <c r="AE41" s="116">
        <v>467.30885545876026</v>
      </c>
      <c r="AF41" s="117" t="s">
        <v>208</v>
      </c>
      <c r="AG41" s="116">
        <v>501.53084386517048</v>
      </c>
      <c r="AH41" s="117" t="s">
        <v>208</v>
      </c>
      <c r="AI41" s="116">
        <v>438.80984609046203</v>
      </c>
      <c r="AJ41" s="117" t="s">
        <v>208</v>
      </c>
      <c r="AK41" s="116">
        <v>518.19585299875371</v>
      </c>
      <c r="AL41" s="117" t="s">
        <v>208</v>
      </c>
      <c r="AM41" s="116">
        <v>6205.8460354741801</v>
      </c>
    </row>
    <row r="42" spans="1:39" s="100" customFormat="1" ht="46.8" x14ac:dyDescent="0.3">
      <c r="A42" s="97">
        <v>32</v>
      </c>
      <c r="B42" s="98" t="s">
        <v>595</v>
      </c>
      <c r="C42" s="98" t="s">
        <v>2708</v>
      </c>
      <c r="D42" s="98" t="s">
        <v>1902</v>
      </c>
      <c r="E42" s="98" t="s">
        <v>2709</v>
      </c>
      <c r="F42" s="98" t="s">
        <v>49</v>
      </c>
      <c r="G42" s="99" t="s">
        <v>2710</v>
      </c>
      <c r="H42" s="99">
        <v>20</v>
      </c>
      <c r="I42" s="99" t="s">
        <v>2710</v>
      </c>
      <c r="J42" s="99">
        <v>4</v>
      </c>
      <c r="K42" s="98" t="s">
        <v>528</v>
      </c>
      <c r="L42" s="98" t="s">
        <v>528</v>
      </c>
      <c r="M42" s="116">
        <v>13171.380374721053</v>
      </c>
      <c r="N42" s="116">
        <v>21231.678772270243</v>
      </c>
      <c r="O42" s="116">
        <v>2156</v>
      </c>
      <c r="P42" s="117" t="s">
        <v>208</v>
      </c>
      <c r="Q42" s="116">
        <v>2155</v>
      </c>
      <c r="R42" s="117" t="s">
        <v>208</v>
      </c>
      <c r="S42" s="116">
        <v>1374</v>
      </c>
      <c r="T42" s="117" t="s">
        <v>208</v>
      </c>
      <c r="U42" s="116">
        <v>1614</v>
      </c>
      <c r="V42" s="117" t="s">
        <v>208</v>
      </c>
      <c r="W42" s="116">
        <v>1394</v>
      </c>
      <c r="X42" s="117" t="s">
        <v>208</v>
      </c>
      <c r="Y42" s="116">
        <v>1472.4545454545455</v>
      </c>
      <c r="Z42" s="117" t="s">
        <v>208</v>
      </c>
      <c r="AA42" s="116">
        <v>1116</v>
      </c>
      <c r="AB42" s="117" t="s">
        <v>208</v>
      </c>
      <c r="AC42" s="116">
        <v>807</v>
      </c>
      <c r="AD42" s="117" t="s">
        <v>208</v>
      </c>
      <c r="AE42" s="116">
        <v>1008</v>
      </c>
      <c r="AF42" s="117" t="s">
        <v>208</v>
      </c>
      <c r="AG42" s="116">
        <v>1411</v>
      </c>
      <c r="AH42" s="117" t="s">
        <v>208</v>
      </c>
      <c r="AI42" s="116">
        <v>1339</v>
      </c>
      <c r="AJ42" s="117" t="s">
        <v>208</v>
      </c>
      <c r="AK42" s="116">
        <v>1823</v>
      </c>
      <c r="AL42" s="117" t="s">
        <v>208</v>
      </c>
      <c r="AM42" s="116">
        <v>17669.454545454544</v>
      </c>
    </row>
    <row r="43" spans="1:39" s="100" customFormat="1" ht="46.8" x14ac:dyDescent="0.3">
      <c r="A43" s="97">
        <v>33</v>
      </c>
      <c r="B43" s="98" t="s">
        <v>596</v>
      </c>
      <c r="C43" s="98" t="s">
        <v>2708</v>
      </c>
      <c r="D43" s="98" t="s">
        <v>1902</v>
      </c>
      <c r="E43" s="98" t="s">
        <v>2709</v>
      </c>
      <c r="F43" s="98" t="s">
        <v>49</v>
      </c>
      <c r="G43" s="99" t="s">
        <v>2710</v>
      </c>
      <c r="H43" s="99">
        <v>9</v>
      </c>
      <c r="I43" s="99" t="s">
        <v>2710</v>
      </c>
      <c r="J43" s="99">
        <v>3</v>
      </c>
      <c r="K43" s="98" t="s">
        <v>528</v>
      </c>
      <c r="L43" s="98" t="s">
        <v>528</v>
      </c>
      <c r="M43" s="116">
        <v>5302.6006215467896</v>
      </c>
      <c r="N43" s="116">
        <v>8703.0456103719498</v>
      </c>
      <c r="O43" s="116">
        <v>569.33963009006754</v>
      </c>
      <c r="P43" s="117" t="s">
        <v>208</v>
      </c>
      <c r="Q43" s="116">
        <v>692.47614836322077</v>
      </c>
      <c r="R43" s="117" t="s">
        <v>208</v>
      </c>
      <c r="S43" s="116">
        <v>660.57097786707868</v>
      </c>
      <c r="T43" s="117" t="s">
        <v>208</v>
      </c>
      <c r="U43" s="116">
        <v>740.99014851604807</v>
      </c>
      <c r="V43" s="117" t="s">
        <v>208</v>
      </c>
      <c r="W43" s="116">
        <v>522.84836551190449</v>
      </c>
      <c r="X43" s="117" t="s">
        <v>208</v>
      </c>
      <c r="Y43" s="116">
        <v>593.97323368062905</v>
      </c>
      <c r="Z43" s="117" t="s">
        <v>208</v>
      </c>
      <c r="AA43" s="116">
        <v>596.2995578640739</v>
      </c>
      <c r="AB43" s="117" t="s">
        <v>208</v>
      </c>
      <c r="AC43" s="116">
        <v>514.50028013051462</v>
      </c>
      <c r="AD43" s="117" t="s">
        <v>208</v>
      </c>
      <c r="AE43" s="116">
        <v>648.51906639316235</v>
      </c>
      <c r="AF43" s="117" t="s">
        <v>208</v>
      </c>
      <c r="AG43" s="116">
        <v>433.24451321446577</v>
      </c>
      <c r="AH43" s="117" t="s">
        <v>208</v>
      </c>
      <c r="AI43" s="116">
        <v>740.72606962055079</v>
      </c>
      <c r="AJ43" s="117" t="s">
        <v>208</v>
      </c>
      <c r="AK43" s="116">
        <v>414.19081291583228</v>
      </c>
      <c r="AL43" s="117" t="s">
        <v>208</v>
      </c>
      <c r="AM43" s="116">
        <v>7127.6788041675472</v>
      </c>
    </row>
    <row r="44" spans="1:39" s="100" customFormat="1" ht="46.8" x14ac:dyDescent="0.3">
      <c r="A44" s="97">
        <v>34</v>
      </c>
      <c r="B44" s="98" t="s">
        <v>598</v>
      </c>
      <c r="C44" s="98" t="s">
        <v>2708</v>
      </c>
      <c r="D44" s="98" t="s">
        <v>1902</v>
      </c>
      <c r="E44" s="98" t="s">
        <v>2709</v>
      </c>
      <c r="F44" s="98" t="s">
        <v>49</v>
      </c>
      <c r="G44" s="99" t="s">
        <v>2710</v>
      </c>
      <c r="H44" s="99">
        <v>10</v>
      </c>
      <c r="I44" s="99" t="s">
        <v>2710</v>
      </c>
      <c r="J44" s="99">
        <v>2</v>
      </c>
      <c r="K44" s="98" t="s">
        <v>528</v>
      </c>
      <c r="L44" s="98" t="s">
        <v>528</v>
      </c>
      <c r="M44" s="116">
        <v>3010.9724849840909</v>
      </c>
      <c r="N44" s="116">
        <v>5101.8430431839233</v>
      </c>
      <c r="O44" s="116">
        <v>446</v>
      </c>
      <c r="P44" s="117" t="s">
        <v>208</v>
      </c>
      <c r="Q44" s="116">
        <v>453</v>
      </c>
      <c r="R44" s="117" t="s">
        <v>208</v>
      </c>
      <c r="S44" s="116">
        <v>401</v>
      </c>
      <c r="T44" s="117" t="s">
        <v>208</v>
      </c>
      <c r="U44" s="116">
        <v>343</v>
      </c>
      <c r="V44" s="117" t="s">
        <v>208</v>
      </c>
      <c r="W44" s="116">
        <v>275</v>
      </c>
      <c r="X44" s="117" t="s">
        <v>208</v>
      </c>
      <c r="Y44" s="116">
        <v>342.72727272727275</v>
      </c>
      <c r="Z44" s="117" t="s">
        <v>208</v>
      </c>
      <c r="AA44" s="116">
        <v>276</v>
      </c>
      <c r="AB44" s="117" t="s">
        <v>208</v>
      </c>
      <c r="AC44" s="116">
        <v>218</v>
      </c>
      <c r="AD44" s="117" t="s">
        <v>208</v>
      </c>
      <c r="AE44" s="116">
        <v>216</v>
      </c>
      <c r="AF44" s="117" t="s">
        <v>208</v>
      </c>
      <c r="AG44" s="116">
        <v>215</v>
      </c>
      <c r="AH44" s="117" t="s">
        <v>208</v>
      </c>
      <c r="AI44" s="116">
        <v>491</v>
      </c>
      <c r="AJ44" s="117" t="s">
        <v>208</v>
      </c>
      <c r="AK44" s="116">
        <v>436</v>
      </c>
      <c r="AL44" s="117" t="s">
        <v>208</v>
      </c>
      <c r="AM44" s="116">
        <v>4112.727272727273</v>
      </c>
    </row>
    <row r="45" spans="1:39" s="100" customFormat="1" ht="46.8" x14ac:dyDescent="0.3">
      <c r="A45" s="97">
        <v>35</v>
      </c>
      <c r="B45" s="98" t="s">
        <v>599</v>
      </c>
      <c r="C45" s="98" t="s">
        <v>2708</v>
      </c>
      <c r="D45" s="98" t="s">
        <v>1902</v>
      </c>
      <c r="E45" s="98" t="s">
        <v>2709</v>
      </c>
      <c r="F45" s="98" t="s">
        <v>49</v>
      </c>
      <c r="G45" s="99" t="s">
        <v>2710</v>
      </c>
      <c r="H45" s="99">
        <v>12</v>
      </c>
      <c r="I45" s="99" t="s">
        <v>2710</v>
      </c>
      <c r="J45" s="99">
        <v>2</v>
      </c>
      <c r="K45" s="98" t="s">
        <v>528</v>
      </c>
      <c r="L45" s="98" t="s">
        <v>528</v>
      </c>
      <c r="M45" s="116">
        <v>2186.8582164465474</v>
      </c>
      <c r="N45" s="116">
        <v>3629.3909586363952</v>
      </c>
      <c r="O45" s="116">
        <v>309</v>
      </c>
      <c r="P45" s="117" t="s">
        <v>208</v>
      </c>
      <c r="Q45" s="116">
        <v>336</v>
      </c>
      <c r="R45" s="117" t="s">
        <v>208</v>
      </c>
      <c r="S45" s="116">
        <v>273</v>
      </c>
      <c r="T45" s="117" t="s">
        <v>208</v>
      </c>
      <c r="U45" s="116">
        <v>120</v>
      </c>
      <c r="V45" s="117" t="s">
        <v>208</v>
      </c>
      <c r="W45" s="116">
        <v>149</v>
      </c>
      <c r="X45" s="117" t="s">
        <v>208</v>
      </c>
      <c r="Y45" s="116">
        <v>246.45454545454547</v>
      </c>
      <c r="Z45" s="117" t="s">
        <v>208</v>
      </c>
      <c r="AA45" s="116">
        <v>223</v>
      </c>
      <c r="AB45" s="117" t="s">
        <v>208</v>
      </c>
      <c r="AC45" s="116">
        <v>191</v>
      </c>
      <c r="AD45" s="117" t="s">
        <v>208</v>
      </c>
      <c r="AE45" s="116">
        <v>231</v>
      </c>
      <c r="AF45" s="117" t="s">
        <v>208</v>
      </c>
      <c r="AG45" s="116">
        <v>209</v>
      </c>
      <c r="AH45" s="117" t="s">
        <v>208</v>
      </c>
      <c r="AI45" s="116">
        <v>368</v>
      </c>
      <c r="AJ45" s="117" t="s">
        <v>208</v>
      </c>
      <c r="AK45" s="116">
        <v>302</v>
      </c>
      <c r="AL45" s="117" t="s">
        <v>208</v>
      </c>
      <c r="AM45" s="116">
        <v>2957.4545454545455</v>
      </c>
    </row>
    <row r="46" spans="1:39" s="100" customFormat="1" ht="46.8" x14ac:dyDescent="0.3">
      <c r="A46" s="97">
        <v>36</v>
      </c>
      <c r="B46" s="98" t="s">
        <v>600</v>
      </c>
      <c r="C46" s="98" t="s">
        <v>2708</v>
      </c>
      <c r="D46" s="98" t="s">
        <v>1902</v>
      </c>
      <c r="E46" s="98" t="s">
        <v>2709</v>
      </c>
      <c r="F46" s="98" t="s">
        <v>49</v>
      </c>
      <c r="G46" s="99" t="s">
        <v>2710</v>
      </c>
      <c r="H46" s="99">
        <v>8</v>
      </c>
      <c r="I46" s="99" t="s">
        <v>2710</v>
      </c>
      <c r="J46" s="99">
        <v>2</v>
      </c>
      <c r="K46" s="98" t="s">
        <v>528</v>
      </c>
      <c r="L46" s="98" t="s">
        <v>528</v>
      </c>
      <c r="M46" s="116">
        <v>5828.6140425870462</v>
      </c>
      <c r="N46" s="116">
        <v>9586.8755695314012</v>
      </c>
      <c r="O46" s="116">
        <v>716.0296202649979</v>
      </c>
      <c r="P46" s="117" t="s">
        <v>208</v>
      </c>
      <c r="Q46" s="116">
        <v>734.68245512443218</v>
      </c>
      <c r="R46" s="117" t="s">
        <v>208</v>
      </c>
      <c r="S46" s="116">
        <v>752.0145821641554</v>
      </c>
      <c r="T46" s="117" t="s">
        <v>208</v>
      </c>
      <c r="U46" s="116">
        <v>511.74822830407788</v>
      </c>
      <c r="V46" s="117" t="s">
        <v>208</v>
      </c>
      <c r="W46" s="116">
        <v>501.32735252764218</v>
      </c>
      <c r="X46" s="117" t="s">
        <v>208</v>
      </c>
      <c r="Y46" s="116">
        <v>657.97437105099414</v>
      </c>
      <c r="Z46" s="117" t="s">
        <v>208</v>
      </c>
      <c r="AA46" s="116">
        <v>733.19109924656459</v>
      </c>
      <c r="AB46" s="117" t="s">
        <v>208</v>
      </c>
      <c r="AC46" s="116">
        <v>538.9481338276147</v>
      </c>
      <c r="AD46" s="117" t="s">
        <v>208</v>
      </c>
      <c r="AE46" s="116">
        <v>674.13086694822721</v>
      </c>
      <c r="AF46" s="117" t="s">
        <v>208</v>
      </c>
      <c r="AG46" s="116">
        <v>750.08486179800161</v>
      </c>
      <c r="AH46" s="117" t="s">
        <v>208</v>
      </c>
      <c r="AI46" s="116">
        <v>565.49493985393883</v>
      </c>
      <c r="AJ46" s="117" t="s">
        <v>208</v>
      </c>
      <c r="AK46" s="116">
        <v>760.06594150128365</v>
      </c>
      <c r="AL46" s="117" t="s">
        <v>208</v>
      </c>
      <c r="AM46" s="116">
        <v>7895.6924526119292</v>
      </c>
    </row>
    <row r="47" spans="1:39" s="100" customFormat="1" ht="46.8" x14ac:dyDescent="0.3">
      <c r="A47" s="97">
        <v>37</v>
      </c>
      <c r="B47" s="98" t="s">
        <v>601</v>
      </c>
      <c r="C47" s="98" t="s">
        <v>2708</v>
      </c>
      <c r="D47" s="98" t="s">
        <v>1902</v>
      </c>
      <c r="E47" s="98" t="s">
        <v>2709</v>
      </c>
      <c r="F47" s="98" t="s">
        <v>49</v>
      </c>
      <c r="G47" s="99" t="s">
        <v>2710</v>
      </c>
      <c r="H47" s="99">
        <v>18</v>
      </c>
      <c r="I47" s="99" t="s">
        <v>2710</v>
      </c>
      <c r="J47" s="99">
        <v>3</v>
      </c>
      <c r="K47" s="98" t="s">
        <v>528</v>
      </c>
      <c r="L47" s="98" t="s">
        <v>528</v>
      </c>
      <c r="M47" s="116">
        <v>5045.265497297717</v>
      </c>
      <c r="N47" s="116">
        <v>9104.487787853468</v>
      </c>
      <c r="O47" s="116">
        <v>828</v>
      </c>
      <c r="P47" s="117" t="s">
        <v>208</v>
      </c>
      <c r="Q47" s="116">
        <v>870</v>
      </c>
      <c r="R47" s="117" t="s">
        <v>208</v>
      </c>
      <c r="S47" s="116">
        <v>761</v>
      </c>
      <c r="T47" s="117" t="s">
        <v>208</v>
      </c>
      <c r="U47" s="116">
        <v>493</v>
      </c>
      <c r="V47" s="117" t="s">
        <v>208</v>
      </c>
      <c r="W47" s="116">
        <v>435</v>
      </c>
      <c r="X47" s="117" t="s">
        <v>208</v>
      </c>
      <c r="Y47" s="116">
        <v>620.27272727272725</v>
      </c>
      <c r="Z47" s="117" t="s">
        <v>208</v>
      </c>
      <c r="AA47" s="116">
        <v>330</v>
      </c>
      <c r="AB47" s="117" t="s">
        <v>208</v>
      </c>
      <c r="AC47" s="116">
        <v>376</v>
      </c>
      <c r="AD47" s="117" t="s">
        <v>208</v>
      </c>
      <c r="AE47" s="116">
        <v>556</v>
      </c>
      <c r="AF47" s="117" t="s">
        <v>208</v>
      </c>
      <c r="AG47" s="116">
        <v>447</v>
      </c>
      <c r="AH47" s="117" t="s">
        <v>208</v>
      </c>
      <c r="AI47" s="116">
        <v>929</v>
      </c>
      <c r="AJ47" s="117" t="s">
        <v>208</v>
      </c>
      <c r="AK47" s="116">
        <v>798</v>
      </c>
      <c r="AL47" s="117" t="s">
        <v>208</v>
      </c>
      <c r="AM47" s="116">
        <v>7443.272727272727</v>
      </c>
    </row>
    <row r="48" spans="1:39" s="100" customFormat="1" ht="46.8" x14ac:dyDescent="0.3">
      <c r="A48" s="97">
        <v>38</v>
      </c>
      <c r="B48" s="98" t="s">
        <v>602</v>
      </c>
      <c r="C48" s="98" t="s">
        <v>2708</v>
      </c>
      <c r="D48" s="98" t="s">
        <v>1902</v>
      </c>
      <c r="E48" s="98" t="s">
        <v>2709</v>
      </c>
      <c r="F48" s="98" t="s">
        <v>49</v>
      </c>
      <c r="G48" s="99" t="s">
        <v>2710</v>
      </c>
      <c r="H48" s="99">
        <v>12</v>
      </c>
      <c r="I48" s="99" t="s">
        <v>2710</v>
      </c>
      <c r="J48" s="99">
        <v>2</v>
      </c>
      <c r="K48" s="98" t="s">
        <v>528</v>
      </c>
      <c r="L48" s="98" t="s">
        <v>528</v>
      </c>
      <c r="M48" s="116">
        <v>3382.1495073008182</v>
      </c>
      <c r="N48" s="116">
        <v>5668.5310834267593</v>
      </c>
      <c r="O48" s="116">
        <v>308.57934260229257</v>
      </c>
      <c r="P48" s="117" t="s">
        <v>208</v>
      </c>
      <c r="Q48" s="116">
        <v>476.35040860054693</v>
      </c>
      <c r="R48" s="117" t="s">
        <v>208</v>
      </c>
      <c r="S48" s="116">
        <v>305.60619706966742</v>
      </c>
      <c r="T48" s="117" t="s">
        <v>208</v>
      </c>
      <c r="U48" s="116">
        <v>503.39902183932207</v>
      </c>
      <c r="V48" s="117" t="s">
        <v>208</v>
      </c>
      <c r="W48" s="116">
        <v>503.05204268830391</v>
      </c>
      <c r="X48" s="117" t="s">
        <v>208</v>
      </c>
      <c r="Y48" s="116">
        <v>382.36336555715474</v>
      </c>
      <c r="Z48" s="117" t="s">
        <v>208</v>
      </c>
      <c r="AA48" s="116">
        <v>380.29271765304401</v>
      </c>
      <c r="AB48" s="117" t="s">
        <v>208</v>
      </c>
      <c r="AC48" s="116">
        <v>331.02518154014081</v>
      </c>
      <c r="AD48" s="117" t="s">
        <v>208</v>
      </c>
      <c r="AE48" s="116">
        <v>303.12571046765254</v>
      </c>
      <c r="AF48" s="117" t="s">
        <v>208</v>
      </c>
      <c r="AG48" s="116">
        <v>291.1418849997317</v>
      </c>
      <c r="AH48" s="117" t="s">
        <v>208</v>
      </c>
      <c r="AI48" s="116">
        <v>358.85136855509302</v>
      </c>
      <c r="AJ48" s="117" t="s">
        <v>208</v>
      </c>
      <c r="AK48" s="116">
        <v>444.57314511290747</v>
      </c>
      <c r="AL48" s="117" t="s">
        <v>208</v>
      </c>
      <c r="AM48" s="116">
        <v>4588.3603866858575</v>
      </c>
    </row>
    <row r="49" spans="1:39" s="100" customFormat="1" ht="46.8" x14ac:dyDescent="0.3">
      <c r="A49" s="97">
        <v>39</v>
      </c>
      <c r="B49" s="98" t="s">
        <v>603</v>
      </c>
      <c r="C49" s="98" t="s">
        <v>2708</v>
      </c>
      <c r="D49" s="98" t="s">
        <v>1902</v>
      </c>
      <c r="E49" s="98" t="s">
        <v>2709</v>
      </c>
      <c r="F49" s="98" t="s">
        <v>49</v>
      </c>
      <c r="G49" s="99" t="s">
        <v>2710</v>
      </c>
      <c r="H49" s="99">
        <v>15</v>
      </c>
      <c r="I49" s="99" t="s">
        <v>2710</v>
      </c>
      <c r="J49" s="99">
        <v>3</v>
      </c>
      <c r="K49" s="98" t="s">
        <v>528</v>
      </c>
      <c r="L49" s="98" t="s">
        <v>528</v>
      </c>
      <c r="M49" s="116">
        <v>2367.4680533900892</v>
      </c>
      <c r="N49" s="116">
        <v>4211.466436366878</v>
      </c>
      <c r="O49" s="116">
        <v>152</v>
      </c>
      <c r="P49" s="117" t="s">
        <v>208</v>
      </c>
      <c r="Q49" s="116">
        <v>164</v>
      </c>
      <c r="R49" s="117" t="s">
        <v>208</v>
      </c>
      <c r="S49" s="116">
        <v>437</v>
      </c>
      <c r="T49" s="117" t="s">
        <v>208</v>
      </c>
      <c r="U49" s="116">
        <v>316</v>
      </c>
      <c r="V49" s="117" t="s">
        <v>208</v>
      </c>
      <c r="W49" s="116">
        <v>199</v>
      </c>
      <c r="X49" s="117" t="s">
        <v>208</v>
      </c>
      <c r="Y49" s="116">
        <v>281.72727272727275</v>
      </c>
      <c r="Z49" s="117" t="s">
        <v>208</v>
      </c>
      <c r="AA49" s="116">
        <v>149</v>
      </c>
      <c r="AB49" s="117" t="s">
        <v>208</v>
      </c>
      <c r="AC49" s="116">
        <v>110</v>
      </c>
      <c r="AD49" s="117" t="s">
        <v>208</v>
      </c>
      <c r="AE49" s="116">
        <v>153</v>
      </c>
      <c r="AF49" s="117" t="s">
        <v>208</v>
      </c>
      <c r="AG49" s="116">
        <v>312</v>
      </c>
      <c r="AH49" s="117" t="s">
        <v>208</v>
      </c>
      <c r="AI49" s="116">
        <v>952</v>
      </c>
      <c r="AJ49" s="117" t="s">
        <v>208</v>
      </c>
      <c r="AK49" s="116">
        <v>155</v>
      </c>
      <c r="AL49" s="117" t="s">
        <v>208</v>
      </c>
      <c r="AM49" s="116">
        <v>3380.727272727273</v>
      </c>
    </row>
    <row r="50" spans="1:39" s="100" customFormat="1" ht="46.8" x14ac:dyDescent="0.3">
      <c r="A50" s="97">
        <v>40</v>
      </c>
      <c r="B50" s="98" t="s">
        <v>604</v>
      </c>
      <c r="C50" s="98" t="s">
        <v>2708</v>
      </c>
      <c r="D50" s="98" t="s">
        <v>1902</v>
      </c>
      <c r="E50" s="98" t="s">
        <v>2709</v>
      </c>
      <c r="F50" s="98" t="s">
        <v>49</v>
      </c>
      <c r="G50" s="99" t="s">
        <v>2710</v>
      </c>
      <c r="H50" s="99">
        <v>9</v>
      </c>
      <c r="I50" s="99" t="s">
        <v>2710</v>
      </c>
      <c r="J50" s="99">
        <v>3</v>
      </c>
      <c r="K50" s="98" t="s">
        <v>528</v>
      </c>
      <c r="L50" s="98" t="s">
        <v>528</v>
      </c>
      <c r="M50" s="116">
        <v>2675.8249903550713</v>
      </c>
      <c r="N50" s="116">
        <v>4705.3296712176461</v>
      </c>
      <c r="O50" s="116">
        <v>366</v>
      </c>
      <c r="P50" s="117" t="s">
        <v>208</v>
      </c>
      <c r="Q50" s="116">
        <v>435</v>
      </c>
      <c r="R50" s="117" t="s">
        <v>208</v>
      </c>
      <c r="S50" s="116">
        <v>332</v>
      </c>
      <c r="T50" s="117" t="s">
        <v>208</v>
      </c>
      <c r="U50" s="116">
        <v>142</v>
      </c>
      <c r="V50" s="117" t="s">
        <v>208</v>
      </c>
      <c r="W50" s="116">
        <v>601</v>
      </c>
      <c r="X50" s="117" t="s">
        <v>208</v>
      </c>
      <c r="Y50" s="116">
        <v>329.63636363636363</v>
      </c>
      <c r="Z50" s="117" t="s">
        <v>208</v>
      </c>
      <c r="AA50" s="116">
        <v>235</v>
      </c>
      <c r="AB50" s="117" t="s">
        <v>208</v>
      </c>
      <c r="AC50" s="116">
        <v>152</v>
      </c>
      <c r="AD50" s="117" t="s">
        <v>208</v>
      </c>
      <c r="AE50" s="116">
        <v>257</v>
      </c>
      <c r="AF50" s="117" t="s">
        <v>208</v>
      </c>
      <c r="AG50" s="116">
        <v>321</v>
      </c>
      <c r="AH50" s="117" t="s">
        <v>208</v>
      </c>
      <c r="AI50" s="116">
        <v>399</v>
      </c>
      <c r="AJ50" s="117" t="s">
        <v>208</v>
      </c>
      <c r="AK50" s="116">
        <v>386</v>
      </c>
      <c r="AL50" s="117" t="s">
        <v>208</v>
      </c>
      <c r="AM50" s="116">
        <v>3955.6363636363635</v>
      </c>
    </row>
    <row r="51" spans="1:39" s="100" customFormat="1" ht="46.8" x14ac:dyDescent="0.3">
      <c r="A51" s="97">
        <v>41</v>
      </c>
      <c r="B51" s="98" t="s">
        <v>605</v>
      </c>
      <c r="C51" s="98" t="s">
        <v>2708</v>
      </c>
      <c r="D51" s="98" t="s">
        <v>1902</v>
      </c>
      <c r="E51" s="98" t="s">
        <v>2709</v>
      </c>
      <c r="F51" s="98" t="s">
        <v>49</v>
      </c>
      <c r="G51" s="99" t="s">
        <v>2710</v>
      </c>
      <c r="H51" s="99">
        <v>15</v>
      </c>
      <c r="I51" s="99" t="s">
        <v>2710</v>
      </c>
      <c r="J51" s="99">
        <v>3</v>
      </c>
      <c r="K51" s="98" t="s">
        <v>528</v>
      </c>
      <c r="L51" s="98" t="s">
        <v>528</v>
      </c>
      <c r="M51" s="116">
        <v>648.80362423940392</v>
      </c>
      <c r="N51" s="116">
        <v>1183.8054159739011</v>
      </c>
      <c r="O51" s="116">
        <v>80</v>
      </c>
      <c r="P51" s="117" t="s">
        <v>208</v>
      </c>
      <c r="Q51" s="116">
        <v>250</v>
      </c>
      <c r="R51" s="117" t="s">
        <v>208</v>
      </c>
      <c r="S51" s="116">
        <v>125</v>
      </c>
      <c r="T51" s="117" t="s">
        <v>208</v>
      </c>
      <c r="U51" s="116">
        <v>159</v>
      </c>
      <c r="V51" s="117" t="s">
        <v>208</v>
      </c>
      <c r="W51" s="116">
        <v>112</v>
      </c>
      <c r="X51" s="117" t="s">
        <v>208</v>
      </c>
      <c r="Y51" s="116">
        <v>79.181818181818187</v>
      </c>
      <c r="Z51" s="117" t="s">
        <v>208</v>
      </c>
      <c r="AA51" s="116">
        <v>32</v>
      </c>
      <c r="AB51" s="117" t="s">
        <v>208</v>
      </c>
      <c r="AC51" s="116">
        <v>33</v>
      </c>
      <c r="AD51" s="117" t="s">
        <v>208</v>
      </c>
      <c r="AE51" s="116">
        <v>24</v>
      </c>
      <c r="AF51" s="117" t="s">
        <v>208</v>
      </c>
      <c r="AG51" s="116">
        <v>14</v>
      </c>
      <c r="AH51" s="117" t="s">
        <v>208</v>
      </c>
      <c r="AI51" s="116">
        <v>11</v>
      </c>
      <c r="AJ51" s="117" t="s">
        <v>208</v>
      </c>
      <c r="AK51" s="116">
        <v>31</v>
      </c>
      <c r="AL51" s="117" t="s">
        <v>208</v>
      </c>
      <c r="AM51" s="116">
        <v>950.18181818181824</v>
      </c>
    </row>
    <row r="52" spans="1:39" s="100" customFormat="1" ht="46.8" x14ac:dyDescent="0.3">
      <c r="A52" s="97">
        <v>42</v>
      </c>
      <c r="B52" s="98" t="s">
        <v>606</v>
      </c>
      <c r="C52" s="98" t="s">
        <v>2708</v>
      </c>
      <c r="D52" s="98" t="s">
        <v>1902</v>
      </c>
      <c r="E52" s="98" t="s">
        <v>2709</v>
      </c>
      <c r="F52" s="98" t="s">
        <v>49</v>
      </c>
      <c r="G52" s="99" t="s">
        <v>2710</v>
      </c>
      <c r="H52" s="99">
        <v>4</v>
      </c>
      <c r="I52" s="99" t="s">
        <v>2710</v>
      </c>
      <c r="J52" s="99">
        <v>1</v>
      </c>
      <c r="K52" s="98" t="s">
        <v>528</v>
      </c>
      <c r="L52" s="98" t="s">
        <v>528</v>
      </c>
      <c r="M52" s="116">
        <v>77347.103323411618</v>
      </c>
      <c r="N52" s="116">
        <v>137273.69244750799</v>
      </c>
      <c r="O52" s="116">
        <v>8958</v>
      </c>
      <c r="P52" s="117" t="s">
        <v>208</v>
      </c>
      <c r="Q52" s="116">
        <v>11182</v>
      </c>
      <c r="R52" s="117" t="s">
        <v>208</v>
      </c>
      <c r="S52" s="116">
        <v>10854</v>
      </c>
      <c r="T52" s="117" t="s">
        <v>208</v>
      </c>
      <c r="U52" s="116">
        <v>11178</v>
      </c>
      <c r="V52" s="117" t="s">
        <v>208</v>
      </c>
      <c r="W52" s="116">
        <v>8620</v>
      </c>
      <c r="X52" s="117" t="s">
        <v>208</v>
      </c>
      <c r="Y52" s="116">
        <v>9672.454545454546</v>
      </c>
      <c r="Z52" s="117" t="s">
        <v>208</v>
      </c>
      <c r="AA52" s="116">
        <v>7245</v>
      </c>
      <c r="AB52" s="117" t="s">
        <v>208</v>
      </c>
      <c r="AC52" s="116">
        <v>7351</v>
      </c>
      <c r="AD52" s="117" t="s">
        <v>208</v>
      </c>
      <c r="AE52" s="116">
        <v>8934</v>
      </c>
      <c r="AF52" s="117" t="s">
        <v>208</v>
      </c>
      <c r="AG52" s="116">
        <v>9176</v>
      </c>
      <c r="AH52" s="117" t="s">
        <v>208</v>
      </c>
      <c r="AI52" s="116">
        <v>10653</v>
      </c>
      <c r="AJ52" s="117" t="s">
        <v>208</v>
      </c>
      <c r="AK52" s="116">
        <v>12246</v>
      </c>
      <c r="AL52" s="117" t="s">
        <v>208</v>
      </c>
      <c r="AM52" s="116">
        <v>116069.45454545454</v>
      </c>
    </row>
    <row r="53" spans="1:39" s="100" customFormat="1" ht="46.8" x14ac:dyDescent="0.3">
      <c r="A53" s="97">
        <v>43</v>
      </c>
      <c r="B53" s="98" t="s">
        <v>607</v>
      </c>
      <c r="C53" s="98" t="s">
        <v>2708</v>
      </c>
      <c r="D53" s="98" t="s">
        <v>1902</v>
      </c>
      <c r="E53" s="98" t="s">
        <v>2709</v>
      </c>
      <c r="F53" s="98" t="s">
        <v>49</v>
      </c>
      <c r="G53" s="99" t="s">
        <v>2710</v>
      </c>
      <c r="H53" s="99">
        <v>4</v>
      </c>
      <c r="I53" s="99" t="s">
        <v>2710</v>
      </c>
      <c r="J53" s="99">
        <v>1</v>
      </c>
      <c r="K53" s="98" t="s">
        <v>528</v>
      </c>
      <c r="L53" s="98" t="s">
        <v>528</v>
      </c>
      <c r="M53" s="116">
        <v>1949.2268085739081</v>
      </c>
      <c r="N53" s="116">
        <v>3140.7770368473875</v>
      </c>
      <c r="O53" s="116">
        <v>303</v>
      </c>
      <c r="P53" s="117" t="s">
        <v>208</v>
      </c>
      <c r="Q53" s="116">
        <v>286</v>
      </c>
      <c r="R53" s="117" t="s">
        <v>208</v>
      </c>
      <c r="S53" s="116">
        <v>332</v>
      </c>
      <c r="T53" s="117" t="s">
        <v>208</v>
      </c>
      <c r="U53" s="116">
        <v>173</v>
      </c>
      <c r="V53" s="117" t="s">
        <v>208</v>
      </c>
      <c r="W53" s="116">
        <v>136</v>
      </c>
      <c r="X53" s="117" t="s">
        <v>208</v>
      </c>
      <c r="Y53" s="116">
        <v>225.72727272727272</v>
      </c>
      <c r="Z53" s="117" t="s">
        <v>208</v>
      </c>
      <c r="AA53" s="116">
        <v>234</v>
      </c>
      <c r="AB53" s="117" t="s">
        <v>208</v>
      </c>
      <c r="AC53" s="116">
        <v>127</v>
      </c>
      <c r="AD53" s="117" t="s">
        <v>208</v>
      </c>
      <c r="AE53" s="116">
        <v>208</v>
      </c>
      <c r="AF53" s="117" t="s">
        <v>208</v>
      </c>
      <c r="AG53" s="116">
        <v>174</v>
      </c>
      <c r="AH53" s="117" t="s">
        <v>208</v>
      </c>
      <c r="AI53" s="116">
        <v>259</v>
      </c>
      <c r="AJ53" s="117" t="s">
        <v>208</v>
      </c>
      <c r="AK53" s="116">
        <v>251</v>
      </c>
      <c r="AL53" s="117" t="s">
        <v>208</v>
      </c>
      <c r="AM53" s="116">
        <v>2708.727272727273</v>
      </c>
    </row>
    <row r="54" spans="1:39" s="100" customFormat="1" ht="46.8" x14ac:dyDescent="0.3">
      <c r="A54" s="97">
        <v>44</v>
      </c>
      <c r="B54" s="98" t="s">
        <v>608</v>
      </c>
      <c r="C54" s="98" t="s">
        <v>2708</v>
      </c>
      <c r="D54" s="98" t="s">
        <v>1902</v>
      </c>
      <c r="E54" s="98" t="s">
        <v>2709</v>
      </c>
      <c r="F54" s="98" t="s">
        <v>49</v>
      </c>
      <c r="G54" s="99" t="s">
        <v>2710</v>
      </c>
      <c r="H54" s="99">
        <v>5</v>
      </c>
      <c r="I54" s="99" t="s">
        <v>2710</v>
      </c>
      <c r="J54" s="99">
        <v>1</v>
      </c>
      <c r="K54" s="98" t="s">
        <v>528</v>
      </c>
      <c r="L54" s="98" t="s">
        <v>528</v>
      </c>
      <c r="M54" s="116">
        <v>794.64999733383263</v>
      </c>
      <c r="N54" s="116">
        <v>1440.2917141981582</v>
      </c>
      <c r="O54" s="116">
        <v>131</v>
      </c>
      <c r="P54" s="117" t="s">
        <v>208</v>
      </c>
      <c r="Q54" s="116">
        <v>196</v>
      </c>
      <c r="R54" s="117" t="s">
        <v>208</v>
      </c>
      <c r="S54" s="116">
        <v>114</v>
      </c>
      <c r="T54" s="117" t="s">
        <v>208</v>
      </c>
      <c r="U54" s="116">
        <v>109</v>
      </c>
      <c r="V54" s="117" t="s">
        <v>208</v>
      </c>
      <c r="W54" s="116">
        <v>93</v>
      </c>
      <c r="X54" s="117" t="s">
        <v>208</v>
      </c>
      <c r="Y54" s="116">
        <v>100.63636363636364</v>
      </c>
      <c r="Z54" s="117" t="s">
        <v>208</v>
      </c>
      <c r="AA54" s="116">
        <v>51</v>
      </c>
      <c r="AB54" s="117" t="s">
        <v>208</v>
      </c>
      <c r="AC54" s="116">
        <v>39</v>
      </c>
      <c r="AD54" s="117" t="s">
        <v>208</v>
      </c>
      <c r="AE54" s="116">
        <v>84</v>
      </c>
      <c r="AF54" s="117" t="s">
        <v>208</v>
      </c>
      <c r="AG54" s="116">
        <v>67</v>
      </c>
      <c r="AH54" s="117" t="s">
        <v>208</v>
      </c>
      <c r="AI54" s="116">
        <v>100</v>
      </c>
      <c r="AJ54" s="117" t="s">
        <v>208</v>
      </c>
      <c r="AK54" s="116">
        <v>123</v>
      </c>
      <c r="AL54" s="117" t="s">
        <v>208</v>
      </c>
      <c r="AM54" s="116">
        <v>1207.6363636363635</v>
      </c>
    </row>
    <row r="55" spans="1:39" s="100" customFormat="1" ht="46.8" x14ac:dyDescent="0.3">
      <c r="A55" s="97">
        <v>45</v>
      </c>
      <c r="B55" s="98" t="s">
        <v>610</v>
      </c>
      <c r="C55" s="98" t="s">
        <v>2708</v>
      </c>
      <c r="D55" s="98" t="s">
        <v>1902</v>
      </c>
      <c r="E55" s="98" t="s">
        <v>2709</v>
      </c>
      <c r="F55" s="98" t="s">
        <v>49</v>
      </c>
      <c r="G55" s="99" t="s">
        <v>2710</v>
      </c>
      <c r="H55" s="99">
        <v>25</v>
      </c>
      <c r="I55" s="99" t="s">
        <v>2710</v>
      </c>
      <c r="J55" s="99">
        <v>5</v>
      </c>
      <c r="K55" s="98" t="s">
        <v>528</v>
      </c>
      <c r="L55" s="98" t="s">
        <v>528</v>
      </c>
      <c r="M55" s="116">
        <v>7420.3574780416784</v>
      </c>
      <c r="N55" s="116">
        <v>13600.96424208626</v>
      </c>
      <c r="O55" s="116">
        <v>1184</v>
      </c>
      <c r="P55" s="117" t="s">
        <v>208</v>
      </c>
      <c r="Q55" s="116">
        <v>1045</v>
      </c>
      <c r="R55" s="117" t="s">
        <v>208</v>
      </c>
      <c r="S55" s="116">
        <v>931</v>
      </c>
      <c r="T55" s="117" t="s">
        <v>208</v>
      </c>
      <c r="U55" s="116">
        <v>1048</v>
      </c>
      <c r="V55" s="117" t="s">
        <v>208</v>
      </c>
      <c r="W55" s="116">
        <v>700</v>
      </c>
      <c r="X55" s="117" t="s">
        <v>208</v>
      </c>
      <c r="Y55" s="116">
        <v>941.36363636363637</v>
      </c>
      <c r="Z55" s="117" t="s">
        <v>208</v>
      </c>
      <c r="AA55" s="116">
        <v>1180</v>
      </c>
      <c r="AB55" s="117" t="s">
        <v>208</v>
      </c>
      <c r="AC55" s="116">
        <v>408</v>
      </c>
      <c r="AD55" s="117" t="s">
        <v>208</v>
      </c>
      <c r="AE55" s="116">
        <v>839</v>
      </c>
      <c r="AF55" s="117" t="s">
        <v>208</v>
      </c>
      <c r="AG55" s="116">
        <v>817</v>
      </c>
      <c r="AH55" s="117" t="s">
        <v>208</v>
      </c>
      <c r="AI55" s="116">
        <v>996</v>
      </c>
      <c r="AJ55" s="117" t="s">
        <v>208</v>
      </c>
      <c r="AK55" s="116">
        <v>1207</v>
      </c>
      <c r="AL55" s="117" t="s">
        <v>208</v>
      </c>
      <c r="AM55" s="116">
        <v>11296.363636363636</v>
      </c>
    </row>
    <row r="56" spans="1:39" s="100" customFormat="1" ht="46.8" x14ac:dyDescent="0.3">
      <c r="A56" s="97">
        <v>46</v>
      </c>
      <c r="B56" s="98" t="s">
        <v>611</v>
      </c>
      <c r="C56" s="98" t="s">
        <v>2708</v>
      </c>
      <c r="D56" s="98" t="s">
        <v>1902</v>
      </c>
      <c r="E56" s="98" t="s">
        <v>2709</v>
      </c>
      <c r="F56" s="98" t="s">
        <v>49</v>
      </c>
      <c r="G56" s="99" t="s">
        <v>2710</v>
      </c>
      <c r="H56" s="99">
        <v>20</v>
      </c>
      <c r="I56" s="99" t="s">
        <v>2710</v>
      </c>
      <c r="J56" s="99">
        <v>4</v>
      </c>
      <c r="K56" s="98" t="s">
        <v>528</v>
      </c>
      <c r="L56" s="98" t="s">
        <v>528</v>
      </c>
      <c r="M56" s="116">
        <v>5490.2909061255796</v>
      </c>
      <c r="N56" s="116">
        <v>10113.580459578188</v>
      </c>
      <c r="O56" s="116">
        <v>888.72</v>
      </c>
      <c r="P56" s="117" t="s">
        <v>208</v>
      </c>
      <c r="Q56" s="116">
        <v>1086.4000000000001</v>
      </c>
      <c r="R56" s="117" t="s">
        <v>208</v>
      </c>
      <c r="S56" s="116">
        <v>621.6</v>
      </c>
      <c r="T56" s="117" t="s">
        <v>208</v>
      </c>
      <c r="U56" s="116">
        <v>646.24</v>
      </c>
      <c r="V56" s="117" t="s">
        <v>208</v>
      </c>
      <c r="W56" s="116">
        <v>533.12</v>
      </c>
      <c r="X56" s="117" t="s">
        <v>208</v>
      </c>
      <c r="Y56" s="116">
        <v>684.0654545454546</v>
      </c>
      <c r="Z56" s="117" t="s">
        <v>208</v>
      </c>
      <c r="AA56" s="116">
        <v>755.44</v>
      </c>
      <c r="AB56" s="117" t="s">
        <v>208</v>
      </c>
      <c r="AC56" s="116">
        <v>316.96000000000004</v>
      </c>
      <c r="AD56" s="117" t="s">
        <v>208</v>
      </c>
      <c r="AE56" s="116">
        <v>574</v>
      </c>
      <c r="AF56" s="117" t="s">
        <v>208</v>
      </c>
      <c r="AG56" s="116">
        <v>615.44000000000005</v>
      </c>
      <c r="AH56" s="117" t="s">
        <v>208</v>
      </c>
      <c r="AI56" s="116">
        <v>766.6400000000001</v>
      </c>
      <c r="AJ56" s="117" t="s">
        <v>208</v>
      </c>
      <c r="AK56" s="116">
        <v>720.16000000000008</v>
      </c>
      <c r="AL56" s="117" t="s">
        <v>208</v>
      </c>
      <c r="AM56" s="116">
        <v>8208.7854545454557</v>
      </c>
    </row>
    <row r="57" spans="1:39" s="100" customFormat="1" ht="46.8" x14ac:dyDescent="0.3">
      <c r="A57" s="97">
        <v>47</v>
      </c>
      <c r="B57" s="98" t="s">
        <v>612</v>
      </c>
      <c r="C57" s="98" t="s">
        <v>2708</v>
      </c>
      <c r="D57" s="98" t="s">
        <v>1902</v>
      </c>
      <c r="E57" s="98" t="s">
        <v>2709</v>
      </c>
      <c r="F57" s="98" t="s">
        <v>49</v>
      </c>
      <c r="G57" s="99" t="s">
        <v>2710</v>
      </c>
      <c r="H57" s="99">
        <v>28</v>
      </c>
      <c r="I57" s="99" t="s">
        <v>2710</v>
      </c>
      <c r="J57" s="99">
        <v>7</v>
      </c>
      <c r="K57" s="98" t="s">
        <v>528</v>
      </c>
      <c r="L57" s="98" t="s">
        <v>529</v>
      </c>
      <c r="M57" s="116">
        <v>7686.0802411946715</v>
      </c>
      <c r="N57" s="116">
        <v>13647.095641845901</v>
      </c>
      <c r="O57" s="116">
        <v>1298.7</v>
      </c>
      <c r="P57" s="117" t="s">
        <v>1906</v>
      </c>
      <c r="Q57" s="116">
        <v>1298.7</v>
      </c>
      <c r="R57" s="117" t="s">
        <v>1906</v>
      </c>
      <c r="S57" s="116">
        <v>1298.7</v>
      </c>
      <c r="T57" s="117" t="s">
        <v>1906</v>
      </c>
      <c r="U57" s="116">
        <v>1298.7</v>
      </c>
      <c r="V57" s="117" t="s">
        <v>1906</v>
      </c>
      <c r="W57" s="116">
        <v>1298.7</v>
      </c>
      <c r="X57" s="117" t="s">
        <v>1906</v>
      </c>
      <c r="Y57" s="116">
        <v>939.86727272727285</v>
      </c>
      <c r="Z57" s="117" t="s">
        <v>1906</v>
      </c>
      <c r="AA57" s="116">
        <v>640.83999999999992</v>
      </c>
      <c r="AB57" s="117" t="s">
        <v>1906</v>
      </c>
      <c r="AC57" s="116">
        <v>640.83999999999992</v>
      </c>
      <c r="AD57" s="117" t="s">
        <v>1906</v>
      </c>
      <c r="AE57" s="116">
        <v>640.83999999999992</v>
      </c>
      <c r="AF57" s="117" t="s">
        <v>1906</v>
      </c>
      <c r="AG57" s="116">
        <v>640.83999999999992</v>
      </c>
      <c r="AH57" s="117" t="s">
        <v>1906</v>
      </c>
      <c r="AI57" s="116">
        <v>640.83999999999992</v>
      </c>
      <c r="AJ57" s="117" t="s">
        <v>1906</v>
      </c>
      <c r="AK57" s="116">
        <v>640.83999999999992</v>
      </c>
      <c r="AL57" s="117" t="s">
        <v>1906</v>
      </c>
      <c r="AM57" s="116">
        <v>11278.407272727274</v>
      </c>
    </row>
    <row r="58" spans="1:39" s="100" customFormat="1" ht="46.8" x14ac:dyDescent="0.3">
      <c r="A58" s="97">
        <v>48</v>
      </c>
      <c r="B58" s="98" t="s">
        <v>613</v>
      </c>
      <c r="C58" s="98" t="s">
        <v>2708</v>
      </c>
      <c r="D58" s="98" t="s">
        <v>1902</v>
      </c>
      <c r="E58" s="98" t="s">
        <v>2709</v>
      </c>
      <c r="F58" s="98" t="s">
        <v>49</v>
      </c>
      <c r="G58" s="99" t="s">
        <v>2710</v>
      </c>
      <c r="H58" s="99">
        <v>10</v>
      </c>
      <c r="I58" s="99" t="s">
        <v>2710</v>
      </c>
      <c r="J58" s="99">
        <v>2</v>
      </c>
      <c r="K58" s="98" t="s">
        <v>528</v>
      </c>
      <c r="L58" s="98" t="s">
        <v>528</v>
      </c>
      <c r="M58" s="116">
        <v>5042.415568504819</v>
      </c>
      <c r="N58" s="116">
        <v>8872.0893205728971</v>
      </c>
      <c r="O58" s="116">
        <v>739</v>
      </c>
      <c r="P58" s="117" t="s">
        <v>208</v>
      </c>
      <c r="Q58" s="116">
        <v>801</v>
      </c>
      <c r="R58" s="117" t="s">
        <v>208</v>
      </c>
      <c r="S58" s="116">
        <v>912</v>
      </c>
      <c r="T58" s="117" t="s">
        <v>208</v>
      </c>
      <c r="U58" s="116">
        <v>227</v>
      </c>
      <c r="V58" s="117" t="s">
        <v>208</v>
      </c>
      <c r="W58" s="116">
        <v>593</v>
      </c>
      <c r="X58" s="117" t="s">
        <v>208</v>
      </c>
      <c r="Y58" s="116">
        <v>619.18181818181813</v>
      </c>
      <c r="Z58" s="117" t="s">
        <v>208</v>
      </c>
      <c r="AA58" s="116">
        <v>518</v>
      </c>
      <c r="AB58" s="117" t="s">
        <v>208</v>
      </c>
      <c r="AC58" s="116">
        <v>459</v>
      </c>
      <c r="AD58" s="117" t="s">
        <v>208</v>
      </c>
      <c r="AE58" s="116">
        <v>589</v>
      </c>
      <c r="AF58" s="117" t="s">
        <v>208</v>
      </c>
      <c r="AG58" s="116">
        <v>501</v>
      </c>
      <c r="AH58" s="117" t="s">
        <v>208</v>
      </c>
      <c r="AI58" s="116">
        <v>839</v>
      </c>
      <c r="AJ58" s="117" t="s">
        <v>208</v>
      </c>
      <c r="AK58" s="116">
        <v>633</v>
      </c>
      <c r="AL58" s="117" t="s">
        <v>208</v>
      </c>
      <c r="AM58" s="116">
        <v>7430.181818181818</v>
      </c>
    </row>
    <row r="59" spans="1:39" s="100" customFormat="1" ht="46.8" x14ac:dyDescent="0.3">
      <c r="A59" s="97">
        <v>49</v>
      </c>
      <c r="B59" s="98" t="s">
        <v>614</v>
      </c>
      <c r="C59" s="98" t="s">
        <v>2708</v>
      </c>
      <c r="D59" s="98" t="s">
        <v>1902</v>
      </c>
      <c r="E59" s="98" t="s">
        <v>2709</v>
      </c>
      <c r="F59" s="98" t="s">
        <v>49</v>
      </c>
      <c r="G59" s="99" t="s">
        <v>2710</v>
      </c>
      <c r="H59" s="99">
        <v>5</v>
      </c>
      <c r="I59" s="99" t="s">
        <v>2710</v>
      </c>
      <c r="J59" s="99">
        <v>1</v>
      </c>
      <c r="K59" s="98" t="s">
        <v>528</v>
      </c>
      <c r="L59" s="98" t="s">
        <v>528</v>
      </c>
      <c r="M59" s="116">
        <v>3510.2209159011409</v>
      </c>
      <c r="N59" s="116">
        <v>6058.2073338999908</v>
      </c>
      <c r="O59" s="116">
        <v>451.77906431469523</v>
      </c>
      <c r="P59" s="117" t="s">
        <v>208</v>
      </c>
      <c r="Q59" s="116">
        <v>453.6501943583549</v>
      </c>
      <c r="R59" s="117" t="s">
        <v>208</v>
      </c>
      <c r="S59" s="116">
        <v>357.06321267905645</v>
      </c>
      <c r="T59" s="117" t="s">
        <v>208</v>
      </c>
      <c r="U59" s="116">
        <v>311.37833772460635</v>
      </c>
      <c r="V59" s="117" t="s">
        <v>208</v>
      </c>
      <c r="W59" s="116">
        <v>530.86436038587158</v>
      </c>
      <c r="X59" s="117" t="s">
        <v>208</v>
      </c>
      <c r="Y59" s="116">
        <v>428.35881727170721</v>
      </c>
      <c r="Z59" s="117" t="s">
        <v>208</v>
      </c>
      <c r="AA59" s="116">
        <v>387.07339576110024</v>
      </c>
      <c r="AB59" s="117" t="s">
        <v>208</v>
      </c>
      <c r="AC59" s="116">
        <v>499.07704287445807</v>
      </c>
      <c r="AD59" s="117" t="s">
        <v>208</v>
      </c>
      <c r="AE59" s="116">
        <v>462.18791087387035</v>
      </c>
      <c r="AF59" s="117" t="s">
        <v>208</v>
      </c>
      <c r="AG59" s="116">
        <v>433.90678683519189</v>
      </c>
      <c r="AH59" s="117" t="s">
        <v>208</v>
      </c>
      <c r="AI59" s="116">
        <v>412.6063334951009</v>
      </c>
      <c r="AJ59" s="117" t="s">
        <v>208</v>
      </c>
      <c r="AK59" s="116">
        <v>412.36035068647317</v>
      </c>
      <c r="AL59" s="117" t="s">
        <v>208</v>
      </c>
      <c r="AM59" s="116">
        <v>5140.3058072604854</v>
      </c>
    </row>
    <row r="60" spans="1:39" s="100" customFormat="1" ht="46.8" x14ac:dyDescent="0.3">
      <c r="A60" s="97">
        <v>50</v>
      </c>
      <c r="B60" s="98" t="s">
        <v>615</v>
      </c>
      <c r="C60" s="98" t="s">
        <v>2708</v>
      </c>
      <c r="D60" s="98" t="s">
        <v>1902</v>
      </c>
      <c r="E60" s="98" t="s">
        <v>2709</v>
      </c>
      <c r="F60" s="98" t="s">
        <v>49</v>
      </c>
      <c r="G60" s="99" t="s">
        <v>2710</v>
      </c>
      <c r="H60" s="99">
        <v>5</v>
      </c>
      <c r="I60" s="99" t="s">
        <v>2710</v>
      </c>
      <c r="J60" s="99">
        <v>1</v>
      </c>
      <c r="K60" s="98" t="s">
        <v>528</v>
      </c>
      <c r="L60" s="98" t="s">
        <v>529</v>
      </c>
      <c r="M60" s="116">
        <v>2850.6329134585553</v>
      </c>
      <c r="N60" s="116">
        <v>4951.3784290065323</v>
      </c>
      <c r="O60" s="116">
        <v>456.3</v>
      </c>
      <c r="P60" s="117" t="s">
        <v>1906</v>
      </c>
      <c r="Q60" s="116">
        <v>456.3</v>
      </c>
      <c r="R60" s="117" t="s">
        <v>1906</v>
      </c>
      <c r="S60" s="116">
        <v>456.3</v>
      </c>
      <c r="T60" s="117" t="s">
        <v>1906</v>
      </c>
      <c r="U60" s="116">
        <v>456.3</v>
      </c>
      <c r="V60" s="117" t="s">
        <v>1906</v>
      </c>
      <c r="W60" s="116">
        <v>456.3</v>
      </c>
      <c r="X60" s="117" t="s">
        <v>1906</v>
      </c>
      <c r="Y60" s="116">
        <v>330.22363636363627</v>
      </c>
      <c r="Z60" s="117" t="s">
        <v>1906</v>
      </c>
      <c r="AA60" s="116">
        <v>225.16</v>
      </c>
      <c r="AB60" s="117" t="s">
        <v>1906</v>
      </c>
      <c r="AC60" s="116">
        <v>225.16</v>
      </c>
      <c r="AD60" s="117" t="s">
        <v>1906</v>
      </c>
      <c r="AE60" s="116">
        <v>225.16</v>
      </c>
      <c r="AF60" s="117" t="s">
        <v>1906</v>
      </c>
      <c r="AG60" s="116">
        <v>225.16</v>
      </c>
      <c r="AH60" s="117" t="s">
        <v>1906</v>
      </c>
      <c r="AI60" s="116">
        <v>225.16</v>
      </c>
      <c r="AJ60" s="117" t="s">
        <v>1906</v>
      </c>
      <c r="AK60" s="116">
        <v>225.16</v>
      </c>
      <c r="AL60" s="117" t="s">
        <v>1906</v>
      </c>
      <c r="AM60" s="116">
        <v>3962.6836363636353</v>
      </c>
    </row>
    <row r="61" spans="1:39" s="100" customFormat="1" ht="46.8" x14ac:dyDescent="0.3">
      <c r="A61" s="97">
        <v>51</v>
      </c>
      <c r="B61" s="98" t="s">
        <v>616</v>
      </c>
      <c r="C61" s="98" t="s">
        <v>2708</v>
      </c>
      <c r="D61" s="98" t="s">
        <v>1902</v>
      </c>
      <c r="E61" s="98" t="s">
        <v>2709</v>
      </c>
      <c r="F61" s="98" t="s">
        <v>49</v>
      </c>
      <c r="G61" s="99" t="s">
        <v>2710</v>
      </c>
      <c r="H61" s="99">
        <v>18</v>
      </c>
      <c r="I61" s="99" t="s">
        <v>2710</v>
      </c>
      <c r="J61" s="99">
        <v>3</v>
      </c>
      <c r="K61" s="98" t="s">
        <v>528</v>
      </c>
      <c r="L61" s="98" t="s">
        <v>528</v>
      </c>
      <c r="M61" s="116">
        <v>32200.821605794041</v>
      </c>
      <c r="N61" s="116">
        <v>54068.952642208838</v>
      </c>
      <c r="O61" s="116">
        <v>3986</v>
      </c>
      <c r="P61" s="117" t="s">
        <v>208</v>
      </c>
      <c r="Q61" s="116">
        <v>4396</v>
      </c>
      <c r="R61" s="117" t="s">
        <v>208</v>
      </c>
      <c r="S61" s="116">
        <v>4098</v>
      </c>
      <c r="T61" s="117" t="s">
        <v>208</v>
      </c>
      <c r="U61" s="116">
        <v>4274</v>
      </c>
      <c r="V61" s="117" t="s">
        <v>208</v>
      </c>
      <c r="W61" s="116">
        <v>3231</v>
      </c>
      <c r="X61" s="117" t="s">
        <v>208</v>
      </c>
      <c r="Y61" s="116">
        <v>3724.3636363636365</v>
      </c>
      <c r="Z61" s="117" t="s">
        <v>208</v>
      </c>
      <c r="AA61" s="116">
        <v>4488</v>
      </c>
      <c r="AB61" s="117" t="s">
        <v>208</v>
      </c>
      <c r="AC61" s="116">
        <v>1483</v>
      </c>
      <c r="AD61" s="117" t="s">
        <v>208</v>
      </c>
      <c r="AE61" s="116">
        <v>3677</v>
      </c>
      <c r="AF61" s="117" t="s">
        <v>208</v>
      </c>
      <c r="AG61" s="116">
        <v>3227</v>
      </c>
      <c r="AH61" s="117" t="s">
        <v>208</v>
      </c>
      <c r="AI61" s="116">
        <v>4074</v>
      </c>
      <c r="AJ61" s="117" t="s">
        <v>208</v>
      </c>
      <c r="AK61" s="116">
        <v>4034</v>
      </c>
      <c r="AL61" s="117" t="s">
        <v>208</v>
      </c>
      <c r="AM61" s="116">
        <v>44692.363636363632</v>
      </c>
    </row>
    <row r="62" spans="1:39" s="100" customFormat="1" ht="46.8" x14ac:dyDescent="0.3">
      <c r="A62" s="97">
        <v>52</v>
      </c>
      <c r="B62" s="98" t="s">
        <v>617</v>
      </c>
      <c r="C62" s="98" t="s">
        <v>2708</v>
      </c>
      <c r="D62" s="98" t="s">
        <v>1902</v>
      </c>
      <c r="E62" s="98" t="s">
        <v>2709</v>
      </c>
      <c r="F62" s="98" t="s">
        <v>49</v>
      </c>
      <c r="G62" s="99" t="s">
        <v>2710</v>
      </c>
      <c r="H62" s="99">
        <v>12</v>
      </c>
      <c r="I62" s="99" t="s">
        <v>2710</v>
      </c>
      <c r="J62" s="99">
        <v>2</v>
      </c>
      <c r="K62" s="98" t="s">
        <v>528</v>
      </c>
      <c r="L62" s="98" t="s">
        <v>528</v>
      </c>
      <c r="M62" s="116">
        <v>5808.6192469298749</v>
      </c>
      <c r="N62" s="116">
        <v>10745.803367113211</v>
      </c>
      <c r="O62" s="116">
        <v>820.61371603063037</v>
      </c>
      <c r="P62" s="117" t="s">
        <v>208</v>
      </c>
      <c r="Q62" s="116">
        <v>937.24655835994611</v>
      </c>
      <c r="R62" s="117" t="s">
        <v>208</v>
      </c>
      <c r="S62" s="116">
        <v>840.80512284975634</v>
      </c>
      <c r="T62" s="117" t="s">
        <v>208</v>
      </c>
      <c r="U62" s="116">
        <v>649.03128730963124</v>
      </c>
      <c r="V62" s="117" t="s">
        <v>208</v>
      </c>
      <c r="W62" s="116">
        <v>592.24150983361062</v>
      </c>
      <c r="X62" s="117" t="s">
        <v>208</v>
      </c>
      <c r="Y62" s="116">
        <v>738.98588594218938</v>
      </c>
      <c r="Z62" s="117" t="s">
        <v>208</v>
      </c>
      <c r="AA62" s="116">
        <v>643.68596930294086</v>
      </c>
      <c r="AB62" s="117" t="s">
        <v>208</v>
      </c>
      <c r="AC62" s="116">
        <v>660.82346018332248</v>
      </c>
      <c r="AD62" s="117" t="s">
        <v>208</v>
      </c>
      <c r="AE62" s="116">
        <v>698.04388217746157</v>
      </c>
      <c r="AF62" s="117" t="s">
        <v>208</v>
      </c>
      <c r="AG62" s="116">
        <v>793.07423335500346</v>
      </c>
      <c r="AH62" s="117" t="s">
        <v>208</v>
      </c>
      <c r="AI62" s="116">
        <v>806.47682872725568</v>
      </c>
      <c r="AJ62" s="117" t="s">
        <v>208</v>
      </c>
      <c r="AK62" s="116">
        <v>686.80217723452438</v>
      </c>
      <c r="AL62" s="117" t="s">
        <v>208</v>
      </c>
      <c r="AM62" s="116">
        <v>8867.8306313062731</v>
      </c>
    </row>
    <row r="63" spans="1:39" s="100" customFormat="1" ht="46.8" x14ac:dyDescent="0.3">
      <c r="A63" s="97">
        <v>53</v>
      </c>
      <c r="B63" s="98" t="s">
        <v>618</v>
      </c>
      <c r="C63" s="98" t="s">
        <v>2708</v>
      </c>
      <c r="D63" s="98" t="s">
        <v>1902</v>
      </c>
      <c r="E63" s="98" t="s">
        <v>2709</v>
      </c>
      <c r="F63" s="98" t="s">
        <v>49</v>
      </c>
      <c r="G63" s="99" t="s">
        <v>2710</v>
      </c>
      <c r="H63" s="99">
        <v>12</v>
      </c>
      <c r="I63" s="99" t="s">
        <v>2710</v>
      </c>
      <c r="J63" s="99">
        <v>2</v>
      </c>
      <c r="K63" s="98" t="s">
        <v>528</v>
      </c>
      <c r="L63" s="98" t="s">
        <v>528</v>
      </c>
      <c r="M63" s="116">
        <v>7437.0034934560845</v>
      </c>
      <c r="N63" s="116">
        <v>12875.902988603353</v>
      </c>
      <c r="O63" s="116">
        <v>653.16703040486379</v>
      </c>
      <c r="P63" s="117" t="s">
        <v>208</v>
      </c>
      <c r="Q63" s="116">
        <v>820.94420427091291</v>
      </c>
      <c r="R63" s="117" t="s">
        <v>208</v>
      </c>
      <c r="S63" s="116">
        <v>1050.6280273151247</v>
      </c>
      <c r="T63" s="117" t="s">
        <v>208</v>
      </c>
      <c r="U63" s="116">
        <v>1013.2861997569838</v>
      </c>
      <c r="V63" s="117" t="s">
        <v>208</v>
      </c>
      <c r="W63" s="116">
        <v>839.25994247491474</v>
      </c>
      <c r="X63" s="117" t="s">
        <v>208</v>
      </c>
      <c r="Y63" s="116">
        <v>880.75784929282383</v>
      </c>
      <c r="Z63" s="117" t="s">
        <v>208</v>
      </c>
      <c r="AA63" s="116">
        <v>1067.7000503868405</v>
      </c>
      <c r="AB63" s="117" t="s">
        <v>208</v>
      </c>
      <c r="AC63" s="116">
        <v>849.08452710722179</v>
      </c>
      <c r="AD63" s="117" t="s">
        <v>208</v>
      </c>
      <c r="AE63" s="116">
        <v>962.13787493016014</v>
      </c>
      <c r="AF63" s="117" t="s">
        <v>208</v>
      </c>
      <c r="AG63" s="116">
        <v>824.12078279444313</v>
      </c>
      <c r="AH63" s="117" t="s">
        <v>208</v>
      </c>
      <c r="AI63" s="116">
        <v>688.79255782284645</v>
      </c>
      <c r="AJ63" s="117" t="s">
        <v>208</v>
      </c>
      <c r="AK63" s="116">
        <v>919.21514495675024</v>
      </c>
      <c r="AL63" s="117" t="s">
        <v>208</v>
      </c>
      <c r="AM63" s="116">
        <v>10569.094191513886</v>
      </c>
    </row>
    <row r="64" spans="1:39" s="100" customFormat="1" ht="46.8" x14ac:dyDescent="0.3">
      <c r="A64" s="97">
        <v>54</v>
      </c>
      <c r="B64" s="98" t="s">
        <v>619</v>
      </c>
      <c r="C64" s="98" t="s">
        <v>2708</v>
      </c>
      <c r="D64" s="98" t="s">
        <v>1902</v>
      </c>
      <c r="E64" s="98" t="s">
        <v>2709</v>
      </c>
      <c r="F64" s="98" t="s">
        <v>49</v>
      </c>
      <c r="G64" s="99" t="s">
        <v>2710</v>
      </c>
      <c r="H64" s="99">
        <v>24</v>
      </c>
      <c r="I64" s="99" t="s">
        <v>2710</v>
      </c>
      <c r="J64" s="99">
        <v>4</v>
      </c>
      <c r="K64" s="98" t="s">
        <v>528</v>
      </c>
      <c r="L64" s="98" t="s">
        <v>528</v>
      </c>
      <c r="M64" s="116">
        <v>6576.703575999747</v>
      </c>
      <c r="N64" s="116">
        <v>11090.591957640689</v>
      </c>
      <c r="O64" s="116">
        <v>971</v>
      </c>
      <c r="P64" s="117" t="s">
        <v>208</v>
      </c>
      <c r="Q64" s="116">
        <v>1385</v>
      </c>
      <c r="R64" s="117" t="s">
        <v>208</v>
      </c>
      <c r="S64" s="116">
        <v>242</v>
      </c>
      <c r="T64" s="117" t="s">
        <v>208</v>
      </c>
      <c r="U64" s="116">
        <v>806</v>
      </c>
      <c r="V64" s="117" t="s">
        <v>208</v>
      </c>
      <c r="W64" s="116">
        <v>742</v>
      </c>
      <c r="X64" s="117" t="s">
        <v>208</v>
      </c>
      <c r="Y64" s="116">
        <v>782.90909090909088</v>
      </c>
      <c r="Z64" s="117" t="s">
        <v>208</v>
      </c>
      <c r="AA64" s="116">
        <v>849</v>
      </c>
      <c r="AB64" s="117" t="s">
        <v>208</v>
      </c>
      <c r="AC64" s="116">
        <v>395</v>
      </c>
      <c r="AD64" s="117" t="s">
        <v>208</v>
      </c>
      <c r="AE64" s="116">
        <v>726</v>
      </c>
      <c r="AF64" s="117" t="s">
        <v>208</v>
      </c>
      <c r="AG64" s="116">
        <v>684</v>
      </c>
      <c r="AH64" s="117" t="s">
        <v>208</v>
      </c>
      <c r="AI64" s="116">
        <v>883</v>
      </c>
      <c r="AJ64" s="117" t="s">
        <v>208</v>
      </c>
      <c r="AK64" s="116">
        <v>929</v>
      </c>
      <c r="AL64" s="117" t="s">
        <v>208</v>
      </c>
      <c r="AM64" s="116">
        <v>9394.9090909090919</v>
      </c>
    </row>
    <row r="65" spans="1:39" s="100" customFormat="1" ht="46.8" x14ac:dyDescent="0.3">
      <c r="A65" s="97">
        <v>55</v>
      </c>
      <c r="B65" s="98" t="s">
        <v>620</v>
      </c>
      <c r="C65" s="98" t="s">
        <v>2708</v>
      </c>
      <c r="D65" s="98" t="s">
        <v>1902</v>
      </c>
      <c r="E65" s="98" t="s">
        <v>2709</v>
      </c>
      <c r="F65" s="98" t="s">
        <v>49</v>
      </c>
      <c r="G65" s="99" t="s">
        <v>2710</v>
      </c>
      <c r="H65" s="99">
        <v>10</v>
      </c>
      <c r="I65" s="99" t="s">
        <v>2710</v>
      </c>
      <c r="J65" s="99">
        <v>2</v>
      </c>
      <c r="K65" s="98" t="s">
        <v>528</v>
      </c>
      <c r="L65" s="98" t="s">
        <v>528</v>
      </c>
      <c r="M65" s="116">
        <v>2466.505763009457</v>
      </c>
      <c r="N65" s="116">
        <v>4081.6571610332794</v>
      </c>
      <c r="O65" s="116">
        <v>383</v>
      </c>
      <c r="P65" s="117" t="s">
        <v>208</v>
      </c>
      <c r="Q65" s="116">
        <v>423</v>
      </c>
      <c r="R65" s="117" t="s">
        <v>208</v>
      </c>
      <c r="S65" s="116">
        <v>378</v>
      </c>
      <c r="T65" s="117" t="s">
        <v>208</v>
      </c>
      <c r="U65" s="116">
        <v>417</v>
      </c>
      <c r="V65" s="117" t="s">
        <v>208</v>
      </c>
      <c r="W65" s="116">
        <v>271</v>
      </c>
      <c r="X65" s="117" t="s">
        <v>208</v>
      </c>
      <c r="Y65" s="116">
        <v>290.72727272727275</v>
      </c>
      <c r="Z65" s="117" t="s">
        <v>208</v>
      </c>
      <c r="AA65" s="116">
        <v>210</v>
      </c>
      <c r="AB65" s="117" t="s">
        <v>208</v>
      </c>
      <c r="AC65" s="116">
        <v>103</v>
      </c>
      <c r="AD65" s="117" t="s">
        <v>208</v>
      </c>
      <c r="AE65" s="116">
        <v>199</v>
      </c>
      <c r="AF65" s="117" t="s">
        <v>208</v>
      </c>
      <c r="AG65" s="116">
        <v>206</v>
      </c>
      <c r="AH65" s="117" t="s">
        <v>208</v>
      </c>
      <c r="AI65" s="116">
        <v>262</v>
      </c>
      <c r="AJ65" s="117" t="s">
        <v>208</v>
      </c>
      <c r="AK65" s="116">
        <v>346</v>
      </c>
      <c r="AL65" s="117" t="s">
        <v>208</v>
      </c>
      <c r="AM65" s="116">
        <v>3488.727272727273</v>
      </c>
    </row>
    <row r="66" spans="1:39" s="100" customFormat="1" ht="46.8" x14ac:dyDescent="0.3">
      <c r="A66" s="97">
        <v>56</v>
      </c>
      <c r="B66" s="98" t="s">
        <v>621</v>
      </c>
      <c r="C66" s="98" t="s">
        <v>2708</v>
      </c>
      <c r="D66" s="98" t="s">
        <v>1902</v>
      </c>
      <c r="E66" s="98" t="s">
        <v>2709</v>
      </c>
      <c r="F66" s="98" t="s">
        <v>49</v>
      </c>
      <c r="G66" s="99" t="s">
        <v>2710</v>
      </c>
      <c r="H66" s="99">
        <v>4</v>
      </c>
      <c r="I66" s="99" t="s">
        <v>2710</v>
      </c>
      <c r="J66" s="99">
        <v>2</v>
      </c>
      <c r="K66" s="98" t="s">
        <v>528</v>
      </c>
      <c r="L66" s="98" t="s">
        <v>528</v>
      </c>
      <c r="M66" s="116">
        <v>2839.5593766321749</v>
      </c>
      <c r="N66" s="116">
        <v>4686.8667913857234</v>
      </c>
      <c r="O66" s="116">
        <v>545</v>
      </c>
      <c r="P66" s="117" t="s">
        <v>208</v>
      </c>
      <c r="Q66" s="116">
        <v>390</v>
      </c>
      <c r="R66" s="117" t="s">
        <v>208</v>
      </c>
      <c r="S66" s="116">
        <v>204</v>
      </c>
      <c r="T66" s="117" t="s">
        <v>208</v>
      </c>
      <c r="U66" s="116">
        <v>305</v>
      </c>
      <c r="V66" s="117" t="s">
        <v>208</v>
      </c>
      <c r="W66" s="116">
        <v>372</v>
      </c>
      <c r="X66" s="117" t="s">
        <v>208</v>
      </c>
      <c r="Y66" s="116">
        <v>327.72727272727275</v>
      </c>
      <c r="Z66" s="117" t="s">
        <v>208</v>
      </c>
      <c r="AA66" s="116">
        <v>259</v>
      </c>
      <c r="AB66" s="117" t="s">
        <v>208</v>
      </c>
      <c r="AC66" s="116">
        <v>175</v>
      </c>
      <c r="AD66" s="117" t="s">
        <v>208</v>
      </c>
      <c r="AE66" s="116">
        <v>510</v>
      </c>
      <c r="AF66" s="117" t="s">
        <v>208</v>
      </c>
      <c r="AG66" s="116">
        <v>281</v>
      </c>
      <c r="AH66" s="117" t="s">
        <v>208</v>
      </c>
      <c r="AI66" s="116">
        <v>274</v>
      </c>
      <c r="AJ66" s="117" t="s">
        <v>208</v>
      </c>
      <c r="AK66" s="116">
        <v>290</v>
      </c>
      <c r="AL66" s="117" t="s">
        <v>208</v>
      </c>
      <c r="AM66" s="116">
        <v>3932.727272727273</v>
      </c>
    </row>
    <row r="67" spans="1:39" s="100" customFormat="1" ht="46.8" x14ac:dyDescent="0.3">
      <c r="A67" s="97">
        <v>57</v>
      </c>
      <c r="B67" s="98" t="s">
        <v>622</v>
      </c>
      <c r="C67" s="98" t="s">
        <v>2708</v>
      </c>
      <c r="D67" s="98" t="s">
        <v>1902</v>
      </c>
      <c r="E67" s="98" t="s">
        <v>2709</v>
      </c>
      <c r="F67" s="98" t="s">
        <v>49</v>
      </c>
      <c r="G67" s="99" t="s">
        <v>2710</v>
      </c>
      <c r="H67" s="99">
        <v>10</v>
      </c>
      <c r="I67" s="99" t="s">
        <v>2710</v>
      </c>
      <c r="J67" s="99">
        <v>2</v>
      </c>
      <c r="K67" s="98" t="s">
        <v>528</v>
      </c>
      <c r="L67" s="98" t="s">
        <v>528</v>
      </c>
      <c r="M67" s="116">
        <v>3597.2924794002561</v>
      </c>
      <c r="N67" s="116">
        <v>6053.3972244859406</v>
      </c>
      <c r="O67" s="116">
        <v>311.53410998638793</v>
      </c>
      <c r="P67" s="117" t="s">
        <v>208</v>
      </c>
      <c r="Q67" s="116">
        <v>461.07565682311554</v>
      </c>
      <c r="R67" s="117" t="s">
        <v>208</v>
      </c>
      <c r="S67" s="116">
        <v>517.43618054133185</v>
      </c>
      <c r="T67" s="117" t="s">
        <v>208</v>
      </c>
      <c r="U67" s="116">
        <v>398.46708284079494</v>
      </c>
      <c r="V67" s="117" t="s">
        <v>208</v>
      </c>
      <c r="W67" s="116">
        <v>400.43726057293793</v>
      </c>
      <c r="X67" s="117" t="s">
        <v>208</v>
      </c>
      <c r="Y67" s="116">
        <v>433.26269060983617</v>
      </c>
      <c r="Z67" s="117" t="s">
        <v>208</v>
      </c>
      <c r="AA67" s="116">
        <v>486.44065608234422</v>
      </c>
      <c r="AB67" s="117" t="s">
        <v>208</v>
      </c>
      <c r="AC67" s="116">
        <v>534.73840681716115</v>
      </c>
      <c r="AD67" s="117" t="s">
        <v>208</v>
      </c>
      <c r="AE67" s="116">
        <v>318.14859191129511</v>
      </c>
      <c r="AF67" s="117" t="s">
        <v>208</v>
      </c>
      <c r="AG67" s="116">
        <v>390.74742926437494</v>
      </c>
      <c r="AH67" s="117" t="s">
        <v>208</v>
      </c>
      <c r="AI67" s="116">
        <v>504.94019570222537</v>
      </c>
      <c r="AJ67" s="117" t="s">
        <v>208</v>
      </c>
      <c r="AK67" s="116">
        <v>441.92402616622923</v>
      </c>
      <c r="AL67" s="117" t="s">
        <v>208</v>
      </c>
      <c r="AM67" s="116">
        <v>5199.1522873180347</v>
      </c>
    </row>
    <row r="68" spans="1:39" s="100" customFormat="1" ht="46.8" x14ac:dyDescent="0.3">
      <c r="A68" s="97">
        <v>58</v>
      </c>
      <c r="B68" s="98" t="s">
        <v>624</v>
      </c>
      <c r="C68" s="98" t="s">
        <v>2708</v>
      </c>
      <c r="D68" s="98" t="s">
        <v>1902</v>
      </c>
      <c r="E68" s="98" t="s">
        <v>2709</v>
      </c>
      <c r="F68" s="98" t="s">
        <v>49</v>
      </c>
      <c r="G68" s="99" t="s">
        <v>2710</v>
      </c>
      <c r="H68" s="99">
        <v>42</v>
      </c>
      <c r="I68" s="99" t="s">
        <v>2710</v>
      </c>
      <c r="J68" s="99">
        <v>7</v>
      </c>
      <c r="K68" s="98" t="s">
        <v>528</v>
      </c>
      <c r="L68" s="98" t="s">
        <v>528</v>
      </c>
      <c r="M68" s="116">
        <v>12173.900335295077</v>
      </c>
      <c r="N68" s="116">
        <v>23067.554829330915</v>
      </c>
      <c r="O68" s="116">
        <v>1798</v>
      </c>
      <c r="P68" s="117" t="s">
        <v>208</v>
      </c>
      <c r="Q68" s="116">
        <v>1266</v>
      </c>
      <c r="R68" s="117" t="s">
        <v>208</v>
      </c>
      <c r="S68" s="116">
        <v>1966</v>
      </c>
      <c r="T68" s="117" t="s">
        <v>208</v>
      </c>
      <c r="U68" s="116">
        <v>1704</v>
      </c>
      <c r="V68" s="117" t="s">
        <v>208</v>
      </c>
      <c r="W68" s="116">
        <v>1309</v>
      </c>
      <c r="X68" s="117" t="s">
        <v>208</v>
      </c>
      <c r="Y68" s="116">
        <v>1558.3636363636363</v>
      </c>
      <c r="Z68" s="117" t="s">
        <v>208</v>
      </c>
      <c r="AA68" s="116">
        <v>1878</v>
      </c>
      <c r="AB68" s="117" t="s">
        <v>208</v>
      </c>
      <c r="AC68" s="116">
        <v>887</v>
      </c>
      <c r="AD68" s="117" t="s">
        <v>208</v>
      </c>
      <c r="AE68" s="116">
        <v>1631</v>
      </c>
      <c r="AF68" s="117" t="s">
        <v>208</v>
      </c>
      <c r="AG68" s="116">
        <v>1460</v>
      </c>
      <c r="AH68" s="117" t="s">
        <v>208</v>
      </c>
      <c r="AI68" s="116">
        <v>1543</v>
      </c>
      <c r="AJ68" s="117" t="s">
        <v>208</v>
      </c>
      <c r="AK68" s="116">
        <v>1700</v>
      </c>
      <c r="AL68" s="117" t="s">
        <v>208</v>
      </c>
      <c r="AM68" s="116">
        <v>18700.363636363636</v>
      </c>
    </row>
    <row r="69" spans="1:39" s="100" customFormat="1" ht="46.8" x14ac:dyDescent="0.3">
      <c r="A69" s="97">
        <v>59</v>
      </c>
      <c r="B69" s="98" t="s">
        <v>625</v>
      </c>
      <c r="C69" s="98" t="s">
        <v>2708</v>
      </c>
      <c r="D69" s="98" t="s">
        <v>1902</v>
      </c>
      <c r="E69" s="98" t="s">
        <v>2709</v>
      </c>
      <c r="F69" s="98" t="s">
        <v>49</v>
      </c>
      <c r="G69" s="99" t="s">
        <v>2710</v>
      </c>
      <c r="H69" s="99">
        <v>20</v>
      </c>
      <c r="I69" s="99" t="s">
        <v>2710</v>
      </c>
      <c r="J69" s="99">
        <v>5</v>
      </c>
      <c r="K69" s="98" t="s">
        <v>528</v>
      </c>
      <c r="L69" s="98" t="s">
        <v>528</v>
      </c>
      <c r="M69" s="116">
        <v>7785.4771664482978</v>
      </c>
      <c r="N69" s="116">
        <v>13797.879408680177</v>
      </c>
      <c r="O69" s="116">
        <v>1102</v>
      </c>
      <c r="P69" s="117" t="s">
        <v>208</v>
      </c>
      <c r="Q69" s="116">
        <v>3220</v>
      </c>
      <c r="R69" s="117" t="s">
        <v>208</v>
      </c>
      <c r="S69" s="116">
        <v>245</v>
      </c>
      <c r="T69" s="117" t="s">
        <v>208</v>
      </c>
      <c r="U69" s="116">
        <v>590</v>
      </c>
      <c r="V69" s="117" t="s">
        <v>208</v>
      </c>
      <c r="W69" s="116">
        <v>333</v>
      </c>
      <c r="X69" s="117" t="s">
        <v>208</v>
      </c>
      <c r="Y69" s="116">
        <v>958.4545454545455</v>
      </c>
      <c r="Z69" s="117" t="s">
        <v>208</v>
      </c>
      <c r="AA69" s="116">
        <v>808</v>
      </c>
      <c r="AB69" s="117" t="s">
        <v>208</v>
      </c>
      <c r="AC69" s="116">
        <v>348</v>
      </c>
      <c r="AD69" s="117" t="s">
        <v>208</v>
      </c>
      <c r="AE69" s="116">
        <v>624</v>
      </c>
      <c r="AF69" s="117" t="s">
        <v>208</v>
      </c>
      <c r="AG69" s="116">
        <v>1249</v>
      </c>
      <c r="AH69" s="117" t="s">
        <v>208</v>
      </c>
      <c r="AI69" s="116">
        <v>1007</v>
      </c>
      <c r="AJ69" s="117" t="s">
        <v>208</v>
      </c>
      <c r="AK69" s="116">
        <v>1017</v>
      </c>
      <c r="AL69" s="117" t="s">
        <v>208</v>
      </c>
      <c r="AM69" s="116">
        <v>11501.454545454546</v>
      </c>
    </row>
    <row r="70" spans="1:39" s="100" customFormat="1" ht="46.8" x14ac:dyDescent="0.3">
      <c r="A70" s="97">
        <v>60</v>
      </c>
      <c r="B70" s="98" t="s">
        <v>626</v>
      </c>
      <c r="C70" s="98" t="s">
        <v>2708</v>
      </c>
      <c r="D70" s="98" t="s">
        <v>1902</v>
      </c>
      <c r="E70" s="98" t="s">
        <v>2709</v>
      </c>
      <c r="F70" s="98" t="s">
        <v>49</v>
      </c>
      <c r="G70" s="99" t="s">
        <v>2710</v>
      </c>
      <c r="H70" s="99">
        <v>20</v>
      </c>
      <c r="I70" s="99" t="s">
        <v>2710</v>
      </c>
      <c r="J70" s="99">
        <v>5</v>
      </c>
      <c r="K70" s="98" t="s">
        <v>528</v>
      </c>
      <c r="L70" s="98" t="s">
        <v>528</v>
      </c>
      <c r="M70" s="116">
        <v>3081.5979833465872</v>
      </c>
      <c r="N70" s="116">
        <v>5011.7969524231439</v>
      </c>
      <c r="O70" s="116">
        <v>401</v>
      </c>
      <c r="P70" s="117" t="s">
        <v>208</v>
      </c>
      <c r="Q70" s="116">
        <v>559</v>
      </c>
      <c r="R70" s="117" t="s">
        <v>208</v>
      </c>
      <c r="S70" s="116">
        <v>335</v>
      </c>
      <c r="T70" s="117" t="s">
        <v>208</v>
      </c>
      <c r="U70" s="116">
        <v>306</v>
      </c>
      <c r="V70" s="117" t="s">
        <v>208</v>
      </c>
      <c r="W70" s="116">
        <v>318</v>
      </c>
      <c r="X70" s="117" t="s">
        <v>208</v>
      </c>
      <c r="Y70" s="116">
        <v>346.36363636363637</v>
      </c>
      <c r="Z70" s="117" t="s">
        <v>208</v>
      </c>
      <c r="AA70" s="116">
        <v>204</v>
      </c>
      <c r="AB70" s="117" t="s">
        <v>208</v>
      </c>
      <c r="AC70" s="116">
        <v>90</v>
      </c>
      <c r="AD70" s="117" t="s">
        <v>208</v>
      </c>
      <c r="AE70" s="116">
        <v>303</v>
      </c>
      <c r="AF70" s="117" t="s">
        <v>208</v>
      </c>
      <c r="AG70" s="116">
        <v>428</v>
      </c>
      <c r="AH70" s="117" t="s">
        <v>208</v>
      </c>
      <c r="AI70" s="116">
        <v>436</v>
      </c>
      <c r="AJ70" s="117" t="s">
        <v>208</v>
      </c>
      <c r="AK70" s="116">
        <v>430</v>
      </c>
      <c r="AL70" s="117" t="s">
        <v>208</v>
      </c>
      <c r="AM70" s="116">
        <v>4156.363636363636</v>
      </c>
    </row>
    <row r="71" spans="1:39" s="100" customFormat="1" ht="46.8" x14ac:dyDescent="0.3">
      <c r="A71" s="97">
        <v>61</v>
      </c>
      <c r="B71" s="98" t="s">
        <v>627</v>
      </c>
      <c r="C71" s="98" t="s">
        <v>2708</v>
      </c>
      <c r="D71" s="98" t="s">
        <v>1902</v>
      </c>
      <c r="E71" s="98" t="s">
        <v>2709</v>
      </c>
      <c r="F71" s="98" t="s">
        <v>49</v>
      </c>
      <c r="G71" s="99" t="s">
        <v>2710</v>
      </c>
      <c r="H71" s="99">
        <v>15</v>
      </c>
      <c r="I71" s="99" t="s">
        <v>2710</v>
      </c>
      <c r="J71" s="99">
        <v>3</v>
      </c>
      <c r="K71" s="98" t="s">
        <v>528</v>
      </c>
      <c r="L71" s="98" t="s">
        <v>528</v>
      </c>
      <c r="M71" s="116">
        <v>1834.981856041323</v>
      </c>
      <c r="N71" s="116">
        <v>3008.1689579669592</v>
      </c>
      <c r="O71" s="116">
        <v>223.5</v>
      </c>
      <c r="P71" s="117" t="s">
        <v>208</v>
      </c>
      <c r="Q71" s="116">
        <v>292.5</v>
      </c>
      <c r="R71" s="117" t="s">
        <v>208</v>
      </c>
      <c r="S71" s="116">
        <v>243.5</v>
      </c>
      <c r="T71" s="117" t="s">
        <v>208</v>
      </c>
      <c r="U71" s="116">
        <v>246.5</v>
      </c>
      <c r="V71" s="117" t="s">
        <v>208</v>
      </c>
      <c r="W71" s="116">
        <v>407</v>
      </c>
      <c r="X71" s="117" t="s">
        <v>208</v>
      </c>
      <c r="Y71" s="116">
        <v>210.31818181818181</v>
      </c>
      <c r="Z71" s="117" t="s">
        <v>208</v>
      </c>
      <c r="AA71" s="116">
        <v>133</v>
      </c>
      <c r="AB71" s="117" t="s">
        <v>208</v>
      </c>
      <c r="AC71" s="116">
        <v>95.5</v>
      </c>
      <c r="AD71" s="117" t="s">
        <v>208</v>
      </c>
      <c r="AE71" s="116">
        <v>83</v>
      </c>
      <c r="AF71" s="117" t="s">
        <v>208</v>
      </c>
      <c r="AG71" s="116">
        <v>132.5</v>
      </c>
      <c r="AH71" s="117" t="s">
        <v>208</v>
      </c>
      <c r="AI71" s="116">
        <v>212.5</v>
      </c>
      <c r="AJ71" s="117" t="s">
        <v>208</v>
      </c>
      <c r="AK71" s="116">
        <v>244</v>
      </c>
      <c r="AL71" s="117" t="s">
        <v>208</v>
      </c>
      <c r="AM71" s="116">
        <v>2523.818181818182</v>
      </c>
    </row>
    <row r="72" spans="1:39" s="100" customFormat="1" ht="46.8" x14ac:dyDescent="0.3">
      <c r="A72" s="97">
        <v>62</v>
      </c>
      <c r="B72" s="98" t="s">
        <v>628</v>
      </c>
      <c r="C72" s="98" t="s">
        <v>2708</v>
      </c>
      <c r="D72" s="98" t="s">
        <v>1902</v>
      </c>
      <c r="E72" s="98" t="s">
        <v>2709</v>
      </c>
      <c r="F72" s="98" t="s">
        <v>49</v>
      </c>
      <c r="G72" s="99" t="s">
        <v>2710</v>
      </c>
      <c r="H72" s="99">
        <v>30</v>
      </c>
      <c r="I72" s="99" t="s">
        <v>2710</v>
      </c>
      <c r="J72" s="99">
        <v>6</v>
      </c>
      <c r="K72" s="98" t="s">
        <v>528</v>
      </c>
      <c r="L72" s="98" t="s">
        <v>528</v>
      </c>
      <c r="M72" s="116">
        <v>6094.9526824236455</v>
      </c>
      <c r="N72" s="116">
        <v>10708.664412991153</v>
      </c>
      <c r="O72" s="116">
        <v>813</v>
      </c>
      <c r="P72" s="117" t="s">
        <v>208</v>
      </c>
      <c r="Q72" s="116">
        <v>888</v>
      </c>
      <c r="R72" s="117" t="s">
        <v>208</v>
      </c>
      <c r="S72" s="116">
        <v>236</v>
      </c>
      <c r="T72" s="117" t="s">
        <v>208</v>
      </c>
      <c r="U72" s="116">
        <v>1270</v>
      </c>
      <c r="V72" s="117" t="s">
        <v>208</v>
      </c>
      <c r="W72" s="116">
        <v>703</v>
      </c>
      <c r="X72" s="117" t="s">
        <v>208</v>
      </c>
      <c r="Y72" s="116">
        <v>750.72727272727275</v>
      </c>
      <c r="Z72" s="117" t="s">
        <v>208</v>
      </c>
      <c r="AA72" s="116">
        <v>870</v>
      </c>
      <c r="AB72" s="117" t="s">
        <v>208</v>
      </c>
      <c r="AC72" s="116">
        <v>351</v>
      </c>
      <c r="AD72" s="117" t="s">
        <v>208</v>
      </c>
      <c r="AE72" s="116">
        <v>812</v>
      </c>
      <c r="AF72" s="117" t="s">
        <v>208</v>
      </c>
      <c r="AG72" s="116">
        <v>737</v>
      </c>
      <c r="AH72" s="117" t="s">
        <v>208</v>
      </c>
      <c r="AI72" s="116">
        <v>875</v>
      </c>
      <c r="AJ72" s="117" t="s">
        <v>208</v>
      </c>
      <c r="AK72" s="116">
        <v>703</v>
      </c>
      <c r="AL72" s="117" t="s">
        <v>208</v>
      </c>
      <c r="AM72" s="116">
        <v>9008.7272727272721</v>
      </c>
    </row>
    <row r="73" spans="1:39" s="100" customFormat="1" ht="46.8" x14ac:dyDescent="0.3">
      <c r="A73" s="97">
        <v>63</v>
      </c>
      <c r="B73" s="98" t="s">
        <v>629</v>
      </c>
      <c r="C73" s="98" t="s">
        <v>2708</v>
      </c>
      <c r="D73" s="98" t="s">
        <v>1902</v>
      </c>
      <c r="E73" s="98" t="s">
        <v>2709</v>
      </c>
      <c r="F73" s="98" t="s">
        <v>49</v>
      </c>
      <c r="G73" s="99" t="s">
        <v>2710</v>
      </c>
      <c r="H73" s="99">
        <v>10</v>
      </c>
      <c r="I73" s="99" t="s">
        <v>2710</v>
      </c>
      <c r="J73" s="99">
        <v>2</v>
      </c>
      <c r="K73" s="98" t="s">
        <v>528</v>
      </c>
      <c r="L73" s="98" t="s">
        <v>528</v>
      </c>
      <c r="M73" s="116">
        <v>4773.0308229654738</v>
      </c>
      <c r="N73" s="116">
        <v>8344.9651988602091</v>
      </c>
      <c r="O73" s="116">
        <v>469.60459734851617</v>
      </c>
      <c r="P73" s="117" t="s">
        <v>208</v>
      </c>
      <c r="Q73" s="116">
        <v>446.16036419875695</v>
      </c>
      <c r="R73" s="117" t="s">
        <v>208</v>
      </c>
      <c r="S73" s="116">
        <v>746.29951862113978</v>
      </c>
      <c r="T73" s="117" t="s">
        <v>208</v>
      </c>
      <c r="U73" s="116">
        <v>579.19372551127753</v>
      </c>
      <c r="V73" s="117" t="s">
        <v>208</v>
      </c>
      <c r="W73" s="116">
        <v>709.5872348665049</v>
      </c>
      <c r="X73" s="117" t="s">
        <v>208</v>
      </c>
      <c r="Y73" s="116">
        <v>597.68092437197356</v>
      </c>
      <c r="Z73" s="117" t="s">
        <v>208</v>
      </c>
      <c r="AA73" s="116">
        <v>679.31935360863031</v>
      </c>
      <c r="AB73" s="117" t="s">
        <v>208</v>
      </c>
      <c r="AC73" s="116">
        <v>710.26604840174514</v>
      </c>
      <c r="AD73" s="117" t="s">
        <v>208</v>
      </c>
      <c r="AE73" s="116">
        <v>523.71782697549054</v>
      </c>
      <c r="AF73" s="117" t="s">
        <v>208</v>
      </c>
      <c r="AG73" s="116">
        <v>709.05207690370162</v>
      </c>
      <c r="AH73" s="117" t="s">
        <v>208</v>
      </c>
      <c r="AI73" s="116">
        <v>531.29319098354529</v>
      </c>
      <c r="AJ73" s="117" t="s">
        <v>208</v>
      </c>
      <c r="AK73" s="116">
        <v>469.99623067240088</v>
      </c>
      <c r="AL73" s="117" t="s">
        <v>208</v>
      </c>
      <c r="AM73" s="116">
        <v>7172.1710924636818</v>
      </c>
    </row>
    <row r="74" spans="1:39" s="100" customFormat="1" ht="46.8" x14ac:dyDescent="0.3">
      <c r="A74" s="97">
        <v>64</v>
      </c>
      <c r="B74" s="98" t="s">
        <v>630</v>
      </c>
      <c r="C74" s="98" t="s">
        <v>2708</v>
      </c>
      <c r="D74" s="98" t="s">
        <v>1902</v>
      </c>
      <c r="E74" s="98" t="s">
        <v>2709</v>
      </c>
      <c r="F74" s="98" t="s">
        <v>49</v>
      </c>
      <c r="G74" s="99" t="s">
        <v>2710</v>
      </c>
      <c r="H74" s="99">
        <v>20</v>
      </c>
      <c r="I74" s="99" t="s">
        <v>2710</v>
      </c>
      <c r="J74" s="99">
        <v>4</v>
      </c>
      <c r="K74" s="98" t="s">
        <v>528</v>
      </c>
      <c r="L74" s="98" t="s">
        <v>528</v>
      </c>
      <c r="M74" s="116">
        <v>2257.2390735594063</v>
      </c>
      <c r="N74" s="116">
        <v>3964.833810612663</v>
      </c>
      <c r="O74" s="116">
        <v>345</v>
      </c>
      <c r="P74" s="117" t="s">
        <v>208</v>
      </c>
      <c r="Q74" s="116">
        <v>416</v>
      </c>
      <c r="R74" s="117" t="s">
        <v>208</v>
      </c>
      <c r="S74" s="116">
        <v>701</v>
      </c>
      <c r="T74" s="117" t="s">
        <v>208</v>
      </c>
      <c r="U74" s="116">
        <v>193</v>
      </c>
      <c r="V74" s="117" t="s">
        <v>208</v>
      </c>
      <c r="W74" s="116">
        <v>154</v>
      </c>
      <c r="X74" s="117" t="s">
        <v>208</v>
      </c>
      <c r="Y74" s="116">
        <v>278.63636363636363</v>
      </c>
      <c r="Z74" s="117" t="s">
        <v>208</v>
      </c>
      <c r="AA74" s="116">
        <v>138</v>
      </c>
      <c r="AB74" s="117" t="s">
        <v>208</v>
      </c>
      <c r="AC74" s="116">
        <v>203</v>
      </c>
      <c r="AD74" s="117" t="s">
        <v>208</v>
      </c>
      <c r="AE74" s="116">
        <v>253</v>
      </c>
      <c r="AF74" s="117" t="s">
        <v>208</v>
      </c>
      <c r="AG74" s="116">
        <v>191</v>
      </c>
      <c r="AH74" s="117" t="s">
        <v>208</v>
      </c>
      <c r="AI74" s="116">
        <v>252</v>
      </c>
      <c r="AJ74" s="117" t="s">
        <v>208</v>
      </c>
      <c r="AK74" s="116">
        <v>219</v>
      </c>
      <c r="AL74" s="117" t="s">
        <v>208</v>
      </c>
      <c r="AM74" s="116">
        <v>3343.6363636363635</v>
      </c>
    </row>
    <row r="75" spans="1:39" s="100" customFormat="1" ht="46.8" x14ac:dyDescent="0.3">
      <c r="A75" s="97">
        <v>65</v>
      </c>
      <c r="B75" s="98" t="s">
        <v>631</v>
      </c>
      <c r="C75" s="98" t="s">
        <v>2708</v>
      </c>
      <c r="D75" s="98" t="s">
        <v>1902</v>
      </c>
      <c r="E75" s="98" t="s">
        <v>2709</v>
      </c>
      <c r="F75" s="98" t="s">
        <v>49</v>
      </c>
      <c r="G75" s="99" t="s">
        <v>2710</v>
      </c>
      <c r="H75" s="99">
        <v>15</v>
      </c>
      <c r="I75" s="99" t="s">
        <v>2710</v>
      </c>
      <c r="J75" s="99">
        <v>3</v>
      </c>
      <c r="K75" s="98" t="s">
        <v>528</v>
      </c>
      <c r="L75" s="98" t="s">
        <v>528</v>
      </c>
      <c r="M75" s="116">
        <v>5273.0770221449084</v>
      </c>
      <c r="N75" s="116">
        <v>9088.9473571331309</v>
      </c>
      <c r="O75" s="116">
        <v>780</v>
      </c>
      <c r="P75" s="117" t="s">
        <v>208</v>
      </c>
      <c r="Q75" s="116">
        <v>802</v>
      </c>
      <c r="R75" s="117" t="s">
        <v>208</v>
      </c>
      <c r="S75" s="116">
        <v>502</v>
      </c>
      <c r="T75" s="117" t="s">
        <v>208</v>
      </c>
      <c r="U75" s="116">
        <v>582</v>
      </c>
      <c r="V75" s="117" t="s">
        <v>208</v>
      </c>
      <c r="W75" s="116">
        <v>630</v>
      </c>
      <c r="X75" s="117" t="s">
        <v>208</v>
      </c>
      <c r="Y75" s="116">
        <v>642</v>
      </c>
      <c r="Z75" s="117" t="s">
        <v>208</v>
      </c>
      <c r="AA75" s="116">
        <v>617</v>
      </c>
      <c r="AB75" s="117" t="s">
        <v>208</v>
      </c>
      <c r="AC75" s="116">
        <v>423</v>
      </c>
      <c r="AD75" s="117" t="s">
        <v>208</v>
      </c>
      <c r="AE75" s="116">
        <v>563</v>
      </c>
      <c r="AF75" s="117" t="s">
        <v>208</v>
      </c>
      <c r="AG75" s="116">
        <v>727</v>
      </c>
      <c r="AH75" s="117" t="s">
        <v>208</v>
      </c>
      <c r="AI75" s="116">
        <v>755</v>
      </c>
      <c r="AJ75" s="117" t="s">
        <v>208</v>
      </c>
      <c r="AK75" s="116">
        <v>681</v>
      </c>
      <c r="AL75" s="117" t="s">
        <v>208</v>
      </c>
      <c r="AM75" s="116">
        <v>7704</v>
      </c>
    </row>
    <row r="76" spans="1:39" s="100" customFormat="1" ht="46.8" x14ac:dyDescent="0.3">
      <c r="A76" s="97">
        <v>66</v>
      </c>
      <c r="B76" s="98" t="s">
        <v>632</v>
      </c>
      <c r="C76" s="98" t="s">
        <v>2708</v>
      </c>
      <c r="D76" s="98" t="s">
        <v>1902</v>
      </c>
      <c r="E76" s="98" t="s">
        <v>2709</v>
      </c>
      <c r="F76" s="98" t="s">
        <v>49</v>
      </c>
      <c r="G76" s="99" t="s">
        <v>2710</v>
      </c>
      <c r="H76" s="99">
        <v>4</v>
      </c>
      <c r="I76" s="99" t="s">
        <v>2710</v>
      </c>
      <c r="J76" s="99">
        <v>1</v>
      </c>
      <c r="K76" s="98" t="s">
        <v>528</v>
      </c>
      <c r="L76" s="98" t="s">
        <v>528</v>
      </c>
      <c r="M76" s="116">
        <v>1815.0196858706931</v>
      </c>
      <c r="N76" s="116">
        <v>3210.2309612576014</v>
      </c>
      <c r="O76" s="116">
        <v>193.22501852286234</v>
      </c>
      <c r="P76" s="117" t="s">
        <v>208</v>
      </c>
      <c r="Q76" s="116">
        <v>174.89663340062035</v>
      </c>
      <c r="R76" s="117" t="s">
        <v>208</v>
      </c>
      <c r="S76" s="116">
        <v>200.6271368853042</v>
      </c>
      <c r="T76" s="117" t="s">
        <v>208</v>
      </c>
      <c r="U76" s="116">
        <v>211.70549754623573</v>
      </c>
      <c r="V76" s="117" t="s">
        <v>208</v>
      </c>
      <c r="W76" s="116">
        <v>216.77945495814265</v>
      </c>
      <c r="X76" s="117" t="s">
        <v>208</v>
      </c>
      <c r="Y76" s="116">
        <v>221.11390568816898</v>
      </c>
      <c r="Z76" s="117" t="s">
        <v>208</v>
      </c>
      <c r="AA76" s="116">
        <v>189.63470296057005</v>
      </c>
      <c r="AB76" s="117" t="s">
        <v>208</v>
      </c>
      <c r="AC76" s="116">
        <v>297.48087050355525</v>
      </c>
      <c r="AD76" s="117" t="s">
        <v>208</v>
      </c>
      <c r="AE76" s="116">
        <v>277.88143941529495</v>
      </c>
      <c r="AF76" s="117" t="s">
        <v>208</v>
      </c>
      <c r="AG76" s="116">
        <v>254.74282429439015</v>
      </c>
      <c r="AH76" s="117" t="s">
        <v>208</v>
      </c>
      <c r="AI76" s="116">
        <v>185.26566054430918</v>
      </c>
      <c r="AJ76" s="117" t="s">
        <v>208</v>
      </c>
      <c r="AK76" s="116">
        <v>230.01372353857352</v>
      </c>
      <c r="AL76" s="117" t="s">
        <v>208</v>
      </c>
      <c r="AM76" s="116">
        <v>2653.3668682580274</v>
      </c>
    </row>
    <row r="77" spans="1:39" s="100" customFormat="1" ht="46.8" x14ac:dyDescent="0.3">
      <c r="A77" s="97">
        <v>67</v>
      </c>
      <c r="B77" s="98" t="s">
        <v>633</v>
      </c>
      <c r="C77" s="98" t="s">
        <v>2708</v>
      </c>
      <c r="D77" s="98" t="s">
        <v>1902</v>
      </c>
      <c r="E77" s="98" t="s">
        <v>2709</v>
      </c>
      <c r="F77" s="98" t="s">
        <v>49</v>
      </c>
      <c r="G77" s="99" t="s">
        <v>2710</v>
      </c>
      <c r="H77" s="99">
        <v>2</v>
      </c>
      <c r="I77" s="99" t="s">
        <v>2710</v>
      </c>
      <c r="J77" s="99">
        <v>1</v>
      </c>
      <c r="K77" s="98" t="s">
        <v>528</v>
      </c>
      <c r="L77" s="98" t="s">
        <v>528</v>
      </c>
      <c r="M77" s="116">
        <v>1956.5989552714898</v>
      </c>
      <c r="N77" s="116">
        <v>3309.6619337155244</v>
      </c>
      <c r="O77" s="116">
        <v>196.98540814195508</v>
      </c>
      <c r="P77" s="117" t="s">
        <v>208</v>
      </c>
      <c r="Q77" s="116">
        <v>246.61758444814947</v>
      </c>
      <c r="R77" s="117" t="s">
        <v>208</v>
      </c>
      <c r="S77" s="116">
        <v>201.12452271738022</v>
      </c>
      <c r="T77" s="117" t="s">
        <v>208</v>
      </c>
      <c r="U77" s="116">
        <v>284.27206343109003</v>
      </c>
      <c r="V77" s="117" t="s">
        <v>208</v>
      </c>
      <c r="W77" s="116">
        <v>190.89200560607699</v>
      </c>
      <c r="X77" s="117" t="s">
        <v>208</v>
      </c>
      <c r="Y77" s="116">
        <v>222.27495575847351</v>
      </c>
      <c r="Z77" s="117" t="s">
        <v>208</v>
      </c>
      <c r="AA77" s="116">
        <v>169.78121615459457</v>
      </c>
      <c r="AB77" s="117" t="s">
        <v>208</v>
      </c>
      <c r="AC77" s="116">
        <v>234.52790751800225</v>
      </c>
      <c r="AD77" s="117" t="s">
        <v>208</v>
      </c>
      <c r="AE77" s="116">
        <v>233.47953403696982</v>
      </c>
      <c r="AF77" s="117" t="s">
        <v>208</v>
      </c>
      <c r="AG77" s="116">
        <v>245.22542943859395</v>
      </c>
      <c r="AH77" s="117" t="s">
        <v>208</v>
      </c>
      <c r="AI77" s="116">
        <v>196.58791196128482</v>
      </c>
      <c r="AJ77" s="117" t="s">
        <v>208</v>
      </c>
      <c r="AK77" s="116">
        <v>245.53092988911112</v>
      </c>
      <c r="AL77" s="117" t="s">
        <v>208</v>
      </c>
      <c r="AM77" s="116">
        <v>2667.2994691016816</v>
      </c>
    </row>
    <row r="78" spans="1:39" s="100" customFormat="1" ht="46.8" x14ac:dyDescent="0.3">
      <c r="A78" s="97">
        <v>68</v>
      </c>
      <c r="B78" s="98" t="s">
        <v>634</v>
      </c>
      <c r="C78" s="98" t="s">
        <v>2708</v>
      </c>
      <c r="D78" s="98" t="s">
        <v>1902</v>
      </c>
      <c r="E78" s="98" t="s">
        <v>2709</v>
      </c>
      <c r="F78" s="98" t="s">
        <v>49</v>
      </c>
      <c r="G78" s="99" t="s">
        <v>2710</v>
      </c>
      <c r="H78" s="99">
        <v>4</v>
      </c>
      <c r="I78" s="99" t="s">
        <v>2710</v>
      </c>
      <c r="J78" s="99">
        <v>1</v>
      </c>
      <c r="K78" s="98" t="s">
        <v>528</v>
      </c>
      <c r="L78" s="98" t="s">
        <v>528</v>
      </c>
      <c r="M78" s="116">
        <v>3157.7081461409753</v>
      </c>
      <c r="N78" s="116">
        <v>5341.9614028588885</v>
      </c>
      <c r="O78" s="116">
        <v>625</v>
      </c>
      <c r="P78" s="117" t="s">
        <v>208</v>
      </c>
      <c r="Q78" s="116">
        <v>539</v>
      </c>
      <c r="R78" s="117" t="s">
        <v>208</v>
      </c>
      <c r="S78" s="116">
        <v>315</v>
      </c>
      <c r="T78" s="117" t="s">
        <v>208</v>
      </c>
      <c r="U78" s="116">
        <v>341</v>
      </c>
      <c r="V78" s="117" t="s">
        <v>208</v>
      </c>
      <c r="W78" s="116">
        <v>266</v>
      </c>
      <c r="X78" s="117" t="s">
        <v>208</v>
      </c>
      <c r="Y78" s="116">
        <v>370.63636363636363</v>
      </c>
      <c r="Z78" s="117" t="s">
        <v>208</v>
      </c>
      <c r="AA78" s="116">
        <v>201</v>
      </c>
      <c r="AB78" s="117" t="s">
        <v>208</v>
      </c>
      <c r="AC78" s="116">
        <v>135</v>
      </c>
      <c r="AD78" s="117" t="s">
        <v>208</v>
      </c>
      <c r="AE78" s="116">
        <v>308</v>
      </c>
      <c r="AF78" s="117" t="s">
        <v>208</v>
      </c>
      <c r="AG78" s="116">
        <v>357</v>
      </c>
      <c r="AH78" s="117" t="s">
        <v>208</v>
      </c>
      <c r="AI78" s="116">
        <v>492</v>
      </c>
      <c r="AJ78" s="117" t="s">
        <v>208</v>
      </c>
      <c r="AK78" s="116">
        <v>498</v>
      </c>
      <c r="AL78" s="117" t="s">
        <v>208</v>
      </c>
      <c r="AM78" s="116">
        <v>4447.636363636364</v>
      </c>
    </row>
    <row r="79" spans="1:39" s="100" customFormat="1" ht="46.8" x14ac:dyDescent="0.3">
      <c r="A79" s="97">
        <v>69</v>
      </c>
      <c r="B79" s="98" t="s">
        <v>635</v>
      </c>
      <c r="C79" s="98" t="s">
        <v>2708</v>
      </c>
      <c r="D79" s="98" t="s">
        <v>1902</v>
      </c>
      <c r="E79" s="98" t="s">
        <v>2709</v>
      </c>
      <c r="F79" s="98" t="s">
        <v>49</v>
      </c>
      <c r="G79" s="99" t="s">
        <v>2710</v>
      </c>
      <c r="H79" s="99"/>
      <c r="I79" s="99" t="s">
        <v>2710</v>
      </c>
      <c r="J79" s="99"/>
      <c r="K79" s="98" t="s">
        <v>528</v>
      </c>
      <c r="L79" s="98" t="s">
        <v>528</v>
      </c>
      <c r="M79" s="116">
        <v>2386.1926407991723</v>
      </c>
      <c r="N79" s="116">
        <v>3761.3229119034654</v>
      </c>
      <c r="O79" s="116">
        <v>319</v>
      </c>
      <c r="P79" s="117" t="s">
        <v>208</v>
      </c>
      <c r="Q79" s="116">
        <v>241</v>
      </c>
      <c r="R79" s="117" t="s">
        <v>208</v>
      </c>
      <c r="S79" s="116">
        <v>273</v>
      </c>
      <c r="T79" s="117" t="s">
        <v>208</v>
      </c>
      <c r="U79" s="116">
        <v>231</v>
      </c>
      <c r="V79" s="117" t="s">
        <v>208</v>
      </c>
      <c r="W79" s="116">
        <v>101</v>
      </c>
      <c r="X79" s="117" t="s">
        <v>208</v>
      </c>
      <c r="Y79" s="116">
        <v>265.18181818181819</v>
      </c>
      <c r="Z79" s="117" t="s">
        <v>208</v>
      </c>
      <c r="AA79" s="116">
        <v>227</v>
      </c>
      <c r="AB79" s="117" t="s">
        <v>208</v>
      </c>
      <c r="AC79" s="116">
        <v>111</v>
      </c>
      <c r="AD79" s="117" t="s">
        <v>208</v>
      </c>
      <c r="AE79" s="116">
        <v>381</v>
      </c>
      <c r="AF79" s="117" t="s">
        <v>208</v>
      </c>
      <c r="AG79" s="116">
        <v>323</v>
      </c>
      <c r="AH79" s="117" t="s">
        <v>208</v>
      </c>
      <c r="AI79" s="116">
        <v>328</v>
      </c>
      <c r="AJ79" s="117" t="s">
        <v>208</v>
      </c>
      <c r="AK79" s="116">
        <v>382</v>
      </c>
      <c r="AL79" s="117" t="s">
        <v>208</v>
      </c>
      <c r="AM79" s="116">
        <v>3182.181818181818</v>
      </c>
    </row>
    <row r="80" spans="1:39" s="100" customFormat="1" ht="46.8" x14ac:dyDescent="0.3">
      <c r="A80" s="97">
        <v>70</v>
      </c>
      <c r="B80" s="98" t="s">
        <v>636</v>
      </c>
      <c r="C80" s="98" t="s">
        <v>2708</v>
      </c>
      <c r="D80" s="98" t="s">
        <v>1902</v>
      </c>
      <c r="E80" s="98" t="s">
        <v>2709</v>
      </c>
      <c r="F80" s="98" t="s">
        <v>49</v>
      </c>
      <c r="G80" s="99" t="s">
        <v>2710</v>
      </c>
      <c r="H80" s="99">
        <v>16</v>
      </c>
      <c r="I80" s="99" t="s">
        <v>2710</v>
      </c>
      <c r="J80" s="99">
        <v>4</v>
      </c>
      <c r="K80" s="98" t="s">
        <v>528</v>
      </c>
      <c r="L80" s="98" t="s">
        <v>528</v>
      </c>
      <c r="M80" s="116">
        <v>6052.7265581955126</v>
      </c>
      <c r="N80" s="116">
        <v>9872.9770812813967</v>
      </c>
      <c r="O80" s="116">
        <v>1090</v>
      </c>
      <c r="P80" s="117" t="s">
        <v>208</v>
      </c>
      <c r="Q80" s="116">
        <v>914</v>
      </c>
      <c r="R80" s="117" t="s">
        <v>208</v>
      </c>
      <c r="S80" s="116">
        <v>615</v>
      </c>
      <c r="T80" s="117" t="s">
        <v>208</v>
      </c>
      <c r="U80" s="116">
        <v>1530</v>
      </c>
      <c r="V80" s="117" t="s">
        <v>208</v>
      </c>
      <c r="W80" s="116">
        <v>0</v>
      </c>
      <c r="X80" s="117" t="s">
        <v>208</v>
      </c>
      <c r="Y80" s="116">
        <v>679.81818181818187</v>
      </c>
      <c r="Z80" s="117" t="s">
        <v>208</v>
      </c>
      <c r="AA80" s="116">
        <v>300</v>
      </c>
      <c r="AB80" s="117" t="s">
        <v>208</v>
      </c>
      <c r="AC80" s="116">
        <v>112</v>
      </c>
      <c r="AD80" s="117" t="s">
        <v>208</v>
      </c>
      <c r="AE80" s="116">
        <v>124</v>
      </c>
      <c r="AF80" s="117" t="s">
        <v>208</v>
      </c>
      <c r="AG80" s="116">
        <v>1303</v>
      </c>
      <c r="AH80" s="117" t="s">
        <v>208</v>
      </c>
      <c r="AI80" s="116">
        <v>801</v>
      </c>
      <c r="AJ80" s="117" t="s">
        <v>208</v>
      </c>
      <c r="AK80" s="116">
        <v>689</v>
      </c>
      <c r="AL80" s="117" t="s">
        <v>208</v>
      </c>
      <c r="AM80" s="116">
        <v>8157.818181818182</v>
      </c>
    </row>
    <row r="81" spans="1:39" s="100" customFormat="1" ht="46.8" x14ac:dyDescent="0.3">
      <c r="A81" s="97">
        <v>71</v>
      </c>
      <c r="B81" s="98" t="s">
        <v>637</v>
      </c>
      <c r="C81" s="98" t="s">
        <v>2708</v>
      </c>
      <c r="D81" s="98" t="s">
        <v>1902</v>
      </c>
      <c r="E81" s="98" t="s">
        <v>2709</v>
      </c>
      <c r="F81" s="98" t="s">
        <v>49</v>
      </c>
      <c r="G81" s="99" t="s">
        <v>2710</v>
      </c>
      <c r="H81" s="99">
        <v>8</v>
      </c>
      <c r="I81" s="99" t="s">
        <v>2710</v>
      </c>
      <c r="J81" s="99">
        <v>2</v>
      </c>
      <c r="K81" s="98" t="s">
        <v>528</v>
      </c>
      <c r="L81" s="98" t="s">
        <v>528</v>
      </c>
      <c r="M81" s="116">
        <v>1612.6249929218468</v>
      </c>
      <c r="N81" s="116">
        <v>2822.3475552018817</v>
      </c>
      <c r="O81" s="116">
        <v>204</v>
      </c>
      <c r="P81" s="117" t="s">
        <v>208</v>
      </c>
      <c r="Q81" s="116">
        <v>405</v>
      </c>
      <c r="R81" s="117" t="s">
        <v>208</v>
      </c>
      <c r="S81" s="116">
        <v>134</v>
      </c>
      <c r="T81" s="117" t="s">
        <v>208</v>
      </c>
      <c r="U81" s="116">
        <v>539</v>
      </c>
      <c r="V81" s="117" t="s">
        <v>208</v>
      </c>
      <c r="W81" s="116">
        <v>0</v>
      </c>
      <c r="X81" s="117" t="s">
        <v>208</v>
      </c>
      <c r="Y81" s="116">
        <v>199.63636363636363</v>
      </c>
      <c r="Z81" s="117" t="s">
        <v>208</v>
      </c>
      <c r="AA81" s="116">
        <v>186</v>
      </c>
      <c r="AB81" s="117" t="s">
        <v>208</v>
      </c>
      <c r="AC81" s="116">
        <v>74</v>
      </c>
      <c r="AD81" s="117" t="s">
        <v>208</v>
      </c>
      <c r="AE81" s="116">
        <v>126</v>
      </c>
      <c r="AF81" s="117" t="s">
        <v>208</v>
      </c>
      <c r="AG81" s="116">
        <v>103</v>
      </c>
      <c r="AH81" s="117" t="s">
        <v>208</v>
      </c>
      <c r="AI81" s="116">
        <v>225</v>
      </c>
      <c r="AJ81" s="117" t="s">
        <v>208</v>
      </c>
      <c r="AK81" s="116">
        <v>200</v>
      </c>
      <c r="AL81" s="117" t="s">
        <v>208</v>
      </c>
      <c r="AM81" s="116">
        <v>2395.6363636363635</v>
      </c>
    </row>
    <row r="82" spans="1:39" s="100" customFormat="1" ht="46.8" x14ac:dyDescent="0.3">
      <c r="A82" s="97">
        <v>72</v>
      </c>
      <c r="B82" s="98" t="s">
        <v>639</v>
      </c>
      <c r="C82" s="98" t="s">
        <v>2708</v>
      </c>
      <c r="D82" s="98" t="s">
        <v>1902</v>
      </c>
      <c r="E82" s="98" t="s">
        <v>2709</v>
      </c>
      <c r="F82" s="98" t="s">
        <v>49</v>
      </c>
      <c r="G82" s="99" t="s">
        <v>2710</v>
      </c>
      <c r="H82" s="99">
        <v>3</v>
      </c>
      <c r="I82" s="99" t="s">
        <v>2710</v>
      </c>
      <c r="J82" s="99">
        <v>1</v>
      </c>
      <c r="K82" s="98" t="s">
        <v>528</v>
      </c>
      <c r="L82" s="98" t="s">
        <v>528</v>
      </c>
      <c r="M82" s="116">
        <v>374.68889916959688</v>
      </c>
      <c r="N82" s="116">
        <v>595.80727497344833</v>
      </c>
      <c r="O82" s="116">
        <v>60.720000000000006</v>
      </c>
      <c r="P82" s="117" t="s">
        <v>208</v>
      </c>
      <c r="Q82" s="116">
        <v>74.290000000000006</v>
      </c>
      <c r="R82" s="117" t="s">
        <v>208</v>
      </c>
      <c r="S82" s="116">
        <v>40.25</v>
      </c>
      <c r="T82" s="117" t="s">
        <v>208</v>
      </c>
      <c r="U82" s="116">
        <v>33.58</v>
      </c>
      <c r="V82" s="117" t="s">
        <v>208</v>
      </c>
      <c r="W82" s="116">
        <v>24.61</v>
      </c>
      <c r="X82" s="117" t="s">
        <v>208</v>
      </c>
      <c r="Y82" s="116">
        <v>43.135454545454557</v>
      </c>
      <c r="Z82" s="117" t="s">
        <v>208</v>
      </c>
      <c r="AA82" s="116">
        <v>64.63000000000001</v>
      </c>
      <c r="AB82" s="117" t="s">
        <v>208</v>
      </c>
      <c r="AC82" s="116">
        <v>37.72</v>
      </c>
      <c r="AD82" s="117" t="s">
        <v>208</v>
      </c>
      <c r="AE82" s="116">
        <v>60.489999999999995</v>
      </c>
      <c r="AF82" s="117" t="s">
        <v>208</v>
      </c>
      <c r="AG82" s="116">
        <v>25.990000000000002</v>
      </c>
      <c r="AH82" s="117" t="s">
        <v>208</v>
      </c>
      <c r="AI82" s="116">
        <v>23.23</v>
      </c>
      <c r="AJ82" s="117" t="s">
        <v>208</v>
      </c>
      <c r="AK82" s="116">
        <v>28.98</v>
      </c>
      <c r="AL82" s="117" t="s">
        <v>208</v>
      </c>
      <c r="AM82" s="116">
        <v>517.62545454545466</v>
      </c>
    </row>
    <row r="83" spans="1:39" s="100" customFormat="1" ht="46.8" x14ac:dyDescent="0.3">
      <c r="A83" s="97">
        <v>73</v>
      </c>
      <c r="B83" s="98" t="s">
        <v>640</v>
      </c>
      <c r="C83" s="98" t="s">
        <v>2708</v>
      </c>
      <c r="D83" s="98" t="s">
        <v>1902</v>
      </c>
      <c r="E83" s="98" t="s">
        <v>2709</v>
      </c>
      <c r="F83" s="98" t="s">
        <v>49</v>
      </c>
      <c r="G83" s="99" t="s">
        <v>2710</v>
      </c>
      <c r="H83" s="99">
        <v>15</v>
      </c>
      <c r="I83" s="99" t="s">
        <v>2710</v>
      </c>
      <c r="J83" s="99">
        <v>3</v>
      </c>
      <c r="K83" s="98" t="s">
        <v>528</v>
      </c>
      <c r="L83" s="98" t="s">
        <v>528</v>
      </c>
      <c r="M83" s="116">
        <v>1133.3363201111804</v>
      </c>
      <c r="N83" s="116">
        <v>1996.8015121249302</v>
      </c>
      <c r="O83" s="116">
        <v>203.28</v>
      </c>
      <c r="P83" s="117" t="s">
        <v>208</v>
      </c>
      <c r="Q83" s="116">
        <v>248.71</v>
      </c>
      <c r="R83" s="117" t="s">
        <v>208</v>
      </c>
      <c r="S83" s="116">
        <v>134.75</v>
      </c>
      <c r="T83" s="117" t="s">
        <v>208</v>
      </c>
      <c r="U83" s="116">
        <v>112.42</v>
      </c>
      <c r="V83" s="117" t="s">
        <v>208</v>
      </c>
      <c r="W83" s="116">
        <v>82.39</v>
      </c>
      <c r="X83" s="117" t="s">
        <v>208</v>
      </c>
      <c r="Y83" s="116">
        <v>144.41</v>
      </c>
      <c r="Z83" s="117" t="s">
        <v>208</v>
      </c>
      <c r="AA83" s="116">
        <v>216.37</v>
      </c>
      <c r="AB83" s="117" t="s">
        <v>208</v>
      </c>
      <c r="AC83" s="116">
        <v>126.28</v>
      </c>
      <c r="AD83" s="117" t="s">
        <v>208</v>
      </c>
      <c r="AE83" s="116">
        <v>202.51000000000002</v>
      </c>
      <c r="AF83" s="117" t="s">
        <v>208</v>
      </c>
      <c r="AG83" s="116">
        <v>87.01</v>
      </c>
      <c r="AH83" s="117" t="s">
        <v>208</v>
      </c>
      <c r="AI83" s="116">
        <v>77.77</v>
      </c>
      <c r="AJ83" s="117" t="s">
        <v>208</v>
      </c>
      <c r="AK83" s="116">
        <v>97.02000000000001</v>
      </c>
      <c r="AL83" s="117" t="s">
        <v>208</v>
      </c>
      <c r="AM83" s="116">
        <v>1732.9199999999998</v>
      </c>
    </row>
    <row r="84" spans="1:39" s="100" customFormat="1" ht="46.8" x14ac:dyDescent="0.3">
      <c r="A84" s="97">
        <v>74</v>
      </c>
      <c r="B84" s="98" t="s">
        <v>641</v>
      </c>
      <c r="C84" s="98" t="s">
        <v>2708</v>
      </c>
      <c r="D84" s="98" t="s">
        <v>1902</v>
      </c>
      <c r="E84" s="98" t="s">
        <v>2709</v>
      </c>
      <c r="F84" s="98" t="s">
        <v>49</v>
      </c>
      <c r="G84" s="99" t="s">
        <v>2710</v>
      </c>
      <c r="H84" s="99">
        <v>5</v>
      </c>
      <c r="I84" s="99" t="s">
        <v>2710</v>
      </c>
      <c r="J84" s="99">
        <v>1</v>
      </c>
      <c r="K84" s="98" t="s">
        <v>528</v>
      </c>
      <c r="L84" s="98" t="s">
        <v>528</v>
      </c>
      <c r="M84" s="116">
        <v>2776.3188851387854</v>
      </c>
      <c r="N84" s="116">
        <v>4631.5592155148452</v>
      </c>
      <c r="O84" s="116">
        <v>499.1</v>
      </c>
      <c r="P84" s="117" t="s">
        <v>208</v>
      </c>
      <c r="Q84" s="116">
        <v>430.9</v>
      </c>
      <c r="R84" s="117" t="s">
        <v>208</v>
      </c>
      <c r="S84" s="116">
        <v>300.08000000000004</v>
      </c>
      <c r="T84" s="117" t="s">
        <v>208</v>
      </c>
      <c r="U84" s="116">
        <v>213.28</v>
      </c>
      <c r="V84" s="117" t="s">
        <v>208</v>
      </c>
      <c r="W84" s="116">
        <v>143.84</v>
      </c>
      <c r="X84" s="117" t="s">
        <v>208</v>
      </c>
      <c r="Y84" s="116">
        <v>314.11454545454541</v>
      </c>
      <c r="Z84" s="117" t="s">
        <v>208</v>
      </c>
      <c r="AA84" s="116">
        <v>256.68</v>
      </c>
      <c r="AB84" s="117" t="s">
        <v>208</v>
      </c>
      <c r="AC84" s="116">
        <v>218.86</v>
      </c>
      <c r="AD84" s="117" t="s">
        <v>208</v>
      </c>
      <c r="AE84" s="116">
        <v>277.14</v>
      </c>
      <c r="AF84" s="117" t="s">
        <v>208</v>
      </c>
      <c r="AG84" s="116">
        <v>277.14</v>
      </c>
      <c r="AH84" s="117" t="s">
        <v>208</v>
      </c>
      <c r="AI84" s="116">
        <v>568.54</v>
      </c>
      <c r="AJ84" s="117" t="s">
        <v>208</v>
      </c>
      <c r="AK84" s="116">
        <v>269.7</v>
      </c>
      <c r="AL84" s="117" t="s">
        <v>208</v>
      </c>
      <c r="AM84" s="116">
        <v>3769.3745454545447</v>
      </c>
    </row>
    <row r="85" spans="1:39" s="100" customFormat="1" ht="46.8" x14ac:dyDescent="0.3">
      <c r="A85" s="97">
        <v>75</v>
      </c>
      <c r="B85" s="98" t="s">
        <v>642</v>
      </c>
      <c r="C85" s="98" t="s">
        <v>2708</v>
      </c>
      <c r="D85" s="98" t="s">
        <v>1902</v>
      </c>
      <c r="E85" s="98" t="s">
        <v>2709</v>
      </c>
      <c r="F85" s="98" t="s">
        <v>49</v>
      </c>
      <c r="G85" s="99" t="s">
        <v>2710</v>
      </c>
      <c r="H85" s="99">
        <v>5</v>
      </c>
      <c r="I85" s="99" t="s">
        <v>2710</v>
      </c>
      <c r="J85" s="99">
        <v>1</v>
      </c>
      <c r="K85" s="98" t="s">
        <v>528</v>
      </c>
      <c r="L85" s="98" t="s">
        <v>528</v>
      </c>
      <c r="M85" s="116">
        <v>1659.6726666950997</v>
      </c>
      <c r="N85" s="116">
        <v>2831.8006934428277</v>
      </c>
      <c r="O85" s="116">
        <v>305.89999999999998</v>
      </c>
      <c r="P85" s="117" t="s">
        <v>208</v>
      </c>
      <c r="Q85" s="116">
        <v>264.10000000000002</v>
      </c>
      <c r="R85" s="117" t="s">
        <v>208</v>
      </c>
      <c r="S85" s="116">
        <v>183.92000000000002</v>
      </c>
      <c r="T85" s="117" t="s">
        <v>208</v>
      </c>
      <c r="U85" s="116">
        <v>130.72</v>
      </c>
      <c r="V85" s="117" t="s">
        <v>208</v>
      </c>
      <c r="W85" s="116">
        <v>88.16</v>
      </c>
      <c r="X85" s="117" t="s">
        <v>208</v>
      </c>
      <c r="Y85" s="116">
        <v>192.52181818181819</v>
      </c>
      <c r="Z85" s="117" t="s">
        <v>208</v>
      </c>
      <c r="AA85" s="116">
        <v>157.32</v>
      </c>
      <c r="AB85" s="117" t="s">
        <v>208</v>
      </c>
      <c r="AC85" s="116">
        <v>134.14000000000001</v>
      </c>
      <c r="AD85" s="117" t="s">
        <v>208</v>
      </c>
      <c r="AE85" s="116">
        <v>169.85999999999999</v>
      </c>
      <c r="AF85" s="117" t="s">
        <v>208</v>
      </c>
      <c r="AG85" s="116">
        <v>169.86</v>
      </c>
      <c r="AH85" s="117" t="s">
        <v>208</v>
      </c>
      <c r="AI85" s="116">
        <v>348.46000000000004</v>
      </c>
      <c r="AJ85" s="117" t="s">
        <v>208</v>
      </c>
      <c r="AK85" s="116">
        <v>165.3</v>
      </c>
      <c r="AL85" s="117" t="s">
        <v>208</v>
      </c>
      <c r="AM85" s="116">
        <v>2310.2618181818184</v>
      </c>
    </row>
    <row r="86" spans="1:39" s="100" customFormat="1" ht="46.8" x14ac:dyDescent="0.3">
      <c r="A86" s="97">
        <v>76</v>
      </c>
      <c r="B86" s="98" t="s">
        <v>643</v>
      </c>
      <c r="C86" s="98" t="s">
        <v>2708</v>
      </c>
      <c r="D86" s="98" t="s">
        <v>1902</v>
      </c>
      <c r="E86" s="98" t="s">
        <v>2709</v>
      </c>
      <c r="F86" s="98" t="s">
        <v>49</v>
      </c>
      <c r="G86" s="99" t="s">
        <v>2710</v>
      </c>
      <c r="H86" s="99">
        <v>8</v>
      </c>
      <c r="I86" s="99" t="s">
        <v>2710</v>
      </c>
      <c r="J86" s="99">
        <v>2</v>
      </c>
      <c r="K86" s="98" t="s">
        <v>528</v>
      </c>
      <c r="L86" s="98" t="s">
        <v>528</v>
      </c>
      <c r="M86" s="116">
        <v>235.1179014574638</v>
      </c>
      <c r="N86" s="116">
        <v>382.52486606855456</v>
      </c>
      <c r="O86" s="116">
        <v>45</v>
      </c>
      <c r="P86" s="117" t="s">
        <v>208</v>
      </c>
      <c r="Q86" s="116">
        <v>30.5</v>
      </c>
      <c r="R86" s="117" t="s">
        <v>208</v>
      </c>
      <c r="S86" s="116">
        <v>13</v>
      </c>
      <c r="T86" s="117" t="s">
        <v>208</v>
      </c>
      <c r="U86" s="116">
        <v>13.5</v>
      </c>
      <c r="V86" s="117" t="s">
        <v>208</v>
      </c>
      <c r="W86" s="116">
        <v>20.75</v>
      </c>
      <c r="X86" s="117" t="s">
        <v>208</v>
      </c>
      <c r="Y86" s="116">
        <v>26.545454545454547</v>
      </c>
      <c r="Z86" s="117" t="s">
        <v>208</v>
      </c>
      <c r="AA86" s="116">
        <v>24</v>
      </c>
      <c r="AB86" s="117" t="s">
        <v>208</v>
      </c>
      <c r="AC86" s="116">
        <v>0</v>
      </c>
      <c r="AD86" s="117" t="s">
        <v>208</v>
      </c>
      <c r="AE86" s="116">
        <v>39</v>
      </c>
      <c r="AF86" s="117" t="s">
        <v>208</v>
      </c>
      <c r="AG86" s="116">
        <v>38.25</v>
      </c>
      <c r="AH86" s="117" t="s">
        <v>208</v>
      </c>
      <c r="AI86" s="116">
        <v>46.75</v>
      </c>
      <c r="AJ86" s="117" t="s">
        <v>208</v>
      </c>
      <c r="AK86" s="116">
        <v>21.25</v>
      </c>
      <c r="AL86" s="117" t="s">
        <v>208</v>
      </c>
      <c r="AM86" s="116">
        <v>318.54545454545456</v>
      </c>
    </row>
    <row r="87" spans="1:39" s="100" customFormat="1" ht="46.8" x14ac:dyDescent="0.3">
      <c r="A87" s="97">
        <v>77</v>
      </c>
      <c r="B87" s="98" t="s">
        <v>644</v>
      </c>
      <c r="C87" s="98" t="s">
        <v>2708</v>
      </c>
      <c r="D87" s="98" t="s">
        <v>1902</v>
      </c>
      <c r="E87" s="98" t="s">
        <v>2709</v>
      </c>
      <c r="F87" s="98" t="s">
        <v>49</v>
      </c>
      <c r="G87" s="99" t="s">
        <v>2710</v>
      </c>
      <c r="H87" s="99">
        <v>3</v>
      </c>
      <c r="I87" s="99" t="s">
        <v>2710</v>
      </c>
      <c r="J87" s="99">
        <v>1</v>
      </c>
      <c r="K87" s="98" t="s">
        <v>528</v>
      </c>
      <c r="L87" s="98" t="s">
        <v>528</v>
      </c>
      <c r="M87" s="116">
        <v>3945.9685123115842</v>
      </c>
      <c r="N87" s="116">
        <v>6857.8688807311109</v>
      </c>
      <c r="O87" s="116">
        <v>817</v>
      </c>
      <c r="P87" s="117" t="s">
        <v>208</v>
      </c>
      <c r="Q87" s="116">
        <v>652</v>
      </c>
      <c r="R87" s="117" t="s">
        <v>208</v>
      </c>
      <c r="S87" s="116">
        <v>398</v>
      </c>
      <c r="T87" s="117" t="s">
        <v>208</v>
      </c>
      <c r="U87" s="116">
        <v>258</v>
      </c>
      <c r="V87" s="117" t="s">
        <v>208</v>
      </c>
      <c r="W87" s="116">
        <v>0</v>
      </c>
      <c r="X87" s="117" t="s">
        <v>208</v>
      </c>
      <c r="Y87" s="116">
        <v>463.09090909090907</v>
      </c>
      <c r="Z87" s="117" t="s">
        <v>208</v>
      </c>
      <c r="AA87" s="116">
        <v>122</v>
      </c>
      <c r="AB87" s="117" t="s">
        <v>208</v>
      </c>
      <c r="AC87" s="116">
        <v>822</v>
      </c>
      <c r="AD87" s="117" t="s">
        <v>208</v>
      </c>
      <c r="AE87" s="116">
        <v>922</v>
      </c>
      <c r="AF87" s="117" t="s">
        <v>208</v>
      </c>
      <c r="AG87" s="116">
        <v>60</v>
      </c>
      <c r="AH87" s="117" t="s">
        <v>208</v>
      </c>
      <c r="AI87" s="116">
        <v>687</v>
      </c>
      <c r="AJ87" s="117" t="s">
        <v>208</v>
      </c>
      <c r="AK87" s="116">
        <v>356</v>
      </c>
      <c r="AL87" s="117" t="s">
        <v>208</v>
      </c>
      <c r="AM87" s="116">
        <v>5557.090909090909</v>
      </c>
    </row>
    <row r="88" spans="1:39" s="100" customFormat="1" ht="46.8" x14ac:dyDescent="0.3">
      <c r="A88" s="97">
        <v>78</v>
      </c>
      <c r="B88" s="98" t="s">
        <v>645</v>
      </c>
      <c r="C88" s="98" t="s">
        <v>2708</v>
      </c>
      <c r="D88" s="98" t="s">
        <v>1902</v>
      </c>
      <c r="E88" s="98" t="s">
        <v>2709</v>
      </c>
      <c r="F88" s="98" t="s">
        <v>49</v>
      </c>
      <c r="G88" s="99" t="s">
        <v>2710</v>
      </c>
      <c r="H88" s="99">
        <v>5</v>
      </c>
      <c r="I88" s="99" t="s">
        <v>2710</v>
      </c>
      <c r="J88" s="99">
        <v>1</v>
      </c>
      <c r="K88" s="98" t="s">
        <v>528</v>
      </c>
      <c r="L88" s="98" t="s">
        <v>528</v>
      </c>
      <c r="M88" s="116">
        <v>2742.9007809779423</v>
      </c>
      <c r="N88" s="116">
        <v>4899.5467494502655</v>
      </c>
      <c r="O88" s="116">
        <v>264.05462817060464</v>
      </c>
      <c r="P88" s="117" t="s">
        <v>208</v>
      </c>
      <c r="Q88" s="116">
        <v>313.37936351214512</v>
      </c>
      <c r="R88" s="117" t="s">
        <v>208</v>
      </c>
      <c r="S88" s="116">
        <v>265.01687550952892</v>
      </c>
      <c r="T88" s="117" t="s">
        <v>208</v>
      </c>
      <c r="U88" s="116">
        <v>404.48817958471864</v>
      </c>
      <c r="V88" s="117" t="s">
        <v>208</v>
      </c>
      <c r="W88" s="116">
        <v>231.52232335028279</v>
      </c>
      <c r="X88" s="117" t="s">
        <v>208</v>
      </c>
      <c r="Y88" s="116">
        <v>330.6993994981583</v>
      </c>
      <c r="Z88" s="117" t="s">
        <v>208</v>
      </c>
      <c r="AA88" s="116">
        <v>240.77565591592403</v>
      </c>
      <c r="AB88" s="117" t="s">
        <v>208</v>
      </c>
      <c r="AC88" s="116">
        <v>413.92690345111987</v>
      </c>
      <c r="AD88" s="117" t="s">
        <v>208</v>
      </c>
      <c r="AE88" s="116">
        <v>398.21795139054029</v>
      </c>
      <c r="AF88" s="117" t="s">
        <v>208</v>
      </c>
      <c r="AG88" s="116">
        <v>339.19594402824487</v>
      </c>
      <c r="AH88" s="117" t="s">
        <v>208</v>
      </c>
      <c r="AI88" s="116">
        <v>422.51862951273137</v>
      </c>
      <c r="AJ88" s="117" t="s">
        <v>208</v>
      </c>
      <c r="AK88" s="116">
        <v>344.59694005390014</v>
      </c>
      <c r="AL88" s="117" t="s">
        <v>208</v>
      </c>
      <c r="AM88" s="116">
        <v>3968.3927939778991</v>
      </c>
    </row>
    <row r="89" spans="1:39" s="100" customFormat="1" ht="46.8" x14ac:dyDescent="0.3">
      <c r="A89" s="97">
        <v>79</v>
      </c>
      <c r="B89" s="98" t="s">
        <v>646</v>
      </c>
      <c r="C89" s="98" t="s">
        <v>2708</v>
      </c>
      <c r="D89" s="98" t="s">
        <v>1902</v>
      </c>
      <c r="E89" s="98" t="s">
        <v>2709</v>
      </c>
      <c r="F89" s="98" t="s">
        <v>49</v>
      </c>
      <c r="G89" s="99" t="s">
        <v>2710</v>
      </c>
      <c r="H89" s="99">
        <v>5</v>
      </c>
      <c r="I89" s="99" t="s">
        <v>2710</v>
      </c>
      <c r="J89" s="99">
        <v>1</v>
      </c>
      <c r="K89" s="98" t="s">
        <v>528</v>
      </c>
      <c r="L89" s="98" t="s">
        <v>528</v>
      </c>
      <c r="M89" s="116">
        <v>324.28908906171063</v>
      </c>
      <c r="N89" s="116">
        <v>590.34515486047326</v>
      </c>
      <c r="O89" s="116">
        <v>47.599999999999994</v>
      </c>
      <c r="P89" s="117" t="s">
        <v>208</v>
      </c>
      <c r="Q89" s="116">
        <v>46.199999999999996</v>
      </c>
      <c r="R89" s="117" t="s">
        <v>208</v>
      </c>
      <c r="S89" s="116">
        <v>42.699999999999996</v>
      </c>
      <c r="T89" s="117" t="s">
        <v>208</v>
      </c>
      <c r="U89" s="116">
        <v>44.449999999999996</v>
      </c>
      <c r="V89" s="117" t="s">
        <v>208</v>
      </c>
      <c r="W89" s="116">
        <v>34.65</v>
      </c>
      <c r="X89" s="117" t="s">
        <v>208</v>
      </c>
      <c r="Y89" s="116">
        <v>40.186363636363637</v>
      </c>
      <c r="Z89" s="117" t="s">
        <v>208</v>
      </c>
      <c r="AA89" s="116">
        <v>39.549999999999997</v>
      </c>
      <c r="AB89" s="117" t="s">
        <v>208</v>
      </c>
      <c r="AC89" s="116">
        <v>51.8</v>
      </c>
      <c r="AD89" s="117" t="s">
        <v>208</v>
      </c>
      <c r="AE89" s="116">
        <v>69.3</v>
      </c>
      <c r="AF89" s="117" t="s">
        <v>208</v>
      </c>
      <c r="AG89" s="116">
        <v>2.8</v>
      </c>
      <c r="AH89" s="117" t="s">
        <v>208</v>
      </c>
      <c r="AI89" s="116">
        <v>32.9</v>
      </c>
      <c r="AJ89" s="117" t="s">
        <v>208</v>
      </c>
      <c r="AK89" s="116">
        <v>30.099999999999998</v>
      </c>
      <c r="AL89" s="117" t="s">
        <v>208</v>
      </c>
      <c r="AM89" s="116">
        <v>482.23636363636365</v>
      </c>
    </row>
    <row r="90" spans="1:39" s="100" customFormat="1" ht="46.8" x14ac:dyDescent="0.3">
      <c r="A90" s="97">
        <v>80</v>
      </c>
      <c r="B90" s="98" t="s">
        <v>647</v>
      </c>
      <c r="C90" s="98" t="s">
        <v>2708</v>
      </c>
      <c r="D90" s="98" t="s">
        <v>1902</v>
      </c>
      <c r="E90" s="98" t="s">
        <v>2709</v>
      </c>
      <c r="F90" s="98" t="s">
        <v>49</v>
      </c>
      <c r="G90" s="99" t="s">
        <v>2710</v>
      </c>
      <c r="H90" s="99">
        <v>10</v>
      </c>
      <c r="I90" s="99" t="s">
        <v>2710</v>
      </c>
      <c r="J90" s="99">
        <v>2</v>
      </c>
      <c r="K90" s="98" t="s">
        <v>528</v>
      </c>
      <c r="L90" s="98" t="s">
        <v>528</v>
      </c>
      <c r="M90" s="116">
        <v>2502.0964122399591</v>
      </c>
      <c r="N90" s="116">
        <v>4584.4136647670293</v>
      </c>
      <c r="O90" s="116">
        <v>490</v>
      </c>
      <c r="P90" s="117" t="s">
        <v>208</v>
      </c>
      <c r="Q90" s="116">
        <v>372</v>
      </c>
      <c r="R90" s="117" t="s">
        <v>208</v>
      </c>
      <c r="S90" s="116">
        <v>282</v>
      </c>
      <c r="T90" s="117" t="s">
        <v>208</v>
      </c>
      <c r="U90" s="116">
        <v>228</v>
      </c>
      <c r="V90" s="117" t="s">
        <v>208</v>
      </c>
      <c r="W90" s="116">
        <v>196</v>
      </c>
      <c r="X90" s="117" t="s">
        <v>208</v>
      </c>
      <c r="Y90" s="116">
        <v>318.09090909090907</v>
      </c>
      <c r="Z90" s="117" t="s">
        <v>208</v>
      </c>
      <c r="AA90" s="116">
        <v>373</v>
      </c>
      <c r="AB90" s="117" t="s">
        <v>208</v>
      </c>
      <c r="AC90" s="116">
        <v>198</v>
      </c>
      <c r="AD90" s="117" t="s">
        <v>208</v>
      </c>
      <c r="AE90" s="116">
        <v>198</v>
      </c>
      <c r="AF90" s="117" t="s">
        <v>208</v>
      </c>
      <c r="AG90" s="116">
        <v>390</v>
      </c>
      <c r="AH90" s="117" t="s">
        <v>208</v>
      </c>
      <c r="AI90" s="116">
        <v>483</v>
      </c>
      <c r="AJ90" s="117" t="s">
        <v>208</v>
      </c>
      <c r="AK90" s="116">
        <v>289</v>
      </c>
      <c r="AL90" s="117" t="s">
        <v>208</v>
      </c>
      <c r="AM90" s="116">
        <v>3817.090909090909</v>
      </c>
    </row>
    <row r="91" spans="1:39" s="100" customFormat="1" ht="46.8" x14ac:dyDescent="0.3">
      <c r="A91" s="97">
        <v>81</v>
      </c>
      <c r="B91" s="98" t="s">
        <v>648</v>
      </c>
      <c r="C91" s="98" t="s">
        <v>2708</v>
      </c>
      <c r="D91" s="98" t="s">
        <v>1902</v>
      </c>
      <c r="E91" s="98" t="s">
        <v>2709</v>
      </c>
      <c r="F91" s="98" t="s">
        <v>49</v>
      </c>
      <c r="G91" s="99" t="s">
        <v>2710</v>
      </c>
      <c r="H91" s="99">
        <v>10</v>
      </c>
      <c r="I91" s="99" t="s">
        <v>2710</v>
      </c>
      <c r="J91" s="99">
        <v>2</v>
      </c>
      <c r="K91" s="98" t="s">
        <v>528</v>
      </c>
      <c r="L91" s="98" t="s">
        <v>528</v>
      </c>
      <c r="M91" s="116">
        <v>4494.6480863899797</v>
      </c>
      <c r="N91" s="116">
        <v>7864.4941600043567</v>
      </c>
      <c r="O91" s="116">
        <v>458.11260666830452</v>
      </c>
      <c r="P91" s="117" t="s">
        <v>208</v>
      </c>
      <c r="Q91" s="116">
        <v>588.64100873761322</v>
      </c>
      <c r="R91" s="117" t="s">
        <v>208</v>
      </c>
      <c r="S91" s="116">
        <v>629.94104367179375</v>
      </c>
      <c r="T91" s="117" t="s">
        <v>208</v>
      </c>
      <c r="U91" s="116">
        <v>570.66497011174397</v>
      </c>
      <c r="V91" s="117" t="s">
        <v>208</v>
      </c>
      <c r="W91" s="116">
        <v>536.70264649820956</v>
      </c>
      <c r="X91" s="117" t="s">
        <v>208</v>
      </c>
      <c r="Y91" s="116">
        <v>546.51645690433759</v>
      </c>
      <c r="Z91" s="117" t="s">
        <v>208</v>
      </c>
      <c r="AA91" s="116">
        <v>537.71400531129018</v>
      </c>
      <c r="AB91" s="117" t="s">
        <v>208</v>
      </c>
      <c r="AC91" s="116">
        <v>538.06853106022595</v>
      </c>
      <c r="AD91" s="117" t="s">
        <v>208</v>
      </c>
      <c r="AE91" s="116">
        <v>463.92523753634896</v>
      </c>
      <c r="AF91" s="117" t="s">
        <v>208</v>
      </c>
      <c r="AG91" s="116">
        <v>723.79888045590815</v>
      </c>
      <c r="AH91" s="117" t="s">
        <v>208</v>
      </c>
      <c r="AI91" s="116">
        <v>432.59207877577046</v>
      </c>
      <c r="AJ91" s="117" t="s">
        <v>208</v>
      </c>
      <c r="AK91" s="116">
        <v>531.52001712050378</v>
      </c>
      <c r="AL91" s="117" t="s">
        <v>208</v>
      </c>
      <c r="AM91" s="116">
        <v>6558.1974828520506</v>
      </c>
    </row>
    <row r="92" spans="1:39" s="100" customFormat="1" ht="46.8" x14ac:dyDescent="0.3">
      <c r="A92" s="97">
        <v>82</v>
      </c>
      <c r="B92" s="98" t="s">
        <v>649</v>
      </c>
      <c r="C92" s="98" t="s">
        <v>2708</v>
      </c>
      <c r="D92" s="98" t="s">
        <v>1902</v>
      </c>
      <c r="E92" s="98" t="s">
        <v>2709</v>
      </c>
      <c r="F92" s="98" t="s">
        <v>49</v>
      </c>
      <c r="G92" s="99" t="s">
        <v>2710</v>
      </c>
      <c r="H92" s="99">
        <v>4</v>
      </c>
      <c r="I92" s="99" t="s">
        <v>2710</v>
      </c>
      <c r="J92" s="99">
        <v>1</v>
      </c>
      <c r="K92" s="98" t="s">
        <v>528</v>
      </c>
      <c r="L92" s="98" t="s">
        <v>528</v>
      </c>
      <c r="M92" s="116">
        <v>2681.8284005640294</v>
      </c>
      <c r="N92" s="116">
        <v>4928.5572906897996</v>
      </c>
      <c r="O92" s="116">
        <v>517</v>
      </c>
      <c r="P92" s="117" t="s">
        <v>208</v>
      </c>
      <c r="Q92" s="116">
        <v>412</v>
      </c>
      <c r="R92" s="117" t="s">
        <v>208</v>
      </c>
      <c r="S92" s="116">
        <v>390</v>
      </c>
      <c r="T92" s="117" t="s">
        <v>208</v>
      </c>
      <c r="U92" s="116">
        <v>380</v>
      </c>
      <c r="V92" s="117" t="s">
        <v>208</v>
      </c>
      <c r="W92" s="116">
        <v>319</v>
      </c>
      <c r="X92" s="117" t="s">
        <v>208</v>
      </c>
      <c r="Y92" s="116">
        <v>341.09090909090907</v>
      </c>
      <c r="Z92" s="117" t="s">
        <v>208</v>
      </c>
      <c r="AA92" s="116">
        <v>0</v>
      </c>
      <c r="AB92" s="117" t="s">
        <v>208</v>
      </c>
      <c r="AC92" s="116">
        <v>0</v>
      </c>
      <c r="AD92" s="117" t="s">
        <v>208</v>
      </c>
      <c r="AE92" s="116">
        <v>0</v>
      </c>
      <c r="AF92" s="117" t="s">
        <v>208</v>
      </c>
      <c r="AG92" s="116">
        <v>0</v>
      </c>
      <c r="AH92" s="117" t="s">
        <v>208</v>
      </c>
      <c r="AI92" s="116">
        <v>450</v>
      </c>
      <c r="AJ92" s="117" t="s">
        <v>208</v>
      </c>
      <c r="AK92" s="116">
        <v>1284</v>
      </c>
      <c r="AL92" s="117" t="s">
        <v>208</v>
      </c>
      <c r="AM92" s="116">
        <v>4093.090909090909</v>
      </c>
    </row>
    <row r="93" spans="1:39" s="100" customFormat="1" ht="46.8" x14ac:dyDescent="0.3">
      <c r="A93" s="97">
        <v>83</v>
      </c>
      <c r="B93" s="98" t="s">
        <v>650</v>
      </c>
      <c r="C93" s="98" t="s">
        <v>2708</v>
      </c>
      <c r="D93" s="98" t="s">
        <v>1902</v>
      </c>
      <c r="E93" s="98" t="s">
        <v>2709</v>
      </c>
      <c r="F93" s="98" t="s">
        <v>49</v>
      </c>
      <c r="G93" s="99" t="s">
        <v>2710</v>
      </c>
      <c r="H93" s="99">
        <v>8</v>
      </c>
      <c r="I93" s="99" t="s">
        <v>2710</v>
      </c>
      <c r="J93" s="99">
        <v>2</v>
      </c>
      <c r="K93" s="98" t="s">
        <v>528</v>
      </c>
      <c r="L93" s="98" t="s">
        <v>528</v>
      </c>
      <c r="M93" s="116">
        <v>2039.2963207379762</v>
      </c>
      <c r="N93" s="116">
        <v>3391.2532723039785</v>
      </c>
      <c r="O93" s="116">
        <v>482</v>
      </c>
      <c r="P93" s="117" t="s">
        <v>208</v>
      </c>
      <c r="Q93" s="116">
        <v>421</v>
      </c>
      <c r="R93" s="117" t="s">
        <v>208</v>
      </c>
      <c r="S93" s="116">
        <v>221</v>
      </c>
      <c r="T93" s="117" t="s">
        <v>208</v>
      </c>
      <c r="U93" s="116">
        <v>136</v>
      </c>
      <c r="V93" s="117" t="s">
        <v>208</v>
      </c>
      <c r="W93" s="116">
        <v>83</v>
      </c>
      <c r="X93" s="117" t="s">
        <v>208</v>
      </c>
      <c r="Y93" s="116">
        <v>228</v>
      </c>
      <c r="Z93" s="117" t="s">
        <v>208</v>
      </c>
      <c r="AA93" s="116">
        <v>107</v>
      </c>
      <c r="AB93" s="117" t="s">
        <v>208</v>
      </c>
      <c r="AC93" s="116">
        <v>213</v>
      </c>
      <c r="AD93" s="117" t="s">
        <v>208</v>
      </c>
      <c r="AE93" s="116">
        <v>313</v>
      </c>
      <c r="AF93" s="117" t="s">
        <v>208</v>
      </c>
      <c r="AG93" s="116">
        <v>59</v>
      </c>
      <c r="AH93" s="117" t="s">
        <v>208</v>
      </c>
      <c r="AI93" s="116">
        <v>234</v>
      </c>
      <c r="AJ93" s="117" t="s">
        <v>208</v>
      </c>
      <c r="AK93" s="116">
        <v>239</v>
      </c>
      <c r="AL93" s="117" t="s">
        <v>208</v>
      </c>
      <c r="AM93" s="116">
        <v>2736</v>
      </c>
    </row>
    <row r="94" spans="1:39" s="100" customFormat="1" ht="46.8" x14ac:dyDescent="0.3">
      <c r="A94" s="97">
        <v>84</v>
      </c>
      <c r="B94" s="98" t="s">
        <v>652</v>
      </c>
      <c r="C94" s="98" t="s">
        <v>2708</v>
      </c>
      <c r="D94" s="98" t="s">
        <v>1902</v>
      </c>
      <c r="E94" s="98" t="s">
        <v>2709</v>
      </c>
      <c r="F94" s="98" t="s">
        <v>49</v>
      </c>
      <c r="G94" s="99" t="s">
        <v>2710</v>
      </c>
      <c r="H94" s="99">
        <v>66</v>
      </c>
      <c r="I94" s="99" t="s">
        <v>2710</v>
      </c>
      <c r="J94" s="99">
        <v>11</v>
      </c>
      <c r="K94" s="98" t="s">
        <v>528</v>
      </c>
      <c r="L94" s="98" t="s">
        <v>528</v>
      </c>
      <c r="M94" s="116">
        <v>19572.621543953384</v>
      </c>
      <c r="N94" s="116">
        <v>33260.315409158226</v>
      </c>
      <c r="O94" s="116">
        <v>2955</v>
      </c>
      <c r="P94" s="117" t="s">
        <v>208</v>
      </c>
      <c r="Q94" s="116">
        <v>3082</v>
      </c>
      <c r="R94" s="117" t="s">
        <v>208</v>
      </c>
      <c r="S94" s="116">
        <v>3231</v>
      </c>
      <c r="T94" s="117" t="s">
        <v>208</v>
      </c>
      <c r="U94" s="116">
        <v>3590</v>
      </c>
      <c r="V94" s="117" t="s">
        <v>208</v>
      </c>
      <c r="W94" s="116">
        <v>1096</v>
      </c>
      <c r="X94" s="117" t="s">
        <v>208</v>
      </c>
      <c r="Y94" s="116">
        <v>2305.7272727272725</v>
      </c>
      <c r="Z94" s="117" t="s">
        <v>208</v>
      </c>
      <c r="AA94" s="116">
        <v>2477</v>
      </c>
      <c r="AB94" s="117" t="s">
        <v>208</v>
      </c>
      <c r="AC94" s="116">
        <v>914</v>
      </c>
      <c r="AD94" s="117" t="s">
        <v>208</v>
      </c>
      <c r="AE94" s="116">
        <v>1840</v>
      </c>
      <c r="AF94" s="117" t="s">
        <v>208</v>
      </c>
      <c r="AG94" s="116">
        <v>1987</v>
      </c>
      <c r="AH94" s="117" t="s">
        <v>208</v>
      </c>
      <c r="AI94" s="116">
        <v>2106</v>
      </c>
      <c r="AJ94" s="117" t="s">
        <v>208</v>
      </c>
      <c r="AK94" s="116">
        <v>2085</v>
      </c>
      <c r="AL94" s="117" t="s">
        <v>208</v>
      </c>
      <c r="AM94" s="116">
        <v>27668.727272727272</v>
      </c>
    </row>
    <row r="95" spans="1:39" s="100" customFormat="1" ht="46.8" x14ac:dyDescent="0.3">
      <c r="A95" s="97">
        <v>85</v>
      </c>
      <c r="B95" s="98" t="s">
        <v>654</v>
      </c>
      <c r="C95" s="98" t="s">
        <v>2708</v>
      </c>
      <c r="D95" s="98" t="s">
        <v>1902</v>
      </c>
      <c r="E95" s="98" t="s">
        <v>2709</v>
      </c>
      <c r="F95" s="98" t="s">
        <v>49</v>
      </c>
      <c r="G95" s="99" t="s">
        <v>2710</v>
      </c>
      <c r="H95" s="99">
        <v>20</v>
      </c>
      <c r="I95" s="99" t="s">
        <v>2710</v>
      </c>
      <c r="J95" s="99">
        <v>4</v>
      </c>
      <c r="K95" s="98" t="s">
        <v>528</v>
      </c>
      <c r="L95" s="98" t="s">
        <v>528</v>
      </c>
      <c r="M95" s="116">
        <v>4335.4589428058989</v>
      </c>
      <c r="N95" s="116">
        <v>7577.2456967831431</v>
      </c>
      <c r="O95" s="116">
        <v>293</v>
      </c>
      <c r="P95" s="117" t="s">
        <v>208</v>
      </c>
      <c r="Q95" s="116">
        <v>899</v>
      </c>
      <c r="R95" s="117" t="s">
        <v>208</v>
      </c>
      <c r="S95" s="116">
        <v>422</v>
      </c>
      <c r="T95" s="117" t="s">
        <v>208</v>
      </c>
      <c r="U95" s="116">
        <v>327</v>
      </c>
      <c r="V95" s="117" t="s">
        <v>208</v>
      </c>
      <c r="W95" s="116">
        <v>346</v>
      </c>
      <c r="X95" s="117" t="s">
        <v>208</v>
      </c>
      <c r="Y95" s="116">
        <v>507.63636363636363</v>
      </c>
      <c r="Z95" s="117" t="s">
        <v>208</v>
      </c>
      <c r="AA95" s="116">
        <v>1160</v>
      </c>
      <c r="AB95" s="117" t="s">
        <v>208</v>
      </c>
      <c r="AC95" s="116">
        <v>0</v>
      </c>
      <c r="AD95" s="117" t="s">
        <v>208</v>
      </c>
      <c r="AE95" s="116">
        <v>534</v>
      </c>
      <c r="AF95" s="117" t="s">
        <v>208</v>
      </c>
      <c r="AG95" s="116">
        <v>721</v>
      </c>
      <c r="AH95" s="117" t="s">
        <v>208</v>
      </c>
      <c r="AI95" s="116">
        <v>468</v>
      </c>
      <c r="AJ95" s="117" t="s">
        <v>208</v>
      </c>
      <c r="AK95" s="116">
        <v>414</v>
      </c>
      <c r="AL95" s="117" t="s">
        <v>208</v>
      </c>
      <c r="AM95" s="116">
        <v>6091.636363636364</v>
      </c>
    </row>
    <row r="96" spans="1:39" s="100" customFormat="1" ht="46.8" x14ac:dyDescent="0.3">
      <c r="A96" s="97">
        <v>86</v>
      </c>
      <c r="B96" s="98" t="s">
        <v>656</v>
      </c>
      <c r="C96" s="98" t="s">
        <v>2708</v>
      </c>
      <c r="D96" s="98" t="s">
        <v>1902</v>
      </c>
      <c r="E96" s="98" t="s">
        <v>2709</v>
      </c>
      <c r="F96" s="98" t="s">
        <v>49</v>
      </c>
      <c r="G96" s="99" t="s">
        <v>2710</v>
      </c>
      <c r="H96" s="99">
        <v>15</v>
      </c>
      <c r="I96" s="99" t="s">
        <v>2710</v>
      </c>
      <c r="J96" s="99">
        <v>3</v>
      </c>
      <c r="K96" s="98" t="s">
        <v>528</v>
      </c>
      <c r="L96" s="98" t="s">
        <v>528</v>
      </c>
      <c r="M96" s="116">
        <v>1634.9236867961483</v>
      </c>
      <c r="N96" s="116">
        <v>2813.9804850206465</v>
      </c>
      <c r="O96" s="116">
        <v>258</v>
      </c>
      <c r="P96" s="117" t="s">
        <v>208</v>
      </c>
      <c r="Q96" s="116">
        <v>198</v>
      </c>
      <c r="R96" s="117" t="s">
        <v>208</v>
      </c>
      <c r="S96" s="116">
        <v>203</v>
      </c>
      <c r="T96" s="117" t="s">
        <v>208</v>
      </c>
      <c r="U96" s="116">
        <v>217</v>
      </c>
      <c r="V96" s="117" t="s">
        <v>208</v>
      </c>
      <c r="W96" s="116">
        <v>129</v>
      </c>
      <c r="X96" s="117" t="s">
        <v>208</v>
      </c>
      <c r="Y96" s="116">
        <v>197.45454545454547</v>
      </c>
      <c r="Z96" s="117" t="s">
        <v>208</v>
      </c>
      <c r="AA96" s="116">
        <v>241</v>
      </c>
      <c r="AB96" s="117" t="s">
        <v>208</v>
      </c>
      <c r="AC96" s="116">
        <v>115</v>
      </c>
      <c r="AD96" s="117" t="s">
        <v>208</v>
      </c>
      <c r="AE96" s="116">
        <v>197</v>
      </c>
      <c r="AF96" s="117" t="s">
        <v>208</v>
      </c>
      <c r="AG96" s="116">
        <v>207</v>
      </c>
      <c r="AH96" s="117" t="s">
        <v>208</v>
      </c>
      <c r="AI96" s="116">
        <v>201</v>
      </c>
      <c r="AJ96" s="117" t="s">
        <v>208</v>
      </c>
      <c r="AK96" s="116">
        <v>206</v>
      </c>
      <c r="AL96" s="117" t="s">
        <v>208</v>
      </c>
      <c r="AM96" s="116">
        <v>2369.4545454545455</v>
      </c>
    </row>
    <row r="97" spans="1:39" s="100" customFormat="1" ht="46.8" x14ac:dyDescent="0.3">
      <c r="A97" s="97">
        <v>87</v>
      </c>
      <c r="B97" s="98" t="s">
        <v>657</v>
      </c>
      <c r="C97" s="98" t="s">
        <v>2708</v>
      </c>
      <c r="D97" s="98" t="s">
        <v>1902</v>
      </c>
      <c r="E97" s="98" t="s">
        <v>2709</v>
      </c>
      <c r="F97" s="98" t="s">
        <v>49</v>
      </c>
      <c r="G97" s="99" t="s">
        <v>2710</v>
      </c>
      <c r="H97" s="99">
        <v>2</v>
      </c>
      <c r="I97" s="99" t="s">
        <v>2710</v>
      </c>
      <c r="J97" s="99">
        <v>1</v>
      </c>
      <c r="K97" s="98" t="s">
        <v>528</v>
      </c>
      <c r="L97" s="98" t="s">
        <v>528</v>
      </c>
      <c r="M97" s="116">
        <v>1419.7906605862659</v>
      </c>
      <c r="N97" s="116">
        <v>2504.6105503881827</v>
      </c>
      <c r="O97" s="116">
        <v>232.56110415783698</v>
      </c>
      <c r="P97" s="117" t="s">
        <v>208</v>
      </c>
      <c r="Q97" s="116">
        <v>171.77411531472038</v>
      </c>
      <c r="R97" s="117" t="s">
        <v>208</v>
      </c>
      <c r="S97" s="116">
        <v>150.87873079281266</v>
      </c>
      <c r="T97" s="117" t="s">
        <v>208</v>
      </c>
      <c r="U97" s="116">
        <v>153.94960441545206</v>
      </c>
      <c r="V97" s="117" t="s">
        <v>208</v>
      </c>
      <c r="W97" s="116">
        <v>167.63843029672353</v>
      </c>
      <c r="X97" s="117" t="s">
        <v>208</v>
      </c>
      <c r="Y97" s="116">
        <v>178.01468102479734</v>
      </c>
      <c r="Z97" s="117" t="s">
        <v>208</v>
      </c>
      <c r="AA97" s="116">
        <v>174.37390046730599</v>
      </c>
      <c r="AB97" s="117" t="s">
        <v>208</v>
      </c>
      <c r="AC97" s="116">
        <v>155.95394876950195</v>
      </c>
      <c r="AD97" s="117" t="s">
        <v>208</v>
      </c>
      <c r="AE97" s="116">
        <v>237.00235740994617</v>
      </c>
      <c r="AF97" s="117" t="s">
        <v>208</v>
      </c>
      <c r="AG97" s="116">
        <v>206.79316578881944</v>
      </c>
      <c r="AH97" s="117" t="s">
        <v>208</v>
      </c>
      <c r="AI97" s="116">
        <v>153.62112050809114</v>
      </c>
      <c r="AJ97" s="117" t="s">
        <v>208</v>
      </c>
      <c r="AK97" s="116">
        <v>153.61501335156044</v>
      </c>
      <c r="AL97" s="117" t="s">
        <v>208</v>
      </c>
      <c r="AM97" s="116">
        <v>2136.176172297568</v>
      </c>
    </row>
    <row r="98" spans="1:39" s="100" customFormat="1" ht="46.8" x14ac:dyDescent="0.3">
      <c r="A98" s="97">
        <v>88</v>
      </c>
      <c r="B98" s="98" t="s">
        <v>659</v>
      </c>
      <c r="C98" s="98" t="s">
        <v>2708</v>
      </c>
      <c r="D98" s="98" t="s">
        <v>1902</v>
      </c>
      <c r="E98" s="98" t="s">
        <v>2709</v>
      </c>
      <c r="F98" s="98" t="s">
        <v>49</v>
      </c>
      <c r="G98" s="99" t="s">
        <v>2710</v>
      </c>
      <c r="H98" s="99">
        <v>12</v>
      </c>
      <c r="I98" s="99" t="s">
        <v>2710</v>
      </c>
      <c r="J98" s="99">
        <v>3</v>
      </c>
      <c r="K98" s="98" t="s">
        <v>528</v>
      </c>
      <c r="L98" s="98" t="s">
        <v>528</v>
      </c>
      <c r="M98" s="116">
        <v>514.21755138873334</v>
      </c>
      <c r="N98" s="116">
        <v>925.86065381216986</v>
      </c>
      <c r="O98" s="116">
        <v>60</v>
      </c>
      <c r="P98" s="117" t="s">
        <v>208</v>
      </c>
      <c r="Q98" s="116">
        <v>71</v>
      </c>
      <c r="R98" s="117" t="s">
        <v>208</v>
      </c>
      <c r="S98" s="116">
        <v>6</v>
      </c>
      <c r="T98" s="117" t="s">
        <v>208</v>
      </c>
      <c r="U98" s="116">
        <v>13</v>
      </c>
      <c r="V98" s="117" t="s">
        <v>208</v>
      </c>
      <c r="W98" s="116">
        <v>17</v>
      </c>
      <c r="X98" s="117" t="s">
        <v>208</v>
      </c>
      <c r="Y98" s="116">
        <v>61.727272727272727</v>
      </c>
      <c r="Z98" s="117" t="s">
        <v>208</v>
      </c>
      <c r="AA98" s="116">
        <v>57</v>
      </c>
      <c r="AB98" s="117" t="s">
        <v>208</v>
      </c>
      <c r="AC98" s="116">
        <v>27</v>
      </c>
      <c r="AD98" s="117" t="s">
        <v>208</v>
      </c>
      <c r="AE98" s="116">
        <v>45</v>
      </c>
      <c r="AF98" s="117" t="s">
        <v>208</v>
      </c>
      <c r="AG98" s="116">
        <v>278</v>
      </c>
      <c r="AH98" s="117" t="s">
        <v>208</v>
      </c>
      <c r="AI98" s="116">
        <v>58</v>
      </c>
      <c r="AJ98" s="117" t="s">
        <v>208</v>
      </c>
      <c r="AK98" s="116">
        <v>47</v>
      </c>
      <c r="AL98" s="117" t="s">
        <v>208</v>
      </c>
      <c r="AM98" s="116">
        <v>740.72727272727275</v>
      </c>
    </row>
    <row r="99" spans="1:39" s="100" customFormat="1" ht="46.8" x14ac:dyDescent="0.3">
      <c r="A99" s="97">
        <v>89</v>
      </c>
      <c r="B99" s="98" t="s">
        <v>660</v>
      </c>
      <c r="C99" s="98" t="s">
        <v>2708</v>
      </c>
      <c r="D99" s="98" t="s">
        <v>1902</v>
      </c>
      <c r="E99" s="98" t="s">
        <v>2709</v>
      </c>
      <c r="F99" s="98" t="s">
        <v>49</v>
      </c>
      <c r="G99" s="99" t="s">
        <v>2710</v>
      </c>
      <c r="H99" s="99">
        <v>12</v>
      </c>
      <c r="I99" s="99" t="s">
        <v>2710</v>
      </c>
      <c r="J99" s="99">
        <v>2</v>
      </c>
      <c r="K99" s="98" t="s">
        <v>528</v>
      </c>
      <c r="L99" s="98" t="s">
        <v>528</v>
      </c>
      <c r="M99" s="116">
        <v>2717.6890948283526</v>
      </c>
      <c r="N99" s="116">
        <v>4606.900939970018</v>
      </c>
      <c r="O99" s="116">
        <v>362</v>
      </c>
      <c r="P99" s="117" t="s">
        <v>208</v>
      </c>
      <c r="Q99" s="116">
        <v>272</v>
      </c>
      <c r="R99" s="117" t="s">
        <v>208</v>
      </c>
      <c r="S99" s="116">
        <v>287</v>
      </c>
      <c r="T99" s="117" t="s">
        <v>208</v>
      </c>
      <c r="U99" s="116">
        <v>387</v>
      </c>
      <c r="V99" s="117" t="s">
        <v>208</v>
      </c>
      <c r="W99" s="116">
        <v>290</v>
      </c>
      <c r="X99" s="117" t="s">
        <v>208</v>
      </c>
      <c r="Y99" s="116">
        <v>323.27272727272725</v>
      </c>
      <c r="Z99" s="117" t="s">
        <v>208</v>
      </c>
      <c r="AA99" s="116">
        <v>455</v>
      </c>
      <c r="AB99" s="117" t="s">
        <v>208</v>
      </c>
      <c r="AC99" s="116">
        <v>146</v>
      </c>
      <c r="AD99" s="117" t="s">
        <v>208</v>
      </c>
      <c r="AE99" s="116">
        <v>290</v>
      </c>
      <c r="AF99" s="117" t="s">
        <v>208</v>
      </c>
      <c r="AG99" s="116">
        <v>302</v>
      </c>
      <c r="AH99" s="117" t="s">
        <v>208</v>
      </c>
      <c r="AI99" s="116">
        <v>427</v>
      </c>
      <c r="AJ99" s="117" t="s">
        <v>208</v>
      </c>
      <c r="AK99" s="116">
        <v>338</v>
      </c>
      <c r="AL99" s="117" t="s">
        <v>208</v>
      </c>
      <c r="AM99" s="116">
        <v>3879.272727272727</v>
      </c>
    </row>
    <row r="100" spans="1:39" s="100" customFormat="1" ht="46.8" x14ac:dyDescent="0.3">
      <c r="A100" s="97">
        <v>90</v>
      </c>
      <c r="B100" s="98" t="s">
        <v>661</v>
      </c>
      <c r="C100" s="98" t="s">
        <v>2708</v>
      </c>
      <c r="D100" s="98" t="s">
        <v>1902</v>
      </c>
      <c r="E100" s="98" t="s">
        <v>2709</v>
      </c>
      <c r="F100" s="98" t="s">
        <v>49</v>
      </c>
      <c r="G100" s="99" t="s">
        <v>2710</v>
      </c>
      <c r="H100" s="99">
        <v>10</v>
      </c>
      <c r="I100" s="99" t="s">
        <v>2710</v>
      </c>
      <c r="J100" s="99">
        <v>2</v>
      </c>
      <c r="K100" s="98" t="s">
        <v>528</v>
      </c>
      <c r="L100" s="98" t="s">
        <v>528</v>
      </c>
      <c r="M100" s="116">
        <v>3769.4937236672772</v>
      </c>
      <c r="N100" s="116">
        <v>6894.4235478698038</v>
      </c>
      <c r="O100" s="116">
        <v>488</v>
      </c>
      <c r="P100" s="117" t="s">
        <v>208</v>
      </c>
      <c r="Q100" s="116">
        <v>508</v>
      </c>
      <c r="R100" s="117" t="s">
        <v>208</v>
      </c>
      <c r="S100" s="116">
        <v>440</v>
      </c>
      <c r="T100" s="117" t="s">
        <v>208</v>
      </c>
      <c r="U100" s="116">
        <v>422</v>
      </c>
      <c r="V100" s="117" t="s">
        <v>208</v>
      </c>
      <c r="W100" s="116">
        <v>384</v>
      </c>
      <c r="X100" s="117" t="s">
        <v>208</v>
      </c>
      <c r="Y100" s="116">
        <v>480.45454545454544</v>
      </c>
      <c r="Z100" s="117" t="s">
        <v>208</v>
      </c>
      <c r="AA100" s="116">
        <v>685</v>
      </c>
      <c r="AB100" s="117" t="s">
        <v>208</v>
      </c>
      <c r="AC100" s="116">
        <v>260</v>
      </c>
      <c r="AD100" s="117" t="s">
        <v>208</v>
      </c>
      <c r="AE100" s="116">
        <v>737</v>
      </c>
      <c r="AF100" s="117" t="s">
        <v>208</v>
      </c>
      <c r="AG100" s="116">
        <v>326</v>
      </c>
      <c r="AH100" s="117" t="s">
        <v>208</v>
      </c>
      <c r="AI100" s="116">
        <v>624</v>
      </c>
      <c r="AJ100" s="117" t="s">
        <v>208</v>
      </c>
      <c r="AK100" s="116">
        <v>411</v>
      </c>
      <c r="AL100" s="117" t="s">
        <v>208</v>
      </c>
      <c r="AM100" s="116">
        <v>5765.454545454546</v>
      </c>
    </row>
    <row r="101" spans="1:39" s="100" customFormat="1" ht="46.8" x14ac:dyDescent="0.3">
      <c r="A101" s="97">
        <v>91</v>
      </c>
      <c r="B101" s="98" t="s">
        <v>662</v>
      </c>
      <c r="C101" s="98" t="s">
        <v>2708</v>
      </c>
      <c r="D101" s="98" t="s">
        <v>1902</v>
      </c>
      <c r="E101" s="98" t="s">
        <v>2709</v>
      </c>
      <c r="F101" s="98" t="s">
        <v>49</v>
      </c>
      <c r="G101" s="99" t="s">
        <v>2710</v>
      </c>
      <c r="H101" s="99">
        <v>18</v>
      </c>
      <c r="I101" s="99" t="s">
        <v>2710</v>
      </c>
      <c r="J101" s="99">
        <v>3</v>
      </c>
      <c r="K101" s="98" t="s">
        <v>528</v>
      </c>
      <c r="L101" s="98" t="s">
        <v>528</v>
      </c>
      <c r="M101" s="116">
        <v>4594.0966716167786</v>
      </c>
      <c r="N101" s="116">
        <v>8128.1213665737196</v>
      </c>
      <c r="O101" s="116">
        <v>563</v>
      </c>
      <c r="P101" s="117" t="s">
        <v>208</v>
      </c>
      <c r="Q101" s="116">
        <v>551</v>
      </c>
      <c r="R101" s="117" t="s">
        <v>208</v>
      </c>
      <c r="S101" s="116">
        <v>452</v>
      </c>
      <c r="T101" s="117" t="s">
        <v>208</v>
      </c>
      <c r="U101" s="116">
        <v>424</v>
      </c>
      <c r="V101" s="117" t="s">
        <v>208</v>
      </c>
      <c r="W101" s="116">
        <v>338</v>
      </c>
      <c r="X101" s="117" t="s">
        <v>208</v>
      </c>
      <c r="Y101" s="116">
        <v>543.5454545454545</v>
      </c>
      <c r="Z101" s="117" t="s">
        <v>208</v>
      </c>
      <c r="AA101" s="116">
        <v>740</v>
      </c>
      <c r="AB101" s="117" t="s">
        <v>208</v>
      </c>
      <c r="AC101" s="116">
        <v>399</v>
      </c>
      <c r="AD101" s="117" t="s">
        <v>208</v>
      </c>
      <c r="AE101" s="116">
        <v>801</v>
      </c>
      <c r="AF101" s="117" t="s">
        <v>208</v>
      </c>
      <c r="AG101" s="116">
        <v>607</v>
      </c>
      <c r="AH101" s="117" t="s">
        <v>208</v>
      </c>
      <c r="AI101" s="116">
        <v>522</v>
      </c>
      <c r="AJ101" s="117" t="s">
        <v>208</v>
      </c>
      <c r="AK101" s="116">
        <v>582</v>
      </c>
      <c r="AL101" s="117" t="s">
        <v>208</v>
      </c>
      <c r="AM101" s="116">
        <v>6522.545454545454</v>
      </c>
    </row>
    <row r="102" spans="1:39" s="100" customFormat="1" ht="46.8" x14ac:dyDescent="0.3">
      <c r="A102" s="97">
        <v>92</v>
      </c>
      <c r="B102" s="98" t="s">
        <v>663</v>
      </c>
      <c r="C102" s="98" t="s">
        <v>2708</v>
      </c>
      <c r="D102" s="98" t="s">
        <v>1902</v>
      </c>
      <c r="E102" s="98" t="s">
        <v>2709</v>
      </c>
      <c r="F102" s="98" t="s">
        <v>49</v>
      </c>
      <c r="G102" s="99" t="s">
        <v>2710</v>
      </c>
      <c r="H102" s="99">
        <v>30</v>
      </c>
      <c r="I102" s="99" t="s">
        <v>2710</v>
      </c>
      <c r="J102" s="99">
        <v>6</v>
      </c>
      <c r="K102" s="98" t="s">
        <v>528</v>
      </c>
      <c r="L102" s="98" t="s">
        <v>528</v>
      </c>
      <c r="M102" s="116">
        <v>7191.3567860321082</v>
      </c>
      <c r="N102" s="116">
        <v>11645.943466433519</v>
      </c>
      <c r="O102" s="116">
        <v>958</v>
      </c>
      <c r="P102" s="117" t="s">
        <v>208</v>
      </c>
      <c r="Q102" s="116">
        <v>1113</v>
      </c>
      <c r="R102" s="117" t="s">
        <v>208</v>
      </c>
      <c r="S102" s="116">
        <v>673</v>
      </c>
      <c r="T102" s="117" t="s">
        <v>208</v>
      </c>
      <c r="U102" s="116">
        <v>945</v>
      </c>
      <c r="V102" s="117" t="s">
        <v>208</v>
      </c>
      <c r="W102" s="116">
        <v>664</v>
      </c>
      <c r="X102" s="117" t="s">
        <v>208</v>
      </c>
      <c r="Y102" s="116">
        <v>814.09090909090912</v>
      </c>
      <c r="Z102" s="117" t="s">
        <v>208</v>
      </c>
      <c r="AA102" s="116">
        <v>835</v>
      </c>
      <c r="AB102" s="117" t="s">
        <v>208</v>
      </c>
      <c r="AC102" s="116">
        <v>322</v>
      </c>
      <c r="AD102" s="117" t="s">
        <v>208</v>
      </c>
      <c r="AE102" s="116">
        <v>790</v>
      </c>
      <c r="AF102" s="117" t="s">
        <v>208</v>
      </c>
      <c r="AG102" s="116">
        <v>799</v>
      </c>
      <c r="AH102" s="117" t="s">
        <v>208</v>
      </c>
      <c r="AI102" s="116">
        <v>875</v>
      </c>
      <c r="AJ102" s="117" t="s">
        <v>208</v>
      </c>
      <c r="AK102" s="116">
        <v>981</v>
      </c>
      <c r="AL102" s="117" t="s">
        <v>208</v>
      </c>
      <c r="AM102" s="116">
        <v>9769.0909090909081</v>
      </c>
    </row>
    <row r="103" spans="1:39" s="100" customFormat="1" ht="46.8" x14ac:dyDescent="0.3">
      <c r="A103" s="97">
        <v>93</v>
      </c>
      <c r="B103" s="98" t="s">
        <v>664</v>
      </c>
      <c r="C103" s="98" t="s">
        <v>2708</v>
      </c>
      <c r="D103" s="98" t="s">
        <v>1902</v>
      </c>
      <c r="E103" s="98" t="s">
        <v>2709</v>
      </c>
      <c r="F103" s="98" t="s">
        <v>49</v>
      </c>
      <c r="G103" s="99" t="s">
        <v>2710</v>
      </c>
      <c r="H103" s="99">
        <v>15</v>
      </c>
      <c r="I103" s="99" t="s">
        <v>2710</v>
      </c>
      <c r="J103" s="99">
        <v>3</v>
      </c>
      <c r="K103" s="98" t="s">
        <v>528</v>
      </c>
      <c r="L103" s="98" t="s">
        <v>528</v>
      </c>
      <c r="M103" s="116">
        <v>2227.045817200561</v>
      </c>
      <c r="N103" s="116">
        <v>3612.2433074271016</v>
      </c>
      <c r="O103" s="116">
        <v>284</v>
      </c>
      <c r="P103" s="117" t="s">
        <v>208</v>
      </c>
      <c r="Q103" s="116">
        <v>510</v>
      </c>
      <c r="R103" s="117" t="s">
        <v>208</v>
      </c>
      <c r="S103" s="116">
        <v>428</v>
      </c>
      <c r="T103" s="117" t="s">
        <v>208</v>
      </c>
      <c r="U103" s="116">
        <v>369</v>
      </c>
      <c r="V103" s="117" t="s">
        <v>208</v>
      </c>
      <c r="W103" s="116">
        <v>95</v>
      </c>
      <c r="X103" s="117" t="s">
        <v>208</v>
      </c>
      <c r="Y103" s="116">
        <v>259.27272727272725</v>
      </c>
      <c r="Z103" s="117" t="s">
        <v>208</v>
      </c>
      <c r="AA103" s="116">
        <v>114</v>
      </c>
      <c r="AB103" s="117" t="s">
        <v>208</v>
      </c>
      <c r="AC103" s="116">
        <v>9</v>
      </c>
      <c r="AD103" s="117" t="s">
        <v>208</v>
      </c>
      <c r="AE103" s="116">
        <v>253</v>
      </c>
      <c r="AF103" s="117" t="s">
        <v>208</v>
      </c>
      <c r="AG103" s="116">
        <v>280</v>
      </c>
      <c r="AH103" s="117" t="s">
        <v>208</v>
      </c>
      <c r="AI103" s="116">
        <v>248</v>
      </c>
      <c r="AJ103" s="117" t="s">
        <v>208</v>
      </c>
      <c r="AK103" s="116">
        <v>262</v>
      </c>
      <c r="AL103" s="117" t="s">
        <v>208</v>
      </c>
      <c r="AM103" s="116">
        <v>3111.272727272727</v>
      </c>
    </row>
    <row r="104" spans="1:39" s="100" customFormat="1" ht="46.8" x14ac:dyDescent="0.3">
      <c r="A104" s="97">
        <v>94</v>
      </c>
      <c r="B104" s="98" t="s">
        <v>666</v>
      </c>
      <c r="C104" s="98" t="s">
        <v>2708</v>
      </c>
      <c r="D104" s="98" t="s">
        <v>1902</v>
      </c>
      <c r="E104" s="98" t="s">
        <v>2709</v>
      </c>
      <c r="F104" s="98" t="s">
        <v>49</v>
      </c>
      <c r="G104" s="99" t="s">
        <v>2710</v>
      </c>
      <c r="H104" s="99">
        <v>42</v>
      </c>
      <c r="I104" s="99" t="s">
        <v>2710</v>
      </c>
      <c r="J104" s="99">
        <v>7</v>
      </c>
      <c r="K104" s="98" t="s">
        <v>528</v>
      </c>
      <c r="L104" s="98" t="s">
        <v>528</v>
      </c>
      <c r="M104" s="116">
        <v>8823.0462600689061</v>
      </c>
      <c r="N104" s="116">
        <v>14078.846522457332</v>
      </c>
      <c r="O104" s="116">
        <v>1129</v>
      </c>
      <c r="P104" s="117" t="s">
        <v>208</v>
      </c>
      <c r="Q104" s="116">
        <v>968</v>
      </c>
      <c r="R104" s="117" t="s">
        <v>208</v>
      </c>
      <c r="S104" s="116">
        <v>1051</v>
      </c>
      <c r="T104" s="117" t="s">
        <v>208</v>
      </c>
      <c r="U104" s="116">
        <v>1154</v>
      </c>
      <c r="V104" s="117" t="s">
        <v>208</v>
      </c>
      <c r="W104" s="116">
        <v>904</v>
      </c>
      <c r="X104" s="117" t="s">
        <v>208</v>
      </c>
      <c r="Y104" s="116">
        <v>1010.3636363636364</v>
      </c>
      <c r="Z104" s="117" t="s">
        <v>208</v>
      </c>
      <c r="AA104" s="116">
        <v>1354</v>
      </c>
      <c r="AB104" s="117" t="s">
        <v>208</v>
      </c>
      <c r="AC104" s="116">
        <v>348</v>
      </c>
      <c r="AD104" s="117" t="s">
        <v>208</v>
      </c>
      <c r="AE104" s="116">
        <v>987</v>
      </c>
      <c r="AF104" s="117" t="s">
        <v>208</v>
      </c>
      <c r="AG104" s="116">
        <v>941</v>
      </c>
      <c r="AH104" s="117" t="s">
        <v>208</v>
      </c>
      <c r="AI104" s="116">
        <v>1049</v>
      </c>
      <c r="AJ104" s="117" t="s">
        <v>208</v>
      </c>
      <c r="AK104" s="116">
        <v>1229</v>
      </c>
      <c r="AL104" s="117" t="s">
        <v>208</v>
      </c>
      <c r="AM104" s="116">
        <v>12124.363636363636</v>
      </c>
    </row>
    <row r="105" spans="1:39" s="100" customFormat="1" ht="46.8" x14ac:dyDescent="0.3">
      <c r="A105" s="97">
        <v>95</v>
      </c>
      <c r="B105" s="98" t="s">
        <v>668</v>
      </c>
      <c r="C105" s="98" t="s">
        <v>2708</v>
      </c>
      <c r="D105" s="98" t="s">
        <v>1902</v>
      </c>
      <c r="E105" s="98" t="s">
        <v>2709</v>
      </c>
      <c r="F105" s="98" t="s">
        <v>49</v>
      </c>
      <c r="G105" s="99" t="s">
        <v>2710</v>
      </c>
      <c r="H105" s="99">
        <v>35</v>
      </c>
      <c r="I105" s="99" t="s">
        <v>2710</v>
      </c>
      <c r="J105" s="99">
        <v>7</v>
      </c>
      <c r="K105" s="98" t="s">
        <v>528</v>
      </c>
      <c r="L105" s="98" t="s">
        <v>528</v>
      </c>
      <c r="M105" s="116">
        <v>6564.9205908338763</v>
      </c>
      <c r="N105" s="116">
        <v>11289.630590287479</v>
      </c>
      <c r="O105" s="116">
        <v>1071</v>
      </c>
      <c r="P105" s="117" t="s">
        <v>208</v>
      </c>
      <c r="Q105" s="116">
        <v>883</v>
      </c>
      <c r="R105" s="117" t="s">
        <v>208</v>
      </c>
      <c r="S105" s="116">
        <v>654</v>
      </c>
      <c r="T105" s="117" t="s">
        <v>208</v>
      </c>
      <c r="U105" s="116">
        <v>629</v>
      </c>
      <c r="V105" s="117" t="s">
        <v>208</v>
      </c>
      <c r="W105" s="116">
        <v>423</v>
      </c>
      <c r="X105" s="117" t="s">
        <v>208</v>
      </c>
      <c r="Y105" s="116">
        <v>770</v>
      </c>
      <c r="Z105" s="117" t="s">
        <v>208</v>
      </c>
      <c r="AA105" s="116">
        <v>790</v>
      </c>
      <c r="AB105" s="117" t="s">
        <v>208</v>
      </c>
      <c r="AC105" s="116">
        <v>385</v>
      </c>
      <c r="AD105" s="117" t="s">
        <v>208</v>
      </c>
      <c r="AE105" s="116">
        <v>871</v>
      </c>
      <c r="AF105" s="117" t="s">
        <v>208</v>
      </c>
      <c r="AG105" s="116">
        <v>858</v>
      </c>
      <c r="AH105" s="117" t="s">
        <v>208</v>
      </c>
      <c r="AI105" s="116">
        <v>826</v>
      </c>
      <c r="AJ105" s="117" t="s">
        <v>208</v>
      </c>
      <c r="AK105" s="116">
        <v>1080</v>
      </c>
      <c r="AL105" s="117" t="s">
        <v>208</v>
      </c>
      <c r="AM105" s="116">
        <v>9240</v>
      </c>
    </row>
    <row r="106" spans="1:39" s="100" customFormat="1" ht="46.8" x14ac:dyDescent="0.3">
      <c r="A106" s="97">
        <v>96</v>
      </c>
      <c r="B106" s="98" t="s">
        <v>669</v>
      </c>
      <c r="C106" s="98" t="s">
        <v>2708</v>
      </c>
      <c r="D106" s="98" t="s">
        <v>1902</v>
      </c>
      <c r="E106" s="98" t="s">
        <v>2709</v>
      </c>
      <c r="F106" s="98" t="s">
        <v>49</v>
      </c>
      <c r="G106" s="99" t="s">
        <v>2710</v>
      </c>
      <c r="H106" s="99">
        <v>10</v>
      </c>
      <c r="I106" s="99" t="s">
        <v>2710</v>
      </c>
      <c r="J106" s="99">
        <v>2</v>
      </c>
      <c r="K106" s="98" t="s">
        <v>528</v>
      </c>
      <c r="L106" s="98" t="s">
        <v>528</v>
      </c>
      <c r="M106" s="116">
        <v>2613.4388246325416</v>
      </c>
      <c r="N106" s="116">
        <v>4787.3470572224223</v>
      </c>
      <c r="O106" s="116">
        <v>403</v>
      </c>
      <c r="P106" s="117" t="s">
        <v>208</v>
      </c>
      <c r="Q106" s="116">
        <v>330</v>
      </c>
      <c r="R106" s="117" t="s">
        <v>208</v>
      </c>
      <c r="S106" s="116">
        <v>255</v>
      </c>
      <c r="T106" s="117" t="s">
        <v>208</v>
      </c>
      <c r="U106" s="116">
        <v>228</v>
      </c>
      <c r="V106" s="117" t="s">
        <v>208</v>
      </c>
      <c r="W106" s="116">
        <v>167</v>
      </c>
      <c r="X106" s="117" t="s">
        <v>208</v>
      </c>
      <c r="Y106" s="116">
        <v>324.18181818181819</v>
      </c>
      <c r="Z106" s="117" t="s">
        <v>208</v>
      </c>
      <c r="AA106" s="116">
        <v>380</v>
      </c>
      <c r="AB106" s="117" t="s">
        <v>208</v>
      </c>
      <c r="AC106" s="116">
        <v>164</v>
      </c>
      <c r="AD106" s="117" t="s">
        <v>208</v>
      </c>
      <c r="AE106" s="116">
        <v>372</v>
      </c>
      <c r="AF106" s="117" t="s">
        <v>208</v>
      </c>
      <c r="AG106" s="116">
        <v>366</v>
      </c>
      <c r="AH106" s="117" t="s">
        <v>208</v>
      </c>
      <c r="AI106" s="116">
        <v>405</v>
      </c>
      <c r="AJ106" s="117" t="s">
        <v>208</v>
      </c>
      <c r="AK106" s="116">
        <v>496</v>
      </c>
      <c r="AL106" s="117" t="s">
        <v>208</v>
      </c>
      <c r="AM106" s="116">
        <v>3890.181818181818</v>
      </c>
    </row>
    <row r="107" spans="1:39" s="100" customFormat="1" ht="46.8" x14ac:dyDescent="0.3">
      <c r="A107" s="97">
        <v>97</v>
      </c>
      <c r="B107" s="98" t="s">
        <v>671</v>
      </c>
      <c r="C107" s="98" t="s">
        <v>2708</v>
      </c>
      <c r="D107" s="98" t="s">
        <v>1902</v>
      </c>
      <c r="E107" s="98" t="s">
        <v>2709</v>
      </c>
      <c r="F107" s="98" t="s">
        <v>49</v>
      </c>
      <c r="G107" s="99" t="s">
        <v>2710</v>
      </c>
      <c r="H107" s="99">
        <v>16</v>
      </c>
      <c r="I107" s="99" t="s">
        <v>2710</v>
      </c>
      <c r="J107" s="99">
        <v>4</v>
      </c>
      <c r="K107" s="98" t="s">
        <v>528</v>
      </c>
      <c r="L107" s="98" t="s">
        <v>528</v>
      </c>
      <c r="M107" s="116">
        <v>436.29427471281986</v>
      </c>
      <c r="N107" s="116">
        <v>807.35137656372228</v>
      </c>
      <c r="O107" s="116">
        <v>46</v>
      </c>
      <c r="P107" s="117" t="s">
        <v>208</v>
      </c>
      <c r="Q107" s="116">
        <v>56</v>
      </c>
      <c r="R107" s="117" t="s">
        <v>208</v>
      </c>
      <c r="S107" s="116">
        <v>56</v>
      </c>
      <c r="T107" s="117" t="s">
        <v>208</v>
      </c>
      <c r="U107" s="116">
        <v>50</v>
      </c>
      <c r="V107" s="117" t="s">
        <v>208</v>
      </c>
      <c r="W107" s="116">
        <v>49</v>
      </c>
      <c r="X107" s="117" t="s">
        <v>208</v>
      </c>
      <c r="Y107" s="116">
        <v>55.18181818181818</v>
      </c>
      <c r="Z107" s="117" t="s">
        <v>208</v>
      </c>
      <c r="AA107" s="116">
        <v>30</v>
      </c>
      <c r="AB107" s="117" t="s">
        <v>208</v>
      </c>
      <c r="AC107" s="116">
        <v>48</v>
      </c>
      <c r="AD107" s="117" t="s">
        <v>208</v>
      </c>
      <c r="AE107" s="116">
        <v>103</v>
      </c>
      <c r="AF107" s="117" t="s">
        <v>208</v>
      </c>
      <c r="AG107" s="116">
        <v>71</v>
      </c>
      <c r="AH107" s="117" t="s">
        <v>208</v>
      </c>
      <c r="AI107" s="116">
        <v>45</v>
      </c>
      <c r="AJ107" s="117" t="s">
        <v>208</v>
      </c>
      <c r="AK107" s="116">
        <v>53</v>
      </c>
      <c r="AL107" s="117" t="s">
        <v>208</v>
      </c>
      <c r="AM107" s="116">
        <v>662.18181818181824</v>
      </c>
    </row>
    <row r="108" spans="1:39" s="100" customFormat="1" ht="46.8" x14ac:dyDescent="0.3">
      <c r="A108" s="97">
        <v>98</v>
      </c>
      <c r="B108" s="98" t="s">
        <v>673</v>
      </c>
      <c r="C108" s="98" t="s">
        <v>2708</v>
      </c>
      <c r="D108" s="98" t="s">
        <v>1902</v>
      </c>
      <c r="E108" s="98" t="s">
        <v>2709</v>
      </c>
      <c r="F108" s="98" t="s">
        <v>49</v>
      </c>
      <c r="G108" s="99" t="s">
        <v>2710</v>
      </c>
      <c r="H108" s="99">
        <v>48</v>
      </c>
      <c r="I108" s="99" t="s">
        <v>2710</v>
      </c>
      <c r="J108" s="99">
        <v>8</v>
      </c>
      <c r="K108" s="98" t="s">
        <v>528</v>
      </c>
      <c r="L108" s="98" t="s">
        <v>528</v>
      </c>
      <c r="M108" s="116">
        <v>25162.128365507873</v>
      </c>
      <c r="N108" s="116">
        <v>42243.49744212853</v>
      </c>
      <c r="O108" s="116">
        <v>3287</v>
      </c>
      <c r="P108" s="117" t="s">
        <v>208</v>
      </c>
      <c r="Q108" s="116">
        <v>3182</v>
      </c>
      <c r="R108" s="117" t="s">
        <v>208</v>
      </c>
      <c r="S108" s="116">
        <v>2440</v>
      </c>
      <c r="T108" s="117" t="s">
        <v>208</v>
      </c>
      <c r="U108" s="116">
        <v>3017</v>
      </c>
      <c r="V108" s="117" t="s">
        <v>208</v>
      </c>
      <c r="W108" s="116">
        <v>3188</v>
      </c>
      <c r="X108" s="117" t="s">
        <v>208</v>
      </c>
      <c r="Y108" s="116">
        <v>2878.090909090909</v>
      </c>
      <c r="Z108" s="117" t="s">
        <v>208</v>
      </c>
      <c r="AA108" s="116">
        <v>3481</v>
      </c>
      <c r="AB108" s="117" t="s">
        <v>208</v>
      </c>
      <c r="AC108" s="116">
        <v>998</v>
      </c>
      <c r="AD108" s="117" t="s">
        <v>208</v>
      </c>
      <c r="AE108" s="116">
        <v>3600</v>
      </c>
      <c r="AF108" s="117" t="s">
        <v>208</v>
      </c>
      <c r="AG108" s="116">
        <v>2750</v>
      </c>
      <c r="AH108" s="117" t="s">
        <v>208</v>
      </c>
      <c r="AI108" s="116">
        <v>3071</v>
      </c>
      <c r="AJ108" s="117" t="s">
        <v>208</v>
      </c>
      <c r="AK108" s="116">
        <v>2645</v>
      </c>
      <c r="AL108" s="117" t="s">
        <v>208</v>
      </c>
      <c r="AM108" s="116">
        <v>34537.090909090912</v>
      </c>
    </row>
    <row r="109" spans="1:39" s="100" customFormat="1" ht="46.8" x14ac:dyDescent="0.3">
      <c r="A109" s="97">
        <v>99</v>
      </c>
      <c r="B109" s="98" t="s">
        <v>675</v>
      </c>
      <c r="C109" s="98" t="s">
        <v>2708</v>
      </c>
      <c r="D109" s="98" t="s">
        <v>1902</v>
      </c>
      <c r="E109" s="98" t="s">
        <v>2709</v>
      </c>
      <c r="F109" s="98" t="s">
        <v>49</v>
      </c>
      <c r="G109" s="99" t="s">
        <v>2710</v>
      </c>
      <c r="H109" s="99">
        <v>30</v>
      </c>
      <c r="I109" s="99" t="s">
        <v>2710</v>
      </c>
      <c r="J109" s="99">
        <v>6</v>
      </c>
      <c r="K109" s="98" t="s">
        <v>528</v>
      </c>
      <c r="L109" s="98" t="s">
        <v>528</v>
      </c>
      <c r="M109" s="116">
        <v>10232.158909979958</v>
      </c>
      <c r="N109" s="116">
        <v>17915.978425428919</v>
      </c>
      <c r="O109" s="116">
        <v>1510</v>
      </c>
      <c r="P109" s="117" t="s">
        <v>208</v>
      </c>
      <c r="Q109" s="116">
        <v>1474</v>
      </c>
      <c r="R109" s="117" t="s">
        <v>208</v>
      </c>
      <c r="S109" s="116">
        <v>1131</v>
      </c>
      <c r="T109" s="117" t="s">
        <v>208</v>
      </c>
      <c r="U109" s="116">
        <v>1549</v>
      </c>
      <c r="V109" s="117" t="s">
        <v>208</v>
      </c>
      <c r="W109" s="116">
        <v>1242</v>
      </c>
      <c r="X109" s="117" t="s">
        <v>208</v>
      </c>
      <c r="Y109" s="116">
        <v>1205.1818181818182</v>
      </c>
      <c r="Z109" s="117" t="s">
        <v>208</v>
      </c>
      <c r="AA109" s="116">
        <v>1171</v>
      </c>
      <c r="AB109" s="117" t="s">
        <v>208</v>
      </c>
      <c r="AC109" s="116">
        <v>532</v>
      </c>
      <c r="AD109" s="117" t="s">
        <v>208</v>
      </c>
      <c r="AE109" s="116">
        <v>1432</v>
      </c>
      <c r="AF109" s="117" t="s">
        <v>208</v>
      </c>
      <c r="AG109" s="116">
        <v>933</v>
      </c>
      <c r="AH109" s="117" t="s">
        <v>208</v>
      </c>
      <c r="AI109" s="116">
        <v>1241</v>
      </c>
      <c r="AJ109" s="117" t="s">
        <v>208</v>
      </c>
      <c r="AK109" s="116">
        <v>1042</v>
      </c>
      <c r="AL109" s="117" t="s">
        <v>208</v>
      </c>
      <c r="AM109" s="116">
        <v>14462.181818181818</v>
      </c>
    </row>
    <row r="110" spans="1:39" s="100" customFormat="1" ht="46.8" x14ac:dyDescent="0.3">
      <c r="A110" s="97">
        <v>100</v>
      </c>
      <c r="B110" s="98" t="s">
        <v>676</v>
      </c>
      <c r="C110" s="98" t="s">
        <v>2708</v>
      </c>
      <c r="D110" s="98" t="s">
        <v>1902</v>
      </c>
      <c r="E110" s="98" t="s">
        <v>2709</v>
      </c>
      <c r="F110" s="98" t="s">
        <v>49</v>
      </c>
      <c r="G110" s="99" t="s">
        <v>2710</v>
      </c>
      <c r="H110" s="99">
        <v>10</v>
      </c>
      <c r="I110" s="99" t="s">
        <v>2710</v>
      </c>
      <c r="J110" s="99">
        <v>2</v>
      </c>
      <c r="K110" s="98" t="s">
        <v>528</v>
      </c>
      <c r="L110" s="98" t="s">
        <v>528</v>
      </c>
      <c r="M110" s="116">
        <v>6105.7315070287304</v>
      </c>
      <c r="N110" s="116">
        <v>10369.360348959548</v>
      </c>
      <c r="O110" s="116">
        <v>1053</v>
      </c>
      <c r="P110" s="117" t="s">
        <v>208</v>
      </c>
      <c r="Q110" s="116">
        <v>884</v>
      </c>
      <c r="R110" s="117" t="s">
        <v>208</v>
      </c>
      <c r="S110" s="116">
        <v>607</v>
      </c>
      <c r="T110" s="117" t="s">
        <v>208</v>
      </c>
      <c r="U110" s="116">
        <v>737</v>
      </c>
      <c r="V110" s="117" t="s">
        <v>208</v>
      </c>
      <c r="W110" s="116">
        <v>617</v>
      </c>
      <c r="X110" s="117" t="s">
        <v>208</v>
      </c>
      <c r="Y110" s="116">
        <v>699.4545454545455</v>
      </c>
      <c r="Z110" s="117" t="s">
        <v>208</v>
      </c>
      <c r="AA110" s="116">
        <v>587</v>
      </c>
      <c r="AB110" s="117" t="s">
        <v>208</v>
      </c>
      <c r="AC110" s="116">
        <v>285</v>
      </c>
      <c r="AD110" s="117" t="s">
        <v>208</v>
      </c>
      <c r="AE110" s="116">
        <v>703</v>
      </c>
      <c r="AF110" s="117" t="s">
        <v>208</v>
      </c>
      <c r="AG110" s="116">
        <v>513</v>
      </c>
      <c r="AH110" s="117" t="s">
        <v>208</v>
      </c>
      <c r="AI110" s="116">
        <v>914</v>
      </c>
      <c r="AJ110" s="117" t="s">
        <v>208</v>
      </c>
      <c r="AK110" s="116">
        <v>794</v>
      </c>
      <c r="AL110" s="117" t="s">
        <v>208</v>
      </c>
      <c r="AM110" s="116">
        <v>8393.454545454546</v>
      </c>
    </row>
    <row r="111" spans="1:39" s="100" customFormat="1" ht="46.8" x14ac:dyDescent="0.3">
      <c r="A111" s="97">
        <v>101</v>
      </c>
      <c r="B111" s="98" t="s">
        <v>677</v>
      </c>
      <c r="C111" s="98" t="s">
        <v>2708</v>
      </c>
      <c r="D111" s="98" t="s">
        <v>1902</v>
      </c>
      <c r="E111" s="98" t="s">
        <v>2709</v>
      </c>
      <c r="F111" s="98" t="s">
        <v>49</v>
      </c>
      <c r="G111" s="99" t="s">
        <v>2710</v>
      </c>
      <c r="H111" s="99">
        <v>10</v>
      </c>
      <c r="I111" s="99" t="s">
        <v>2710</v>
      </c>
      <c r="J111" s="99">
        <v>2</v>
      </c>
      <c r="K111" s="98" t="s">
        <v>528</v>
      </c>
      <c r="L111" s="98" t="s">
        <v>528</v>
      </c>
      <c r="M111" s="116">
        <v>4590.7566652140677</v>
      </c>
      <c r="N111" s="116">
        <v>7923.0168613108817</v>
      </c>
      <c r="O111" s="116">
        <v>574.46816628298529</v>
      </c>
      <c r="P111" s="117" t="s">
        <v>208</v>
      </c>
      <c r="Q111" s="116">
        <v>645.12308437490196</v>
      </c>
      <c r="R111" s="117" t="s">
        <v>208</v>
      </c>
      <c r="S111" s="116">
        <v>464.9638248147196</v>
      </c>
      <c r="T111" s="117" t="s">
        <v>208</v>
      </c>
      <c r="U111" s="116">
        <v>636.50853386403844</v>
      </c>
      <c r="V111" s="117" t="s">
        <v>208</v>
      </c>
      <c r="W111" s="116">
        <v>642.99191446862062</v>
      </c>
      <c r="X111" s="117" t="s">
        <v>208</v>
      </c>
      <c r="Y111" s="116">
        <v>539.28172535803265</v>
      </c>
      <c r="Z111" s="117" t="s">
        <v>208</v>
      </c>
      <c r="AA111" s="116">
        <v>448.74230631940338</v>
      </c>
      <c r="AB111" s="117" t="s">
        <v>208</v>
      </c>
      <c r="AC111" s="116">
        <v>409.57829631699747</v>
      </c>
      <c r="AD111" s="117" t="s">
        <v>208</v>
      </c>
      <c r="AE111" s="116">
        <v>603.51119953090517</v>
      </c>
      <c r="AF111" s="117" t="s">
        <v>208</v>
      </c>
      <c r="AG111" s="116">
        <v>528.29504817784243</v>
      </c>
      <c r="AH111" s="117" t="s">
        <v>208</v>
      </c>
      <c r="AI111" s="116">
        <v>422.25735085774988</v>
      </c>
      <c r="AJ111" s="117" t="s">
        <v>208</v>
      </c>
      <c r="AK111" s="116">
        <v>555.65925393019563</v>
      </c>
      <c r="AL111" s="117" t="s">
        <v>208</v>
      </c>
      <c r="AM111" s="116">
        <v>6471.3807042963917</v>
      </c>
    </row>
    <row r="112" spans="1:39" s="100" customFormat="1" ht="46.8" x14ac:dyDescent="0.3">
      <c r="A112" s="97">
        <v>102</v>
      </c>
      <c r="B112" s="98" t="s">
        <v>678</v>
      </c>
      <c r="C112" s="98" t="s">
        <v>2708</v>
      </c>
      <c r="D112" s="98" t="s">
        <v>1902</v>
      </c>
      <c r="E112" s="98" t="s">
        <v>2709</v>
      </c>
      <c r="F112" s="98" t="s">
        <v>49</v>
      </c>
      <c r="G112" s="99" t="s">
        <v>2710</v>
      </c>
      <c r="H112" s="99">
        <v>30</v>
      </c>
      <c r="I112" s="99" t="s">
        <v>2710</v>
      </c>
      <c r="J112" s="99">
        <v>5</v>
      </c>
      <c r="K112" s="98" t="s">
        <v>528</v>
      </c>
      <c r="L112" s="98" t="s">
        <v>528</v>
      </c>
      <c r="M112" s="116">
        <v>13932.241706826711</v>
      </c>
      <c r="N112" s="116">
        <v>24076.146604201458</v>
      </c>
      <c r="O112" s="116">
        <v>1301</v>
      </c>
      <c r="P112" s="117" t="s">
        <v>208</v>
      </c>
      <c r="Q112" s="116">
        <v>2241</v>
      </c>
      <c r="R112" s="117" t="s">
        <v>208</v>
      </c>
      <c r="S112" s="116">
        <v>1508</v>
      </c>
      <c r="T112" s="117" t="s">
        <v>208</v>
      </c>
      <c r="U112" s="116">
        <v>1498</v>
      </c>
      <c r="V112" s="117" t="s">
        <v>208</v>
      </c>
      <c r="W112" s="116">
        <v>1340</v>
      </c>
      <c r="X112" s="117" t="s">
        <v>208</v>
      </c>
      <c r="Y112" s="116">
        <v>1622</v>
      </c>
      <c r="Z112" s="117" t="s">
        <v>208</v>
      </c>
      <c r="AA112" s="116">
        <v>1917</v>
      </c>
      <c r="AB112" s="117" t="s">
        <v>208</v>
      </c>
      <c r="AC112" s="116">
        <v>970</v>
      </c>
      <c r="AD112" s="117" t="s">
        <v>208</v>
      </c>
      <c r="AE112" s="116">
        <v>1769</v>
      </c>
      <c r="AF112" s="117" t="s">
        <v>208</v>
      </c>
      <c r="AG112" s="116">
        <v>1681</v>
      </c>
      <c r="AH112" s="117" t="s">
        <v>208</v>
      </c>
      <c r="AI112" s="116">
        <v>2122</v>
      </c>
      <c r="AJ112" s="117" t="s">
        <v>208</v>
      </c>
      <c r="AK112" s="116">
        <v>1495</v>
      </c>
      <c r="AL112" s="117" t="s">
        <v>208</v>
      </c>
      <c r="AM112" s="116">
        <v>19464</v>
      </c>
    </row>
    <row r="113" spans="1:39" s="100" customFormat="1" ht="46.8" x14ac:dyDescent="0.3">
      <c r="A113" s="97">
        <v>103</v>
      </c>
      <c r="B113" s="98" t="s">
        <v>679</v>
      </c>
      <c r="C113" s="98" t="s">
        <v>2708</v>
      </c>
      <c r="D113" s="98" t="s">
        <v>1902</v>
      </c>
      <c r="E113" s="98" t="s">
        <v>2709</v>
      </c>
      <c r="F113" s="98" t="s">
        <v>49</v>
      </c>
      <c r="G113" s="99" t="s">
        <v>2710</v>
      </c>
      <c r="H113" s="99">
        <v>6</v>
      </c>
      <c r="I113" s="99" t="s">
        <v>2710</v>
      </c>
      <c r="J113" s="99">
        <v>1</v>
      </c>
      <c r="K113" s="98" t="s">
        <v>528</v>
      </c>
      <c r="L113" s="98" t="s">
        <v>528</v>
      </c>
      <c r="M113" s="116">
        <v>6808.6930188550368</v>
      </c>
      <c r="N113" s="116">
        <v>11455.15898672945</v>
      </c>
      <c r="O113" s="116">
        <v>1171</v>
      </c>
      <c r="P113" s="117" t="s">
        <v>208</v>
      </c>
      <c r="Q113" s="116">
        <v>1046</v>
      </c>
      <c r="R113" s="117" t="s">
        <v>208</v>
      </c>
      <c r="S113" s="116">
        <v>625</v>
      </c>
      <c r="T113" s="117" t="s">
        <v>208</v>
      </c>
      <c r="U113" s="116">
        <v>686</v>
      </c>
      <c r="V113" s="117" t="s">
        <v>208</v>
      </c>
      <c r="W113" s="116">
        <v>415</v>
      </c>
      <c r="X113" s="117" t="s">
        <v>208</v>
      </c>
      <c r="Y113" s="116">
        <v>798.18181818181813</v>
      </c>
      <c r="Z113" s="117" t="s">
        <v>208</v>
      </c>
      <c r="AA113" s="116">
        <v>1175</v>
      </c>
      <c r="AB113" s="117" t="s">
        <v>208</v>
      </c>
      <c r="AC113" s="116">
        <v>533</v>
      </c>
      <c r="AD113" s="117" t="s">
        <v>208</v>
      </c>
      <c r="AE113" s="116">
        <v>976</v>
      </c>
      <c r="AF113" s="117" t="s">
        <v>208</v>
      </c>
      <c r="AG113" s="116">
        <v>680</v>
      </c>
      <c r="AH113" s="117" t="s">
        <v>208</v>
      </c>
      <c r="AI113" s="116">
        <v>814</v>
      </c>
      <c r="AJ113" s="117" t="s">
        <v>208</v>
      </c>
      <c r="AK113" s="116">
        <v>659</v>
      </c>
      <c r="AL113" s="117" t="s">
        <v>208</v>
      </c>
      <c r="AM113" s="116">
        <v>9578.181818181818</v>
      </c>
    </row>
    <row r="114" spans="1:39" s="100" customFormat="1" ht="46.8" x14ac:dyDescent="0.3">
      <c r="A114" s="97">
        <v>104</v>
      </c>
      <c r="B114" s="98" t="s">
        <v>680</v>
      </c>
      <c r="C114" s="98" t="s">
        <v>2708</v>
      </c>
      <c r="D114" s="98" t="s">
        <v>1902</v>
      </c>
      <c r="E114" s="98" t="s">
        <v>2709</v>
      </c>
      <c r="F114" s="98" t="s">
        <v>49</v>
      </c>
      <c r="G114" s="99" t="s">
        <v>2710</v>
      </c>
      <c r="H114" s="99">
        <v>49</v>
      </c>
      <c r="I114" s="99" t="s">
        <v>2710</v>
      </c>
      <c r="J114" s="99">
        <v>7</v>
      </c>
      <c r="K114" s="98" t="s">
        <v>528</v>
      </c>
      <c r="L114" s="98" t="s">
        <v>528</v>
      </c>
      <c r="M114" s="116">
        <v>14678.176676034167</v>
      </c>
      <c r="N114" s="116">
        <v>23297.628750866748</v>
      </c>
      <c r="O114" s="116">
        <v>2120</v>
      </c>
      <c r="P114" s="117" t="s">
        <v>208</v>
      </c>
      <c r="Q114" s="116">
        <v>2131</v>
      </c>
      <c r="R114" s="117" t="s">
        <v>208</v>
      </c>
      <c r="S114" s="116">
        <v>1580</v>
      </c>
      <c r="T114" s="117" t="s">
        <v>208</v>
      </c>
      <c r="U114" s="116">
        <v>1889</v>
      </c>
      <c r="V114" s="117" t="s">
        <v>208</v>
      </c>
      <c r="W114" s="116">
        <v>1452</v>
      </c>
      <c r="X114" s="117" t="s">
        <v>208</v>
      </c>
      <c r="Y114" s="116">
        <v>1668.3636363636363</v>
      </c>
      <c r="Z114" s="117" t="s">
        <v>208</v>
      </c>
      <c r="AA114" s="116">
        <v>1880</v>
      </c>
      <c r="AB114" s="117" t="s">
        <v>208</v>
      </c>
      <c r="AC114" s="116">
        <v>701</v>
      </c>
      <c r="AD114" s="117" t="s">
        <v>208</v>
      </c>
      <c r="AE114" s="116">
        <v>1697</v>
      </c>
      <c r="AF114" s="117" t="s">
        <v>208</v>
      </c>
      <c r="AG114" s="116">
        <v>1636</v>
      </c>
      <c r="AH114" s="117" t="s">
        <v>208</v>
      </c>
      <c r="AI114" s="116">
        <v>1655</v>
      </c>
      <c r="AJ114" s="117" t="s">
        <v>208</v>
      </c>
      <c r="AK114" s="116">
        <v>1611</v>
      </c>
      <c r="AL114" s="117" t="s">
        <v>208</v>
      </c>
      <c r="AM114" s="116">
        <v>20020.363636363636</v>
      </c>
    </row>
    <row r="115" spans="1:39" s="100" customFormat="1" ht="46.8" x14ac:dyDescent="0.3">
      <c r="A115" s="97">
        <v>105</v>
      </c>
      <c r="B115" s="98" t="s">
        <v>681</v>
      </c>
      <c r="C115" s="98" t="s">
        <v>2708</v>
      </c>
      <c r="D115" s="98" t="s">
        <v>1902</v>
      </c>
      <c r="E115" s="98" t="s">
        <v>2709</v>
      </c>
      <c r="F115" s="98" t="s">
        <v>49</v>
      </c>
      <c r="G115" s="99" t="s">
        <v>2710</v>
      </c>
      <c r="H115" s="99">
        <v>1</v>
      </c>
      <c r="I115" s="99" t="s">
        <v>2710</v>
      </c>
      <c r="J115" s="99">
        <v>0</v>
      </c>
      <c r="K115" s="98" t="s">
        <v>528</v>
      </c>
      <c r="L115" s="98" t="s">
        <v>528</v>
      </c>
      <c r="M115" s="116">
        <v>5604.9687719370741</v>
      </c>
      <c r="N115" s="116">
        <v>9922.2261501328867</v>
      </c>
      <c r="O115" s="116">
        <v>627.89084599244438</v>
      </c>
      <c r="P115" s="117" t="s">
        <v>208</v>
      </c>
      <c r="Q115" s="116">
        <v>791.44712111042406</v>
      </c>
      <c r="R115" s="117" t="s">
        <v>208</v>
      </c>
      <c r="S115" s="116">
        <v>517.76189212432564</v>
      </c>
      <c r="T115" s="117" t="s">
        <v>208</v>
      </c>
      <c r="U115" s="116">
        <v>642.00753761272415</v>
      </c>
      <c r="V115" s="117" t="s">
        <v>208</v>
      </c>
      <c r="W115" s="116">
        <v>763.86355468932629</v>
      </c>
      <c r="X115" s="117" t="s">
        <v>208</v>
      </c>
      <c r="Y115" s="116">
        <v>677.25451233567242</v>
      </c>
      <c r="Z115" s="117" t="s">
        <v>208</v>
      </c>
      <c r="AA115" s="116">
        <v>657.31035470377583</v>
      </c>
      <c r="AB115" s="117" t="s">
        <v>208</v>
      </c>
      <c r="AC115" s="116">
        <v>480.33737270956499</v>
      </c>
      <c r="AD115" s="117" t="s">
        <v>208</v>
      </c>
      <c r="AE115" s="116">
        <v>743.40455483507401</v>
      </c>
      <c r="AF115" s="117" t="s">
        <v>208</v>
      </c>
      <c r="AG115" s="116">
        <v>694.66751148337869</v>
      </c>
      <c r="AH115" s="117" t="s">
        <v>208</v>
      </c>
      <c r="AI115" s="116">
        <v>698.94954481552236</v>
      </c>
      <c r="AJ115" s="117" t="s">
        <v>208</v>
      </c>
      <c r="AK115" s="116">
        <v>832.15934561583708</v>
      </c>
      <c r="AL115" s="117" t="s">
        <v>208</v>
      </c>
      <c r="AM115" s="116">
        <v>8127.0541480280699</v>
      </c>
    </row>
    <row r="116" spans="1:39" s="100" customFormat="1" ht="46.8" x14ac:dyDescent="0.3">
      <c r="A116" s="97">
        <v>106</v>
      </c>
      <c r="B116" s="98" t="s">
        <v>683</v>
      </c>
      <c r="C116" s="98" t="s">
        <v>2708</v>
      </c>
      <c r="D116" s="98" t="s">
        <v>1902</v>
      </c>
      <c r="E116" s="98" t="s">
        <v>2709</v>
      </c>
      <c r="F116" s="98" t="s">
        <v>49</v>
      </c>
      <c r="G116" s="99" t="s">
        <v>2710</v>
      </c>
      <c r="H116" s="99">
        <v>60</v>
      </c>
      <c r="I116" s="99" t="s">
        <v>2710</v>
      </c>
      <c r="J116" s="99">
        <v>10</v>
      </c>
      <c r="K116" s="98" t="s">
        <v>528</v>
      </c>
      <c r="L116" s="98" t="s">
        <v>528</v>
      </c>
      <c r="M116" s="116">
        <v>7473.7387478841374</v>
      </c>
      <c r="N116" s="116">
        <v>12681.860736722054</v>
      </c>
      <c r="O116" s="116">
        <v>984</v>
      </c>
      <c r="P116" s="117" t="s">
        <v>208</v>
      </c>
      <c r="Q116" s="116">
        <v>1136</v>
      </c>
      <c r="R116" s="117" t="s">
        <v>208</v>
      </c>
      <c r="S116" s="116">
        <v>1042</v>
      </c>
      <c r="T116" s="117" t="s">
        <v>208</v>
      </c>
      <c r="U116" s="116">
        <v>841</v>
      </c>
      <c r="V116" s="117" t="s">
        <v>208</v>
      </c>
      <c r="W116" s="116">
        <v>831</v>
      </c>
      <c r="X116" s="117" t="s">
        <v>208</v>
      </c>
      <c r="Y116" s="116">
        <v>885</v>
      </c>
      <c r="Z116" s="117" t="s">
        <v>208</v>
      </c>
      <c r="AA116" s="116">
        <v>935</v>
      </c>
      <c r="AB116" s="117" t="s">
        <v>208</v>
      </c>
      <c r="AC116" s="116">
        <v>703</v>
      </c>
      <c r="AD116" s="117" t="s">
        <v>208</v>
      </c>
      <c r="AE116" s="116">
        <v>903</v>
      </c>
      <c r="AF116" s="117" t="s">
        <v>208</v>
      </c>
      <c r="AG116" s="116">
        <v>504</v>
      </c>
      <c r="AH116" s="117" t="s">
        <v>208</v>
      </c>
      <c r="AI116" s="116">
        <v>1003</v>
      </c>
      <c r="AJ116" s="117" t="s">
        <v>208</v>
      </c>
      <c r="AK116" s="116">
        <v>853</v>
      </c>
      <c r="AL116" s="117" t="s">
        <v>208</v>
      </c>
      <c r="AM116" s="116">
        <v>10620</v>
      </c>
    </row>
    <row r="117" spans="1:39" s="100" customFormat="1" ht="46.8" x14ac:dyDescent="0.3">
      <c r="A117" s="97">
        <v>107</v>
      </c>
      <c r="B117" s="98" t="s">
        <v>684</v>
      </c>
      <c r="C117" s="98" t="s">
        <v>2708</v>
      </c>
      <c r="D117" s="98" t="s">
        <v>1902</v>
      </c>
      <c r="E117" s="98" t="s">
        <v>2709</v>
      </c>
      <c r="F117" s="98" t="s">
        <v>49</v>
      </c>
      <c r="G117" s="99" t="s">
        <v>2710</v>
      </c>
      <c r="H117" s="99">
        <v>12</v>
      </c>
      <c r="I117" s="99" t="s">
        <v>2710</v>
      </c>
      <c r="J117" s="99">
        <v>2</v>
      </c>
      <c r="K117" s="98" t="s">
        <v>528</v>
      </c>
      <c r="L117" s="98" t="s">
        <v>528</v>
      </c>
      <c r="M117" s="116">
        <v>2784.2726304448443</v>
      </c>
      <c r="N117" s="116">
        <v>4792.8209213950495</v>
      </c>
      <c r="O117" s="116">
        <v>521</v>
      </c>
      <c r="P117" s="117" t="s">
        <v>208</v>
      </c>
      <c r="Q117" s="116">
        <v>529</v>
      </c>
      <c r="R117" s="117" t="s">
        <v>208</v>
      </c>
      <c r="S117" s="116">
        <v>365</v>
      </c>
      <c r="T117" s="117" t="s">
        <v>208</v>
      </c>
      <c r="U117" s="116">
        <v>234</v>
      </c>
      <c r="V117" s="117" t="s">
        <v>208</v>
      </c>
      <c r="W117" s="116">
        <v>188</v>
      </c>
      <c r="X117" s="117" t="s">
        <v>208</v>
      </c>
      <c r="Y117" s="116">
        <v>323.90909090909093</v>
      </c>
      <c r="Z117" s="117" t="s">
        <v>208</v>
      </c>
      <c r="AA117" s="116">
        <v>256</v>
      </c>
      <c r="AB117" s="117" t="s">
        <v>208</v>
      </c>
      <c r="AC117" s="116">
        <v>214</v>
      </c>
      <c r="AD117" s="117" t="s">
        <v>208</v>
      </c>
      <c r="AE117" s="116">
        <v>312</v>
      </c>
      <c r="AF117" s="117" t="s">
        <v>208</v>
      </c>
      <c r="AG117" s="116">
        <v>184</v>
      </c>
      <c r="AH117" s="117" t="s">
        <v>208</v>
      </c>
      <c r="AI117" s="116">
        <v>385</v>
      </c>
      <c r="AJ117" s="117" t="s">
        <v>208</v>
      </c>
      <c r="AK117" s="116">
        <v>375</v>
      </c>
      <c r="AL117" s="117" t="s">
        <v>208</v>
      </c>
      <c r="AM117" s="116">
        <v>3886.909090909091</v>
      </c>
    </row>
    <row r="118" spans="1:39" s="100" customFormat="1" ht="46.8" x14ac:dyDescent="0.3">
      <c r="A118" s="97">
        <v>108</v>
      </c>
      <c r="B118" s="98" t="s">
        <v>685</v>
      </c>
      <c r="C118" s="98" t="s">
        <v>2708</v>
      </c>
      <c r="D118" s="98" t="s">
        <v>1902</v>
      </c>
      <c r="E118" s="98" t="s">
        <v>2709</v>
      </c>
      <c r="F118" s="98" t="s">
        <v>49</v>
      </c>
      <c r="G118" s="99" t="s">
        <v>2710</v>
      </c>
      <c r="H118" s="99">
        <v>30</v>
      </c>
      <c r="I118" s="99" t="s">
        <v>2710</v>
      </c>
      <c r="J118" s="99">
        <v>5</v>
      </c>
      <c r="K118" s="98" t="s">
        <v>528</v>
      </c>
      <c r="L118" s="98" t="s">
        <v>528</v>
      </c>
      <c r="M118" s="116">
        <v>3458.0632170332296</v>
      </c>
      <c r="N118" s="116">
        <v>6604.9822412325839</v>
      </c>
      <c r="O118" s="116">
        <v>571</v>
      </c>
      <c r="P118" s="117" t="s">
        <v>208</v>
      </c>
      <c r="Q118" s="116">
        <v>603</v>
      </c>
      <c r="R118" s="117" t="s">
        <v>208</v>
      </c>
      <c r="S118" s="116">
        <v>406</v>
      </c>
      <c r="T118" s="117" t="s">
        <v>208</v>
      </c>
      <c r="U118" s="116">
        <v>461</v>
      </c>
      <c r="V118" s="117" t="s">
        <v>208</v>
      </c>
      <c r="W118" s="116">
        <v>376</v>
      </c>
      <c r="X118" s="117" t="s">
        <v>208</v>
      </c>
      <c r="Y118" s="116">
        <v>441.27272727272725</v>
      </c>
      <c r="Z118" s="117" t="s">
        <v>208</v>
      </c>
      <c r="AA118" s="116">
        <v>400</v>
      </c>
      <c r="AB118" s="117" t="s">
        <v>208</v>
      </c>
      <c r="AC118" s="116">
        <v>298</v>
      </c>
      <c r="AD118" s="117" t="s">
        <v>208</v>
      </c>
      <c r="AE118" s="116">
        <v>536</v>
      </c>
      <c r="AF118" s="117" t="s">
        <v>208</v>
      </c>
      <c r="AG118" s="116">
        <v>271</v>
      </c>
      <c r="AH118" s="117" t="s">
        <v>208</v>
      </c>
      <c r="AI118" s="116">
        <v>571</v>
      </c>
      <c r="AJ118" s="117" t="s">
        <v>208</v>
      </c>
      <c r="AK118" s="116">
        <v>361</v>
      </c>
      <c r="AL118" s="117" t="s">
        <v>208</v>
      </c>
      <c r="AM118" s="116">
        <v>5295.272727272727</v>
      </c>
    </row>
    <row r="119" spans="1:39" s="100" customFormat="1" ht="46.8" x14ac:dyDescent="0.3">
      <c r="A119" s="97">
        <v>109</v>
      </c>
      <c r="B119" s="98" t="s">
        <v>686</v>
      </c>
      <c r="C119" s="98" t="s">
        <v>2708</v>
      </c>
      <c r="D119" s="98" t="s">
        <v>1902</v>
      </c>
      <c r="E119" s="98" t="s">
        <v>2709</v>
      </c>
      <c r="F119" s="98" t="s">
        <v>49</v>
      </c>
      <c r="G119" s="99" t="s">
        <v>2710</v>
      </c>
      <c r="H119" s="99">
        <v>25</v>
      </c>
      <c r="I119" s="99" t="s">
        <v>2710</v>
      </c>
      <c r="J119" s="99">
        <v>5</v>
      </c>
      <c r="K119" s="98" t="s">
        <v>528</v>
      </c>
      <c r="L119" s="98" t="s">
        <v>528</v>
      </c>
      <c r="M119" s="116">
        <v>8649.7071784953696</v>
      </c>
      <c r="N119" s="116">
        <v>14283.880232637281</v>
      </c>
      <c r="O119" s="116">
        <v>1224</v>
      </c>
      <c r="P119" s="117" t="s">
        <v>208</v>
      </c>
      <c r="Q119" s="116">
        <v>1329</v>
      </c>
      <c r="R119" s="117" t="s">
        <v>208</v>
      </c>
      <c r="S119" s="116">
        <v>924</v>
      </c>
      <c r="T119" s="117" t="s">
        <v>208</v>
      </c>
      <c r="U119" s="116">
        <v>947</v>
      </c>
      <c r="V119" s="117" t="s">
        <v>208</v>
      </c>
      <c r="W119" s="116">
        <v>657</v>
      </c>
      <c r="X119" s="117" t="s">
        <v>208</v>
      </c>
      <c r="Y119" s="116">
        <v>974.36363636363637</v>
      </c>
      <c r="Z119" s="117" t="s">
        <v>208</v>
      </c>
      <c r="AA119" s="116">
        <v>1375</v>
      </c>
      <c r="AB119" s="117" t="s">
        <v>208</v>
      </c>
      <c r="AC119" s="116">
        <v>784</v>
      </c>
      <c r="AD119" s="117" t="s">
        <v>208</v>
      </c>
      <c r="AE119" s="116">
        <v>1210</v>
      </c>
      <c r="AF119" s="117" t="s">
        <v>208</v>
      </c>
      <c r="AG119" s="116">
        <v>490</v>
      </c>
      <c r="AH119" s="117" t="s">
        <v>208</v>
      </c>
      <c r="AI119" s="116">
        <v>1067</v>
      </c>
      <c r="AJ119" s="117" t="s">
        <v>208</v>
      </c>
      <c r="AK119" s="116">
        <v>711</v>
      </c>
      <c r="AL119" s="117" t="s">
        <v>208</v>
      </c>
      <c r="AM119" s="116">
        <v>11692.363636363636</v>
      </c>
    </row>
    <row r="120" spans="1:39" s="100" customFormat="1" ht="46.8" x14ac:dyDescent="0.3">
      <c r="A120" s="97">
        <v>110</v>
      </c>
      <c r="B120" s="98" t="s">
        <v>687</v>
      </c>
      <c r="C120" s="98" t="s">
        <v>2708</v>
      </c>
      <c r="D120" s="98" t="s">
        <v>1902</v>
      </c>
      <c r="E120" s="98" t="s">
        <v>2709</v>
      </c>
      <c r="F120" s="98" t="s">
        <v>49</v>
      </c>
      <c r="G120" s="99" t="s">
        <v>2710</v>
      </c>
      <c r="H120" s="99">
        <v>25</v>
      </c>
      <c r="I120" s="99" t="s">
        <v>2710</v>
      </c>
      <c r="J120" s="99">
        <v>5</v>
      </c>
      <c r="K120" s="98" t="s">
        <v>528</v>
      </c>
      <c r="L120" s="98" t="s">
        <v>528</v>
      </c>
      <c r="M120" s="116">
        <v>3949.8108194170486</v>
      </c>
      <c r="N120" s="116">
        <v>6364.0282967919375</v>
      </c>
      <c r="O120" s="116">
        <v>538</v>
      </c>
      <c r="P120" s="117" t="s">
        <v>208</v>
      </c>
      <c r="Q120" s="116">
        <v>552</v>
      </c>
      <c r="R120" s="117" t="s">
        <v>208</v>
      </c>
      <c r="S120" s="116">
        <v>429</v>
      </c>
      <c r="T120" s="117" t="s">
        <v>208</v>
      </c>
      <c r="U120" s="116">
        <v>423</v>
      </c>
      <c r="V120" s="117" t="s">
        <v>208</v>
      </c>
      <c r="W120" s="116">
        <v>373</v>
      </c>
      <c r="X120" s="117" t="s">
        <v>208</v>
      </c>
      <c r="Y120" s="116">
        <v>443.81818181818181</v>
      </c>
      <c r="Z120" s="117" t="s">
        <v>208</v>
      </c>
      <c r="AA120" s="116">
        <v>451</v>
      </c>
      <c r="AB120" s="117" t="s">
        <v>208</v>
      </c>
      <c r="AC120" s="116">
        <v>239</v>
      </c>
      <c r="AD120" s="117" t="s">
        <v>208</v>
      </c>
      <c r="AE120" s="116">
        <v>389</v>
      </c>
      <c r="AF120" s="117" t="s">
        <v>208</v>
      </c>
      <c r="AG120" s="116">
        <v>527</v>
      </c>
      <c r="AH120" s="117" t="s">
        <v>208</v>
      </c>
      <c r="AI120" s="116">
        <v>545</v>
      </c>
      <c r="AJ120" s="117" t="s">
        <v>208</v>
      </c>
      <c r="AK120" s="116">
        <v>416</v>
      </c>
      <c r="AL120" s="117" t="s">
        <v>208</v>
      </c>
      <c r="AM120" s="116">
        <v>5325.818181818182</v>
      </c>
    </row>
    <row r="121" spans="1:39" s="100" customFormat="1" ht="46.8" x14ac:dyDescent="0.3">
      <c r="A121" s="97">
        <v>111</v>
      </c>
      <c r="B121" s="98" t="s">
        <v>688</v>
      </c>
      <c r="C121" s="98" t="s">
        <v>2708</v>
      </c>
      <c r="D121" s="98" t="s">
        <v>1902</v>
      </c>
      <c r="E121" s="98" t="s">
        <v>2709</v>
      </c>
      <c r="F121" s="98" t="s">
        <v>49</v>
      </c>
      <c r="G121" s="99" t="s">
        <v>2710</v>
      </c>
      <c r="H121" s="99">
        <v>18</v>
      </c>
      <c r="I121" s="99" t="s">
        <v>2710</v>
      </c>
      <c r="J121" s="99">
        <v>3</v>
      </c>
      <c r="K121" s="98" t="s">
        <v>528</v>
      </c>
      <c r="L121" s="98" t="s">
        <v>528</v>
      </c>
      <c r="M121" s="116">
        <v>3231.9163445267891</v>
      </c>
      <c r="N121" s="116">
        <v>5734.3884793954976</v>
      </c>
      <c r="O121" s="116">
        <v>374</v>
      </c>
      <c r="P121" s="117" t="s">
        <v>208</v>
      </c>
      <c r="Q121" s="116">
        <v>429</v>
      </c>
      <c r="R121" s="117" t="s">
        <v>208</v>
      </c>
      <c r="S121" s="116">
        <v>334</v>
      </c>
      <c r="T121" s="117" t="s">
        <v>208</v>
      </c>
      <c r="U121" s="116">
        <v>316</v>
      </c>
      <c r="V121" s="117" t="s">
        <v>208</v>
      </c>
      <c r="W121" s="116">
        <v>466</v>
      </c>
      <c r="X121" s="117" t="s">
        <v>208</v>
      </c>
      <c r="Y121" s="116">
        <v>392</v>
      </c>
      <c r="Z121" s="117" t="s">
        <v>208</v>
      </c>
      <c r="AA121" s="116">
        <v>451</v>
      </c>
      <c r="AB121" s="117" t="s">
        <v>208</v>
      </c>
      <c r="AC121" s="116">
        <v>259</v>
      </c>
      <c r="AD121" s="117" t="s">
        <v>208</v>
      </c>
      <c r="AE121" s="116">
        <v>571</v>
      </c>
      <c r="AF121" s="117" t="s">
        <v>208</v>
      </c>
      <c r="AG121" s="116">
        <v>182</v>
      </c>
      <c r="AH121" s="117" t="s">
        <v>208</v>
      </c>
      <c r="AI121" s="116">
        <v>627</v>
      </c>
      <c r="AJ121" s="117" t="s">
        <v>208</v>
      </c>
      <c r="AK121" s="116">
        <v>303</v>
      </c>
      <c r="AL121" s="117" t="s">
        <v>208</v>
      </c>
      <c r="AM121" s="116">
        <v>4704</v>
      </c>
    </row>
    <row r="122" spans="1:39" s="100" customFormat="1" ht="46.8" x14ac:dyDescent="0.3">
      <c r="A122" s="97">
        <v>112</v>
      </c>
      <c r="B122" s="98" t="s">
        <v>689</v>
      </c>
      <c r="C122" s="98" t="s">
        <v>2708</v>
      </c>
      <c r="D122" s="98" t="s">
        <v>1902</v>
      </c>
      <c r="E122" s="98" t="s">
        <v>2709</v>
      </c>
      <c r="F122" s="98" t="s">
        <v>49</v>
      </c>
      <c r="G122" s="99" t="s">
        <v>2710</v>
      </c>
      <c r="H122" s="99">
        <v>15</v>
      </c>
      <c r="I122" s="99" t="s">
        <v>2710</v>
      </c>
      <c r="J122" s="99">
        <v>3</v>
      </c>
      <c r="K122" s="98" t="s">
        <v>528</v>
      </c>
      <c r="L122" s="98" t="s">
        <v>528</v>
      </c>
      <c r="M122" s="116">
        <v>1730.526710174652</v>
      </c>
      <c r="N122" s="116">
        <v>3020.7181693294283</v>
      </c>
      <c r="O122" s="116">
        <v>332</v>
      </c>
      <c r="P122" s="117" t="s">
        <v>208</v>
      </c>
      <c r="Q122" s="116">
        <v>358</v>
      </c>
      <c r="R122" s="117" t="s">
        <v>208</v>
      </c>
      <c r="S122" s="116">
        <v>230</v>
      </c>
      <c r="T122" s="117" t="s">
        <v>208</v>
      </c>
      <c r="U122" s="116">
        <v>180</v>
      </c>
      <c r="V122" s="117" t="s">
        <v>208</v>
      </c>
      <c r="W122" s="116">
        <v>188</v>
      </c>
      <c r="X122" s="117" t="s">
        <v>208</v>
      </c>
      <c r="Y122" s="116">
        <v>218.09090909090909</v>
      </c>
      <c r="Z122" s="117" t="s">
        <v>208</v>
      </c>
      <c r="AA122" s="116">
        <v>0</v>
      </c>
      <c r="AB122" s="117" t="s">
        <v>208</v>
      </c>
      <c r="AC122" s="116">
        <v>131</v>
      </c>
      <c r="AD122" s="117" t="s">
        <v>208</v>
      </c>
      <c r="AE122" s="116">
        <v>237</v>
      </c>
      <c r="AF122" s="117" t="s">
        <v>208</v>
      </c>
      <c r="AG122" s="116">
        <v>237</v>
      </c>
      <c r="AH122" s="117" t="s">
        <v>208</v>
      </c>
      <c r="AI122" s="116">
        <v>241</v>
      </c>
      <c r="AJ122" s="117" t="s">
        <v>208</v>
      </c>
      <c r="AK122" s="116">
        <v>265</v>
      </c>
      <c r="AL122" s="117" t="s">
        <v>208</v>
      </c>
      <c r="AM122" s="116">
        <v>2617.090909090909</v>
      </c>
    </row>
    <row r="123" spans="1:39" s="100" customFormat="1" ht="46.8" x14ac:dyDescent="0.3">
      <c r="A123" s="97">
        <v>113</v>
      </c>
      <c r="B123" s="98" t="s">
        <v>690</v>
      </c>
      <c r="C123" s="98" t="s">
        <v>2708</v>
      </c>
      <c r="D123" s="98" t="s">
        <v>1902</v>
      </c>
      <c r="E123" s="98" t="s">
        <v>2709</v>
      </c>
      <c r="F123" s="98" t="s">
        <v>49</v>
      </c>
      <c r="G123" s="99" t="s">
        <v>2710</v>
      </c>
      <c r="H123" s="99">
        <v>15</v>
      </c>
      <c r="I123" s="99" t="s">
        <v>2710</v>
      </c>
      <c r="J123" s="99">
        <v>3</v>
      </c>
      <c r="K123" s="98" t="s">
        <v>528</v>
      </c>
      <c r="L123" s="98" t="s">
        <v>528</v>
      </c>
      <c r="M123" s="116">
        <v>7752.0317485764763</v>
      </c>
      <c r="N123" s="116">
        <v>13979.283478135745</v>
      </c>
      <c r="O123" s="116">
        <v>1132</v>
      </c>
      <c r="P123" s="117" t="s">
        <v>208</v>
      </c>
      <c r="Q123" s="116">
        <v>1111</v>
      </c>
      <c r="R123" s="117" t="s">
        <v>208</v>
      </c>
      <c r="S123" s="116">
        <v>1013</v>
      </c>
      <c r="T123" s="117" t="s">
        <v>208</v>
      </c>
      <c r="U123" s="116">
        <v>749</v>
      </c>
      <c r="V123" s="117" t="s">
        <v>208</v>
      </c>
      <c r="W123" s="116">
        <v>746</v>
      </c>
      <c r="X123" s="117" t="s">
        <v>208</v>
      </c>
      <c r="Y123" s="116">
        <v>947.27272727272725</v>
      </c>
      <c r="Z123" s="117" t="s">
        <v>208</v>
      </c>
      <c r="AA123" s="116">
        <v>1064</v>
      </c>
      <c r="AB123" s="117" t="s">
        <v>208</v>
      </c>
      <c r="AC123" s="116">
        <v>678</v>
      </c>
      <c r="AD123" s="117" t="s">
        <v>208</v>
      </c>
      <c r="AE123" s="116">
        <v>962</v>
      </c>
      <c r="AF123" s="117" t="s">
        <v>208</v>
      </c>
      <c r="AG123" s="116">
        <v>790</v>
      </c>
      <c r="AH123" s="117" t="s">
        <v>208</v>
      </c>
      <c r="AI123" s="116">
        <v>1174</v>
      </c>
      <c r="AJ123" s="117" t="s">
        <v>208</v>
      </c>
      <c r="AK123" s="116">
        <v>1001</v>
      </c>
      <c r="AL123" s="117" t="s">
        <v>208</v>
      </c>
      <c r="AM123" s="116">
        <v>11367.272727272728</v>
      </c>
    </row>
    <row r="124" spans="1:39" s="100" customFormat="1" ht="46.8" x14ac:dyDescent="0.3">
      <c r="A124" s="97">
        <v>114</v>
      </c>
      <c r="B124" s="98" t="s">
        <v>691</v>
      </c>
      <c r="C124" s="98" t="s">
        <v>2708</v>
      </c>
      <c r="D124" s="98" t="s">
        <v>1902</v>
      </c>
      <c r="E124" s="98" t="s">
        <v>2709</v>
      </c>
      <c r="F124" s="98" t="s">
        <v>49</v>
      </c>
      <c r="G124" s="99" t="s">
        <v>2710</v>
      </c>
      <c r="H124" s="99">
        <v>5</v>
      </c>
      <c r="I124" s="99" t="s">
        <v>2710</v>
      </c>
      <c r="J124" s="99">
        <v>1</v>
      </c>
      <c r="K124" s="98" t="s">
        <v>528</v>
      </c>
      <c r="L124" s="98" t="s">
        <v>528</v>
      </c>
      <c r="M124" s="116">
        <v>5216.4380033205143</v>
      </c>
      <c r="N124" s="116">
        <v>8375.2726409955631</v>
      </c>
      <c r="O124" s="116">
        <v>719.38970008924821</v>
      </c>
      <c r="P124" s="117" t="s">
        <v>208</v>
      </c>
      <c r="Q124" s="116">
        <v>682.68304463056347</v>
      </c>
      <c r="R124" s="117" t="s">
        <v>208</v>
      </c>
      <c r="S124" s="116">
        <v>722.98305234127292</v>
      </c>
      <c r="T124" s="117" t="s">
        <v>208</v>
      </c>
      <c r="U124" s="116">
        <v>619.97145494385404</v>
      </c>
      <c r="V124" s="117" t="s">
        <v>208</v>
      </c>
      <c r="W124" s="116">
        <v>515.64984937675263</v>
      </c>
      <c r="X124" s="117" t="s">
        <v>208</v>
      </c>
      <c r="Y124" s="116">
        <v>581.22526620783958</v>
      </c>
      <c r="Z124" s="117" t="s">
        <v>208</v>
      </c>
      <c r="AA124" s="116">
        <v>417.55988098166114</v>
      </c>
      <c r="AB124" s="117" t="s">
        <v>208</v>
      </c>
      <c r="AC124" s="116">
        <v>590.84246983752189</v>
      </c>
      <c r="AD124" s="117" t="s">
        <v>208</v>
      </c>
      <c r="AE124" s="116">
        <v>588.23395849722806</v>
      </c>
      <c r="AF124" s="117" t="s">
        <v>208</v>
      </c>
      <c r="AG124" s="116">
        <v>411.36328282489688</v>
      </c>
      <c r="AH124" s="117" t="s">
        <v>208</v>
      </c>
      <c r="AI124" s="116">
        <v>535.97624732029908</v>
      </c>
      <c r="AJ124" s="117" t="s">
        <v>208</v>
      </c>
      <c r="AK124" s="116">
        <v>588.82498744293832</v>
      </c>
      <c r="AL124" s="117" t="s">
        <v>208</v>
      </c>
      <c r="AM124" s="116">
        <v>6974.7031944940754</v>
      </c>
    </row>
    <row r="125" spans="1:39" s="100" customFormat="1" ht="46.8" x14ac:dyDescent="0.3">
      <c r="A125" s="97">
        <v>115</v>
      </c>
      <c r="B125" s="98" t="s">
        <v>692</v>
      </c>
      <c r="C125" s="98" t="s">
        <v>2708</v>
      </c>
      <c r="D125" s="98" t="s">
        <v>1902</v>
      </c>
      <c r="E125" s="98" t="s">
        <v>2709</v>
      </c>
      <c r="F125" s="98" t="s">
        <v>49</v>
      </c>
      <c r="G125" s="99" t="s">
        <v>2710</v>
      </c>
      <c r="H125" s="99">
        <v>12</v>
      </c>
      <c r="I125" s="99" t="s">
        <v>2710</v>
      </c>
      <c r="J125" s="99">
        <v>2</v>
      </c>
      <c r="K125" s="98" t="s">
        <v>528</v>
      </c>
      <c r="L125" s="98" t="s">
        <v>528</v>
      </c>
      <c r="M125" s="116">
        <v>8104.5743374870544</v>
      </c>
      <c r="N125" s="116">
        <v>13734.272962332065</v>
      </c>
      <c r="O125" s="116">
        <v>850</v>
      </c>
      <c r="P125" s="117" t="s">
        <v>208</v>
      </c>
      <c r="Q125" s="116">
        <v>814</v>
      </c>
      <c r="R125" s="117" t="s">
        <v>208</v>
      </c>
      <c r="S125" s="116">
        <v>971</v>
      </c>
      <c r="T125" s="117" t="s">
        <v>208</v>
      </c>
      <c r="U125" s="116">
        <v>890</v>
      </c>
      <c r="V125" s="117" t="s">
        <v>208</v>
      </c>
      <c r="W125" s="116">
        <v>713</v>
      </c>
      <c r="X125" s="117" t="s">
        <v>208</v>
      </c>
      <c r="Y125" s="116">
        <v>971.81818181818187</v>
      </c>
      <c r="Z125" s="117" t="s">
        <v>208</v>
      </c>
      <c r="AA125" s="116">
        <v>1727</v>
      </c>
      <c r="AB125" s="117" t="s">
        <v>208</v>
      </c>
      <c r="AC125" s="116">
        <v>986</v>
      </c>
      <c r="AD125" s="117" t="s">
        <v>208</v>
      </c>
      <c r="AE125" s="116">
        <v>1414</v>
      </c>
      <c r="AF125" s="117" t="s">
        <v>208</v>
      </c>
      <c r="AG125" s="116">
        <v>665</v>
      </c>
      <c r="AH125" s="117" t="s">
        <v>208</v>
      </c>
      <c r="AI125" s="116">
        <v>1070</v>
      </c>
      <c r="AJ125" s="117" t="s">
        <v>208</v>
      </c>
      <c r="AK125" s="116">
        <v>590</v>
      </c>
      <c r="AL125" s="117" t="s">
        <v>208</v>
      </c>
      <c r="AM125" s="116">
        <v>11661.818181818182</v>
      </c>
    </row>
    <row r="126" spans="1:39" s="100" customFormat="1" ht="46.8" x14ac:dyDescent="0.3">
      <c r="A126" s="97">
        <v>116</v>
      </c>
      <c r="B126" s="98" t="s">
        <v>693</v>
      </c>
      <c r="C126" s="98" t="s">
        <v>2708</v>
      </c>
      <c r="D126" s="98" t="s">
        <v>1902</v>
      </c>
      <c r="E126" s="98" t="s">
        <v>2709</v>
      </c>
      <c r="F126" s="98" t="s">
        <v>49</v>
      </c>
      <c r="G126" s="99" t="s">
        <v>2710</v>
      </c>
      <c r="H126" s="99">
        <v>36</v>
      </c>
      <c r="I126" s="99" t="s">
        <v>2710</v>
      </c>
      <c r="J126" s="99">
        <v>6</v>
      </c>
      <c r="K126" s="98" t="s">
        <v>528</v>
      </c>
      <c r="L126" s="98" t="s">
        <v>528</v>
      </c>
      <c r="M126" s="116">
        <v>22908.303559941854</v>
      </c>
      <c r="N126" s="116">
        <v>37155.140536989144</v>
      </c>
      <c r="O126" s="116">
        <v>2415</v>
      </c>
      <c r="P126" s="117" t="s">
        <v>208</v>
      </c>
      <c r="Q126" s="116">
        <v>2933</v>
      </c>
      <c r="R126" s="117" t="s">
        <v>208</v>
      </c>
      <c r="S126" s="116">
        <v>2238</v>
      </c>
      <c r="T126" s="117" t="s">
        <v>208</v>
      </c>
      <c r="U126" s="116">
        <v>2442</v>
      </c>
      <c r="V126" s="117" t="s">
        <v>208</v>
      </c>
      <c r="W126" s="116">
        <v>3108</v>
      </c>
      <c r="X126" s="117" t="s">
        <v>208</v>
      </c>
      <c r="Y126" s="116">
        <v>2656.090909090909</v>
      </c>
      <c r="Z126" s="117" t="s">
        <v>208</v>
      </c>
      <c r="AA126" s="116">
        <v>589</v>
      </c>
      <c r="AB126" s="117" t="s">
        <v>208</v>
      </c>
      <c r="AC126" s="116">
        <v>850</v>
      </c>
      <c r="AD126" s="117" t="s">
        <v>208</v>
      </c>
      <c r="AE126" s="116">
        <v>1004</v>
      </c>
      <c r="AF126" s="117" t="s">
        <v>208</v>
      </c>
      <c r="AG126" s="116">
        <v>9048</v>
      </c>
      <c r="AH126" s="117" t="s">
        <v>208</v>
      </c>
      <c r="AI126" s="116">
        <v>2619</v>
      </c>
      <c r="AJ126" s="117" t="s">
        <v>208</v>
      </c>
      <c r="AK126" s="116">
        <v>1971</v>
      </c>
      <c r="AL126" s="117" t="s">
        <v>208</v>
      </c>
      <c r="AM126" s="116">
        <v>31873.090909090908</v>
      </c>
    </row>
    <row r="127" spans="1:39" s="100" customFormat="1" ht="46.8" x14ac:dyDescent="0.3">
      <c r="A127" s="97">
        <v>117</v>
      </c>
      <c r="B127" s="98" t="s">
        <v>694</v>
      </c>
      <c r="C127" s="98" t="s">
        <v>2708</v>
      </c>
      <c r="D127" s="98" t="s">
        <v>1902</v>
      </c>
      <c r="E127" s="98" t="s">
        <v>2709</v>
      </c>
      <c r="F127" s="98" t="s">
        <v>49</v>
      </c>
      <c r="G127" s="99" t="s">
        <v>2710</v>
      </c>
      <c r="H127" s="99">
        <v>36</v>
      </c>
      <c r="I127" s="99" t="s">
        <v>2710</v>
      </c>
      <c r="J127" s="99">
        <v>6</v>
      </c>
      <c r="K127" s="98" t="s">
        <v>528</v>
      </c>
      <c r="L127" s="98" t="s">
        <v>528</v>
      </c>
      <c r="M127" s="116">
        <v>19732.420020691607</v>
      </c>
      <c r="N127" s="116">
        <v>33062.745845966594</v>
      </c>
      <c r="O127" s="116">
        <v>2437</v>
      </c>
      <c r="P127" s="117" t="s">
        <v>208</v>
      </c>
      <c r="Q127" s="116">
        <v>3001</v>
      </c>
      <c r="R127" s="117" t="s">
        <v>208</v>
      </c>
      <c r="S127" s="116">
        <v>2196</v>
      </c>
      <c r="T127" s="117" t="s">
        <v>208</v>
      </c>
      <c r="U127" s="116">
        <v>1978</v>
      </c>
      <c r="V127" s="117" t="s">
        <v>208</v>
      </c>
      <c r="W127" s="116">
        <v>1951</v>
      </c>
      <c r="X127" s="117" t="s">
        <v>208</v>
      </c>
      <c r="Y127" s="116">
        <v>2250.090909090909</v>
      </c>
      <c r="Z127" s="117" t="s">
        <v>208</v>
      </c>
      <c r="AA127" s="116">
        <v>2199</v>
      </c>
      <c r="AB127" s="117" t="s">
        <v>208</v>
      </c>
      <c r="AC127" s="116">
        <v>2615</v>
      </c>
      <c r="AD127" s="117" t="s">
        <v>208</v>
      </c>
      <c r="AE127" s="116">
        <v>1594</v>
      </c>
      <c r="AF127" s="117" t="s">
        <v>208</v>
      </c>
      <c r="AG127" s="116">
        <v>2165</v>
      </c>
      <c r="AH127" s="117" t="s">
        <v>208</v>
      </c>
      <c r="AI127" s="116">
        <v>2544</v>
      </c>
      <c r="AJ127" s="117" t="s">
        <v>208</v>
      </c>
      <c r="AK127" s="116">
        <v>2071</v>
      </c>
      <c r="AL127" s="117" t="s">
        <v>208</v>
      </c>
      <c r="AM127" s="116">
        <v>27001.090909090908</v>
      </c>
    </row>
    <row r="128" spans="1:39" s="100" customFormat="1" ht="46.8" x14ac:dyDescent="0.3">
      <c r="A128" s="97">
        <v>118</v>
      </c>
      <c r="B128" s="98" t="s">
        <v>695</v>
      </c>
      <c r="C128" s="98" t="s">
        <v>2708</v>
      </c>
      <c r="D128" s="98" t="s">
        <v>1902</v>
      </c>
      <c r="E128" s="98" t="s">
        <v>2709</v>
      </c>
      <c r="F128" s="98" t="s">
        <v>49</v>
      </c>
      <c r="G128" s="99" t="s">
        <v>2710</v>
      </c>
      <c r="H128" s="99">
        <v>42</v>
      </c>
      <c r="I128" s="99" t="s">
        <v>2710</v>
      </c>
      <c r="J128" s="99">
        <v>6</v>
      </c>
      <c r="K128" s="98" t="s">
        <v>528</v>
      </c>
      <c r="L128" s="98" t="s">
        <v>528</v>
      </c>
      <c r="M128" s="116">
        <v>17153.953098515962</v>
      </c>
      <c r="N128" s="116">
        <v>30077.083637376971</v>
      </c>
      <c r="O128" s="116">
        <v>2384</v>
      </c>
      <c r="P128" s="117" t="s">
        <v>208</v>
      </c>
      <c r="Q128" s="116">
        <v>2484</v>
      </c>
      <c r="R128" s="117" t="s">
        <v>208</v>
      </c>
      <c r="S128" s="116">
        <v>2043</v>
      </c>
      <c r="T128" s="117" t="s">
        <v>208</v>
      </c>
      <c r="U128" s="116">
        <v>1667</v>
      </c>
      <c r="V128" s="117" t="s">
        <v>208</v>
      </c>
      <c r="W128" s="116">
        <v>1536</v>
      </c>
      <c r="X128" s="117" t="s">
        <v>208</v>
      </c>
      <c r="Y128" s="116">
        <v>2172.7272727272725</v>
      </c>
      <c r="Z128" s="117" t="s">
        <v>208</v>
      </c>
      <c r="AA128" s="116">
        <v>707</v>
      </c>
      <c r="AB128" s="117" t="s">
        <v>208</v>
      </c>
      <c r="AC128" s="116">
        <v>3476</v>
      </c>
      <c r="AD128" s="117" t="s">
        <v>208</v>
      </c>
      <c r="AE128" s="116">
        <v>3720</v>
      </c>
      <c r="AF128" s="117" t="s">
        <v>208</v>
      </c>
      <c r="AG128" s="116">
        <v>593</v>
      </c>
      <c r="AH128" s="117" t="s">
        <v>208</v>
      </c>
      <c r="AI128" s="116">
        <v>3067</v>
      </c>
      <c r="AJ128" s="117" t="s">
        <v>208</v>
      </c>
      <c r="AK128" s="116">
        <v>2223</v>
      </c>
      <c r="AL128" s="117" t="s">
        <v>208</v>
      </c>
      <c r="AM128" s="116">
        <v>26072.727272727272</v>
      </c>
    </row>
    <row r="129" spans="1:39" s="100" customFormat="1" ht="46.8" x14ac:dyDescent="0.3">
      <c r="A129" s="97">
        <v>119</v>
      </c>
      <c r="B129" s="98" t="s">
        <v>696</v>
      </c>
      <c r="C129" s="98" t="s">
        <v>2708</v>
      </c>
      <c r="D129" s="98" t="s">
        <v>1902</v>
      </c>
      <c r="E129" s="98" t="s">
        <v>2709</v>
      </c>
      <c r="F129" s="98" t="s">
        <v>49</v>
      </c>
      <c r="G129" s="99" t="s">
        <v>2710</v>
      </c>
      <c r="H129" s="99">
        <v>28</v>
      </c>
      <c r="I129" s="99" t="s">
        <v>2710</v>
      </c>
      <c r="J129" s="99">
        <v>4</v>
      </c>
      <c r="K129" s="98" t="s">
        <v>528</v>
      </c>
      <c r="L129" s="98" t="s">
        <v>528</v>
      </c>
      <c r="M129" s="116">
        <v>20640.051091408939</v>
      </c>
      <c r="N129" s="116">
        <v>35330.082387041533</v>
      </c>
      <c r="O129" s="116">
        <v>2669</v>
      </c>
      <c r="P129" s="117" t="s">
        <v>208</v>
      </c>
      <c r="Q129" s="116">
        <v>3043</v>
      </c>
      <c r="R129" s="117" t="s">
        <v>208</v>
      </c>
      <c r="S129" s="116">
        <v>2235</v>
      </c>
      <c r="T129" s="117" t="s">
        <v>208</v>
      </c>
      <c r="U129" s="116">
        <v>2073</v>
      </c>
      <c r="V129" s="117" t="s">
        <v>208</v>
      </c>
      <c r="W129" s="116">
        <v>2079</v>
      </c>
      <c r="X129" s="117" t="s">
        <v>208</v>
      </c>
      <c r="Y129" s="116">
        <v>2434.818181818182</v>
      </c>
      <c r="Z129" s="117" t="s">
        <v>208</v>
      </c>
      <c r="AA129" s="116">
        <v>2177</v>
      </c>
      <c r="AB129" s="117" t="s">
        <v>208</v>
      </c>
      <c r="AC129" s="116">
        <v>1912</v>
      </c>
      <c r="AD129" s="117" t="s">
        <v>208</v>
      </c>
      <c r="AE129" s="116">
        <v>2112</v>
      </c>
      <c r="AF129" s="117" t="s">
        <v>208</v>
      </c>
      <c r="AG129" s="116">
        <v>2630</v>
      </c>
      <c r="AH129" s="117" t="s">
        <v>208</v>
      </c>
      <c r="AI129" s="116">
        <v>3675</v>
      </c>
      <c r="AJ129" s="117" t="s">
        <v>208</v>
      </c>
      <c r="AK129" s="116">
        <v>2178</v>
      </c>
      <c r="AL129" s="117" t="s">
        <v>208</v>
      </c>
      <c r="AM129" s="116">
        <v>29217.818181818184</v>
      </c>
    </row>
    <row r="130" spans="1:39" s="100" customFormat="1" ht="46.8" x14ac:dyDescent="0.3">
      <c r="A130" s="97">
        <v>120</v>
      </c>
      <c r="B130" s="98" t="s">
        <v>698</v>
      </c>
      <c r="C130" s="98" t="s">
        <v>2708</v>
      </c>
      <c r="D130" s="98" t="s">
        <v>1902</v>
      </c>
      <c r="E130" s="98" t="s">
        <v>2709</v>
      </c>
      <c r="F130" s="98" t="s">
        <v>49</v>
      </c>
      <c r="G130" s="99" t="s">
        <v>2710</v>
      </c>
      <c r="H130" s="99">
        <v>50</v>
      </c>
      <c r="I130" s="99" t="s">
        <v>2710</v>
      </c>
      <c r="J130" s="99">
        <v>10</v>
      </c>
      <c r="K130" s="98" t="s">
        <v>528</v>
      </c>
      <c r="L130" s="98" t="s">
        <v>528</v>
      </c>
      <c r="M130" s="116">
        <v>28703.671341018173</v>
      </c>
      <c r="N130" s="116">
        <v>47066.828149814261</v>
      </c>
      <c r="O130" s="116">
        <v>3276</v>
      </c>
      <c r="P130" s="117" t="s">
        <v>208</v>
      </c>
      <c r="Q130" s="116">
        <v>3776</v>
      </c>
      <c r="R130" s="117" t="s">
        <v>208</v>
      </c>
      <c r="S130" s="116">
        <v>3497</v>
      </c>
      <c r="T130" s="117" t="s">
        <v>208</v>
      </c>
      <c r="U130" s="116">
        <v>3156</v>
      </c>
      <c r="V130" s="117" t="s">
        <v>208</v>
      </c>
      <c r="W130" s="116">
        <v>2722</v>
      </c>
      <c r="X130" s="117" t="s">
        <v>208</v>
      </c>
      <c r="Y130" s="116">
        <v>3199.3636363636365</v>
      </c>
      <c r="Z130" s="117" t="s">
        <v>208</v>
      </c>
      <c r="AA130" s="116">
        <v>3260</v>
      </c>
      <c r="AB130" s="117" t="s">
        <v>208</v>
      </c>
      <c r="AC130" s="116">
        <v>1917</v>
      </c>
      <c r="AD130" s="117" t="s">
        <v>208</v>
      </c>
      <c r="AE130" s="116">
        <v>3393</v>
      </c>
      <c r="AF130" s="117" t="s">
        <v>208</v>
      </c>
      <c r="AG130" s="116">
        <v>3428</v>
      </c>
      <c r="AH130" s="117" t="s">
        <v>208</v>
      </c>
      <c r="AI130" s="116">
        <v>3499</v>
      </c>
      <c r="AJ130" s="117" t="s">
        <v>208</v>
      </c>
      <c r="AK130" s="116">
        <v>3269</v>
      </c>
      <c r="AL130" s="117" t="s">
        <v>208</v>
      </c>
      <c r="AM130" s="116">
        <v>38392.363636363632</v>
      </c>
    </row>
    <row r="131" spans="1:39" s="100" customFormat="1" ht="46.8" x14ac:dyDescent="0.3">
      <c r="A131" s="97">
        <v>121</v>
      </c>
      <c r="B131" s="98" t="s">
        <v>699</v>
      </c>
      <c r="C131" s="98" t="s">
        <v>2708</v>
      </c>
      <c r="D131" s="98" t="s">
        <v>1902</v>
      </c>
      <c r="E131" s="98" t="s">
        <v>2709</v>
      </c>
      <c r="F131" s="98" t="s">
        <v>49</v>
      </c>
      <c r="G131" s="99" t="s">
        <v>2710</v>
      </c>
      <c r="H131" s="99">
        <v>18</v>
      </c>
      <c r="I131" s="99" t="s">
        <v>2710</v>
      </c>
      <c r="J131" s="99">
        <v>3</v>
      </c>
      <c r="K131" s="98" t="s">
        <v>528</v>
      </c>
      <c r="L131" s="98" t="s">
        <v>528</v>
      </c>
      <c r="M131" s="116">
        <v>20442.299454548764</v>
      </c>
      <c r="N131" s="116">
        <v>33403.243421774598</v>
      </c>
      <c r="O131" s="116">
        <v>2318</v>
      </c>
      <c r="P131" s="117" t="s">
        <v>208</v>
      </c>
      <c r="Q131" s="116">
        <v>3206</v>
      </c>
      <c r="R131" s="117" t="s">
        <v>208</v>
      </c>
      <c r="S131" s="116">
        <v>2702</v>
      </c>
      <c r="T131" s="117" t="s">
        <v>208</v>
      </c>
      <c r="U131" s="116">
        <v>1926</v>
      </c>
      <c r="V131" s="117" t="s">
        <v>208</v>
      </c>
      <c r="W131" s="116">
        <v>2382</v>
      </c>
      <c r="X131" s="117" t="s">
        <v>208</v>
      </c>
      <c r="Y131" s="116">
        <v>2308.181818181818</v>
      </c>
      <c r="Z131" s="117" t="s">
        <v>208</v>
      </c>
      <c r="AA131" s="116">
        <v>2781</v>
      </c>
      <c r="AB131" s="117" t="s">
        <v>208</v>
      </c>
      <c r="AC131" s="116">
        <v>1023</v>
      </c>
      <c r="AD131" s="117" t="s">
        <v>208</v>
      </c>
      <c r="AE131" s="116">
        <v>2226</v>
      </c>
      <c r="AF131" s="117" t="s">
        <v>208</v>
      </c>
      <c r="AG131" s="116">
        <v>2495</v>
      </c>
      <c r="AH131" s="117" t="s">
        <v>208</v>
      </c>
      <c r="AI131" s="116">
        <v>2145</v>
      </c>
      <c r="AJ131" s="117" t="s">
        <v>208</v>
      </c>
      <c r="AK131" s="116">
        <v>2186</v>
      </c>
      <c r="AL131" s="117" t="s">
        <v>208</v>
      </c>
      <c r="AM131" s="116">
        <v>27698.181818181816</v>
      </c>
    </row>
    <row r="132" spans="1:39" s="100" customFormat="1" ht="46.8" x14ac:dyDescent="0.3">
      <c r="A132" s="97">
        <v>122</v>
      </c>
      <c r="B132" s="98" t="s">
        <v>700</v>
      </c>
      <c r="C132" s="98" t="s">
        <v>2708</v>
      </c>
      <c r="D132" s="98" t="s">
        <v>1902</v>
      </c>
      <c r="E132" s="98" t="s">
        <v>2709</v>
      </c>
      <c r="F132" s="98" t="s">
        <v>49</v>
      </c>
      <c r="G132" s="99" t="s">
        <v>2710</v>
      </c>
      <c r="H132" s="99">
        <v>5</v>
      </c>
      <c r="I132" s="99" t="s">
        <v>2710</v>
      </c>
      <c r="J132" s="99">
        <v>1</v>
      </c>
      <c r="K132" s="98" t="s">
        <v>528</v>
      </c>
      <c r="L132" s="98" t="s">
        <v>528</v>
      </c>
      <c r="M132" s="116">
        <v>2701.2505518076955</v>
      </c>
      <c r="N132" s="116">
        <v>4345.4257877646505</v>
      </c>
      <c r="O132" s="116">
        <v>236.70367517890136</v>
      </c>
      <c r="P132" s="117" t="s">
        <v>208</v>
      </c>
      <c r="Q132" s="116">
        <v>259.56689011247897</v>
      </c>
      <c r="R132" s="117" t="s">
        <v>208</v>
      </c>
      <c r="S132" s="116">
        <v>295.70359879082696</v>
      </c>
      <c r="T132" s="117" t="s">
        <v>208</v>
      </c>
      <c r="U132" s="116">
        <v>247.03488844551069</v>
      </c>
      <c r="V132" s="117" t="s">
        <v>208</v>
      </c>
      <c r="W132" s="116">
        <v>325.60159103483653</v>
      </c>
      <c r="X132" s="117" t="s">
        <v>208</v>
      </c>
      <c r="Y132" s="116">
        <v>304.56090928693249</v>
      </c>
      <c r="Z132" s="117" t="s">
        <v>208</v>
      </c>
      <c r="AA132" s="116">
        <v>263.4172494390923</v>
      </c>
      <c r="AB132" s="117" t="s">
        <v>208</v>
      </c>
      <c r="AC132" s="116">
        <v>404.91061355314866</v>
      </c>
      <c r="AD132" s="117" t="s">
        <v>208</v>
      </c>
      <c r="AE132" s="116">
        <v>405.10951032635671</v>
      </c>
      <c r="AF132" s="117" t="s">
        <v>208</v>
      </c>
      <c r="AG132" s="116">
        <v>346.03480478666052</v>
      </c>
      <c r="AH132" s="117" t="s">
        <v>208</v>
      </c>
      <c r="AI132" s="116">
        <v>234.1068807433146</v>
      </c>
      <c r="AJ132" s="117" t="s">
        <v>208</v>
      </c>
      <c r="AK132" s="116">
        <v>331.98029974513059</v>
      </c>
      <c r="AL132" s="117" t="s">
        <v>208</v>
      </c>
      <c r="AM132" s="116">
        <v>3654.7309114431901</v>
      </c>
    </row>
    <row r="133" spans="1:39" s="100" customFormat="1" ht="46.8" x14ac:dyDescent="0.3">
      <c r="A133" s="97">
        <v>123</v>
      </c>
      <c r="B133" s="98" t="s">
        <v>701</v>
      </c>
      <c r="C133" s="98" t="s">
        <v>2708</v>
      </c>
      <c r="D133" s="98" t="s">
        <v>1902</v>
      </c>
      <c r="E133" s="98" t="s">
        <v>2709</v>
      </c>
      <c r="F133" s="98" t="s">
        <v>49</v>
      </c>
      <c r="G133" s="99" t="s">
        <v>2710</v>
      </c>
      <c r="H133" s="99">
        <v>16</v>
      </c>
      <c r="I133" s="99" t="s">
        <v>2710</v>
      </c>
      <c r="J133" s="99">
        <v>4</v>
      </c>
      <c r="K133" s="98" t="s">
        <v>528</v>
      </c>
      <c r="L133" s="98" t="s">
        <v>528</v>
      </c>
      <c r="M133" s="116">
        <v>5045.0177914428041</v>
      </c>
      <c r="N133" s="116">
        <v>8662.6990952532069</v>
      </c>
      <c r="O133" s="116">
        <v>1005</v>
      </c>
      <c r="P133" s="117" t="s">
        <v>208</v>
      </c>
      <c r="Q133" s="116">
        <v>1005</v>
      </c>
      <c r="R133" s="117" t="s">
        <v>208</v>
      </c>
      <c r="S133" s="116">
        <v>1005</v>
      </c>
      <c r="T133" s="117" t="s">
        <v>208</v>
      </c>
      <c r="U133" s="116">
        <v>1005</v>
      </c>
      <c r="V133" s="117" t="s">
        <v>208</v>
      </c>
      <c r="W133" s="116">
        <v>1005</v>
      </c>
      <c r="X133" s="117" t="s">
        <v>208</v>
      </c>
      <c r="Y133" s="116">
        <v>620.18181818181813</v>
      </c>
      <c r="Z133" s="117" t="s">
        <v>208</v>
      </c>
      <c r="AA133" s="116">
        <v>401</v>
      </c>
      <c r="AB133" s="117" t="s">
        <v>208</v>
      </c>
      <c r="AC133" s="116">
        <v>343</v>
      </c>
      <c r="AD133" s="117" t="s">
        <v>208</v>
      </c>
      <c r="AE133" s="116">
        <v>652</v>
      </c>
      <c r="AF133" s="117" t="s">
        <v>208</v>
      </c>
      <c r="AG133" s="116">
        <v>401</v>
      </c>
      <c r="AH133" s="117" t="s">
        <v>208</v>
      </c>
      <c r="AI133" s="116">
        <v>0</v>
      </c>
      <c r="AJ133" s="117" t="s">
        <v>208</v>
      </c>
      <c r="AK133" s="116">
        <v>0</v>
      </c>
      <c r="AL133" s="117" t="s">
        <v>208</v>
      </c>
      <c r="AM133" s="116">
        <v>7442.181818181818</v>
      </c>
    </row>
    <row r="134" spans="1:39" s="100" customFormat="1" ht="46.8" x14ac:dyDescent="0.3">
      <c r="A134" s="97">
        <v>124</v>
      </c>
      <c r="B134" s="98" t="s">
        <v>703</v>
      </c>
      <c r="C134" s="98" t="s">
        <v>2708</v>
      </c>
      <c r="D134" s="98" t="s">
        <v>1902</v>
      </c>
      <c r="E134" s="98" t="s">
        <v>2709</v>
      </c>
      <c r="F134" s="98" t="s">
        <v>49</v>
      </c>
      <c r="G134" s="99" t="s">
        <v>2710</v>
      </c>
      <c r="H134" s="99">
        <v>30</v>
      </c>
      <c r="I134" s="99" t="s">
        <v>2710</v>
      </c>
      <c r="J134" s="99">
        <v>6</v>
      </c>
      <c r="K134" s="98" t="s">
        <v>528</v>
      </c>
      <c r="L134" s="98" t="s">
        <v>528</v>
      </c>
      <c r="M134" s="116">
        <v>9331.541593587388</v>
      </c>
      <c r="N134" s="116">
        <v>16556.945793588729</v>
      </c>
      <c r="O134" s="116">
        <v>1252</v>
      </c>
      <c r="P134" s="117" t="s">
        <v>208</v>
      </c>
      <c r="Q134" s="116">
        <v>1497</v>
      </c>
      <c r="R134" s="117" t="s">
        <v>208</v>
      </c>
      <c r="S134" s="116">
        <v>1174</v>
      </c>
      <c r="T134" s="117" t="s">
        <v>208</v>
      </c>
      <c r="U134" s="116">
        <v>1355</v>
      </c>
      <c r="V134" s="117" t="s">
        <v>208</v>
      </c>
      <c r="W134" s="116">
        <v>1142</v>
      </c>
      <c r="X134" s="117" t="s">
        <v>208</v>
      </c>
      <c r="Y134" s="116">
        <v>1189.8181818181818</v>
      </c>
      <c r="Z134" s="117" t="s">
        <v>208</v>
      </c>
      <c r="AA134" s="116">
        <v>1233</v>
      </c>
      <c r="AB134" s="117" t="s">
        <v>208</v>
      </c>
      <c r="AC134" s="116">
        <v>570</v>
      </c>
      <c r="AD134" s="117" t="s">
        <v>208</v>
      </c>
      <c r="AE134" s="116">
        <v>1120</v>
      </c>
      <c r="AF134" s="117" t="s">
        <v>208</v>
      </c>
      <c r="AG134" s="116">
        <v>1153</v>
      </c>
      <c r="AH134" s="117" t="s">
        <v>208</v>
      </c>
      <c r="AI134" s="116">
        <v>1378</v>
      </c>
      <c r="AJ134" s="117" t="s">
        <v>208</v>
      </c>
      <c r="AK134" s="116">
        <v>1214</v>
      </c>
      <c r="AL134" s="117" t="s">
        <v>208</v>
      </c>
      <c r="AM134" s="116">
        <v>14277.818181818182</v>
      </c>
    </row>
    <row r="135" spans="1:39" s="100" customFormat="1" ht="46.8" x14ac:dyDescent="0.3">
      <c r="A135" s="97">
        <v>125</v>
      </c>
      <c r="B135" s="98" t="s">
        <v>704</v>
      </c>
      <c r="C135" s="98" t="s">
        <v>2708</v>
      </c>
      <c r="D135" s="98" t="s">
        <v>1902</v>
      </c>
      <c r="E135" s="98" t="s">
        <v>2709</v>
      </c>
      <c r="F135" s="98" t="s">
        <v>49</v>
      </c>
      <c r="G135" s="99" t="s">
        <v>2710</v>
      </c>
      <c r="H135" s="99">
        <v>12</v>
      </c>
      <c r="I135" s="99" t="s">
        <v>2710</v>
      </c>
      <c r="J135" s="99">
        <v>2</v>
      </c>
      <c r="K135" s="98" t="s">
        <v>528</v>
      </c>
      <c r="L135" s="98" t="s">
        <v>528</v>
      </c>
      <c r="M135" s="116">
        <v>1988.090607093302</v>
      </c>
      <c r="N135" s="116">
        <v>3590.3645988557942</v>
      </c>
      <c r="O135" s="116">
        <v>296.10000000000002</v>
      </c>
      <c r="P135" s="117" t="s">
        <v>208</v>
      </c>
      <c r="Q135" s="116">
        <v>273.60000000000002</v>
      </c>
      <c r="R135" s="117" t="s">
        <v>208</v>
      </c>
      <c r="S135" s="116">
        <v>256.95</v>
      </c>
      <c r="T135" s="117" t="s">
        <v>208</v>
      </c>
      <c r="U135" s="116">
        <v>248.40000000000003</v>
      </c>
      <c r="V135" s="117" t="s">
        <v>208</v>
      </c>
      <c r="W135" s="116">
        <v>169.65</v>
      </c>
      <c r="X135" s="117" t="s">
        <v>208</v>
      </c>
      <c r="Y135" s="116">
        <v>243.4909090909091</v>
      </c>
      <c r="Z135" s="117" t="s">
        <v>208</v>
      </c>
      <c r="AA135" s="116">
        <v>220.5</v>
      </c>
      <c r="AB135" s="117" t="s">
        <v>208</v>
      </c>
      <c r="AC135" s="116">
        <v>94.95</v>
      </c>
      <c r="AD135" s="117" t="s">
        <v>208</v>
      </c>
      <c r="AE135" s="116">
        <v>205.65</v>
      </c>
      <c r="AF135" s="117" t="s">
        <v>208</v>
      </c>
      <c r="AG135" s="116">
        <v>283.5</v>
      </c>
      <c r="AH135" s="117" t="s">
        <v>208</v>
      </c>
      <c r="AI135" s="116">
        <v>303.75</v>
      </c>
      <c r="AJ135" s="117" t="s">
        <v>208</v>
      </c>
      <c r="AK135" s="116">
        <v>325.35000000000002</v>
      </c>
      <c r="AL135" s="117" t="s">
        <v>208</v>
      </c>
      <c r="AM135" s="116">
        <v>2921.8909090909096</v>
      </c>
    </row>
    <row r="136" spans="1:39" s="100" customFormat="1" ht="46.8" x14ac:dyDescent="0.3">
      <c r="A136" s="97">
        <v>126</v>
      </c>
      <c r="B136" s="98" t="s">
        <v>705</v>
      </c>
      <c r="C136" s="98" t="s">
        <v>2708</v>
      </c>
      <c r="D136" s="98" t="s">
        <v>1902</v>
      </c>
      <c r="E136" s="98" t="s">
        <v>2709</v>
      </c>
      <c r="F136" s="98" t="s">
        <v>49</v>
      </c>
      <c r="G136" s="99" t="s">
        <v>2710</v>
      </c>
      <c r="H136" s="99">
        <v>8</v>
      </c>
      <c r="I136" s="99" t="s">
        <v>2710</v>
      </c>
      <c r="J136" s="99">
        <v>2</v>
      </c>
      <c r="K136" s="98" t="s">
        <v>528</v>
      </c>
      <c r="L136" s="98" t="s">
        <v>528</v>
      </c>
      <c r="M136" s="116">
        <v>2537.2480394297409</v>
      </c>
      <c r="N136" s="116">
        <v>4281.6459122601254</v>
      </c>
      <c r="O136" s="116">
        <v>361.90000000000003</v>
      </c>
      <c r="P136" s="117" t="s">
        <v>208</v>
      </c>
      <c r="Q136" s="116">
        <v>334.40000000000003</v>
      </c>
      <c r="R136" s="117" t="s">
        <v>208</v>
      </c>
      <c r="S136" s="116">
        <v>314.05000000000007</v>
      </c>
      <c r="T136" s="117" t="s">
        <v>208</v>
      </c>
      <c r="U136" s="116">
        <v>303.60000000000002</v>
      </c>
      <c r="V136" s="117" t="s">
        <v>208</v>
      </c>
      <c r="W136" s="116">
        <v>207.35000000000002</v>
      </c>
      <c r="X136" s="117" t="s">
        <v>208</v>
      </c>
      <c r="Y136" s="116">
        <v>297.60000000000002</v>
      </c>
      <c r="Z136" s="117" t="s">
        <v>208</v>
      </c>
      <c r="AA136" s="116">
        <v>269.5</v>
      </c>
      <c r="AB136" s="117" t="s">
        <v>208</v>
      </c>
      <c r="AC136" s="116">
        <v>116.05000000000001</v>
      </c>
      <c r="AD136" s="117" t="s">
        <v>208</v>
      </c>
      <c r="AE136" s="116">
        <v>251.35000000000002</v>
      </c>
      <c r="AF136" s="117" t="s">
        <v>208</v>
      </c>
      <c r="AG136" s="116">
        <v>346.5</v>
      </c>
      <c r="AH136" s="117" t="s">
        <v>208</v>
      </c>
      <c r="AI136" s="116">
        <v>371.25</v>
      </c>
      <c r="AJ136" s="117" t="s">
        <v>208</v>
      </c>
      <c r="AK136" s="116">
        <v>397.65000000000003</v>
      </c>
      <c r="AL136" s="117" t="s">
        <v>208</v>
      </c>
      <c r="AM136" s="116">
        <v>3571.2000000000003</v>
      </c>
    </row>
    <row r="137" spans="1:39" s="100" customFormat="1" ht="46.8" x14ac:dyDescent="0.3">
      <c r="A137" s="97">
        <v>127</v>
      </c>
      <c r="B137" s="98" t="s">
        <v>706</v>
      </c>
      <c r="C137" s="98" t="s">
        <v>2708</v>
      </c>
      <c r="D137" s="98" t="s">
        <v>1902</v>
      </c>
      <c r="E137" s="98" t="s">
        <v>2709</v>
      </c>
      <c r="F137" s="98" t="s">
        <v>49</v>
      </c>
      <c r="G137" s="99" t="s">
        <v>2710</v>
      </c>
      <c r="H137" s="99">
        <v>20</v>
      </c>
      <c r="I137" s="99" t="s">
        <v>2710</v>
      </c>
      <c r="J137" s="99">
        <v>4</v>
      </c>
      <c r="K137" s="98" t="s">
        <v>528</v>
      </c>
      <c r="L137" s="98" t="s">
        <v>528</v>
      </c>
      <c r="M137" s="116">
        <v>17392.653356441955</v>
      </c>
      <c r="N137" s="116">
        <v>30281.732471127951</v>
      </c>
      <c r="O137" s="116">
        <v>2222</v>
      </c>
      <c r="P137" s="117" t="s">
        <v>208</v>
      </c>
      <c r="Q137" s="116">
        <v>4272</v>
      </c>
      <c r="R137" s="117" t="s">
        <v>208</v>
      </c>
      <c r="S137" s="116">
        <v>8</v>
      </c>
      <c r="T137" s="117" t="s">
        <v>208</v>
      </c>
      <c r="U137" s="116">
        <v>2630</v>
      </c>
      <c r="V137" s="117" t="s">
        <v>208</v>
      </c>
      <c r="W137" s="116">
        <v>1622</v>
      </c>
      <c r="X137" s="117" t="s">
        <v>208</v>
      </c>
      <c r="Y137" s="116">
        <v>2038.2727272727273</v>
      </c>
      <c r="Z137" s="117" t="s">
        <v>208</v>
      </c>
      <c r="AA137" s="116">
        <v>1748</v>
      </c>
      <c r="AB137" s="117" t="s">
        <v>208</v>
      </c>
      <c r="AC137" s="116">
        <v>1785</v>
      </c>
      <c r="AD137" s="117" t="s">
        <v>208</v>
      </c>
      <c r="AE137" s="116">
        <v>2312</v>
      </c>
      <c r="AF137" s="117" t="s">
        <v>208</v>
      </c>
      <c r="AG137" s="116">
        <v>1294</v>
      </c>
      <c r="AH137" s="117" t="s">
        <v>208</v>
      </c>
      <c r="AI137" s="116">
        <v>2212</v>
      </c>
      <c r="AJ137" s="117" t="s">
        <v>208</v>
      </c>
      <c r="AK137" s="116">
        <v>2316</v>
      </c>
      <c r="AL137" s="117" t="s">
        <v>208</v>
      </c>
      <c r="AM137" s="116">
        <v>24459.272727272728</v>
      </c>
    </row>
    <row r="138" spans="1:39" s="100" customFormat="1" ht="46.8" x14ac:dyDescent="0.3">
      <c r="A138" s="97">
        <v>128</v>
      </c>
      <c r="B138" s="98" t="s">
        <v>708</v>
      </c>
      <c r="C138" s="98" t="s">
        <v>2708</v>
      </c>
      <c r="D138" s="98" t="s">
        <v>1902</v>
      </c>
      <c r="E138" s="98" t="s">
        <v>2709</v>
      </c>
      <c r="F138" s="98" t="s">
        <v>49</v>
      </c>
      <c r="G138" s="99" t="s">
        <v>2710</v>
      </c>
      <c r="H138" s="99">
        <v>42</v>
      </c>
      <c r="I138" s="99" t="s">
        <v>2710</v>
      </c>
      <c r="J138" s="99">
        <v>7</v>
      </c>
      <c r="K138" s="98" t="s">
        <v>528</v>
      </c>
      <c r="L138" s="98" t="s">
        <v>528</v>
      </c>
      <c r="M138" s="116">
        <v>14875.815723558571</v>
      </c>
      <c r="N138" s="116">
        <v>26207.413408569588</v>
      </c>
      <c r="O138" s="116">
        <v>2439</v>
      </c>
      <c r="P138" s="117" t="s">
        <v>208</v>
      </c>
      <c r="Q138" s="116">
        <v>1951</v>
      </c>
      <c r="R138" s="117" t="s">
        <v>208</v>
      </c>
      <c r="S138" s="116">
        <v>1416</v>
      </c>
      <c r="T138" s="117" t="s">
        <v>208</v>
      </c>
      <c r="U138" s="116">
        <v>2101</v>
      </c>
      <c r="V138" s="117" t="s">
        <v>208</v>
      </c>
      <c r="W138" s="116">
        <v>1486</v>
      </c>
      <c r="X138" s="117" t="s">
        <v>208</v>
      </c>
      <c r="Y138" s="116">
        <v>1778.7272727272727</v>
      </c>
      <c r="Z138" s="117" t="s">
        <v>208</v>
      </c>
      <c r="AA138" s="116">
        <v>1966</v>
      </c>
      <c r="AB138" s="117" t="s">
        <v>208</v>
      </c>
      <c r="AC138" s="116">
        <v>698</v>
      </c>
      <c r="AD138" s="117" t="s">
        <v>208</v>
      </c>
      <c r="AE138" s="116">
        <v>2073</v>
      </c>
      <c r="AF138" s="117" t="s">
        <v>208</v>
      </c>
      <c r="AG138" s="116">
        <v>1582</v>
      </c>
      <c r="AH138" s="117" t="s">
        <v>208</v>
      </c>
      <c r="AI138" s="116">
        <v>2019</v>
      </c>
      <c r="AJ138" s="117" t="s">
        <v>208</v>
      </c>
      <c r="AK138" s="116">
        <v>1835</v>
      </c>
      <c r="AL138" s="117" t="s">
        <v>208</v>
      </c>
      <c r="AM138" s="116">
        <v>21344.727272727272</v>
      </c>
    </row>
    <row r="139" spans="1:39" s="100" customFormat="1" ht="46.8" x14ac:dyDescent="0.3">
      <c r="A139" s="97">
        <v>129</v>
      </c>
      <c r="B139" s="98" t="s">
        <v>709</v>
      </c>
      <c r="C139" s="98" t="s">
        <v>2708</v>
      </c>
      <c r="D139" s="98" t="s">
        <v>1902</v>
      </c>
      <c r="E139" s="98" t="s">
        <v>2709</v>
      </c>
      <c r="F139" s="98" t="s">
        <v>49</v>
      </c>
      <c r="G139" s="99" t="s">
        <v>2710</v>
      </c>
      <c r="H139" s="99">
        <v>20</v>
      </c>
      <c r="I139" s="99" t="s">
        <v>2710</v>
      </c>
      <c r="J139" s="99">
        <v>4</v>
      </c>
      <c r="K139" s="98" t="s">
        <v>528</v>
      </c>
      <c r="L139" s="98" t="s">
        <v>528</v>
      </c>
      <c r="M139" s="116">
        <v>4770.132055890328</v>
      </c>
      <c r="N139" s="116">
        <v>8242.9724982651423</v>
      </c>
      <c r="O139" s="116">
        <v>811</v>
      </c>
      <c r="P139" s="117" t="s">
        <v>208</v>
      </c>
      <c r="Q139" s="116">
        <v>907</v>
      </c>
      <c r="R139" s="117" t="s">
        <v>208</v>
      </c>
      <c r="S139" s="116">
        <v>730</v>
      </c>
      <c r="T139" s="117" t="s">
        <v>208</v>
      </c>
      <c r="U139" s="116">
        <v>684</v>
      </c>
      <c r="V139" s="117" t="s">
        <v>208</v>
      </c>
      <c r="W139" s="116">
        <v>424</v>
      </c>
      <c r="X139" s="117" t="s">
        <v>208</v>
      </c>
      <c r="Y139" s="116">
        <v>585.81818181818187</v>
      </c>
      <c r="Z139" s="117" t="s">
        <v>208</v>
      </c>
      <c r="AA139" s="116">
        <v>372</v>
      </c>
      <c r="AB139" s="117" t="s">
        <v>208</v>
      </c>
      <c r="AC139" s="116">
        <v>191</v>
      </c>
      <c r="AD139" s="117" t="s">
        <v>208</v>
      </c>
      <c r="AE139" s="116">
        <v>487</v>
      </c>
      <c r="AF139" s="117" t="s">
        <v>208</v>
      </c>
      <c r="AG139" s="116">
        <v>377</v>
      </c>
      <c r="AH139" s="117" t="s">
        <v>208</v>
      </c>
      <c r="AI139" s="116">
        <v>684</v>
      </c>
      <c r="AJ139" s="117" t="s">
        <v>208</v>
      </c>
      <c r="AK139" s="116">
        <v>777</v>
      </c>
      <c r="AL139" s="117" t="s">
        <v>208</v>
      </c>
      <c r="AM139" s="116">
        <v>7029.818181818182</v>
      </c>
    </row>
    <row r="140" spans="1:39" s="100" customFormat="1" ht="46.8" x14ac:dyDescent="0.3">
      <c r="A140" s="97">
        <v>130</v>
      </c>
      <c r="B140" s="98" t="s">
        <v>711</v>
      </c>
      <c r="C140" s="98" t="s">
        <v>2708</v>
      </c>
      <c r="D140" s="98" t="s">
        <v>1902</v>
      </c>
      <c r="E140" s="98" t="s">
        <v>2709</v>
      </c>
      <c r="F140" s="98" t="s">
        <v>49</v>
      </c>
      <c r="G140" s="99" t="s">
        <v>2710</v>
      </c>
      <c r="H140" s="99">
        <v>35</v>
      </c>
      <c r="I140" s="99" t="s">
        <v>2710</v>
      </c>
      <c r="J140" s="99">
        <v>7</v>
      </c>
      <c r="K140" s="98" t="s">
        <v>528</v>
      </c>
      <c r="L140" s="98" t="s">
        <v>528</v>
      </c>
      <c r="M140" s="116">
        <v>13440.948443622279</v>
      </c>
      <c r="N140" s="116">
        <v>22563.301626532255</v>
      </c>
      <c r="O140" s="116">
        <v>1545</v>
      </c>
      <c r="P140" s="117" t="s">
        <v>208</v>
      </c>
      <c r="Q140" s="116">
        <v>1810</v>
      </c>
      <c r="R140" s="117" t="s">
        <v>208</v>
      </c>
      <c r="S140" s="116">
        <v>1663</v>
      </c>
      <c r="T140" s="117" t="s">
        <v>208</v>
      </c>
      <c r="U140" s="116">
        <v>1636</v>
      </c>
      <c r="V140" s="117" t="s">
        <v>208</v>
      </c>
      <c r="W140" s="116">
        <v>1183</v>
      </c>
      <c r="X140" s="117" t="s">
        <v>208</v>
      </c>
      <c r="Y140" s="116">
        <v>1625.3636363636363</v>
      </c>
      <c r="Z140" s="117" t="s">
        <v>208</v>
      </c>
      <c r="AA140" s="116">
        <v>2001</v>
      </c>
      <c r="AB140" s="117" t="s">
        <v>208</v>
      </c>
      <c r="AC140" s="116">
        <v>723</v>
      </c>
      <c r="AD140" s="117" t="s">
        <v>208</v>
      </c>
      <c r="AE140" s="116">
        <v>1516</v>
      </c>
      <c r="AF140" s="117" t="s">
        <v>208</v>
      </c>
      <c r="AG140" s="116">
        <v>1206</v>
      </c>
      <c r="AH140" s="117" t="s">
        <v>208</v>
      </c>
      <c r="AI140" s="116">
        <v>2158</v>
      </c>
      <c r="AJ140" s="117" t="s">
        <v>208</v>
      </c>
      <c r="AK140" s="116">
        <v>2438</v>
      </c>
      <c r="AL140" s="117" t="s">
        <v>208</v>
      </c>
      <c r="AM140" s="116">
        <v>19504.363636363636</v>
      </c>
    </row>
    <row r="141" spans="1:39" s="100" customFormat="1" ht="46.8" x14ac:dyDescent="0.3">
      <c r="A141" s="97">
        <v>131</v>
      </c>
      <c r="B141" s="98" t="s">
        <v>713</v>
      </c>
      <c r="C141" s="98" t="s">
        <v>2708</v>
      </c>
      <c r="D141" s="98" t="s">
        <v>1902</v>
      </c>
      <c r="E141" s="98" t="s">
        <v>2709</v>
      </c>
      <c r="F141" s="98" t="s">
        <v>49</v>
      </c>
      <c r="G141" s="99" t="s">
        <v>2710</v>
      </c>
      <c r="H141" s="99">
        <v>2</v>
      </c>
      <c r="I141" s="99" t="s">
        <v>2710</v>
      </c>
      <c r="J141" s="99">
        <v>1</v>
      </c>
      <c r="K141" s="98" t="s">
        <v>528</v>
      </c>
      <c r="L141" s="98" t="s">
        <v>528</v>
      </c>
      <c r="M141" s="116">
        <v>1277.4510381841826</v>
      </c>
      <c r="N141" s="116">
        <v>2285.7994740634676</v>
      </c>
      <c r="O141" s="116">
        <v>300</v>
      </c>
      <c r="P141" s="117" t="s">
        <v>208</v>
      </c>
      <c r="Q141" s="116">
        <v>300</v>
      </c>
      <c r="R141" s="117" t="s">
        <v>208</v>
      </c>
      <c r="S141" s="116">
        <v>429</v>
      </c>
      <c r="T141" s="117" t="s">
        <v>208</v>
      </c>
      <c r="U141" s="116">
        <v>44</v>
      </c>
      <c r="V141" s="117" t="s">
        <v>208</v>
      </c>
      <c r="W141" s="116">
        <v>53</v>
      </c>
      <c r="X141" s="117" t="s">
        <v>208</v>
      </c>
      <c r="Y141" s="116">
        <v>156.90909090909091</v>
      </c>
      <c r="Z141" s="117" t="s">
        <v>208</v>
      </c>
      <c r="AA141" s="116">
        <v>0</v>
      </c>
      <c r="AB141" s="117" t="s">
        <v>208</v>
      </c>
      <c r="AC141" s="116">
        <v>0</v>
      </c>
      <c r="AD141" s="117" t="s">
        <v>208</v>
      </c>
      <c r="AE141" s="116">
        <v>0</v>
      </c>
      <c r="AF141" s="117" t="s">
        <v>208</v>
      </c>
      <c r="AG141" s="116">
        <v>0</v>
      </c>
      <c r="AH141" s="117" t="s">
        <v>208</v>
      </c>
      <c r="AI141" s="116">
        <v>300</v>
      </c>
      <c r="AJ141" s="117" t="s">
        <v>208</v>
      </c>
      <c r="AK141" s="116">
        <v>300</v>
      </c>
      <c r="AL141" s="117" t="s">
        <v>208</v>
      </c>
      <c r="AM141" s="116">
        <v>1882.909090909091</v>
      </c>
    </row>
    <row r="142" spans="1:39" s="100" customFormat="1" ht="46.8" x14ac:dyDescent="0.3">
      <c r="A142" s="97">
        <v>132</v>
      </c>
      <c r="B142" s="98" t="s">
        <v>714</v>
      </c>
      <c r="C142" s="98" t="s">
        <v>2708</v>
      </c>
      <c r="D142" s="98" t="s">
        <v>1902</v>
      </c>
      <c r="E142" s="98" t="s">
        <v>2709</v>
      </c>
      <c r="F142" s="98" t="s">
        <v>49</v>
      </c>
      <c r="G142" s="99" t="s">
        <v>2710</v>
      </c>
      <c r="H142" s="99">
        <v>5</v>
      </c>
      <c r="I142" s="99" t="s">
        <v>2710</v>
      </c>
      <c r="J142" s="99">
        <v>1</v>
      </c>
      <c r="K142" s="98" t="s">
        <v>528</v>
      </c>
      <c r="L142" s="98" t="s">
        <v>528</v>
      </c>
      <c r="M142" s="116">
        <v>2842.8729147857011</v>
      </c>
      <c r="N142" s="116">
        <v>4649.4729358350687</v>
      </c>
      <c r="O142" s="116">
        <v>297.98057289408069</v>
      </c>
      <c r="P142" s="117" t="s">
        <v>208</v>
      </c>
      <c r="Q142" s="116">
        <v>320.58917087899505</v>
      </c>
      <c r="R142" s="117" t="s">
        <v>208</v>
      </c>
      <c r="S142" s="116">
        <v>382.8203438236921</v>
      </c>
      <c r="T142" s="117" t="s">
        <v>208</v>
      </c>
      <c r="U142" s="116">
        <v>251.69447036602696</v>
      </c>
      <c r="V142" s="117" t="s">
        <v>208</v>
      </c>
      <c r="W142" s="116">
        <v>268.59606926327206</v>
      </c>
      <c r="X142" s="117" t="s">
        <v>208</v>
      </c>
      <c r="Y142" s="116">
        <v>322.51686590597524</v>
      </c>
      <c r="Z142" s="117" t="s">
        <v>208</v>
      </c>
      <c r="AA142" s="116">
        <v>330.17642565713948</v>
      </c>
      <c r="AB142" s="117" t="s">
        <v>208</v>
      </c>
      <c r="AC142" s="116">
        <v>389.89174554914609</v>
      </c>
      <c r="AD142" s="117" t="s">
        <v>208</v>
      </c>
      <c r="AE142" s="116">
        <v>311.83046705810074</v>
      </c>
      <c r="AF142" s="117" t="s">
        <v>208</v>
      </c>
      <c r="AG142" s="116">
        <v>316.44597892415624</v>
      </c>
      <c r="AH142" s="117" t="s">
        <v>208</v>
      </c>
      <c r="AI142" s="116">
        <v>308.03425911735212</v>
      </c>
      <c r="AJ142" s="117" t="s">
        <v>208</v>
      </c>
      <c r="AK142" s="116">
        <v>369.62602143376574</v>
      </c>
      <c r="AL142" s="117" t="s">
        <v>208</v>
      </c>
      <c r="AM142" s="116">
        <v>3870.2023908717024</v>
      </c>
    </row>
    <row r="143" spans="1:39" s="100" customFormat="1" ht="46.8" x14ac:dyDescent="0.3">
      <c r="A143" s="97">
        <v>133</v>
      </c>
      <c r="B143" s="98" t="s">
        <v>715</v>
      </c>
      <c r="C143" s="98" t="s">
        <v>2708</v>
      </c>
      <c r="D143" s="98" t="s">
        <v>1902</v>
      </c>
      <c r="E143" s="98" t="s">
        <v>2709</v>
      </c>
      <c r="F143" s="98" t="s">
        <v>49</v>
      </c>
      <c r="G143" s="99" t="s">
        <v>2710</v>
      </c>
      <c r="H143" s="99">
        <v>5</v>
      </c>
      <c r="I143" s="99" t="s">
        <v>2710</v>
      </c>
      <c r="J143" s="99">
        <v>1</v>
      </c>
      <c r="K143" s="98" t="s">
        <v>528</v>
      </c>
      <c r="L143" s="98" t="s">
        <v>528</v>
      </c>
      <c r="M143" s="116">
        <v>2734.7721992426905</v>
      </c>
      <c r="N143" s="116">
        <v>4752.6318203499823</v>
      </c>
      <c r="O143" s="116">
        <v>304.10510784434257</v>
      </c>
      <c r="P143" s="117" t="s">
        <v>208</v>
      </c>
      <c r="Q143" s="116">
        <v>342.694876665847</v>
      </c>
      <c r="R143" s="117" t="s">
        <v>208</v>
      </c>
      <c r="S143" s="116">
        <v>307.34653986703989</v>
      </c>
      <c r="T143" s="117" t="s">
        <v>208</v>
      </c>
      <c r="U143" s="116">
        <v>307.82690907475097</v>
      </c>
      <c r="V143" s="117" t="s">
        <v>208</v>
      </c>
      <c r="W143" s="116">
        <v>302.18811658128851</v>
      </c>
      <c r="X143" s="117" t="s">
        <v>208</v>
      </c>
      <c r="Y143" s="116">
        <v>326.55905323310247</v>
      </c>
      <c r="Z143" s="117" t="s">
        <v>208</v>
      </c>
      <c r="AA143" s="116">
        <v>395.19975255242173</v>
      </c>
      <c r="AB143" s="117" t="s">
        <v>208</v>
      </c>
      <c r="AC143" s="116">
        <v>244.9810338329105</v>
      </c>
      <c r="AD143" s="117" t="s">
        <v>208</v>
      </c>
      <c r="AE143" s="116">
        <v>412.01764903386214</v>
      </c>
      <c r="AF143" s="117" t="s">
        <v>208</v>
      </c>
      <c r="AG143" s="116">
        <v>334.06858758083177</v>
      </c>
      <c r="AH143" s="117" t="s">
        <v>208</v>
      </c>
      <c r="AI143" s="116">
        <v>306.90184827183447</v>
      </c>
      <c r="AJ143" s="117" t="s">
        <v>208</v>
      </c>
      <c r="AK143" s="116">
        <v>334.81916425899766</v>
      </c>
      <c r="AL143" s="117" t="s">
        <v>208</v>
      </c>
      <c r="AM143" s="116">
        <v>3918.7086387972295</v>
      </c>
    </row>
    <row r="144" spans="1:39" s="100" customFormat="1" ht="46.8" x14ac:dyDescent="0.3">
      <c r="A144" s="97">
        <v>134</v>
      </c>
      <c r="B144" s="98" t="s">
        <v>716</v>
      </c>
      <c r="C144" s="98" t="s">
        <v>2708</v>
      </c>
      <c r="D144" s="98" t="s">
        <v>1902</v>
      </c>
      <c r="E144" s="98" t="s">
        <v>2709</v>
      </c>
      <c r="F144" s="98" t="s">
        <v>49</v>
      </c>
      <c r="G144" s="99" t="s">
        <v>2710</v>
      </c>
      <c r="H144" s="99">
        <v>10</v>
      </c>
      <c r="I144" s="99" t="s">
        <v>2710</v>
      </c>
      <c r="J144" s="99">
        <v>2</v>
      </c>
      <c r="K144" s="98" t="s">
        <v>528</v>
      </c>
      <c r="L144" s="98" t="s">
        <v>528</v>
      </c>
      <c r="M144" s="116">
        <v>3771.2471591228546</v>
      </c>
      <c r="N144" s="116">
        <v>6291.4461272975723</v>
      </c>
      <c r="O144" s="116">
        <v>646</v>
      </c>
      <c r="P144" s="117" t="s">
        <v>208</v>
      </c>
      <c r="Q144" s="116">
        <v>511</v>
      </c>
      <c r="R144" s="117" t="s">
        <v>208</v>
      </c>
      <c r="S144" s="116">
        <v>544</v>
      </c>
      <c r="T144" s="117" t="s">
        <v>208</v>
      </c>
      <c r="U144" s="116">
        <v>570</v>
      </c>
      <c r="V144" s="117" t="s">
        <v>208</v>
      </c>
      <c r="W144" s="116">
        <v>293</v>
      </c>
      <c r="X144" s="117" t="s">
        <v>208</v>
      </c>
      <c r="Y144" s="116">
        <v>443.54545454545456</v>
      </c>
      <c r="Z144" s="117" t="s">
        <v>208</v>
      </c>
      <c r="AA144" s="116">
        <v>333</v>
      </c>
      <c r="AB144" s="117" t="s">
        <v>208</v>
      </c>
      <c r="AC144" s="116">
        <v>122</v>
      </c>
      <c r="AD144" s="117" t="s">
        <v>208</v>
      </c>
      <c r="AE144" s="116">
        <v>340</v>
      </c>
      <c r="AF144" s="117" t="s">
        <v>208</v>
      </c>
      <c r="AG144" s="116">
        <v>307</v>
      </c>
      <c r="AH144" s="117" t="s">
        <v>208</v>
      </c>
      <c r="AI144" s="116">
        <v>652</v>
      </c>
      <c r="AJ144" s="117" t="s">
        <v>208</v>
      </c>
      <c r="AK144" s="116">
        <v>561</v>
      </c>
      <c r="AL144" s="117" t="s">
        <v>208</v>
      </c>
      <c r="AM144" s="116">
        <v>5322.545454545454</v>
      </c>
    </row>
    <row r="145" spans="1:39" s="100" customFormat="1" ht="46.8" x14ac:dyDescent="0.3">
      <c r="A145" s="97">
        <v>135</v>
      </c>
      <c r="B145" s="98" t="s">
        <v>718</v>
      </c>
      <c r="C145" s="98" t="s">
        <v>2708</v>
      </c>
      <c r="D145" s="98" t="s">
        <v>1902</v>
      </c>
      <c r="E145" s="98" t="s">
        <v>2709</v>
      </c>
      <c r="F145" s="98" t="s">
        <v>49</v>
      </c>
      <c r="G145" s="99" t="s">
        <v>2710</v>
      </c>
      <c r="H145" s="99">
        <v>24</v>
      </c>
      <c r="I145" s="99" t="s">
        <v>2710</v>
      </c>
      <c r="J145" s="99">
        <v>6</v>
      </c>
      <c r="K145" s="98" t="s">
        <v>528</v>
      </c>
      <c r="L145" s="98" t="s">
        <v>528</v>
      </c>
      <c r="M145" s="116">
        <v>6635.5699279874234</v>
      </c>
      <c r="N145" s="116">
        <v>11534.486416086167</v>
      </c>
      <c r="O145" s="116">
        <v>1237</v>
      </c>
      <c r="P145" s="117" t="s">
        <v>208</v>
      </c>
      <c r="Q145" s="116">
        <v>1237</v>
      </c>
      <c r="R145" s="117" t="s">
        <v>208</v>
      </c>
      <c r="S145" s="116">
        <v>1237</v>
      </c>
      <c r="T145" s="117" t="s">
        <v>208</v>
      </c>
      <c r="U145" s="116">
        <v>1237</v>
      </c>
      <c r="V145" s="117" t="s">
        <v>208</v>
      </c>
      <c r="W145" s="116">
        <v>1237</v>
      </c>
      <c r="X145" s="117" t="s">
        <v>208</v>
      </c>
      <c r="Y145" s="116">
        <v>820.81818181818187</v>
      </c>
      <c r="Z145" s="117" t="s">
        <v>208</v>
      </c>
      <c r="AA145" s="116">
        <v>474</v>
      </c>
      <c r="AB145" s="117" t="s">
        <v>208</v>
      </c>
      <c r="AC145" s="116">
        <v>474</v>
      </c>
      <c r="AD145" s="117" t="s">
        <v>208</v>
      </c>
      <c r="AE145" s="116">
        <v>474</v>
      </c>
      <c r="AF145" s="117" t="s">
        <v>208</v>
      </c>
      <c r="AG145" s="116">
        <v>474</v>
      </c>
      <c r="AH145" s="117" t="s">
        <v>208</v>
      </c>
      <c r="AI145" s="116">
        <v>474</v>
      </c>
      <c r="AJ145" s="117" t="s">
        <v>208</v>
      </c>
      <c r="AK145" s="116">
        <v>474</v>
      </c>
      <c r="AL145" s="117" t="s">
        <v>208</v>
      </c>
      <c r="AM145" s="116">
        <v>9849.818181818182</v>
      </c>
    </row>
    <row r="146" spans="1:39" s="100" customFormat="1" ht="46.8" x14ac:dyDescent="0.3">
      <c r="A146" s="97">
        <v>136</v>
      </c>
      <c r="B146" s="98" t="s">
        <v>720</v>
      </c>
      <c r="C146" s="98" t="s">
        <v>2708</v>
      </c>
      <c r="D146" s="98" t="s">
        <v>1902</v>
      </c>
      <c r="E146" s="98" t="s">
        <v>2709</v>
      </c>
      <c r="F146" s="98" t="s">
        <v>49</v>
      </c>
      <c r="G146" s="99" t="s">
        <v>2710</v>
      </c>
      <c r="H146" s="99">
        <v>15</v>
      </c>
      <c r="I146" s="99" t="s">
        <v>2710</v>
      </c>
      <c r="J146" s="99">
        <v>3</v>
      </c>
      <c r="K146" s="98" t="s">
        <v>528</v>
      </c>
      <c r="L146" s="98" t="s">
        <v>529</v>
      </c>
      <c r="M146" s="116">
        <v>5979.0757782921037</v>
      </c>
      <c r="N146" s="116">
        <v>10726.271635607925</v>
      </c>
      <c r="O146" s="116">
        <v>1126</v>
      </c>
      <c r="P146" s="117" t="s">
        <v>1906</v>
      </c>
      <c r="Q146" s="116">
        <v>1126</v>
      </c>
      <c r="R146" s="117" t="s">
        <v>1906</v>
      </c>
      <c r="S146" s="116">
        <v>1126</v>
      </c>
      <c r="T146" s="117" t="s">
        <v>1906</v>
      </c>
      <c r="U146" s="116">
        <v>1126</v>
      </c>
      <c r="V146" s="117" t="s">
        <v>1906</v>
      </c>
      <c r="W146" s="116">
        <v>1126</v>
      </c>
      <c r="X146" s="117" t="s">
        <v>1906</v>
      </c>
      <c r="Y146" s="116">
        <v>730.5454545454545</v>
      </c>
      <c r="Z146" s="117" t="s">
        <v>1906</v>
      </c>
      <c r="AA146" s="116">
        <v>401</v>
      </c>
      <c r="AB146" s="117" t="s">
        <v>1906</v>
      </c>
      <c r="AC146" s="116">
        <v>401</v>
      </c>
      <c r="AD146" s="117" t="s">
        <v>1906</v>
      </c>
      <c r="AE146" s="116">
        <v>401</v>
      </c>
      <c r="AF146" s="117" t="s">
        <v>1906</v>
      </c>
      <c r="AG146" s="116">
        <v>401</v>
      </c>
      <c r="AH146" s="117" t="s">
        <v>1906</v>
      </c>
      <c r="AI146" s="116">
        <v>401</v>
      </c>
      <c r="AJ146" s="117" t="s">
        <v>1906</v>
      </c>
      <c r="AK146" s="116">
        <v>401</v>
      </c>
      <c r="AL146" s="117" t="s">
        <v>1906</v>
      </c>
      <c r="AM146" s="116">
        <v>8766.545454545454</v>
      </c>
    </row>
    <row r="147" spans="1:39" s="100" customFormat="1" ht="46.8" x14ac:dyDescent="0.3">
      <c r="A147" s="97">
        <v>137</v>
      </c>
      <c r="B147" s="98" t="s">
        <v>722</v>
      </c>
      <c r="C147" s="98" t="s">
        <v>2708</v>
      </c>
      <c r="D147" s="98" t="s">
        <v>1902</v>
      </c>
      <c r="E147" s="98" t="s">
        <v>2709</v>
      </c>
      <c r="F147" s="98" t="s">
        <v>49</v>
      </c>
      <c r="G147" s="99" t="s">
        <v>2710</v>
      </c>
      <c r="H147" s="99">
        <v>48</v>
      </c>
      <c r="I147" s="99" t="s">
        <v>2710</v>
      </c>
      <c r="J147" s="99">
        <v>8</v>
      </c>
      <c r="K147" s="98" t="s">
        <v>528</v>
      </c>
      <c r="L147" s="98" t="s">
        <v>528</v>
      </c>
      <c r="M147" s="116">
        <v>13642.561784615091</v>
      </c>
      <c r="N147" s="116">
        <v>24139.614265960965</v>
      </c>
      <c r="O147" s="116">
        <v>1316</v>
      </c>
      <c r="P147" s="117" t="s">
        <v>208</v>
      </c>
      <c r="Q147" s="116">
        <v>1620</v>
      </c>
      <c r="R147" s="117" t="s">
        <v>208</v>
      </c>
      <c r="S147" s="116">
        <v>1204</v>
      </c>
      <c r="T147" s="117" t="s">
        <v>208</v>
      </c>
      <c r="U147" s="116">
        <v>1399</v>
      </c>
      <c r="V147" s="117" t="s">
        <v>208</v>
      </c>
      <c r="W147" s="116">
        <v>1574</v>
      </c>
      <c r="X147" s="117" t="s">
        <v>208</v>
      </c>
      <c r="Y147" s="116">
        <v>1640.3636363636363</v>
      </c>
      <c r="Z147" s="117" t="s">
        <v>208</v>
      </c>
      <c r="AA147" s="116">
        <v>2095</v>
      </c>
      <c r="AB147" s="117" t="s">
        <v>208</v>
      </c>
      <c r="AC147" s="116">
        <v>1127</v>
      </c>
      <c r="AD147" s="117" t="s">
        <v>208</v>
      </c>
      <c r="AE147" s="116">
        <v>1327</v>
      </c>
      <c r="AF147" s="117" t="s">
        <v>208</v>
      </c>
      <c r="AG147" s="116">
        <v>4388</v>
      </c>
      <c r="AH147" s="117" t="s">
        <v>208</v>
      </c>
      <c r="AI147" s="116">
        <v>1137</v>
      </c>
      <c r="AJ147" s="117" t="s">
        <v>208</v>
      </c>
      <c r="AK147" s="116">
        <v>857</v>
      </c>
      <c r="AL147" s="117" t="s">
        <v>208</v>
      </c>
      <c r="AM147" s="116">
        <v>19684.363636363636</v>
      </c>
    </row>
    <row r="148" spans="1:39" s="100" customFormat="1" ht="46.8" x14ac:dyDescent="0.3">
      <c r="A148" s="97">
        <v>138</v>
      </c>
      <c r="B148" s="98" t="s">
        <v>723</v>
      </c>
      <c r="C148" s="98" t="s">
        <v>2708</v>
      </c>
      <c r="D148" s="98" t="s">
        <v>1902</v>
      </c>
      <c r="E148" s="98" t="s">
        <v>2709</v>
      </c>
      <c r="F148" s="98" t="s">
        <v>49</v>
      </c>
      <c r="G148" s="99" t="s">
        <v>2710</v>
      </c>
      <c r="H148" s="99">
        <v>8</v>
      </c>
      <c r="I148" s="99" t="s">
        <v>2710</v>
      </c>
      <c r="J148" s="99">
        <v>2</v>
      </c>
      <c r="K148" s="98" t="s">
        <v>528</v>
      </c>
      <c r="L148" s="98" t="s">
        <v>528</v>
      </c>
      <c r="M148" s="116">
        <v>3515.2706409275179</v>
      </c>
      <c r="N148" s="116">
        <v>5775.5560494527726</v>
      </c>
      <c r="O148" s="116">
        <v>44.66</v>
      </c>
      <c r="P148" s="117" t="s">
        <v>208</v>
      </c>
      <c r="Q148" s="116">
        <v>1427.3799999999999</v>
      </c>
      <c r="R148" s="117" t="s">
        <v>208</v>
      </c>
      <c r="S148" s="116">
        <v>466.32</v>
      </c>
      <c r="T148" s="117" t="s">
        <v>208</v>
      </c>
      <c r="U148" s="116">
        <v>409.47999999999996</v>
      </c>
      <c r="V148" s="117" t="s">
        <v>208</v>
      </c>
      <c r="W148" s="116">
        <v>269.12</v>
      </c>
      <c r="X148" s="117" t="s">
        <v>208</v>
      </c>
      <c r="Y148" s="116">
        <v>409.74363636363637</v>
      </c>
      <c r="Z148" s="117" t="s">
        <v>208</v>
      </c>
      <c r="AA148" s="116">
        <v>301.02</v>
      </c>
      <c r="AB148" s="117" t="s">
        <v>208</v>
      </c>
      <c r="AC148" s="116">
        <v>205.32</v>
      </c>
      <c r="AD148" s="117" t="s">
        <v>208</v>
      </c>
      <c r="AE148" s="116">
        <v>234.32</v>
      </c>
      <c r="AF148" s="117" t="s">
        <v>208</v>
      </c>
      <c r="AG148" s="116">
        <v>339.88</v>
      </c>
      <c r="AH148" s="117" t="s">
        <v>208</v>
      </c>
      <c r="AI148" s="116">
        <v>383.96</v>
      </c>
      <c r="AJ148" s="117" t="s">
        <v>208</v>
      </c>
      <c r="AK148" s="116">
        <v>425.71999999999997</v>
      </c>
      <c r="AL148" s="117" t="s">
        <v>208</v>
      </c>
      <c r="AM148" s="116">
        <v>4916.9236363636364</v>
      </c>
    </row>
    <row r="149" spans="1:39" s="100" customFormat="1" ht="46.8" x14ac:dyDescent="0.3">
      <c r="A149" s="97">
        <v>139</v>
      </c>
      <c r="B149" s="98" t="s">
        <v>725</v>
      </c>
      <c r="C149" s="98" t="s">
        <v>2708</v>
      </c>
      <c r="D149" s="98" t="s">
        <v>1902</v>
      </c>
      <c r="E149" s="98" t="s">
        <v>2709</v>
      </c>
      <c r="F149" s="98" t="s">
        <v>49</v>
      </c>
      <c r="G149" s="99" t="s">
        <v>2710</v>
      </c>
      <c r="H149" s="99">
        <v>11</v>
      </c>
      <c r="I149" s="99" t="s">
        <v>2710</v>
      </c>
      <c r="J149" s="99">
        <v>2</v>
      </c>
      <c r="K149" s="98" t="s">
        <v>528</v>
      </c>
      <c r="L149" s="98" t="s">
        <v>529</v>
      </c>
      <c r="M149" s="116">
        <v>3341.8206003139858</v>
      </c>
      <c r="N149" s="116">
        <v>5270.5094887973992</v>
      </c>
      <c r="O149" s="116">
        <v>514.70999999999992</v>
      </c>
      <c r="P149" s="117" t="s">
        <v>1906</v>
      </c>
      <c r="Q149" s="116">
        <v>514.70999999999992</v>
      </c>
      <c r="R149" s="117" t="s">
        <v>1906</v>
      </c>
      <c r="S149" s="116">
        <v>514.70999999999992</v>
      </c>
      <c r="T149" s="117" t="s">
        <v>1906</v>
      </c>
      <c r="U149" s="116">
        <v>514.70999999999992</v>
      </c>
      <c r="V149" s="117" t="s">
        <v>1906</v>
      </c>
      <c r="W149" s="116">
        <v>514.70999999999992</v>
      </c>
      <c r="X149" s="117" t="s">
        <v>1906</v>
      </c>
      <c r="Y149" s="116">
        <v>379.46454545454549</v>
      </c>
      <c r="Z149" s="117" t="s">
        <v>1906</v>
      </c>
      <c r="AA149" s="116">
        <v>266.76</v>
      </c>
      <c r="AB149" s="117" t="s">
        <v>1906</v>
      </c>
      <c r="AC149" s="116">
        <v>266.76</v>
      </c>
      <c r="AD149" s="117" t="s">
        <v>1906</v>
      </c>
      <c r="AE149" s="116">
        <v>266.76</v>
      </c>
      <c r="AF149" s="117" t="s">
        <v>1906</v>
      </c>
      <c r="AG149" s="116">
        <v>266.76</v>
      </c>
      <c r="AH149" s="117" t="s">
        <v>1906</v>
      </c>
      <c r="AI149" s="116">
        <v>266.76</v>
      </c>
      <c r="AJ149" s="117" t="s">
        <v>1906</v>
      </c>
      <c r="AK149" s="116">
        <v>266.76</v>
      </c>
      <c r="AL149" s="117" t="s">
        <v>1906</v>
      </c>
      <c r="AM149" s="116">
        <v>4553.5745454545468</v>
      </c>
    </row>
    <row r="150" spans="1:39" s="100" customFormat="1" ht="46.8" x14ac:dyDescent="0.3">
      <c r="A150" s="97">
        <v>140</v>
      </c>
      <c r="B150" s="98" t="s">
        <v>726</v>
      </c>
      <c r="C150" s="98" t="s">
        <v>2708</v>
      </c>
      <c r="D150" s="98" t="s">
        <v>1902</v>
      </c>
      <c r="E150" s="98" t="s">
        <v>2709</v>
      </c>
      <c r="F150" s="98" t="s">
        <v>49</v>
      </c>
      <c r="G150" s="99" t="s">
        <v>2710</v>
      </c>
      <c r="H150" s="99">
        <v>12</v>
      </c>
      <c r="I150" s="99" t="s">
        <v>2710</v>
      </c>
      <c r="J150" s="99">
        <v>3</v>
      </c>
      <c r="K150" s="98" t="s">
        <v>528</v>
      </c>
      <c r="L150" s="98" t="s">
        <v>528</v>
      </c>
      <c r="M150" s="116">
        <v>2563.108570617128</v>
      </c>
      <c r="N150" s="116">
        <v>4275.404575978152</v>
      </c>
      <c r="O150" s="116">
        <v>32.339999999999996</v>
      </c>
      <c r="P150" s="117" t="s">
        <v>208</v>
      </c>
      <c r="Q150" s="116">
        <v>1033.6199999999999</v>
      </c>
      <c r="R150" s="117" t="s">
        <v>208</v>
      </c>
      <c r="S150" s="116">
        <v>337.68</v>
      </c>
      <c r="T150" s="117" t="s">
        <v>208</v>
      </c>
      <c r="U150" s="116">
        <v>296.52</v>
      </c>
      <c r="V150" s="117" t="s">
        <v>208</v>
      </c>
      <c r="W150" s="116">
        <v>194.88</v>
      </c>
      <c r="X150" s="117" t="s">
        <v>208</v>
      </c>
      <c r="Y150" s="116">
        <v>296.71090909090907</v>
      </c>
      <c r="Z150" s="117" t="s">
        <v>208</v>
      </c>
      <c r="AA150" s="116">
        <v>217.98</v>
      </c>
      <c r="AB150" s="117" t="s">
        <v>208</v>
      </c>
      <c r="AC150" s="116">
        <v>148.68</v>
      </c>
      <c r="AD150" s="117" t="s">
        <v>208</v>
      </c>
      <c r="AE150" s="116">
        <v>169.68</v>
      </c>
      <c r="AF150" s="117" t="s">
        <v>208</v>
      </c>
      <c r="AG150" s="116">
        <v>246.12</v>
      </c>
      <c r="AH150" s="117" t="s">
        <v>208</v>
      </c>
      <c r="AI150" s="116">
        <v>278.03999999999996</v>
      </c>
      <c r="AJ150" s="117" t="s">
        <v>208</v>
      </c>
      <c r="AK150" s="116">
        <v>308.27999999999997</v>
      </c>
      <c r="AL150" s="117" t="s">
        <v>208</v>
      </c>
      <c r="AM150" s="116">
        <v>3560.5309090909086</v>
      </c>
    </row>
    <row r="151" spans="1:39" s="100" customFormat="1" ht="46.8" x14ac:dyDescent="0.3">
      <c r="A151" s="97">
        <v>141</v>
      </c>
      <c r="B151" s="98" t="s">
        <v>727</v>
      </c>
      <c r="C151" s="98" t="s">
        <v>2708</v>
      </c>
      <c r="D151" s="98" t="s">
        <v>1902</v>
      </c>
      <c r="E151" s="98" t="s">
        <v>2709</v>
      </c>
      <c r="F151" s="98" t="s">
        <v>49</v>
      </c>
      <c r="G151" s="99" t="s">
        <v>2710</v>
      </c>
      <c r="H151" s="99">
        <v>24</v>
      </c>
      <c r="I151" s="99" t="s">
        <v>2710</v>
      </c>
      <c r="J151" s="99">
        <v>4</v>
      </c>
      <c r="K151" s="98" t="s">
        <v>528</v>
      </c>
      <c r="L151" s="98" t="s">
        <v>528</v>
      </c>
      <c r="M151" s="116">
        <v>9920.742715370292</v>
      </c>
      <c r="N151" s="116">
        <v>18129.578499517949</v>
      </c>
      <c r="O151" s="116">
        <v>1550</v>
      </c>
      <c r="P151" s="117" t="s">
        <v>208</v>
      </c>
      <c r="Q151" s="116">
        <v>1330</v>
      </c>
      <c r="R151" s="117" t="s">
        <v>208</v>
      </c>
      <c r="S151" s="116">
        <v>996</v>
      </c>
      <c r="T151" s="117" t="s">
        <v>208</v>
      </c>
      <c r="U151" s="116">
        <v>1105</v>
      </c>
      <c r="V151" s="117" t="s">
        <v>208</v>
      </c>
      <c r="W151" s="116">
        <v>1064</v>
      </c>
      <c r="X151" s="117" t="s">
        <v>208</v>
      </c>
      <c r="Y151" s="116">
        <v>1233.5454545454545</v>
      </c>
      <c r="Z151" s="117" t="s">
        <v>208</v>
      </c>
      <c r="AA151" s="116">
        <v>1515</v>
      </c>
      <c r="AB151" s="117" t="s">
        <v>208</v>
      </c>
      <c r="AC151" s="116">
        <v>1092</v>
      </c>
      <c r="AD151" s="117" t="s">
        <v>208</v>
      </c>
      <c r="AE151" s="116">
        <v>1242</v>
      </c>
      <c r="AF151" s="117" t="s">
        <v>208</v>
      </c>
      <c r="AG151" s="116">
        <v>1334</v>
      </c>
      <c r="AH151" s="117" t="s">
        <v>208</v>
      </c>
      <c r="AI151" s="116">
        <v>1333</v>
      </c>
      <c r="AJ151" s="117" t="s">
        <v>208</v>
      </c>
      <c r="AK151" s="116">
        <v>1008</v>
      </c>
      <c r="AL151" s="117" t="s">
        <v>208</v>
      </c>
      <c r="AM151" s="116">
        <v>14802.545454545454</v>
      </c>
    </row>
    <row r="152" spans="1:39" s="100" customFormat="1" ht="46.8" x14ac:dyDescent="0.3">
      <c r="A152" s="97">
        <v>142</v>
      </c>
      <c r="B152" s="98" t="s">
        <v>728</v>
      </c>
      <c r="C152" s="98" t="s">
        <v>2708</v>
      </c>
      <c r="D152" s="98" t="s">
        <v>1902</v>
      </c>
      <c r="E152" s="98" t="s">
        <v>2709</v>
      </c>
      <c r="F152" s="98" t="s">
        <v>49</v>
      </c>
      <c r="G152" s="99" t="s">
        <v>2710</v>
      </c>
      <c r="H152" s="99">
        <v>4</v>
      </c>
      <c r="I152" s="99" t="s">
        <v>2710</v>
      </c>
      <c r="J152" s="99">
        <v>2</v>
      </c>
      <c r="K152" s="98" t="s">
        <v>528</v>
      </c>
      <c r="L152" s="98" t="s">
        <v>528</v>
      </c>
      <c r="M152" s="116">
        <v>2488.8149305880984</v>
      </c>
      <c r="N152" s="116">
        <v>4189.2025169069311</v>
      </c>
      <c r="O152" s="116">
        <v>431</v>
      </c>
      <c r="P152" s="117" t="s">
        <v>208</v>
      </c>
      <c r="Q152" s="116">
        <v>479</v>
      </c>
      <c r="R152" s="117" t="s">
        <v>208</v>
      </c>
      <c r="S152" s="116">
        <v>363</v>
      </c>
      <c r="T152" s="117" t="s">
        <v>208</v>
      </c>
      <c r="U152" s="116">
        <v>350</v>
      </c>
      <c r="V152" s="117" t="s">
        <v>208</v>
      </c>
      <c r="W152" s="116">
        <v>278</v>
      </c>
      <c r="X152" s="117" t="s">
        <v>208</v>
      </c>
      <c r="Y152" s="116">
        <v>290.36363636363637</v>
      </c>
      <c r="Z152" s="117" t="s">
        <v>208</v>
      </c>
      <c r="AA152" s="116">
        <v>156</v>
      </c>
      <c r="AB152" s="117" t="s">
        <v>208</v>
      </c>
      <c r="AC152" s="116">
        <v>235</v>
      </c>
      <c r="AD152" s="117" t="s">
        <v>208</v>
      </c>
      <c r="AE152" s="116">
        <v>335</v>
      </c>
      <c r="AF152" s="117" t="s">
        <v>208</v>
      </c>
      <c r="AG152" s="116">
        <v>80</v>
      </c>
      <c r="AH152" s="117" t="s">
        <v>208</v>
      </c>
      <c r="AI152" s="116">
        <v>260</v>
      </c>
      <c r="AJ152" s="117" t="s">
        <v>208</v>
      </c>
      <c r="AK152" s="116">
        <v>227</v>
      </c>
      <c r="AL152" s="117" t="s">
        <v>208</v>
      </c>
      <c r="AM152" s="116">
        <v>3484.3636363636365</v>
      </c>
    </row>
    <row r="153" spans="1:39" s="100" customFormat="1" ht="46.8" x14ac:dyDescent="0.3">
      <c r="A153" s="97">
        <v>143</v>
      </c>
      <c r="B153" s="98" t="s">
        <v>729</v>
      </c>
      <c r="C153" s="98" t="s">
        <v>2708</v>
      </c>
      <c r="D153" s="98" t="s">
        <v>1902</v>
      </c>
      <c r="E153" s="98" t="s">
        <v>2709</v>
      </c>
      <c r="F153" s="98" t="s">
        <v>49</v>
      </c>
      <c r="G153" s="99" t="s">
        <v>2710</v>
      </c>
      <c r="H153" s="99">
        <v>20</v>
      </c>
      <c r="I153" s="99" t="s">
        <v>2710</v>
      </c>
      <c r="J153" s="99">
        <v>4</v>
      </c>
      <c r="K153" s="98" t="s">
        <v>528</v>
      </c>
      <c r="L153" s="98" t="s">
        <v>529</v>
      </c>
      <c r="M153" s="116">
        <v>12046.970597683738</v>
      </c>
      <c r="N153" s="116">
        <v>21029.346380718667</v>
      </c>
      <c r="O153" s="116">
        <v>2048</v>
      </c>
      <c r="P153" s="117" t="s">
        <v>1906</v>
      </c>
      <c r="Q153" s="116">
        <v>2048</v>
      </c>
      <c r="R153" s="117" t="s">
        <v>1906</v>
      </c>
      <c r="S153" s="116">
        <v>2048</v>
      </c>
      <c r="T153" s="117" t="s">
        <v>1906</v>
      </c>
      <c r="U153" s="116">
        <v>2048</v>
      </c>
      <c r="V153" s="117" t="s">
        <v>1906</v>
      </c>
      <c r="W153" s="116">
        <v>2048</v>
      </c>
      <c r="X153" s="117" t="s">
        <v>1906</v>
      </c>
      <c r="Y153" s="116">
        <v>1505.2727272727273</v>
      </c>
      <c r="Z153" s="117" t="s">
        <v>1906</v>
      </c>
      <c r="AA153" s="116">
        <v>1053</v>
      </c>
      <c r="AB153" s="117" t="s">
        <v>1906</v>
      </c>
      <c r="AC153" s="116">
        <v>1053</v>
      </c>
      <c r="AD153" s="117" t="s">
        <v>1906</v>
      </c>
      <c r="AE153" s="116">
        <v>1053</v>
      </c>
      <c r="AF153" s="117" t="s">
        <v>1906</v>
      </c>
      <c r="AG153" s="116">
        <v>1053</v>
      </c>
      <c r="AH153" s="117" t="s">
        <v>1906</v>
      </c>
      <c r="AI153" s="116">
        <v>1053</v>
      </c>
      <c r="AJ153" s="117" t="s">
        <v>1906</v>
      </c>
      <c r="AK153" s="116">
        <v>1053</v>
      </c>
      <c r="AL153" s="117" t="s">
        <v>1906</v>
      </c>
      <c r="AM153" s="116">
        <v>18063.272727272728</v>
      </c>
    </row>
    <row r="154" spans="1:39" s="100" customFormat="1" ht="46.8" x14ac:dyDescent="0.3">
      <c r="A154" s="97">
        <v>144</v>
      </c>
      <c r="B154" s="98" t="s">
        <v>731</v>
      </c>
      <c r="C154" s="98" t="s">
        <v>2708</v>
      </c>
      <c r="D154" s="98" t="s">
        <v>1902</v>
      </c>
      <c r="E154" s="98" t="s">
        <v>2709</v>
      </c>
      <c r="F154" s="98" t="s">
        <v>49</v>
      </c>
      <c r="G154" s="99" t="s">
        <v>2710</v>
      </c>
      <c r="H154" s="99">
        <v>18</v>
      </c>
      <c r="I154" s="99" t="s">
        <v>2710</v>
      </c>
      <c r="J154" s="99">
        <v>3</v>
      </c>
      <c r="K154" s="98" t="s">
        <v>528</v>
      </c>
      <c r="L154" s="98" t="s">
        <v>528</v>
      </c>
      <c r="M154" s="116">
        <v>9776.5453253762498</v>
      </c>
      <c r="N154" s="116">
        <v>15505.36612514405</v>
      </c>
      <c r="O154" s="116">
        <v>1282</v>
      </c>
      <c r="P154" s="117" t="s">
        <v>208</v>
      </c>
      <c r="Q154" s="116">
        <v>1298</v>
      </c>
      <c r="R154" s="117" t="s">
        <v>208</v>
      </c>
      <c r="S154" s="116">
        <v>1135</v>
      </c>
      <c r="T154" s="117" t="s">
        <v>208</v>
      </c>
      <c r="U154" s="116">
        <v>1068</v>
      </c>
      <c r="V154" s="117" t="s">
        <v>208</v>
      </c>
      <c r="W154" s="116">
        <v>1193</v>
      </c>
      <c r="X154" s="117" t="s">
        <v>208</v>
      </c>
      <c r="Y154" s="116">
        <v>1099.7272727272727</v>
      </c>
      <c r="Z154" s="117" t="s">
        <v>208</v>
      </c>
      <c r="AA154" s="116">
        <v>1266</v>
      </c>
      <c r="AB154" s="117" t="s">
        <v>208</v>
      </c>
      <c r="AC154" s="116">
        <v>757</v>
      </c>
      <c r="AD154" s="117" t="s">
        <v>208</v>
      </c>
      <c r="AE154" s="116">
        <v>903</v>
      </c>
      <c r="AF154" s="117" t="s">
        <v>208</v>
      </c>
      <c r="AG154" s="116">
        <v>983</v>
      </c>
      <c r="AH154" s="117" t="s">
        <v>208</v>
      </c>
      <c r="AI154" s="116">
        <v>1213</v>
      </c>
      <c r="AJ154" s="117" t="s">
        <v>208</v>
      </c>
      <c r="AK154" s="116">
        <v>999</v>
      </c>
      <c r="AL154" s="117" t="s">
        <v>208</v>
      </c>
      <c r="AM154" s="116">
        <v>13196.727272727272</v>
      </c>
    </row>
    <row r="155" spans="1:39" s="100" customFormat="1" ht="46.8" x14ac:dyDescent="0.3">
      <c r="A155" s="97">
        <v>145</v>
      </c>
      <c r="B155" s="98" t="s">
        <v>732</v>
      </c>
      <c r="C155" s="98" t="s">
        <v>2708</v>
      </c>
      <c r="D155" s="98" t="s">
        <v>1902</v>
      </c>
      <c r="E155" s="98" t="s">
        <v>2709</v>
      </c>
      <c r="F155" s="98" t="s">
        <v>49</v>
      </c>
      <c r="G155" s="99" t="s">
        <v>2710</v>
      </c>
      <c r="H155" s="99">
        <v>21</v>
      </c>
      <c r="I155" s="99" t="s">
        <v>2710</v>
      </c>
      <c r="J155" s="99">
        <v>3</v>
      </c>
      <c r="K155" s="98" t="s">
        <v>528</v>
      </c>
      <c r="L155" s="98" t="s">
        <v>528</v>
      </c>
      <c r="M155" s="116">
        <v>7878.8146280436758</v>
      </c>
      <c r="N155" s="116">
        <v>13092.262698460439</v>
      </c>
      <c r="O155" s="116">
        <v>1453</v>
      </c>
      <c r="P155" s="117" t="s">
        <v>208</v>
      </c>
      <c r="Q155" s="116">
        <v>959</v>
      </c>
      <c r="R155" s="117" t="s">
        <v>208</v>
      </c>
      <c r="S155" s="116">
        <v>974</v>
      </c>
      <c r="T155" s="117" t="s">
        <v>208</v>
      </c>
      <c r="U155" s="116">
        <v>873</v>
      </c>
      <c r="V155" s="117" t="s">
        <v>208</v>
      </c>
      <c r="W155" s="116">
        <v>759</v>
      </c>
      <c r="X155" s="117" t="s">
        <v>208</v>
      </c>
      <c r="Y155" s="116">
        <v>934.4545454545455</v>
      </c>
      <c r="Z155" s="117" t="s">
        <v>208</v>
      </c>
      <c r="AA155" s="116">
        <v>1059</v>
      </c>
      <c r="AB155" s="117" t="s">
        <v>208</v>
      </c>
      <c r="AC155" s="116">
        <v>651</v>
      </c>
      <c r="AD155" s="117" t="s">
        <v>208</v>
      </c>
      <c r="AE155" s="116">
        <v>851</v>
      </c>
      <c r="AF155" s="117" t="s">
        <v>208</v>
      </c>
      <c r="AG155" s="116">
        <v>795</v>
      </c>
      <c r="AH155" s="117" t="s">
        <v>208</v>
      </c>
      <c r="AI155" s="116">
        <v>1202</v>
      </c>
      <c r="AJ155" s="117" t="s">
        <v>208</v>
      </c>
      <c r="AK155" s="116">
        <v>703</v>
      </c>
      <c r="AL155" s="117" t="s">
        <v>208</v>
      </c>
      <c r="AM155" s="116">
        <v>11213.454545454546</v>
      </c>
    </row>
    <row r="156" spans="1:39" s="100" customFormat="1" ht="46.8" x14ac:dyDescent="0.3">
      <c r="A156" s="97">
        <v>146</v>
      </c>
      <c r="B156" s="98" t="s">
        <v>735</v>
      </c>
      <c r="C156" s="98" t="s">
        <v>2708</v>
      </c>
      <c r="D156" s="98" t="s">
        <v>1902</v>
      </c>
      <c r="E156" s="98" t="s">
        <v>2709</v>
      </c>
      <c r="F156" s="98" t="s">
        <v>49</v>
      </c>
      <c r="G156" s="99" t="s">
        <v>2710</v>
      </c>
      <c r="H156" s="99">
        <v>32</v>
      </c>
      <c r="I156" s="99" t="s">
        <v>2710</v>
      </c>
      <c r="J156" s="99">
        <v>8</v>
      </c>
      <c r="K156" s="98" t="s">
        <v>528</v>
      </c>
      <c r="L156" s="98" t="s">
        <v>528</v>
      </c>
      <c r="M156" s="116">
        <v>11397.22422135032</v>
      </c>
      <c r="N156" s="116">
        <v>18486.563864946667</v>
      </c>
      <c r="O156" s="116">
        <v>1651</v>
      </c>
      <c r="P156" s="117" t="s">
        <v>208</v>
      </c>
      <c r="Q156" s="116">
        <v>1460</v>
      </c>
      <c r="R156" s="117" t="s">
        <v>208</v>
      </c>
      <c r="S156" s="116">
        <v>1122</v>
      </c>
      <c r="T156" s="117" t="s">
        <v>208</v>
      </c>
      <c r="U156" s="116">
        <v>1065</v>
      </c>
      <c r="V156" s="117" t="s">
        <v>208</v>
      </c>
      <c r="W156" s="116">
        <v>1061</v>
      </c>
      <c r="X156" s="117" t="s">
        <v>208</v>
      </c>
      <c r="Y156" s="116">
        <v>1296.5454545454545</v>
      </c>
      <c r="Z156" s="117" t="s">
        <v>208</v>
      </c>
      <c r="AA156" s="116">
        <v>1227</v>
      </c>
      <c r="AB156" s="117" t="s">
        <v>208</v>
      </c>
      <c r="AC156" s="116">
        <v>1000</v>
      </c>
      <c r="AD156" s="117" t="s">
        <v>208</v>
      </c>
      <c r="AE156" s="116">
        <v>1034</v>
      </c>
      <c r="AF156" s="117" t="s">
        <v>208</v>
      </c>
      <c r="AG156" s="116">
        <v>1591</v>
      </c>
      <c r="AH156" s="117" t="s">
        <v>208</v>
      </c>
      <c r="AI156" s="116">
        <v>1339</v>
      </c>
      <c r="AJ156" s="117" t="s">
        <v>208</v>
      </c>
      <c r="AK156" s="116">
        <v>1712</v>
      </c>
      <c r="AL156" s="117" t="s">
        <v>208</v>
      </c>
      <c r="AM156" s="116">
        <v>15558.545454545454</v>
      </c>
    </row>
    <row r="157" spans="1:39" s="100" customFormat="1" ht="46.8" x14ac:dyDescent="0.3">
      <c r="A157" s="97">
        <v>147</v>
      </c>
      <c r="B157" s="98" t="s">
        <v>736</v>
      </c>
      <c r="C157" s="98" t="s">
        <v>2708</v>
      </c>
      <c r="D157" s="98" t="s">
        <v>1902</v>
      </c>
      <c r="E157" s="98" t="s">
        <v>2709</v>
      </c>
      <c r="F157" s="98" t="s">
        <v>49</v>
      </c>
      <c r="G157" s="99" t="s">
        <v>2710</v>
      </c>
      <c r="H157" s="99">
        <v>30</v>
      </c>
      <c r="I157" s="99" t="s">
        <v>2710</v>
      </c>
      <c r="J157" s="99">
        <v>6</v>
      </c>
      <c r="K157" s="98" t="s">
        <v>528</v>
      </c>
      <c r="L157" s="98" t="s">
        <v>528</v>
      </c>
      <c r="M157" s="116">
        <v>1658.0450739693949</v>
      </c>
      <c r="N157" s="116">
        <v>2648.6057570720659</v>
      </c>
      <c r="O157" s="116">
        <v>260</v>
      </c>
      <c r="P157" s="117" t="s">
        <v>208</v>
      </c>
      <c r="Q157" s="116">
        <v>144</v>
      </c>
      <c r="R157" s="117" t="s">
        <v>208</v>
      </c>
      <c r="S157" s="116">
        <v>179</v>
      </c>
      <c r="T157" s="117" t="s">
        <v>208</v>
      </c>
      <c r="U157" s="116">
        <v>158</v>
      </c>
      <c r="V157" s="117" t="s">
        <v>208</v>
      </c>
      <c r="W157" s="116">
        <v>183</v>
      </c>
      <c r="X157" s="117" t="s">
        <v>208</v>
      </c>
      <c r="Y157" s="116">
        <v>186.72727272727272</v>
      </c>
      <c r="Z157" s="117" t="s">
        <v>208</v>
      </c>
      <c r="AA157" s="116">
        <v>196</v>
      </c>
      <c r="AB157" s="117" t="s">
        <v>208</v>
      </c>
      <c r="AC157" s="116">
        <v>169</v>
      </c>
      <c r="AD157" s="117" t="s">
        <v>208</v>
      </c>
      <c r="AE157" s="116">
        <v>229</v>
      </c>
      <c r="AF157" s="117" t="s">
        <v>208</v>
      </c>
      <c r="AG157" s="116">
        <v>238</v>
      </c>
      <c r="AH157" s="117" t="s">
        <v>208</v>
      </c>
      <c r="AI157" s="116">
        <v>120</v>
      </c>
      <c r="AJ157" s="117" t="s">
        <v>208</v>
      </c>
      <c r="AK157" s="116">
        <v>178</v>
      </c>
      <c r="AL157" s="117" t="s">
        <v>208</v>
      </c>
      <c r="AM157" s="116">
        <v>2240.727272727273</v>
      </c>
    </row>
    <row r="158" spans="1:39" s="100" customFormat="1" ht="46.8" x14ac:dyDescent="0.3">
      <c r="A158" s="97">
        <v>148</v>
      </c>
      <c r="B158" s="98" t="s">
        <v>738</v>
      </c>
      <c r="C158" s="98" t="s">
        <v>2708</v>
      </c>
      <c r="D158" s="98" t="s">
        <v>1902</v>
      </c>
      <c r="E158" s="98" t="s">
        <v>2709</v>
      </c>
      <c r="F158" s="98" t="s">
        <v>49</v>
      </c>
      <c r="G158" s="99" t="s">
        <v>2710</v>
      </c>
      <c r="H158" s="99">
        <v>10</v>
      </c>
      <c r="I158" s="99" t="s">
        <v>2710</v>
      </c>
      <c r="J158" s="99">
        <v>2</v>
      </c>
      <c r="K158" s="98" t="s">
        <v>528</v>
      </c>
      <c r="L158" s="98" t="s">
        <v>528</v>
      </c>
      <c r="M158" s="116">
        <v>2089.7885723384429</v>
      </c>
      <c r="N158" s="116">
        <v>3761.2778614704021</v>
      </c>
      <c r="O158" s="116">
        <v>276.95999999999998</v>
      </c>
      <c r="P158" s="117" t="s">
        <v>208</v>
      </c>
      <c r="Q158" s="116">
        <v>299.03999999999996</v>
      </c>
      <c r="R158" s="117" t="s">
        <v>208</v>
      </c>
      <c r="S158" s="116">
        <v>228</v>
      </c>
      <c r="T158" s="117" t="s">
        <v>208</v>
      </c>
      <c r="U158" s="116">
        <v>244.8</v>
      </c>
      <c r="V158" s="117" t="s">
        <v>208</v>
      </c>
      <c r="W158" s="116">
        <v>224.16</v>
      </c>
      <c r="X158" s="117" t="s">
        <v>208</v>
      </c>
      <c r="Y158" s="116">
        <v>253.26545454545459</v>
      </c>
      <c r="Z158" s="117" t="s">
        <v>208</v>
      </c>
      <c r="AA158" s="116">
        <v>277.91999999999996</v>
      </c>
      <c r="AB158" s="117" t="s">
        <v>208</v>
      </c>
      <c r="AC158" s="116">
        <v>177.6</v>
      </c>
      <c r="AD158" s="117" t="s">
        <v>208</v>
      </c>
      <c r="AE158" s="116">
        <v>196.8</v>
      </c>
      <c r="AF158" s="117" t="s">
        <v>208</v>
      </c>
      <c r="AG158" s="116">
        <v>312.48</v>
      </c>
      <c r="AH158" s="117" t="s">
        <v>208</v>
      </c>
      <c r="AI158" s="116">
        <v>231.84</v>
      </c>
      <c r="AJ158" s="117" t="s">
        <v>208</v>
      </c>
      <c r="AK158" s="116">
        <v>316.32</v>
      </c>
      <c r="AL158" s="117" t="s">
        <v>208</v>
      </c>
      <c r="AM158" s="116">
        <v>3039.1854545454548</v>
      </c>
    </row>
    <row r="159" spans="1:39" s="100" customFormat="1" ht="46.8" x14ac:dyDescent="0.3">
      <c r="A159" s="97">
        <v>149</v>
      </c>
      <c r="B159" s="98" t="s">
        <v>740</v>
      </c>
      <c r="C159" s="98" t="s">
        <v>2708</v>
      </c>
      <c r="D159" s="98" t="s">
        <v>1902</v>
      </c>
      <c r="E159" s="98" t="s">
        <v>2709</v>
      </c>
      <c r="F159" s="98" t="s">
        <v>49</v>
      </c>
      <c r="G159" s="99" t="s">
        <v>2710</v>
      </c>
      <c r="H159" s="99">
        <v>5</v>
      </c>
      <c r="I159" s="99" t="s">
        <v>2710</v>
      </c>
      <c r="J159" s="99">
        <v>1</v>
      </c>
      <c r="K159" s="98" t="s">
        <v>528</v>
      </c>
      <c r="L159" s="98" t="s">
        <v>528</v>
      </c>
      <c r="M159" s="116">
        <v>9093.1939544256511</v>
      </c>
      <c r="N159" s="116">
        <v>16380.314192997621</v>
      </c>
      <c r="O159" s="116">
        <v>1429</v>
      </c>
      <c r="P159" s="117" t="s">
        <v>208</v>
      </c>
      <c r="Q159" s="116">
        <v>1513</v>
      </c>
      <c r="R159" s="117" t="s">
        <v>208</v>
      </c>
      <c r="S159" s="116">
        <v>1239</v>
      </c>
      <c r="T159" s="117" t="s">
        <v>208</v>
      </c>
      <c r="U159" s="116">
        <v>1123</v>
      </c>
      <c r="V159" s="117" t="s">
        <v>208</v>
      </c>
      <c r="W159" s="116">
        <v>944</v>
      </c>
      <c r="X159" s="117" t="s">
        <v>208</v>
      </c>
      <c r="Y159" s="116">
        <v>1136.6363636363637</v>
      </c>
      <c r="Z159" s="117" t="s">
        <v>208</v>
      </c>
      <c r="AA159" s="116">
        <v>1134</v>
      </c>
      <c r="AB159" s="117" t="s">
        <v>208</v>
      </c>
      <c r="AC159" s="116">
        <v>537</v>
      </c>
      <c r="AD159" s="117" t="s">
        <v>208</v>
      </c>
      <c r="AE159" s="116">
        <v>1297</v>
      </c>
      <c r="AF159" s="117" t="s">
        <v>208</v>
      </c>
      <c r="AG159" s="116">
        <v>1068</v>
      </c>
      <c r="AH159" s="117" t="s">
        <v>208</v>
      </c>
      <c r="AI159" s="116">
        <v>1231</v>
      </c>
      <c r="AJ159" s="117" t="s">
        <v>208</v>
      </c>
      <c r="AK159" s="116">
        <v>988</v>
      </c>
      <c r="AL159" s="117" t="s">
        <v>208</v>
      </c>
      <c r="AM159" s="116">
        <v>13639.636363636364</v>
      </c>
    </row>
    <row r="160" spans="1:39" s="100" customFormat="1" ht="46.8" x14ac:dyDescent="0.3">
      <c r="A160" s="97">
        <v>150</v>
      </c>
      <c r="B160" s="98" t="s">
        <v>741</v>
      </c>
      <c r="C160" s="98" t="s">
        <v>2708</v>
      </c>
      <c r="D160" s="98" t="s">
        <v>1902</v>
      </c>
      <c r="E160" s="98" t="s">
        <v>2709</v>
      </c>
      <c r="F160" s="98" t="s">
        <v>49</v>
      </c>
      <c r="G160" s="99" t="s">
        <v>2710</v>
      </c>
      <c r="H160" s="99">
        <v>5</v>
      </c>
      <c r="I160" s="99" t="s">
        <v>2710</v>
      </c>
      <c r="J160" s="99">
        <v>1</v>
      </c>
      <c r="K160" s="98" t="s">
        <v>528</v>
      </c>
      <c r="L160" s="98" t="s">
        <v>528</v>
      </c>
      <c r="M160" s="116">
        <v>4033.4903966558777</v>
      </c>
      <c r="N160" s="116">
        <v>6806.9213998181831</v>
      </c>
      <c r="O160" s="116">
        <v>506.20574710305107</v>
      </c>
      <c r="P160" s="117" t="s">
        <v>208</v>
      </c>
      <c r="Q160" s="116">
        <v>503.67973990684976</v>
      </c>
      <c r="R160" s="117" t="s">
        <v>208</v>
      </c>
      <c r="S160" s="116">
        <v>476.77351484145282</v>
      </c>
      <c r="T160" s="117" t="s">
        <v>208</v>
      </c>
      <c r="U160" s="116">
        <v>433.23490116882903</v>
      </c>
      <c r="V160" s="117" t="s">
        <v>208</v>
      </c>
      <c r="W160" s="116">
        <v>459.59445488298593</v>
      </c>
      <c r="X160" s="117" t="s">
        <v>208</v>
      </c>
      <c r="Y160" s="116">
        <v>461.61351890390034</v>
      </c>
      <c r="Z160" s="117" t="s">
        <v>208</v>
      </c>
      <c r="AA160" s="116">
        <v>336.21102440842412</v>
      </c>
      <c r="AB160" s="117" t="s">
        <v>208</v>
      </c>
      <c r="AC160" s="116">
        <v>471.59216602831771</v>
      </c>
      <c r="AD160" s="117" t="s">
        <v>208</v>
      </c>
      <c r="AE160" s="116">
        <v>356.55756514558351</v>
      </c>
      <c r="AF160" s="117" t="s">
        <v>208</v>
      </c>
      <c r="AG160" s="116">
        <v>513.65157620426635</v>
      </c>
      <c r="AH160" s="117" t="s">
        <v>208</v>
      </c>
      <c r="AI160" s="116">
        <v>507.18305062642378</v>
      </c>
      <c r="AJ160" s="117" t="s">
        <v>208</v>
      </c>
      <c r="AK160" s="116">
        <v>513.0649676267202</v>
      </c>
      <c r="AL160" s="117" t="s">
        <v>208</v>
      </c>
      <c r="AM160" s="116">
        <v>5539.3622268468052</v>
      </c>
    </row>
    <row r="161" spans="1:39" s="100" customFormat="1" ht="46.8" x14ac:dyDescent="0.3">
      <c r="A161" s="97">
        <v>151</v>
      </c>
      <c r="B161" s="98" t="s">
        <v>742</v>
      </c>
      <c r="C161" s="98" t="s">
        <v>2708</v>
      </c>
      <c r="D161" s="98" t="s">
        <v>1902</v>
      </c>
      <c r="E161" s="98" t="s">
        <v>2709</v>
      </c>
      <c r="F161" s="98" t="s">
        <v>49</v>
      </c>
      <c r="G161" s="99" t="s">
        <v>2710</v>
      </c>
      <c r="H161" s="99">
        <v>4</v>
      </c>
      <c r="I161" s="99" t="s">
        <v>2710</v>
      </c>
      <c r="J161" s="99">
        <v>1</v>
      </c>
      <c r="K161" s="98" t="s">
        <v>528</v>
      </c>
      <c r="L161" s="98" t="s">
        <v>528</v>
      </c>
      <c r="M161" s="116">
        <v>2782.0781383107719</v>
      </c>
      <c r="N161" s="116">
        <v>4566.8907841644177</v>
      </c>
      <c r="O161" s="116">
        <v>418.16952313842535</v>
      </c>
      <c r="P161" s="117" t="s">
        <v>208</v>
      </c>
      <c r="Q161" s="116">
        <v>250.69608545699376</v>
      </c>
      <c r="R161" s="117" t="s">
        <v>208</v>
      </c>
      <c r="S161" s="116">
        <v>385.80866535685163</v>
      </c>
      <c r="T161" s="117" t="s">
        <v>208</v>
      </c>
      <c r="U161" s="116">
        <v>261.684396760391</v>
      </c>
      <c r="V161" s="117" t="s">
        <v>208</v>
      </c>
      <c r="W161" s="116">
        <v>269.52082153326421</v>
      </c>
      <c r="X161" s="117" t="s">
        <v>208</v>
      </c>
      <c r="Y161" s="116">
        <v>311.36508138209979</v>
      </c>
      <c r="Z161" s="117" t="s">
        <v>208</v>
      </c>
      <c r="AA161" s="116">
        <v>258.41658868049154</v>
      </c>
      <c r="AB161" s="117" t="s">
        <v>208</v>
      </c>
      <c r="AC161" s="116">
        <v>317.95536573003983</v>
      </c>
      <c r="AD161" s="117" t="s">
        <v>208</v>
      </c>
      <c r="AE161" s="116">
        <v>324.68473522321261</v>
      </c>
      <c r="AF161" s="117" t="s">
        <v>208</v>
      </c>
      <c r="AG161" s="116">
        <v>251.11241035702164</v>
      </c>
      <c r="AH161" s="117" t="s">
        <v>208</v>
      </c>
      <c r="AI161" s="116">
        <v>391.47863485152595</v>
      </c>
      <c r="AJ161" s="117" t="s">
        <v>208</v>
      </c>
      <c r="AK161" s="116">
        <v>295.48866811488057</v>
      </c>
      <c r="AL161" s="117" t="s">
        <v>208</v>
      </c>
      <c r="AM161" s="116">
        <v>3736.3809765851975</v>
      </c>
    </row>
    <row r="162" spans="1:39" s="100" customFormat="1" ht="46.8" x14ac:dyDescent="0.3">
      <c r="A162" s="97">
        <v>152</v>
      </c>
      <c r="B162" s="98" t="s">
        <v>743</v>
      </c>
      <c r="C162" s="98" t="s">
        <v>2708</v>
      </c>
      <c r="D162" s="98" t="s">
        <v>1902</v>
      </c>
      <c r="E162" s="98" t="s">
        <v>2709</v>
      </c>
      <c r="F162" s="98" t="s">
        <v>49</v>
      </c>
      <c r="G162" s="99" t="s">
        <v>2710</v>
      </c>
      <c r="H162" s="99">
        <v>5</v>
      </c>
      <c r="I162" s="99" t="s">
        <v>2710</v>
      </c>
      <c r="J162" s="99">
        <v>1</v>
      </c>
      <c r="K162" s="98" t="s">
        <v>528</v>
      </c>
      <c r="L162" s="98" t="s">
        <v>528</v>
      </c>
      <c r="M162" s="116">
        <v>3827.467330352838</v>
      </c>
      <c r="N162" s="116">
        <v>6568.1839393945093</v>
      </c>
      <c r="O162" s="116">
        <v>504.59812533087671</v>
      </c>
      <c r="P162" s="117" t="s">
        <v>208</v>
      </c>
      <c r="Q162" s="116">
        <v>388.54905321199118</v>
      </c>
      <c r="R162" s="117" t="s">
        <v>208</v>
      </c>
      <c r="S162" s="116">
        <v>536.3485826086561</v>
      </c>
      <c r="T162" s="117" t="s">
        <v>208</v>
      </c>
      <c r="U162" s="116">
        <v>380.68338379818789</v>
      </c>
      <c r="V162" s="117" t="s">
        <v>208</v>
      </c>
      <c r="W162" s="116">
        <v>384.88623687808513</v>
      </c>
      <c r="X162" s="117" t="s">
        <v>208</v>
      </c>
      <c r="Y162" s="116">
        <v>457.52395425215639</v>
      </c>
      <c r="Z162" s="117" t="s">
        <v>208</v>
      </c>
      <c r="AA162" s="116">
        <v>583.96195094480424</v>
      </c>
      <c r="AB162" s="117" t="s">
        <v>208</v>
      </c>
      <c r="AC162" s="116">
        <v>561.78554216499492</v>
      </c>
      <c r="AD162" s="117" t="s">
        <v>208</v>
      </c>
      <c r="AE162" s="116">
        <v>408.52602933407735</v>
      </c>
      <c r="AF162" s="117" t="s">
        <v>208</v>
      </c>
      <c r="AG162" s="116">
        <v>412.7345131612729</v>
      </c>
      <c r="AH162" s="117" t="s">
        <v>208</v>
      </c>
      <c r="AI162" s="116">
        <v>334.99652319842369</v>
      </c>
      <c r="AJ162" s="117" t="s">
        <v>208</v>
      </c>
      <c r="AK162" s="116">
        <v>535.69355614234951</v>
      </c>
      <c r="AL162" s="117" t="s">
        <v>208</v>
      </c>
      <c r="AM162" s="116">
        <v>5490.2874510258753</v>
      </c>
    </row>
    <row r="163" spans="1:39" s="100" customFormat="1" ht="46.8" x14ac:dyDescent="0.3">
      <c r="A163" s="97">
        <v>153</v>
      </c>
      <c r="B163" s="98" t="s">
        <v>744</v>
      </c>
      <c r="C163" s="98" t="s">
        <v>2708</v>
      </c>
      <c r="D163" s="98" t="s">
        <v>1902</v>
      </c>
      <c r="E163" s="98" t="s">
        <v>2709</v>
      </c>
      <c r="F163" s="98" t="s">
        <v>49</v>
      </c>
      <c r="G163" s="99" t="s">
        <v>2710</v>
      </c>
      <c r="H163" s="99">
        <v>2</v>
      </c>
      <c r="I163" s="99" t="s">
        <v>2710</v>
      </c>
      <c r="J163" s="99">
        <v>1</v>
      </c>
      <c r="K163" s="98" t="s">
        <v>528</v>
      </c>
      <c r="L163" s="98" t="s">
        <v>528</v>
      </c>
      <c r="M163" s="116">
        <v>5301.4985507978236</v>
      </c>
      <c r="N163" s="116">
        <v>9255.8229072785252</v>
      </c>
      <c r="O163" s="116">
        <v>619.56933877160088</v>
      </c>
      <c r="P163" s="117" t="s">
        <v>208</v>
      </c>
      <c r="Q163" s="116">
        <v>627.51555775429733</v>
      </c>
      <c r="R163" s="117" t="s">
        <v>208</v>
      </c>
      <c r="S163" s="116">
        <v>711.66611022188499</v>
      </c>
      <c r="T163" s="117" t="s">
        <v>208</v>
      </c>
      <c r="U163" s="116">
        <v>717.41809423041434</v>
      </c>
      <c r="V163" s="117" t="s">
        <v>208</v>
      </c>
      <c r="W163" s="116">
        <v>623.95229711472984</v>
      </c>
      <c r="X163" s="117" t="s">
        <v>208</v>
      </c>
      <c r="Y163" s="116">
        <v>635.5949077239286</v>
      </c>
      <c r="Z163" s="117" t="s">
        <v>208</v>
      </c>
      <c r="AA163" s="116">
        <v>453.82738085693649</v>
      </c>
      <c r="AB163" s="117" t="s">
        <v>208</v>
      </c>
      <c r="AC163" s="116">
        <v>584.74161779948508</v>
      </c>
      <c r="AD163" s="117" t="s">
        <v>208</v>
      </c>
      <c r="AE163" s="116">
        <v>679.09005143308104</v>
      </c>
      <c r="AF163" s="117" t="s">
        <v>208</v>
      </c>
      <c r="AG163" s="116">
        <v>564.01200614400943</v>
      </c>
      <c r="AH163" s="117" t="s">
        <v>208</v>
      </c>
      <c r="AI163" s="116">
        <v>694.80432767903937</v>
      </c>
      <c r="AJ163" s="117" t="s">
        <v>208</v>
      </c>
      <c r="AK163" s="116">
        <v>714.94720295773675</v>
      </c>
      <c r="AL163" s="117" t="s">
        <v>208</v>
      </c>
      <c r="AM163" s="116">
        <v>7627.1388926871441</v>
      </c>
    </row>
    <row r="164" spans="1:39" s="100" customFormat="1" ht="46.8" x14ac:dyDescent="0.3">
      <c r="A164" s="97">
        <v>154</v>
      </c>
      <c r="B164" s="98" t="s">
        <v>745</v>
      </c>
      <c r="C164" s="98" t="s">
        <v>2708</v>
      </c>
      <c r="D164" s="98" t="s">
        <v>1902</v>
      </c>
      <c r="E164" s="98" t="s">
        <v>2709</v>
      </c>
      <c r="F164" s="98" t="s">
        <v>49</v>
      </c>
      <c r="G164" s="99" t="s">
        <v>2710</v>
      </c>
      <c r="H164" s="99">
        <v>54</v>
      </c>
      <c r="I164" s="99" t="s">
        <v>2710</v>
      </c>
      <c r="J164" s="99">
        <v>9</v>
      </c>
      <c r="K164" s="98" t="s">
        <v>528</v>
      </c>
      <c r="L164" s="98" t="s">
        <v>528</v>
      </c>
      <c r="M164" s="116">
        <v>1490.0119325605729</v>
      </c>
      <c r="N164" s="116">
        <v>2686.1854008474738</v>
      </c>
      <c r="O164" s="116">
        <v>205.41179515771663</v>
      </c>
      <c r="P164" s="117" t="s">
        <v>208</v>
      </c>
      <c r="Q164" s="116">
        <v>208.72124767866217</v>
      </c>
      <c r="R164" s="117" t="s">
        <v>208</v>
      </c>
      <c r="S164" s="116">
        <v>180.34939166226363</v>
      </c>
      <c r="T164" s="117" t="s">
        <v>208</v>
      </c>
      <c r="U164" s="116">
        <v>217.37112255649848</v>
      </c>
      <c r="V164" s="117" t="s">
        <v>208</v>
      </c>
      <c r="W164" s="116">
        <v>209.28769943230921</v>
      </c>
      <c r="X164" s="117" t="s">
        <v>208</v>
      </c>
      <c r="Y164" s="116">
        <v>186.0903249374301</v>
      </c>
      <c r="Z164" s="117" t="s">
        <v>208</v>
      </c>
      <c r="AA164" s="116">
        <v>192.38218476790098</v>
      </c>
      <c r="AB164" s="117" t="s">
        <v>208</v>
      </c>
      <c r="AC164" s="116">
        <v>149.38168423147121</v>
      </c>
      <c r="AD164" s="117" t="s">
        <v>208</v>
      </c>
      <c r="AE164" s="116">
        <v>158.77866947954527</v>
      </c>
      <c r="AF164" s="117" t="s">
        <v>208</v>
      </c>
      <c r="AG164" s="116">
        <v>187.71797406105779</v>
      </c>
      <c r="AH164" s="117" t="s">
        <v>208</v>
      </c>
      <c r="AI164" s="116">
        <v>154.99007962521301</v>
      </c>
      <c r="AJ164" s="117" t="s">
        <v>208</v>
      </c>
      <c r="AK164" s="116">
        <v>182.60172565909329</v>
      </c>
      <c r="AL164" s="117" t="s">
        <v>208</v>
      </c>
      <c r="AM164" s="116">
        <v>2233.0838992491617</v>
      </c>
    </row>
    <row r="165" spans="1:39" s="100" customFormat="1" ht="46.8" x14ac:dyDescent="0.3">
      <c r="A165" s="97">
        <v>155</v>
      </c>
      <c r="B165" s="98" t="s">
        <v>747</v>
      </c>
      <c r="C165" s="98" t="s">
        <v>2708</v>
      </c>
      <c r="D165" s="98" t="s">
        <v>1902</v>
      </c>
      <c r="E165" s="98" t="s">
        <v>2709</v>
      </c>
      <c r="F165" s="98" t="s">
        <v>49</v>
      </c>
      <c r="G165" s="99" t="s">
        <v>2710</v>
      </c>
      <c r="H165" s="99">
        <v>29</v>
      </c>
      <c r="I165" s="99" t="s">
        <v>2710</v>
      </c>
      <c r="J165" s="99">
        <v>6</v>
      </c>
      <c r="K165" s="98" t="s">
        <v>528</v>
      </c>
      <c r="L165" s="98" t="s">
        <v>528</v>
      </c>
      <c r="M165" s="116">
        <v>23515.798455403092</v>
      </c>
      <c r="N165" s="116">
        <v>43968.274417689878</v>
      </c>
      <c r="O165" s="116">
        <v>4881</v>
      </c>
      <c r="P165" s="117" t="s">
        <v>208</v>
      </c>
      <c r="Q165" s="116">
        <v>4881</v>
      </c>
      <c r="R165" s="117" t="s">
        <v>208</v>
      </c>
      <c r="S165" s="116">
        <v>0</v>
      </c>
      <c r="T165" s="117" t="s">
        <v>208</v>
      </c>
      <c r="U165" s="116">
        <v>4331</v>
      </c>
      <c r="V165" s="117" t="s">
        <v>208</v>
      </c>
      <c r="W165" s="116">
        <v>4498</v>
      </c>
      <c r="X165" s="117" t="s">
        <v>208</v>
      </c>
      <c r="Y165" s="116">
        <v>3001.909090909091</v>
      </c>
      <c r="Z165" s="117" t="s">
        <v>208</v>
      </c>
      <c r="AA165" s="116">
        <v>2405</v>
      </c>
      <c r="AB165" s="117" t="s">
        <v>208</v>
      </c>
      <c r="AC165" s="116">
        <v>2405</v>
      </c>
      <c r="AD165" s="117" t="s">
        <v>208</v>
      </c>
      <c r="AE165" s="116">
        <v>2405</v>
      </c>
      <c r="AF165" s="117" t="s">
        <v>208</v>
      </c>
      <c r="AG165" s="116">
        <v>2405</v>
      </c>
      <c r="AH165" s="117" t="s">
        <v>208</v>
      </c>
      <c r="AI165" s="116">
        <v>2405</v>
      </c>
      <c r="AJ165" s="117" t="s">
        <v>208</v>
      </c>
      <c r="AK165" s="116">
        <v>2405</v>
      </c>
      <c r="AL165" s="117" t="s">
        <v>208</v>
      </c>
      <c r="AM165" s="116">
        <v>36022.909090909088</v>
      </c>
    </row>
    <row r="166" spans="1:39" s="100" customFormat="1" ht="46.8" x14ac:dyDescent="0.3">
      <c r="A166" s="97">
        <v>156</v>
      </c>
      <c r="B166" s="98" t="s">
        <v>748</v>
      </c>
      <c r="C166" s="98" t="s">
        <v>2708</v>
      </c>
      <c r="D166" s="98" t="s">
        <v>1902</v>
      </c>
      <c r="E166" s="98" t="s">
        <v>2709</v>
      </c>
      <c r="F166" s="98" t="s">
        <v>49</v>
      </c>
      <c r="G166" s="99" t="s">
        <v>2710</v>
      </c>
      <c r="H166" s="99">
        <v>29</v>
      </c>
      <c r="I166" s="99" t="s">
        <v>2710</v>
      </c>
      <c r="J166" s="99">
        <v>6</v>
      </c>
      <c r="K166" s="98" t="s">
        <v>528</v>
      </c>
      <c r="L166" s="98" t="s">
        <v>528</v>
      </c>
      <c r="M166" s="116">
        <v>3271.4409419226668</v>
      </c>
      <c r="N166" s="116">
        <v>5760.4637083830839</v>
      </c>
      <c r="O166" s="116">
        <v>733</v>
      </c>
      <c r="P166" s="117" t="s">
        <v>208</v>
      </c>
      <c r="Q166" s="116">
        <v>433</v>
      </c>
      <c r="R166" s="117" t="s">
        <v>208</v>
      </c>
      <c r="S166" s="116">
        <v>231</v>
      </c>
      <c r="T166" s="117" t="s">
        <v>208</v>
      </c>
      <c r="U166" s="116">
        <v>244</v>
      </c>
      <c r="V166" s="117" t="s">
        <v>208</v>
      </c>
      <c r="W166" s="116">
        <v>243</v>
      </c>
      <c r="X166" s="117" t="s">
        <v>208</v>
      </c>
      <c r="Y166" s="116">
        <v>388.27272727272725</v>
      </c>
      <c r="Z166" s="117" t="s">
        <v>208</v>
      </c>
      <c r="AA166" s="116">
        <v>271</v>
      </c>
      <c r="AB166" s="117" t="s">
        <v>208</v>
      </c>
      <c r="AC166" s="116">
        <v>108</v>
      </c>
      <c r="AD166" s="117" t="s">
        <v>208</v>
      </c>
      <c r="AE166" s="116">
        <v>378</v>
      </c>
      <c r="AF166" s="117" t="s">
        <v>208</v>
      </c>
      <c r="AG166" s="116">
        <v>419</v>
      </c>
      <c r="AH166" s="117" t="s">
        <v>208</v>
      </c>
      <c r="AI166" s="116">
        <v>618</v>
      </c>
      <c r="AJ166" s="117" t="s">
        <v>208</v>
      </c>
      <c r="AK166" s="116">
        <v>593</v>
      </c>
      <c r="AL166" s="117" t="s">
        <v>208</v>
      </c>
      <c r="AM166" s="116">
        <v>4659.272727272727</v>
      </c>
    </row>
    <row r="167" spans="1:39" s="100" customFormat="1" ht="46.8" x14ac:dyDescent="0.3">
      <c r="A167" s="97">
        <v>157</v>
      </c>
      <c r="B167" s="98" t="s">
        <v>750</v>
      </c>
      <c r="C167" s="98" t="s">
        <v>2708</v>
      </c>
      <c r="D167" s="98" t="s">
        <v>1902</v>
      </c>
      <c r="E167" s="98" t="s">
        <v>2709</v>
      </c>
      <c r="F167" s="98" t="s">
        <v>49</v>
      </c>
      <c r="G167" s="99" t="s">
        <v>2710</v>
      </c>
      <c r="H167" s="99">
        <v>42</v>
      </c>
      <c r="I167" s="99" t="s">
        <v>2710</v>
      </c>
      <c r="J167" s="99">
        <v>7</v>
      </c>
      <c r="K167" s="98" t="s">
        <v>528</v>
      </c>
      <c r="L167" s="98" t="s">
        <v>528</v>
      </c>
      <c r="M167" s="116">
        <v>11101.920384707315</v>
      </c>
      <c r="N167" s="116">
        <v>19582.835434758017</v>
      </c>
      <c r="O167" s="116">
        <v>1860</v>
      </c>
      <c r="P167" s="117" t="s">
        <v>208</v>
      </c>
      <c r="Q167" s="116">
        <v>1292</v>
      </c>
      <c r="R167" s="117" t="s">
        <v>208</v>
      </c>
      <c r="S167" s="116">
        <v>1158</v>
      </c>
      <c r="T167" s="117" t="s">
        <v>208</v>
      </c>
      <c r="U167" s="116">
        <v>1102</v>
      </c>
      <c r="V167" s="117" t="s">
        <v>208</v>
      </c>
      <c r="W167" s="116">
        <v>2354</v>
      </c>
      <c r="X167" s="117" t="s">
        <v>208</v>
      </c>
      <c r="Y167" s="116">
        <v>1396.7272727272727</v>
      </c>
      <c r="Z167" s="117" t="s">
        <v>208</v>
      </c>
      <c r="AA167" s="116">
        <v>1391</v>
      </c>
      <c r="AB167" s="117" t="s">
        <v>208</v>
      </c>
      <c r="AC167" s="116">
        <v>994</v>
      </c>
      <c r="AD167" s="117" t="s">
        <v>208</v>
      </c>
      <c r="AE167" s="116">
        <v>1118</v>
      </c>
      <c r="AF167" s="117" t="s">
        <v>208</v>
      </c>
      <c r="AG167" s="116">
        <v>1526</v>
      </c>
      <c r="AH167" s="117" t="s">
        <v>208</v>
      </c>
      <c r="AI167" s="116">
        <v>1276</v>
      </c>
      <c r="AJ167" s="117" t="s">
        <v>208</v>
      </c>
      <c r="AK167" s="116">
        <v>1293</v>
      </c>
      <c r="AL167" s="117" t="s">
        <v>208</v>
      </c>
      <c r="AM167" s="116">
        <v>16760.727272727272</v>
      </c>
    </row>
    <row r="168" spans="1:39" s="100" customFormat="1" ht="46.8" x14ac:dyDescent="0.3">
      <c r="A168" s="97">
        <v>158</v>
      </c>
      <c r="B168" s="98" t="s">
        <v>751</v>
      </c>
      <c r="C168" s="98" t="s">
        <v>2708</v>
      </c>
      <c r="D168" s="98" t="s">
        <v>1902</v>
      </c>
      <c r="E168" s="98" t="s">
        <v>2709</v>
      </c>
      <c r="F168" s="98" t="s">
        <v>49</v>
      </c>
      <c r="G168" s="99" t="s">
        <v>2710</v>
      </c>
      <c r="H168" s="99">
        <v>12</v>
      </c>
      <c r="I168" s="99" t="s">
        <v>2710</v>
      </c>
      <c r="J168" s="99">
        <v>2</v>
      </c>
      <c r="K168" s="98" t="s">
        <v>528</v>
      </c>
      <c r="L168" s="98" t="s">
        <v>528</v>
      </c>
      <c r="M168" s="116">
        <v>2790.4247381909568</v>
      </c>
      <c r="N168" s="116">
        <v>4737.3233106021762</v>
      </c>
      <c r="O168" s="116">
        <v>398</v>
      </c>
      <c r="P168" s="117" t="s">
        <v>208</v>
      </c>
      <c r="Q168" s="116">
        <v>370</v>
      </c>
      <c r="R168" s="117" t="s">
        <v>208</v>
      </c>
      <c r="S168" s="116">
        <v>295</v>
      </c>
      <c r="T168" s="117" t="s">
        <v>208</v>
      </c>
      <c r="U168" s="116">
        <v>321</v>
      </c>
      <c r="V168" s="117" t="s">
        <v>208</v>
      </c>
      <c r="W168" s="116">
        <v>288</v>
      </c>
      <c r="X168" s="117" t="s">
        <v>208</v>
      </c>
      <c r="Y168" s="116">
        <v>342.45454545454544</v>
      </c>
      <c r="Z168" s="117" t="s">
        <v>208</v>
      </c>
      <c r="AA168" s="116">
        <v>468</v>
      </c>
      <c r="AB168" s="117" t="s">
        <v>208</v>
      </c>
      <c r="AC168" s="116">
        <v>190</v>
      </c>
      <c r="AD168" s="117" t="s">
        <v>208</v>
      </c>
      <c r="AE168" s="116">
        <v>405</v>
      </c>
      <c r="AF168" s="117" t="s">
        <v>208</v>
      </c>
      <c r="AG168" s="116">
        <v>358</v>
      </c>
      <c r="AH168" s="117" t="s">
        <v>208</v>
      </c>
      <c r="AI168" s="116">
        <v>366</v>
      </c>
      <c r="AJ168" s="117" t="s">
        <v>208</v>
      </c>
      <c r="AK168" s="116">
        <v>308</v>
      </c>
      <c r="AL168" s="117" t="s">
        <v>208</v>
      </c>
      <c r="AM168" s="116">
        <v>4109.454545454546</v>
      </c>
    </row>
    <row r="169" spans="1:39" s="100" customFormat="1" ht="46.8" x14ac:dyDescent="0.3">
      <c r="A169" s="97">
        <v>159</v>
      </c>
      <c r="B169" s="98" t="s">
        <v>752</v>
      </c>
      <c r="C169" s="98" t="s">
        <v>2708</v>
      </c>
      <c r="D169" s="98" t="s">
        <v>1902</v>
      </c>
      <c r="E169" s="98" t="s">
        <v>2709</v>
      </c>
      <c r="F169" s="98" t="s">
        <v>49</v>
      </c>
      <c r="G169" s="99" t="s">
        <v>2710</v>
      </c>
      <c r="H169" s="99">
        <v>21</v>
      </c>
      <c r="I169" s="99" t="s">
        <v>2710</v>
      </c>
      <c r="J169" s="99">
        <v>3</v>
      </c>
      <c r="K169" s="98" t="s">
        <v>528</v>
      </c>
      <c r="L169" s="98" t="s">
        <v>528</v>
      </c>
      <c r="M169" s="116">
        <v>10967.0187398996</v>
      </c>
      <c r="N169" s="116">
        <v>19534.46178529819</v>
      </c>
      <c r="O169" s="116">
        <v>1745</v>
      </c>
      <c r="P169" s="117" t="s">
        <v>208</v>
      </c>
      <c r="Q169" s="116">
        <v>1599</v>
      </c>
      <c r="R169" s="117" t="s">
        <v>208</v>
      </c>
      <c r="S169" s="116">
        <v>1267</v>
      </c>
      <c r="T169" s="117" t="s">
        <v>208</v>
      </c>
      <c r="U169" s="116">
        <v>1412</v>
      </c>
      <c r="V169" s="117" t="s">
        <v>208</v>
      </c>
      <c r="W169" s="116">
        <v>1084</v>
      </c>
      <c r="X169" s="117" t="s">
        <v>208</v>
      </c>
      <c r="Y169" s="116">
        <v>1362.4545454545455</v>
      </c>
      <c r="Z169" s="117" t="s">
        <v>208</v>
      </c>
      <c r="AA169" s="116">
        <v>1623</v>
      </c>
      <c r="AB169" s="117" t="s">
        <v>208</v>
      </c>
      <c r="AC169" s="116">
        <v>793</v>
      </c>
      <c r="AD169" s="117" t="s">
        <v>208</v>
      </c>
      <c r="AE169" s="116">
        <v>1537</v>
      </c>
      <c r="AF169" s="117" t="s">
        <v>208</v>
      </c>
      <c r="AG169" s="116">
        <v>1214</v>
      </c>
      <c r="AH169" s="117" t="s">
        <v>208</v>
      </c>
      <c r="AI169" s="116">
        <v>1488</v>
      </c>
      <c r="AJ169" s="117" t="s">
        <v>208</v>
      </c>
      <c r="AK169" s="116">
        <v>1225</v>
      </c>
      <c r="AL169" s="117" t="s">
        <v>208</v>
      </c>
      <c r="AM169" s="116">
        <v>16349.454545454546</v>
      </c>
    </row>
    <row r="170" spans="1:39" s="100" customFormat="1" ht="46.8" x14ac:dyDescent="0.3">
      <c r="A170" s="97">
        <v>160</v>
      </c>
      <c r="B170" s="98" t="s">
        <v>753</v>
      </c>
      <c r="C170" s="98" t="s">
        <v>2708</v>
      </c>
      <c r="D170" s="98" t="s">
        <v>1902</v>
      </c>
      <c r="E170" s="98" t="s">
        <v>2709</v>
      </c>
      <c r="F170" s="98" t="s">
        <v>49</v>
      </c>
      <c r="G170" s="99" t="s">
        <v>2710</v>
      </c>
      <c r="H170" s="99">
        <v>3</v>
      </c>
      <c r="I170" s="99" t="s">
        <v>2710</v>
      </c>
      <c r="J170" s="99">
        <v>1</v>
      </c>
      <c r="K170" s="98" t="s">
        <v>528</v>
      </c>
      <c r="L170" s="98" t="s">
        <v>528</v>
      </c>
      <c r="M170" s="116">
        <v>1930.2603038746836</v>
      </c>
      <c r="N170" s="116">
        <v>3092.3797442176074</v>
      </c>
      <c r="O170" s="116">
        <v>220.66753718772716</v>
      </c>
      <c r="P170" s="117" t="s">
        <v>208</v>
      </c>
      <c r="Q170" s="116">
        <v>176.1895034641733</v>
      </c>
      <c r="R170" s="117" t="s">
        <v>208</v>
      </c>
      <c r="S170" s="116">
        <v>282.9682574653537</v>
      </c>
      <c r="T170" s="117" t="s">
        <v>208</v>
      </c>
      <c r="U170" s="116">
        <v>177.50718073456579</v>
      </c>
      <c r="V170" s="117" t="s">
        <v>208</v>
      </c>
      <c r="W170" s="116">
        <v>195.50091633755204</v>
      </c>
      <c r="X170" s="117" t="s">
        <v>208</v>
      </c>
      <c r="Y170" s="116">
        <v>215.48977009341618</v>
      </c>
      <c r="Z170" s="117" t="s">
        <v>208</v>
      </c>
      <c r="AA170" s="116">
        <v>181.57648712551784</v>
      </c>
      <c r="AB170" s="117" t="s">
        <v>208</v>
      </c>
      <c r="AC170" s="116">
        <v>190.99399785044349</v>
      </c>
      <c r="AD170" s="117" t="s">
        <v>208</v>
      </c>
      <c r="AE170" s="116">
        <v>231.51815330677516</v>
      </c>
      <c r="AF170" s="117" t="s">
        <v>208</v>
      </c>
      <c r="AG170" s="116">
        <v>229.80298191715445</v>
      </c>
      <c r="AH170" s="117" t="s">
        <v>208</v>
      </c>
      <c r="AI170" s="116">
        <v>236.00195117659325</v>
      </c>
      <c r="AJ170" s="117" t="s">
        <v>208</v>
      </c>
      <c r="AK170" s="116">
        <v>247.66050446172184</v>
      </c>
      <c r="AL170" s="117" t="s">
        <v>208</v>
      </c>
      <c r="AM170" s="116">
        <v>2585.8772411209939</v>
      </c>
    </row>
    <row r="171" spans="1:39" s="100" customFormat="1" ht="46.8" x14ac:dyDescent="0.3">
      <c r="A171" s="97">
        <v>161</v>
      </c>
      <c r="B171" s="98" t="s">
        <v>754</v>
      </c>
      <c r="C171" s="98" t="s">
        <v>2708</v>
      </c>
      <c r="D171" s="98" t="s">
        <v>1902</v>
      </c>
      <c r="E171" s="98" t="s">
        <v>2709</v>
      </c>
      <c r="F171" s="98" t="s">
        <v>49</v>
      </c>
      <c r="G171" s="99" t="s">
        <v>2710</v>
      </c>
      <c r="H171" s="99">
        <v>12</v>
      </c>
      <c r="I171" s="99" t="s">
        <v>2710</v>
      </c>
      <c r="J171" s="99">
        <v>2</v>
      </c>
      <c r="K171" s="98" t="s">
        <v>528</v>
      </c>
      <c r="L171" s="98" t="s">
        <v>528</v>
      </c>
      <c r="M171" s="116">
        <v>5113.7930226958915</v>
      </c>
      <c r="N171" s="116">
        <v>8519.457130828303</v>
      </c>
      <c r="O171" s="116">
        <v>721</v>
      </c>
      <c r="P171" s="117" t="s">
        <v>208</v>
      </c>
      <c r="Q171" s="116">
        <v>693</v>
      </c>
      <c r="R171" s="117" t="s">
        <v>208</v>
      </c>
      <c r="S171" s="116">
        <v>620</v>
      </c>
      <c r="T171" s="117" t="s">
        <v>208</v>
      </c>
      <c r="U171" s="116">
        <v>580</v>
      </c>
      <c r="V171" s="117" t="s">
        <v>208</v>
      </c>
      <c r="W171" s="116">
        <v>536</v>
      </c>
      <c r="X171" s="117" t="s">
        <v>208</v>
      </c>
      <c r="Y171" s="116">
        <v>585.81818181818187</v>
      </c>
      <c r="Z171" s="117" t="s">
        <v>208</v>
      </c>
      <c r="AA171" s="116">
        <v>657</v>
      </c>
      <c r="AB171" s="117" t="s">
        <v>208</v>
      </c>
      <c r="AC171" s="116">
        <v>401</v>
      </c>
      <c r="AD171" s="117" t="s">
        <v>208</v>
      </c>
      <c r="AE171" s="116">
        <v>435</v>
      </c>
      <c r="AF171" s="117" t="s">
        <v>208</v>
      </c>
      <c r="AG171" s="116">
        <v>607</v>
      </c>
      <c r="AH171" s="117" t="s">
        <v>208</v>
      </c>
      <c r="AI171" s="116">
        <v>467</v>
      </c>
      <c r="AJ171" s="117" t="s">
        <v>208</v>
      </c>
      <c r="AK171" s="116">
        <v>727</v>
      </c>
      <c r="AL171" s="117" t="s">
        <v>208</v>
      </c>
      <c r="AM171" s="116">
        <v>7029.818181818182</v>
      </c>
    </row>
    <row r="172" spans="1:39" s="100" customFormat="1" ht="46.8" x14ac:dyDescent="0.3">
      <c r="A172" s="97">
        <v>162</v>
      </c>
      <c r="B172" s="98" t="s">
        <v>756</v>
      </c>
      <c r="C172" s="98" t="s">
        <v>2708</v>
      </c>
      <c r="D172" s="98" t="s">
        <v>1902</v>
      </c>
      <c r="E172" s="98" t="s">
        <v>2709</v>
      </c>
      <c r="F172" s="98" t="s">
        <v>49</v>
      </c>
      <c r="G172" s="99" t="s">
        <v>2710</v>
      </c>
      <c r="H172" s="99">
        <v>25</v>
      </c>
      <c r="I172" s="99" t="s">
        <v>2710</v>
      </c>
      <c r="J172" s="99">
        <v>4</v>
      </c>
      <c r="K172" s="98" t="s">
        <v>528</v>
      </c>
      <c r="L172" s="98" t="s">
        <v>528</v>
      </c>
      <c r="M172" s="116">
        <v>12370.010686905272</v>
      </c>
      <c r="N172" s="116">
        <v>20537.697091285536</v>
      </c>
      <c r="O172" s="116">
        <v>1027</v>
      </c>
      <c r="P172" s="117" t="s">
        <v>208</v>
      </c>
      <c r="Q172" s="116">
        <v>1999</v>
      </c>
      <c r="R172" s="117" t="s">
        <v>208</v>
      </c>
      <c r="S172" s="116">
        <v>1260</v>
      </c>
      <c r="T172" s="117" t="s">
        <v>208</v>
      </c>
      <c r="U172" s="116">
        <v>1242</v>
      </c>
      <c r="V172" s="117" t="s">
        <v>208</v>
      </c>
      <c r="W172" s="116">
        <v>1151</v>
      </c>
      <c r="X172" s="117" t="s">
        <v>208</v>
      </c>
      <c r="Y172" s="116">
        <v>1438.090909090909</v>
      </c>
      <c r="Z172" s="117" t="s">
        <v>208</v>
      </c>
      <c r="AA172" s="116">
        <v>1594</v>
      </c>
      <c r="AB172" s="117" t="s">
        <v>208</v>
      </c>
      <c r="AC172" s="116">
        <v>1242</v>
      </c>
      <c r="AD172" s="117" t="s">
        <v>208</v>
      </c>
      <c r="AE172" s="116">
        <v>1936</v>
      </c>
      <c r="AF172" s="117" t="s">
        <v>208</v>
      </c>
      <c r="AG172" s="116">
        <v>1166</v>
      </c>
      <c r="AH172" s="117" t="s">
        <v>208</v>
      </c>
      <c r="AI172" s="116">
        <v>1396</v>
      </c>
      <c r="AJ172" s="117" t="s">
        <v>208</v>
      </c>
      <c r="AK172" s="116">
        <v>1806</v>
      </c>
      <c r="AL172" s="117" t="s">
        <v>208</v>
      </c>
      <c r="AM172" s="116">
        <v>17257.090909090908</v>
      </c>
    </row>
    <row r="173" spans="1:39" s="100" customFormat="1" ht="46.8" x14ac:dyDescent="0.3">
      <c r="A173" s="97">
        <v>163</v>
      </c>
      <c r="B173" s="98" t="s">
        <v>758</v>
      </c>
      <c r="C173" s="98" t="s">
        <v>2708</v>
      </c>
      <c r="D173" s="98" t="s">
        <v>1902</v>
      </c>
      <c r="E173" s="98" t="s">
        <v>2709</v>
      </c>
      <c r="F173" s="98" t="s">
        <v>49</v>
      </c>
      <c r="G173" s="99" t="s">
        <v>2710</v>
      </c>
      <c r="H173" s="99">
        <v>30</v>
      </c>
      <c r="I173" s="99" t="s">
        <v>2710</v>
      </c>
      <c r="J173" s="99">
        <v>6</v>
      </c>
      <c r="K173" s="98" t="s">
        <v>528</v>
      </c>
      <c r="L173" s="98" t="s">
        <v>528</v>
      </c>
      <c r="M173" s="116">
        <v>15217.809758028241</v>
      </c>
      <c r="N173" s="116">
        <v>26807.321625334778</v>
      </c>
      <c r="O173" s="116">
        <v>2041</v>
      </c>
      <c r="P173" s="117" t="s">
        <v>208</v>
      </c>
      <c r="Q173" s="116">
        <v>1914</v>
      </c>
      <c r="R173" s="117" t="s">
        <v>208</v>
      </c>
      <c r="S173" s="116">
        <v>1994</v>
      </c>
      <c r="T173" s="117" t="s">
        <v>208</v>
      </c>
      <c r="U173" s="116">
        <v>1575</v>
      </c>
      <c r="V173" s="117" t="s">
        <v>208</v>
      </c>
      <c r="W173" s="116">
        <v>1665</v>
      </c>
      <c r="X173" s="117" t="s">
        <v>208</v>
      </c>
      <c r="Y173" s="116">
        <v>1858.2727272727273</v>
      </c>
      <c r="Z173" s="117" t="s">
        <v>208</v>
      </c>
      <c r="AA173" s="116">
        <v>2452</v>
      </c>
      <c r="AB173" s="117" t="s">
        <v>208</v>
      </c>
      <c r="AC173" s="116">
        <v>1740</v>
      </c>
      <c r="AD173" s="117" t="s">
        <v>208</v>
      </c>
      <c r="AE173" s="116">
        <v>1169</v>
      </c>
      <c r="AF173" s="117" t="s">
        <v>208</v>
      </c>
      <c r="AG173" s="116">
        <v>2087</v>
      </c>
      <c r="AH173" s="117" t="s">
        <v>208</v>
      </c>
      <c r="AI173" s="116">
        <v>1474</v>
      </c>
      <c r="AJ173" s="117" t="s">
        <v>208</v>
      </c>
      <c r="AK173" s="116">
        <v>2330</v>
      </c>
      <c r="AL173" s="117" t="s">
        <v>208</v>
      </c>
      <c r="AM173" s="116">
        <v>22299.272727272728</v>
      </c>
    </row>
    <row r="174" spans="1:39" s="100" customFormat="1" ht="46.8" x14ac:dyDescent="0.3">
      <c r="A174" s="97">
        <v>164</v>
      </c>
      <c r="B174" s="98" t="s">
        <v>759</v>
      </c>
      <c r="C174" s="98" t="s">
        <v>2708</v>
      </c>
      <c r="D174" s="98" t="s">
        <v>1902</v>
      </c>
      <c r="E174" s="98" t="s">
        <v>2709</v>
      </c>
      <c r="F174" s="98" t="s">
        <v>49</v>
      </c>
      <c r="G174" s="99" t="s">
        <v>2710</v>
      </c>
      <c r="H174" s="99">
        <v>20</v>
      </c>
      <c r="I174" s="99" t="s">
        <v>2710</v>
      </c>
      <c r="J174" s="99">
        <v>4</v>
      </c>
      <c r="K174" s="98" t="s">
        <v>528</v>
      </c>
      <c r="L174" s="98" t="s">
        <v>528</v>
      </c>
      <c r="M174" s="116">
        <v>8532.2968734739497</v>
      </c>
      <c r="N174" s="116">
        <v>15072.263016719753</v>
      </c>
      <c r="O174" s="116">
        <v>1410</v>
      </c>
      <c r="P174" s="117" t="s">
        <v>208</v>
      </c>
      <c r="Q174" s="116">
        <v>1356</v>
      </c>
      <c r="R174" s="117" t="s">
        <v>208</v>
      </c>
      <c r="S174" s="116">
        <v>1393</v>
      </c>
      <c r="T174" s="117" t="s">
        <v>208</v>
      </c>
      <c r="U174" s="116">
        <v>859</v>
      </c>
      <c r="V174" s="117" t="s">
        <v>208</v>
      </c>
      <c r="W174" s="116">
        <v>888</v>
      </c>
      <c r="X174" s="117" t="s">
        <v>208</v>
      </c>
      <c r="Y174" s="116">
        <v>1075.6363636363637</v>
      </c>
      <c r="Z174" s="117" t="s">
        <v>208</v>
      </c>
      <c r="AA174" s="116">
        <v>1132</v>
      </c>
      <c r="AB174" s="117" t="s">
        <v>208</v>
      </c>
      <c r="AC174" s="116">
        <v>947</v>
      </c>
      <c r="AD174" s="117" t="s">
        <v>208</v>
      </c>
      <c r="AE174" s="116">
        <v>665</v>
      </c>
      <c r="AF174" s="117" t="s">
        <v>208</v>
      </c>
      <c r="AG174" s="116">
        <v>829</v>
      </c>
      <c r="AH174" s="117" t="s">
        <v>208</v>
      </c>
      <c r="AI174" s="116">
        <v>1166</v>
      </c>
      <c r="AJ174" s="117" t="s">
        <v>208</v>
      </c>
      <c r="AK174" s="116">
        <v>1187</v>
      </c>
      <c r="AL174" s="117" t="s">
        <v>208</v>
      </c>
      <c r="AM174" s="116">
        <v>12907.636363636364</v>
      </c>
    </row>
    <row r="175" spans="1:39" s="100" customFormat="1" ht="46.8" x14ac:dyDescent="0.3">
      <c r="A175" s="97">
        <v>165</v>
      </c>
      <c r="B175" s="98" t="s">
        <v>760</v>
      </c>
      <c r="C175" s="98" t="s">
        <v>2708</v>
      </c>
      <c r="D175" s="98" t="s">
        <v>1902</v>
      </c>
      <c r="E175" s="98" t="s">
        <v>2709</v>
      </c>
      <c r="F175" s="98" t="s">
        <v>49</v>
      </c>
      <c r="G175" s="99" t="s">
        <v>2710</v>
      </c>
      <c r="H175" s="99">
        <v>10</v>
      </c>
      <c r="I175" s="99" t="s">
        <v>2710</v>
      </c>
      <c r="J175" s="99">
        <v>2</v>
      </c>
      <c r="K175" s="98" t="s">
        <v>528</v>
      </c>
      <c r="L175" s="98" t="s">
        <v>528</v>
      </c>
      <c r="M175" s="116">
        <v>1730.8898874287854</v>
      </c>
      <c r="N175" s="116">
        <v>3118.5074873370531</v>
      </c>
      <c r="O175" s="116">
        <v>406</v>
      </c>
      <c r="P175" s="117" t="s">
        <v>208</v>
      </c>
      <c r="Q175" s="116">
        <v>318</v>
      </c>
      <c r="R175" s="117" t="s">
        <v>208</v>
      </c>
      <c r="S175" s="116">
        <v>183</v>
      </c>
      <c r="T175" s="117" t="s">
        <v>208</v>
      </c>
      <c r="U175" s="116">
        <v>190</v>
      </c>
      <c r="V175" s="117" t="s">
        <v>208</v>
      </c>
      <c r="W175" s="116">
        <v>106</v>
      </c>
      <c r="X175" s="117" t="s">
        <v>208</v>
      </c>
      <c r="Y175" s="116">
        <v>210.45454545454547</v>
      </c>
      <c r="Z175" s="117" t="s">
        <v>208</v>
      </c>
      <c r="AA175" s="116">
        <v>142</v>
      </c>
      <c r="AB175" s="117" t="s">
        <v>208</v>
      </c>
      <c r="AC175" s="116">
        <v>143</v>
      </c>
      <c r="AD175" s="117" t="s">
        <v>208</v>
      </c>
      <c r="AE175" s="116">
        <v>148</v>
      </c>
      <c r="AF175" s="117" t="s">
        <v>208</v>
      </c>
      <c r="AG175" s="116">
        <v>165</v>
      </c>
      <c r="AH175" s="117" t="s">
        <v>208</v>
      </c>
      <c r="AI175" s="116">
        <v>239</v>
      </c>
      <c r="AJ175" s="117" t="s">
        <v>208</v>
      </c>
      <c r="AK175" s="116">
        <v>275</v>
      </c>
      <c r="AL175" s="117" t="s">
        <v>208</v>
      </c>
      <c r="AM175" s="116">
        <v>2525.4545454545455</v>
      </c>
    </row>
    <row r="176" spans="1:39" s="100" customFormat="1" ht="46.8" x14ac:dyDescent="0.3">
      <c r="A176" s="97">
        <v>166</v>
      </c>
      <c r="B176" s="98" t="s">
        <v>761</v>
      </c>
      <c r="C176" s="98" t="s">
        <v>2708</v>
      </c>
      <c r="D176" s="98" t="s">
        <v>1902</v>
      </c>
      <c r="E176" s="98" t="s">
        <v>2709</v>
      </c>
      <c r="F176" s="98" t="s">
        <v>49</v>
      </c>
      <c r="G176" s="99" t="s">
        <v>2710</v>
      </c>
      <c r="H176" s="99">
        <v>12</v>
      </c>
      <c r="I176" s="99" t="s">
        <v>2710</v>
      </c>
      <c r="J176" s="99">
        <v>3</v>
      </c>
      <c r="K176" s="98" t="s">
        <v>528</v>
      </c>
      <c r="L176" s="98" t="s">
        <v>528</v>
      </c>
      <c r="M176" s="116">
        <v>16585.03830457724</v>
      </c>
      <c r="N176" s="116">
        <v>31155.223021582227</v>
      </c>
      <c r="O176" s="116">
        <v>3307</v>
      </c>
      <c r="P176" s="117" t="s">
        <v>208</v>
      </c>
      <c r="Q176" s="116">
        <v>3254</v>
      </c>
      <c r="R176" s="117" t="s">
        <v>208</v>
      </c>
      <c r="S176" s="116">
        <v>2695</v>
      </c>
      <c r="T176" s="117" t="s">
        <v>208</v>
      </c>
      <c r="U176" s="116">
        <v>2197</v>
      </c>
      <c r="V176" s="117" t="s">
        <v>208</v>
      </c>
      <c r="W176" s="116">
        <v>1981</v>
      </c>
      <c r="X176" s="117" t="s">
        <v>208</v>
      </c>
      <c r="Y176" s="116">
        <v>2084.090909090909</v>
      </c>
      <c r="Z176" s="117" t="s">
        <v>208</v>
      </c>
      <c r="AA176" s="116">
        <v>1339</v>
      </c>
      <c r="AB176" s="117" t="s">
        <v>208</v>
      </c>
      <c r="AC176" s="116">
        <v>1067</v>
      </c>
      <c r="AD176" s="117" t="s">
        <v>208</v>
      </c>
      <c r="AE176" s="116">
        <v>1825</v>
      </c>
      <c r="AF176" s="117" t="s">
        <v>208</v>
      </c>
      <c r="AG176" s="116">
        <v>1745</v>
      </c>
      <c r="AH176" s="117" t="s">
        <v>208</v>
      </c>
      <c r="AI176" s="116">
        <v>1738</v>
      </c>
      <c r="AJ176" s="117" t="s">
        <v>208</v>
      </c>
      <c r="AK176" s="116">
        <v>1777</v>
      </c>
      <c r="AL176" s="117" t="s">
        <v>208</v>
      </c>
      <c r="AM176" s="116">
        <v>25009.090909090908</v>
      </c>
    </row>
    <row r="177" spans="1:39" s="100" customFormat="1" ht="46.8" x14ac:dyDescent="0.3">
      <c r="A177" s="97">
        <v>167</v>
      </c>
      <c r="B177" s="98" t="s">
        <v>762</v>
      </c>
      <c r="C177" s="98" t="s">
        <v>2708</v>
      </c>
      <c r="D177" s="98" t="s">
        <v>1902</v>
      </c>
      <c r="E177" s="98" t="s">
        <v>2709</v>
      </c>
      <c r="F177" s="98" t="s">
        <v>49</v>
      </c>
      <c r="G177" s="99" t="s">
        <v>2710</v>
      </c>
      <c r="H177" s="99">
        <v>4</v>
      </c>
      <c r="I177" s="99" t="s">
        <v>2710</v>
      </c>
      <c r="J177" s="99">
        <v>2</v>
      </c>
      <c r="K177" s="98" t="s">
        <v>528</v>
      </c>
      <c r="L177" s="98" t="s">
        <v>528</v>
      </c>
      <c r="M177" s="116">
        <v>0</v>
      </c>
      <c r="N177" s="116">
        <v>0</v>
      </c>
      <c r="O177" s="116">
        <v>0</v>
      </c>
      <c r="P177" s="116">
        <v>0</v>
      </c>
      <c r="Q177" s="116">
        <v>0</v>
      </c>
      <c r="R177" s="116">
        <v>0</v>
      </c>
      <c r="S177" s="116">
        <v>0</v>
      </c>
      <c r="T177" s="116">
        <v>0</v>
      </c>
      <c r="U177" s="116">
        <v>0</v>
      </c>
      <c r="V177" s="116">
        <v>0</v>
      </c>
      <c r="W177" s="116">
        <v>0</v>
      </c>
      <c r="X177" s="116">
        <v>0</v>
      </c>
      <c r="Y177" s="116">
        <v>0</v>
      </c>
      <c r="Z177" s="116">
        <v>0</v>
      </c>
      <c r="AA177" s="116">
        <v>0</v>
      </c>
      <c r="AB177" s="116">
        <v>0</v>
      </c>
      <c r="AC177" s="116">
        <v>0</v>
      </c>
      <c r="AD177" s="116">
        <v>0</v>
      </c>
      <c r="AE177" s="116">
        <v>0</v>
      </c>
      <c r="AF177" s="116">
        <v>0</v>
      </c>
      <c r="AG177" s="116">
        <v>0</v>
      </c>
      <c r="AH177" s="116">
        <v>0</v>
      </c>
      <c r="AI177" s="116">
        <v>0</v>
      </c>
      <c r="AJ177" s="116">
        <v>0</v>
      </c>
      <c r="AK177" s="116">
        <v>0</v>
      </c>
      <c r="AL177" s="116">
        <v>0</v>
      </c>
      <c r="AM177" s="116">
        <v>0</v>
      </c>
    </row>
    <row r="178" spans="1:39" s="100" customFormat="1" ht="46.8" x14ac:dyDescent="0.3">
      <c r="A178" s="97">
        <v>168</v>
      </c>
      <c r="B178" s="98" t="s">
        <v>764</v>
      </c>
      <c r="C178" s="98" t="s">
        <v>2708</v>
      </c>
      <c r="D178" s="98" t="s">
        <v>1902</v>
      </c>
      <c r="E178" s="98" t="s">
        <v>2709</v>
      </c>
      <c r="F178" s="98" t="s">
        <v>49</v>
      </c>
      <c r="G178" s="99" t="s">
        <v>2710</v>
      </c>
      <c r="H178" s="99">
        <v>15</v>
      </c>
      <c r="I178" s="99" t="s">
        <v>2710</v>
      </c>
      <c r="J178" s="99">
        <v>3</v>
      </c>
      <c r="K178" s="98" t="s">
        <v>528</v>
      </c>
      <c r="L178" s="98" t="s">
        <v>528</v>
      </c>
      <c r="M178" s="116">
        <v>5226.1003302341396</v>
      </c>
      <c r="N178" s="116">
        <v>9513.8066701388725</v>
      </c>
      <c r="O178" s="116">
        <v>595.00959562346657</v>
      </c>
      <c r="P178" s="117" t="s">
        <v>208</v>
      </c>
      <c r="Q178" s="116">
        <v>648.28079048011364</v>
      </c>
      <c r="R178" s="117" t="s">
        <v>208</v>
      </c>
      <c r="S178" s="116">
        <v>624.41222807540362</v>
      </c>
      <c r="T178" s="117" t="s">
        <v>208</v>
      </c>
      <c r="U178" s="116">
        <v>662.70080387742496</v>
      </c>
      <c r="V178" s="117" t="s">
        <v>208</v>
      </c>
      <c r="W178" s="116">
        <v>541.41982892089391</v>
      </c>
      <c r="X178" s="117" t="s">
        <v>208</v>
      </c>
      <c r="Y178" s="116">
        <v>667.11267360397335</v>
      </c>
      <c r="Z178" s="117" t="s">
        <v>208</v>
      </c>
      <c r="AA178" s="116">
        <v>741.03805878080277</v>
      </c>
      <c r="AB178" s="117" t="s">
        <v>208</v>
      </c>
      <c r="AC178" s="116">
        <v>644.51817692342263</v>
      </c>
      <c r="AD178" s="117" t="s">
        <v>208</v>
      </c>
      <c r="AE178" s="116">
        <v>882.97342636648511</v>
      </c>
      <c r="AF178" s="117" t="s">
        <v>208</v>
      </c>
      <c r="AG178" s="116">
        <v>857.14307990831071</v>
      </c>
      <c r="AH178" s="117" t="s">
        <v>208</v>
      </c>
      <c r="AI178" s="116">
        <v>546.5306149189654</v>
      </c>
      <c r="AJ178" s="117" t="s">
        <v>208</v>
      </c>
      <c r="AK178" s="116">
        <v>594.21280576841878</v>
      </c>
      <c r="AL178" s="117" t="s">
        <v>208</v>
      </c>
      <c r="AM178" s="116">
        <v>8005.3520832476806</v>
      </c>
    </row>
    <row r="179" spans="1:39" s="100" customFormat="1" ht="46.8" x14ac:dyDescent="0.3">
      <c r="A179" s="97">
        <v>169</v>
      </c>
      <c r="B179" s="98" t="s">
        <v>766</v>
      </c>
      <c r="C179" s="98" t="s">
        <v>2708</v>
      </c>
      <c r="D179" s="98" t="s">
        <v>1902</v>
      </c>
      <c r="E179" s="98" t="s">
        <v>2709</v>
      </c>
      <c r="F179" s="98" t="s">
        <v>49</v>
      </c>
      <c r="G179" s="99" t="s">
        <v>2710</v>
      </c>
      <c r="H179" s="99">
        <v>40</v>
      </c>
      <c r="I179" s="99" t="s">
        <v>2710</v>
      </c>
      <c r="J179" s="99">
        <v>8</v>
      </c>
      <c r="K179" s="98" t="s">
        <v>528</v>
      </c>
      <c r="L179" s="98" t="s">
        <v>528</v>
      </c>
      <c r="M179" s="116">
        <v>32574.181640850784</v>
      </c>
      <c r="N179" s="116">
        <v>54821.518699531247</v>
      </c>
      <c r="O179" s="116">
        <v>4856</v>
      </c>
      <c r="P179" s="117" t="s">
        <v>208</v>
      </c>
      <c r="Q179" s="116">
        <v>4407</v>
      </c>
      <c r="R179" s="117" t="s">
        <v>208</v>
      </c>
      <c r="S179" s="116">
        <v>3246</v>
      </c>
      <c r="T179" s="117" t="s">
        <v>208</v>
      </c>
      <c r="U179" s="116">
        <v>3851</v>
      </c>
      <c r="V179" s="117" t="s">
        <v>208</v>
      </c>
      <c r="W179" s="116">
        <v>3377</v>
      </c>
      <c r="X179" s="117" t="s">
        <v>208</v>
      </c>
      <c r="Y179" s="116">
        <v>3953.5454545454545</v>
      </c>
      <c r="Z179" s="117" t="s">
        <v>208</v>
      </c>
      <c r="AA179" s="116">
        <v>4935</v>
      </c>
      <c r="AB179" s="117" t="s">
        <v>208</v>
      </c>
      <c r="AC179" s="116">
        <v>3160</v>
      </c>
      <c r="AD179" s="117" t="s">
        <v>208</v>
      </c>
      <c r="AE179" s="116">
        <v>3205</v>
      </c>
      <c r="AF179" s="117" t="s">
        <v>208</v>
      </c>
      <c r="AG179" s="116">
        <v>4701</v>
      </c>
      <c r="AH179" s="117" t="s">
        <v>208</v>
      </c>
      <c r="AI179" s="116">
        <v>3240</v>
      </c>
      <c r="AJ179" s="117" t="s">
        <v>208</v>
      </c>
      <c r="AK179" s="116">
        <v>4511</v>
      </c>
      <c r="AL179" s="117" t="s">
        <v>208</v>
      </c>
      <c r="AM179" s="116">
        <v>47442.545454545456</v>
      </c>
    </row>
    <row r="180" spans="1:39" s="100" customFormat="1" ht="46.8" x14ac:dyDescent="0.3">
      <c r="A180" s="97">
        <v>170</v>
      </c>
      <c r="B180" s="98" t="s">
        <v>767</v>
      </c>
      <c r="C180" s="98" t="s">
        <v>2708</v>
      </c>
      <c r="D180" s="98" t="s">
        <v>1902</v>
      </c>
      <c r="E180" s="98" t="s">
        <v>2709</v>
      </c>
      <c r="F180" s="98" t="s">
        <v>49</v>
      </c>
      <c r="G180" s="99" t="s">
        <v>2710</v>
      </c>
      <c r="H180" s="99">
        <v>42</v>
      </c>
      <c r="I180" s="99" t="s">
        <v>2710</v>
      </c>
      <c r="J180" s="99">
        <v>7</v>
      </c>
      <c r="K180" s="98" t="s">
        <v>528</v>
      </c>
      <c r="L180" s="98" t="s">
        <v>528</v>
      </c>
      <c r="M180" s="116">
        <v>19338.93854181371</v>
      </c>
      <c r="N180" s="116">
        <v>36235.474445546664</v>
      </c>
      <c r="O180" s="116">
        <v>2691</v>
      </c>
      <c r="P180" s="117" t="s">
        <v>208</v>
      </c>
      <c r="Q180" s="116">
        <v>2710</v>
      </c>
      <c r="R180" s="117" t="s">
        <v>208</v>
      </c>
      <c r="S180" s="116">
        <v>2128</v>
      </c>
      <c r="T180" s="117" t="s">
        <v>208</v>
      </c>
      <c r="U180" s="116">
        <v>1996</v>
      </c>
      <c r="V180" s="117" t="s">
        <v>208</v>
      </c>
      <c r="W180" s="116">
        <v>1813</v>
      </c>
      <c r="X180" s="117" t="s">
        <v>208</v>
      </c>
      <c r="Y180" s="116">
        <v>2425.3636363636365</v>
      </c>
      <c r="Z180" s="117" t="s">
        <v>208</v>
      </c>
      <c r="AA180" s="116">
        <v>3754</v>
      </c>
      <c r="AB180" s="117" t="s">
        <v>208</v>
      </c>
      <c r="AC180" s="116">
        <v>2118</v>
      </c>
      <c r="AD180" s="117" t="s">
        <v>208</v>
      </c>
      <c r="AE180" s="116">
        <v>2318</v>
      </c>
      <c r="AF180" s="117" t="s">
        <v>208</v>
      </c>
      <c r="AG180" s="116">
        <v>2301</v>
      </c>
      <c r="AH180" s="117" t="s">
        <v>208</v>
      </c>
      <c r="AI180" s="116">
        <v>2562</v>
      </c>
      <c r="AJ180" s="117" t="s">
        <v>208</v>
      </c>
      <c r="AK180" s="116">
        <v>2288</v>
      </c>
      <c r="AL180" s="117" t="s">
        <v>208</v>
      </c>
      <c r="AM180" s="116">
        <v>29104.363636363636</v>
      </c>
    </row>
    <row r="181" spans="1:39" s="100" customFormat="1" ht="46.8" x14ac:dyDescent="0.3">
      <c r="A181" s="97">
        <v>171</v>
      </c>
      <c r="B181" s="98" t="s">
        <v>768</v>
      </c>
      <c r="C181" s="98" t="s">
        <v>2708</v>
      </c>
      <c r="D181" s="98" t="s">
        <v>1902</v>
      </c>
      <c r="E181" s="98" t="s">
        <v>2709</v>
      </c>
      <c r="F181" s="98" t="s">
        <v>49</v>
      </c>
      <c r="G181" s="99" t="s">
        <v>2710</v>
      </c>
      <c r="H181" s="99">
        <v>48</v>
      </c>
      <c r="I181" s="99" t="s">
        <v>2710</v>
      </c>
      <c r="J181" s="99">
        <v>8</v>
      </c>
      <c r="K181" s="98" t="s">
        <v>528</v>
      </c>
      <c r="L181" s="98" t="s">
        <v>528</v>
      </c>
      <c r="M181" s="116">
        <v>9279.7302730178853</v>
      </c>
      <c r="N181" s="116">
        <v>15516.821167153841</v>
      </c>
      <c r="O181" s="116">
        <v>1324</v>
      </c>
      <c r="P181" s="117" t="s">
        <v>208</v>
      </c>
      <c r="Q181" s="116">
        <v>1350</v>
      </c>
      <c r="R181" s="117" t="s">
        <v>208</v>
      </c>
      <c r="S181" s="116">
        <v>1190</v>
      </c>
      <c r="T181" s="117" t="s">
        <v>208</v>
      </c>
      <c r="U181" s="116">
        <v>923</v>
      </c>
      <c r="V181" s="117" t="s">
        <v>208</v>
      </c>
      <c r="W181" s="116">
        <v>1041</v>
      </c>
      <c r="X181" s="117" t="s">
        <v>208</v>
      </c>
      <c r="Y181" s="116">
        <v>1073.7272727272727</v>
      </c>
      <c r="Z181" s="117" t="s">
        <v>208</v>
      </c>
      <c r="AA181" s="116">
        <v>569</v>
      </c>
      <c r="AB181" s="117" t="s">
        <v>208</v>
      </c>
      <c r="AC181" s="116">
        <v>1405</v>
      </c>
      <c r="AD181" s="117" t="s">
        <v>208</v>
      </c>
      <c r="AE181" s="116">
        <v>1605</v>
      </c>
      <c r="AF181" s="117" t="s">
        <v>208</v>
      </c>
      <c r="AG181" s="116">
        <v>238</v>
      </c>
      <c r="AH181" s="117" t="s">
        <v>208</v>
      </c>
      <c r="AI181" s="116">
        <v>1372</v>
      </c>
      <c r="AJ181" s="117" t="s">
        <v>208</v>
      </c>
      <c r="AK181" s="116">
        <v>794</v>
      </c>
      <c r="AL181" s="117" t="s">
        <v>208</v>
      </c>
      <c r="AM181" s="116">
        <v>12884.727272727272</v>
      </c>
    </row>
    <row r="182" spans="1:39" s="100" customFormat="1" ht="46.8" x14ac:dyDescent="0.3">
      <c r="A182" s="97">
        <v>172</v>
      </c>
      <c r="B182" s="98" t="s">
        <v>770</v>
      </c>
      <c r="C182" s="98" t="s">
        <v>2708</v>
      </c>
      <c r="D182" s="98" t="s">
        <v>1902</v>
      </c>
      <c r="E182" s="98" t="s">
        <v>2709</v>
      </c>
      <c r="F182" s="98" t="s">
        <v>49</v>
      </c>
      <c r="G182" s="99" t="s">
        <v>2710</v>
      </c>
      <c r="H182" s="99">
        <v>36</v>
      </c>
      <c r="I182" s="99" t="s">
        <v>2710</v>
      </c>
      <c r="J182" s="99">
        <v>6</v>
      </c>
      <c r="K182" s="98" t="s">
        <v>528</v>
      </c>
      <c r="L182" s="98" t="s">
        <v>528</v>
      </c>
      <c r="M182" s="116">
        <v>13704.785769445427</v>
      </c>
      <c r="N182" s="116">
        <v>24139.844500965883</v>
      </c>
      <c r="O182" s="116">
        <v>2739</v>
      </c>
      <c r="P182" s="117" t="s">
        <v>208</v>
      </c>
      <c r="Q182" s="116">
        <v>2734</v>
      </c>
      <c r="R182" s="117" t="s">
        <v>208</v>
      </c>
      <c r="S182" s="116">
        <v>2512</v>
      </c>
      <c r="T182" s="117" t="s">
        <v>208</v>
      </c>
      <c r="U182" s="116">
        <v>2472</v>
      </c>
      <c r="V182" s="117" t="s">
        <v>208</v>
      </c>
      <c r="W182" s="116">
        <v>2756</v>
      </c>
      <c r="X182" s="117" t="s">
        <v>208</v>
      </c>
      <c r="Y182" s="116">
        <v>1667.4545454545455</v>
      </c>
      <c r="Z182" s="117" t="s">
        <v>208</v>
      </c>
      <c r="AA182" s="116">
        <v>823</v>
      </c>
      <c r="AB182" s="117" t="s">
        <v>208</v>
      </c>
      <c r="AC182" s="116">
        <v>840</v>
      </c>
      <c r="AD182" s="117" t="s">
        <v>208</v>
      </c>
      <c r="AE182" s="116">
        <v>940</v>
      </c>
      <c r="AF182" s="117" t="s">
        <v>208</v>
      </c>
      <c r="AG182" s="116">
        <v>1045</v>
      </c>
      <c r="AH182" s="117" t="s">
        <v>208</v>
      </c>
      <c r="AI182" s="116">
        <v>852</v>
      </c>
      <c r="AJ182" s="117" t="s">
        <v>208</v>
      </c>
      <c r="AK182" s="116">
        <v>629</v>
      </c>
      <c r="AL182" s="117" t="s">
        <v>208</v>
      </c>
      <c r="AM182" s="116">
        <v>20009.454545454544</v>
      </c>
    </row>
    <row r="183" spans="1:39" s="100" customFormat="1" ht="46.8" x14ac:dyDescent="0.3">
      <c r="A183" s="97">
        <v>173</v>
      </c>
      <c r="B183" s="98" t="s">
        <v>772</v>
      </c>
      <c r="C183" s="98" t="s">
        <v>2708</v>
      </c>
      <c r="D183" s="98" t="s">
        <v>1902</v>
      </c>
      <c r="E183" s="98" t="s">
        <v>2709</v>
      </c>
      <c r="F183" s="98" t="s">
        <v>49</v>
      </c>
      <c r="G183" s="99" t="s">
        <v>2710</v>
      </c>
      <c r="H183" s="99">
        <v>42</v>
      </c>
      <c r="I183" s="99" t="s">
        <v>2710</v>
      </c>
      <c r="J183" s="99">
        <v>6</v>
      </c>
      <c r="K183" s="98" t="s">
        <v>528</v>
      </c>
      <c r="L183" s="98" t="s">
        <v>528</v>
      </c>
      <c r="M183" s="116">
        <v>19988.188994610176</v>
      </c>
      <c r="N183" s="116">
        <v>32892.003897083567</v>
      </c>
      <c r="O183" s="116">
        <v>3315</v>
      </c>
      <c r="P183" s="117" t="s">
        <v>208</v>
      </c>
      <c r="Q183" s="116">
        <v>0</v>
      </c>
      <c r="R183" s="117" t="s">
        <v>208</v>
      </c>
      <c r="S183" s="116">
        <v>0</v>
      </c>
      <c r="T183" s="117" t="s">
        <v>208</v>
      </c>
      <c r="U183" s="116">
        <v>1326</v>
      </c>
      <c r="V183" s="117" t="s">
        <v>208</v>
      </c>
      <c r="W183" s="116">
        <v>1398</v>
      </c>
      <c r="X183" s="117" t="s">
        <v>208</v>
      </c>
      <c r="Y183" s="116">
        <v>2357.181818181818</v>
      </c>
      <c r="Z183" s="117" t="s">
        <v>208</v>
      </c>
      <c r="AA183" s="116">
        <v>3315</v>
      </c>
      <c r="AB183" s="117" t="s">
        <v>208</v>
      </c>
      <c r="AC183" s="116">
        <v>3315</v>
      </c>
      <c r="AD183" s="117" t="s">
        <v>208</v>
      </c>
      <c r="AE183" s="116">
        <v>3315</v>
      </c>
      <c r="AF183" s="117" t="s">
        <v>208</v>
      </c>
      <c r="AG183" s="116">
        <v>3315</v>
      </c>
      <c r="AH183" s="117" t="s">
        <v>208</v>
      </c>
      <c r="AI183" s="116">
        <v>3315</v>
      </c>
      <c r="AJ183" s="117" t="s">
        <v>208</v>
      </c>
      <c r="AK183" s="116">
        <v>3315</v>
      </c>
      <c r="AL183" s="117" t="s">
        <v>208</v>
      </c>
      <c r="AM183" s="116">
        <v>28286.181818181816</v>
      </c>
    </row>
    <row r="184" spans="1:39" s="100" customFormat="1" ht="46.8" x14ac:dyDescent="0.3">
      <c r="A184" s="97">
        <v>174</v>
      </c>
      <c r="B184" s="98" t="s">
        <v>773</v>
      </c>
      <c r="C184" s="98" t="s">
        <v>2708</v>
      </c>
      <c r="D184" s="98" t="s">
        <v>1902</v>
      </c>
      <c r="E184" s="98" t="s">
        <v>2709</v>
      </c>
      <c r="F184" s="98" t="s">
        <v>49</v>
      </c>
      <c r="G184" s="99" t="s">
        <v>2710</v>
      </c>
      <c r="H184" s="99">
        <v>36</v>
      </c>
      <c r="I184" s="99" t="s">
        <v>2710</v>
      </c>
      <c r="J184" s="99">
        <v>6</v>
      </c>
      <c r="K184" s="98" t="s">
        <v>528</v>
      </c>
      <c r="L184" s="98" t="s">
        <v>528</v>
      </c>
      <c r="M184" s="116">
        <v>5896.7589350944709</v>
      </c>
      <c r="N184" s="116">
        <v>9613.964555601935</v>
      </c>
      <c r="O184" s="116">
        <v>688</v>
      </c>
      <c r="P184" s="117" t="s">
        <v>208</v>
      </c>
      <c r="Q184" s="116">
        <v>565</v>
      </c>
      <c r="R184" s="117" t="s">
        <v>208</v>
      </c>
      <c r="S184" s="116">
        <v>448</v>
      </c>
      <c r="T184" s="117" t="s">
        <v>208</v>
      </c>
      <c r="U184" s="116">
        <v>497</v>
      </c>
      <c r="V184" s="117" t="s">
        <v>208</v>
      </c>
      <c r="W184" s="116">
        <v>501</v>
      </c>
      <c r="X184" s="117" t="s">
        <v>208</v>
      </c>
      <c r="Y184" s="116">
        <v>677.72727272727275</v>
      </c>
      <c r="Z184" s="117" t="s">
        <v>208</v>
      </c>
      <c r="AA184" s="116">
        <v>828</v>
      </c>
      <c r="AB184" s="117" t="s">
        <v>208</v>
      </c>
      <c r="AC184" s="116">
        <v>410</v>
      </c>
      <c r="AD184" s="117" t="s">
        <v>208</v>
      </c>
      <c r="AE184" s="116">
        <v>1510</v>
      </c>
      <c r="AF184" s="117" t="s">
        <v>208</v>
      </c>
      <c r="AG184" s="116">
        <v>1139</v>
      </c>
      <c r="AH184" s="117" t="s">
        <v>208</v>
      </c>
      <c r="AI184" s="116">
        <v>271</v>
      </c>
      <c r="AJ184" s="117" t="s">
        <v>208</v>
      </c>
      <c r="AK184" s="116">
        <v>598</v>
      </c>
      <c r="AL184" s="117" t="s">
        <v>208</v>
      </c>
      <c r="AM184" s="116">
        <v>8132.727272727273</v>
      </c>
    </row>
    <row r="185" spans="1:39" s="100" customFormat="1" ht="46.8" x14ac:dyDescent="0.3">
      <c r="A185" s="97">
        <v>175</v>
      </c>
      <c r="B185" s="98" t="s">
        <v>774</v>
      </c>
      <c r="C185" s="98" t="s">
        <v>2708</v>
      </c>
      <c r="D185" s="98" t="s">
        <v>1902</v>
      </c>
      <c r="E185" s="98" t="s">
        <v>2709</v>
      </c>
      <c r="F185" s="98" t="s">
        <v>49</v>
      </c>
      <c r="G185" s="99" t="s">
        <v>2710</v>
      </c>
      <c r="H185" s="99">
        <v>18</v>
      </c>
      <c r="I185" s="99" t="s">
        <v>2710</v>
      </c>
      <c r="J185" s="99">
        <v>3</v>
      </c>
      <c r="K185" s="98" t="s">
        <v>528</v>
      </c>
      <c r="L185" s="98" t="s">
        <v>528</v>
      </c>
      <c r="M185" s="116">
        <v>10627.357030365971</v>
      </c>
      <c r="N185" s="116">
        <v>18894.910429774754</v>
      </c>
      <c r="O185" s="116">
        <v>1683</v>
      </c>
      <c r="P185" s="117" t="s">
        <v>208</v>
      </c>
      <c r="Q185" s="116">
        <v>1576</v>
      </c>
      <c r="R185" s="117" t="s">
        <v>208</v>
      </c>
      <c r="S185" s="116">
        <v>1482</v>
      </c>
      <c r="T185" s="117" t="s">
        <v>208</v>
      </c>
      <c r="U185" s="116">
        <v>1173</v>
      </c>
      <c r="V185" s="117" t="s">
        <v>208</v>
      </c>
      <c r="W185" s="116">
        <v>924</v>
      </c>
      <c r="X185" s="117" t="s">
        <v>208</v>
      </c>
      <c r="Y185" s="116">
        <v>1342.2727272727273</v>
      </c>
      <c r="Z185" s="117" t="s">
        <v>208</v>
      </c>
      <c r="AA185" s="116">
        <v>1669</v>
      </c>
      <c r="AB185" s="117" t="s">
        <v>208</v>
      </c>
      <c r="AC185" s="116">
        <v>959</v>
      </c>
      <c r="AD185" s="117" t="s">
        <v>208</v>
      </c>
      <c r="AE185" s="116">
        <v>1159</v>
      </c>
      <c r="AF185" s="117" t="s">
        <v>208</v>
      </c>
      <c r="AG185" s="116">
        <v>1368</v>
      </c>
      <c r="AH185" s="117" t="s">
        <v>208</v>
      </c>
      <c r="AI185" s="116">
        <v>1570</v>
      </c>
      <c r="AJ185" s="117" t="s">
        <v>208</v>
      </c>
      <c r="AK185" s="116">
        <v>1202</v>
      </c>
      <c r="AL185" s="117" t="s">
        <v>208</v>
      </c>
      <c r="AM185" s="116">
        <v>16107.272727272728</v>
      </c>
    </row>
    <row r="186" spans="1:39" s="100" customFormat="1" ht="46.8" x14ac:dyDescent="0.3">
      <c r="A186" s="97">
        <v>176</v>
      </c>
      <c r="B186" s="98" t="s">
        <v>776</v>
      </c>
      <c r="C186" s="98" t="s">
        <v>2708</v>
      </c>
      <c r="D186" s="98" t="s">
        <v>1902</v>
      </c>
      <c r="E186" s="98" t="s">
        <v>2709</v>
      </c>
      <c r="F186" s="98" t="s">
        <v>49</v>
      </c>
      <c r="G186" s="99" t="s">
        <v>2710</v>
      </c>
      <c r="H186" s="99">
        <v>35</v>
      </c>
      <c r="I186" s="99" t="s">
        <v>2710</v>
      </c>
      <c r="J186" s="99">
        <v>7</v>
      </c>
      <c r="K186" s="98" t="s">
        <v>528</v>
      </c>
      <c r="L186" s="98" t="s">
        <v>528</v>
      </c>
      <c r="M186" s="116">
        <v>26587.741910820474</v>
      </c>
      <c r="N186" s="116">
        <v>44874.22463427348</v>
      </c>
      <c r="O186" s="116">
        <v>3140</v>
      </c>
      <c r="P186" s="117" t="s">
        <v>208</v>
      </c>
      <c r="Q186" s="116">
        <v>3320</v>
      </c>
      <c r="R186" s="117" t="s">
        <v>208</v>
      </c>
      <c r="S186" s="116">
        <v>2533</v>
      </c>
      <c r="T186" s="117" t="s">
        <v>208</v>
      </c>
      <c r="U186" s="116">
        <v>1805</v>
      </c>
      <c r="V186" s="117" t="s">
        <v>208</v>
      </c>
      <c r="W186" s="116">
        <v>1652</v>
      </c>
      <c r="X186" s="117" t="s">
        <v>208</v>
      </c>
      <c r="Y186" s="116">
        <v>3185</v>
      </c>
      <c r="Z186" s="117" t="s">
        <v>208</v>
      </c>
      <c r="AA186" s="116">
        <v>5601</v>
      </c>
      <c r="AB186" s="117" t="s">
        <v>208</v>
      </c>
      <c r="AC186" s="116">
        <v>5601</v>
      </c>
      <c r="AD186" s="117" t="s">
        <v>208</v>
      </c>
      <c r="AE186" s="116">
        <v>5601</v>
      </c>
      <c r="AF186" s="117" t="s">
        <v>208</v>
      </c>
      <c r="AG186" s="116">
        <v>0</v>
      </c>
      <c r="AH186" s="117" t="s">
        <v>208</v>
      </c>
      <c r="AI186" s="116">
        <v>3323</v>
      </c>
      <c r="AJ186" s="117" t="s">
        <v>208</v>
      </c>
      <c r="AK186" s="116">
        <v>2459</v>
      </c>
      <c r="AL186" s="117" t="s">
        <v>208</v>
      </c>
      <c r="AM186" s="116">
        <v>38220</v>
      </c>
    </row>
    <row r="187" spans="1:39" s="100" customFormat="1" ht="46.8" x14ac:dyDescent="0.3">
      <c r="A187" s="97">
        <v>177</v>
      </c>
      <c r="B187" s="98" t="s">
        <v>777</v>
      </c>
      <c r="C187" s="98" t="s">
        <v>2708</v>
      </c>
      <c r="D187" s="98" t="s">
        <v>1902</v>
      </c>
      <c r="E187" s="98" t="s">
        <v>2709</v>
      </c>
      <c r="F187" s="98" t="s">
        <v>49</v>
      </c>
      <c r="G187" s="99" t="s">
        <v>2710</v>
      </c>
      <c r="H187" s="99">
        <v>10</v>
      </c>
      <c r="I187" s="99" t="s">
        <v>2710</v>
      </c>
      <c r="J187" s="99">
        <v>2</v>
      </c>
      <c r="K187" s="98" t="s">
        <v>528</v>
      </c>
      <c r="L187" s="98" t="s">
        <v>528</v>
      </c>
      <c r="M187" s="116">
        <v>2839.4596344366209</v>
      </c>
      <c r="N187" s="116">
        <v>5197.8731548956139</v>
      </c>
      <c r="O187" s="116">
        <v>496</v>
      </c>
      <c r="P187" s="117" t="s">
        <v>208</v>
      </c>
      <c r="Q187" s="116">
        <v>462</v>
      </c>
      <c r="R187" s="117" t="s">
        <v>208</v>
      </c>
      <c r="S187" s="116">
        <v>385</v>
      </c>
      <c r="T187" s="117" t="s">
        <v>208</v>
      </c>
      <c r="U187" s="116">
        <v>248</v>
      </c>
      <c r="V187" s="117" t="s">
        <v>208</v>
      </c>
      <c r="W187" s="116">
        <v>235</v>
      </c>
      <c r="X187" s="117" t="s">
        <v>208</v>
      </c>
      <c r="Y187" s="116">
        <v>361.81818181818181</v>
      </c>
      <c r="Z187" s="117" t="s">
        <v>208</v>
      </c>
      <c r="AA187" s="116">
        <v>364</v>
      </c>
      <c r="AB187" s="117" t="s">
        <v>208</v>
      </c>
      <c r="AC187" s="116">
        <v>208</v>
      </c>
      <c r="AD187" s="117" t="s">
        <v>208</v>
      </c>
      <c r="AE187" s="116">
        <v>428</v>
      </c>
      <c r="AF187" s="117" t="s">
        <v>208</v>
      </c>
      <c r="AG187" s="116">
        <v>214</v>
      </c>
      <c r="AH187" s="117" t="s">
        <v>208</v>
      </c>
      <c r="AI187" s="116">
        <v>527</v>
      </c>
      <c r="AJ187" s="117" t="s">
        <v>208</v>
      </c>
      <c r="AK187" s="116">
        <v>413</v>
      </c>
      <c r="AL187" s="117" t="s">
        <v>208</v>
      </c>
      <c r="AM187" s="116">
        <v>4341.818181818182</v>
      </c>
    </row>
    <row r="188" spans="1:39" s="100" customFormat="1" ht="46.8" x14ac:dyDescent="0.3">
      <c r="A188" s="97">
        <v>178</v>
      </c>
      <c r="B188" s="98" t="s">
        <v>779</v>
      </c>
      <c r="C188" s="98" t="s">
        <v>2708</v>
      </c>
      <c r="D188" s="98" t="s">
        <v>1902</v>
      </c>
      <c r="E188" s="98" t="s">
        <v>2709</v>
      </c>
      <c r="F188" s="98" t="s">
        <v>49</v>
      </c>
      <c r="G188" s="99" t="s">
        <v>2710</v>
      </c>
      <c r="H188" s="99">
        <v>42</v>
      </c>
      <c r="I188" s="99" t="s">
        <v>2710</v>
      </c>
      <c r="J188" s="99">
        <v>7</v>
      </c>
      <c r="K188" s="98" t="s">
        <v>528</v>
      </c>
      <c r="L188" s="98" t="s">
        <v>529</v>
      </c>
      <c r="M188" s="116">
        <v>33335.663689018293</v>
      </c>
      <c r="N188" s="116">
        <v>56597.225824593406</v>
      </c>
      <c r="O188" s="116">
        <v>3992</v>
      </c>
      <c r="P188" s="117" t="s">
        <v>1906</v>
      </c>
      <c r="Q188" s="116">
        <v>3992</v>
      </c>
      <c r="R188" s="117" t="s">
        <v>1906</v>
      </c>
      <c r="S188" s="116">
        <v>3992</v>
      </c>
      <c r="T188" s="117" t="s">
        <v>1906</v>
      </c>
      <c r="U188" s="116">
        <v>3992</v>
      </c>
      <c r="V188" s="117" t="s">
        <v>1906</v>
      </c>
      <c r="W188" s="116">
        <v>3992</v>
      </c>
      <c r="X188" s="117" t="s">
        <v>1906</v>
      </c>
      <c r="Y188" s="116">
        <v>4031.818181818182</v>
      </c>
      <c r="Z188" s="117" t="s">
        <v>1906</v>
      </c>
      <c r="AA188" s="116">
        <v>4065</v>
      </c>
      <c r="AB188" s="117" t="s">
        <v>1906</v>
      </c>
      <c r="AC188" s="116">
        <v>4065</v>
      </c>
      <c r="AD188" s="117" t="s">
        <v>1906</v>
      </c>
      <c r="AE188" s="116">
        <v>4065</v>
      </c>
      <c r="AF188" s="117" t="s">
        <v>1906</v>
      </c>
      <c r="AG188" s="116">
        <v>4065</v>
      </c>
      <c r="AH188" s="117" t="s">
        <v>1906</v>
      </c>
      <c r="AI188" s="116">
        <v>4065</v>
      </c>
      <c r="AJ188" s="117" t="s">
        <v>1906</v>
      </c>
      <c r="AK188" s="116">
        <v>4065</v>
      </c>
      <c r="AL188" s="117" t="s">
        <v>1906</v>
      </c>
      <c r="AM188" s="116">
        <v>48381.818181818184</v>
      </c>
    </row>
    <row r="189" spans="1:39" s="100" customFormat="1" ht="46.8" x14ac:dyDescent="0.3">
      <c r="A189" s="97">
        <v>179</v>
      </c>
      <c r="B189" s="98" t="s">
        <v>781</v>
      </c>
      <c r="C189" s="98" t="s">
        <v>2708</v>
      </c>
      <c r="D189" s="98" t="s">
        <v>1902</v>
      </c>
      <c r="E189" s="98" t="s">
        <v>2709</v>
      </c>
      <c r="F189" s="98" t="s">
        <v>49</v>
      </c>
      <c r="G189" s="99" t="s">
        <v>2710</v>
      </c>
      <c r="H189" s="99">
        <v>20</v>
      </c>
      <c r="I189" s="99" t="s">
        <v>2710</v>
      </c>
      <c r="J189" s="99">
        <v>4</v>
      </c>
      <c r="K189" s="98" t="s">
        <v>528</v>
      </c>
      <c r="L189" s="98" t="s">
        <v>528</v>
      </c>
      <c r="M189" s="116">
        <v>23905.138081611982</v>
      </c>
      <c r="N189" s="116">
        <v>38757.629474307178</v>
      </c>
      <c r="O189" s="116">
        <v>2896</v>
      </c>
      <c r="P189" s="117" t="s">
        <v>208</v>
      </c>
      <c r="Q189" s="116">
        <v>2775</v>
      </c>
      <c r="R189" s="117" t="s">
        <v>208</v>
      </c>
      <c r="S189" s="116">
        <v>2449</v>
      </c>
      <c r="T189" s="117" t="s">
        <v>208</v>
      </c>
      <c r="U189" s="116">
        <v>2391</v>
      </c>
      <c r="V189" s="117" t="s">
        <v>208</v>
      </c>
      <c r="W189" s="116">
        <v>2460</v>
      </c>
      <c r="X189" s="117" t="s">
        <v>208</v>
      </c>
      <c r="Y189" s="116">
        <v>2673.4545454545455</v>
      </c>
      <c r="Z189" s="117" t="s">
        <v>208</v>
      </c>
      <c r="AA189" s="116">
        <v>575</v>
      </c>
      <c r="AB189" s="117" t="s">
        <v>208</v>
      </c>
      <c r="AC189" s="116">
        <v>788</v>
      </c>
      <c r="AD189" s="117" t="s">
        <v>208</v>
      </c>
      <c r="AE189" s="116">
        <v>1025</v>
      </c>
      <c r="AF189" s="117" t="s">
        <v>208</v>
      </c>
      <c r="AG189" s="116">
        <v>8486</v>
      </c>
      <c r="AH189" s="117" t="s">
        <v>208</v>
      </c>
      <c r="AI189" s="116">
        <v>3181</v>
      </c>
      <c r="AJ189" s="117" t="s">
        <v>208</v>
      </c>
      <c r="AK189" s="116">
        <v>2382</v>
      </c>
      <c r="AL189" s="117" t="s">
        <v>208</v>
      </c>
      <c r="AM189" s="116">
        <v>32081.454545454544</v>
      </c>
    </row>
    <row r="190" spans="1:39" s="100" customFormat="1" ht="46.8" x14ac:dyDescent="0.3">
      <c r="A190" s="97">
        <v>180</v>
      </c>
      <c r="B190" s="98" t="s">
        <v>783</v>
      </c>
      <c r="C190" s="98" t="s">
        <v>2708</v>
      </c>
      <c r="D190" s="98" t="s">
        <v>1902</v>
      </c>
      <c r="E190" s="98" t="s">
        <v>2709</v>
      </c>
      <c r="F190" s="98" t="s">
        <v>49</v>
      </c>
      <c r="G190" s="99" t="s">
        <v>2710</v>
      </c>
      <c r="H190" s="99">
        <v>15</v>
      </c>
      <c r="I190" s="99" t="s">
        <v>2710</v>
      </c>
      <c r="J190" s="99">
        <v>3</v>
      </c>
      <c r="K190" s="98" t="s">
        <v>528</v>
      </c>
      <c r="L190" s="98" t="s">
        <v>529</v>
      </c>
      <c r="M190" s="116">
        <v>3868.7190154293912</v>
      </c>
      <c r="N190" s="116">
        <v>7033.8712616223429</v>
      </c>
      <c r="O190" s="116">
        <v>773</v>
      </c>
      <c r="P190" s="117" t="s">
        <v>1906</v>
      </c>
      <c r="Q190" s="116">
        <v>773</v>
      </c>
      <c r="R190" s="117" t="s">
        <v>1906</v>
      </c>
      <c r="S190" s="116">
        <v>773</v>
      </c>
      <c r="T190" s="117" t="s">
        <v>1906</v>
      </c>
      <c r="U190" s="116">
        <v>773</v>
      </c>
      <c r="V190" s="117" t="s">
        <v>1906</v>
      </c>
      <c r="W190" s="116">
        <v>773</v>
      </c>
      <c r="X190" s="117" t="s">
        <v>1906</v>
      </c>
      <c r="Y190" s="116">
        <v>491.90909090909093</v>
      </c>
      <c r="Z190" s="117" t="s">
        <v>1906</v>
      </c>
      <c r="AA190" s="116">
        <v>0</v>
      </c>
      <c r="AB190" s="117" t="s">
        <v>1906</v>
      </c>
      <c r="AC190" s="116">
        <v>0</v>
      </c>
      <c r="AD190" s="117" t="s">
        <v>1906</v>
      </c>
      <c r="AE190" s="116">
        <v>0</v>
      </c>
      <c r="AF190" s="117" t="s">
        <v>1906</v>
      </c>
      <c r="AG190" s="116">
        <v>0</v>
      </c>
      <c r="AH190" s="117" t="s">
        <v>1906</v>
      </c>
      <c r="AI190" s="116">
        <v>773</v>
      </c>
      <c r="AJ190" s="117" t="s">
        <v>1906</v>
      </c>
      <c r="AK190" s="116">
        <v>773</v>
      </c>
      <c r="AL190" s="117" t="s">
        <v>1906</v>
      </c>
      <c r="AM190" s="116">
        <v>5902.909090909091</v>
      </c>
    </row>
    <row r="191" spans="1:39" s="100" customFormat="1" ht="46.8" x14ac:dyDescent="0.3">
      <c r="A191" s="97">
        <v>181</v>
      </c>
      <c r="B191" s="98" t="s">
        <v>784</v>
      </c>
      <c r="C191" s="98" t="s">
        <v>2708</v>
      </c>
      <c r="D191" s="98" t="s">
        <v>1902</v>
      </c>
      <c r="E191" s="98" t="s">
        <v>2709</v>
      </c>
      <c r="F191" s="98" t="s">
        <v>49</v>
      </c>
      <c r="G191" s="99" t="s">
        <v>2710</v>
      </c>
      <c r="H191" s="99">
        <v>30</v>
      </c>
      <c r="I191" s="99" t="s">
        <v>2710</v>
      </c>
      <c r="J191" s="99">
        <v>5</v>
      </c>
      <c r="K191" s="98" t="s">
        <v>528</v>
      </c>
      <c r="L191" s="98" t="s">
        <v>528</v>
      </c>
      <c r="M191" s="116">
        <v>9305.247555537635</v>
      </c>
      <c r="N191" s="116">
        <v>16113.412446291408</v>
      </c>
      <c r="O191" s="116">
        <v>966</v>
      </c>
      <c r="P191" s="117" t="s">
        <v>208</v>
      </c>
      <c r="Q191" s="116">
        <v>917</v>
      </c>
      <c r="R191" s="117" t="s">
        <v>208</v>
      </c>
      <c r="S191" s="116">
        <v>1102</v>
      </c>
      <c r="T191" s="117" t="s">
        <v>208</v>
      </c>
      <c r="U191" s="116">
        <v>1016</v>
      </c>
      <c r="V191" s="117" t="s">
        <v>208</v>
      </c>
      <c r="W191" s="116">
        <v>833</v>
      </c>
      <c r="X191" s="117" t="s">
        <v>208</v>
      </c>
      <c r="Y191" s="116">
        <v>1112.2727272727273</v>
      </c>
      <c r="Z191" s="117" t="s">
        <v>208</v>
      </c>
      <c r="AA191" s="116">
        <v>1629</v>
      </c>
      <c r="AB191" s="117" t="s">
        <v>208</v>
      </c>
      <c r="AC191" s="116">
        <v>1636</v>
      </c>
      <c r="AD191" s="117" t="s">
        <v>208</v>
      </c>
      <c r="AE191" s="116">
        <v>1736</v>
      </c>
      <c r="AF191" s="117" t="s">
        <v>208</v>
      </c>
      <c r="AG191" s="116">
        <v>1667</v>
      </c>
      <c r="AH191" s="117" t="s">
        <v>208</v>
      </c>
      <c r="AI191" s="116">
        <v>0</v>
      </c>
      <c r="AJ191" s="117" t="s">
        <v>208</v>
      </c>
      <c r="AK191" s="116">
        <v>733</v>
      </c>
      <c r="AL191" s="117" t="s">
        <v>208</v>
      </c>
      <c r="AM191" s="116">
        <v>13347.272727272728</v>
      </c>
    </row>
    <row r="192" spans="1:39" s="100" customFormat="1" ht="46.8" x14ac:dyDescent="0.3">
      <c r="A192" s="97">
        <v>182</v>
      </c>
      <c r="B192" s="98" t="s">
        <v>785</v>
      </c>
      <c r="C192" s="98" t="s">
        <v>2708</v>
      </c>
      <c r="D192" s="98" t="s">
        <v>1902</v>
      </c>
      <c r="E192" s="98" t="s">
        <v>2709</v>
      </c>
      <c r="F192" s="98" t="s">
        <v>49</v>
      </c>
      <c r="G192" s="99" t="s">
        <v>2710</v>
      </c>
      <c r="H192" s="99">
        <v>2</v>
      </c>
      <c r="I192" s="99" t="s">
        <v>2710</v>
      </c>
      <c r="J192" s="99">
        <v>1</v>
      </c>
      <c r="K192" s="98" t="s">
        <v>528</v>
      </c>
      <c r="L192" s="98" t="s">
        <v>528</v>
      </c>
      <c r="M192" s="116">
        <v>2324.7083106600253</v>
      </c>
      <c r="N192" s="116">
        <v>3969.1022086186667</v>
      </c>
      <c r="O192" s="116">
        <v>196.08976485547197</v>
      </c>
      <c r="P192" s="117" t="s">
        <v>208</v>
      </c>
      <c r="Q192" s="116">
        <v>314.95137185331419</v>
      </c>
      <c r="R192" s="117" t="s">
        <v>208</v>
      </c>
      <c r="S192" s="116">
        <v>230.38046514514596</v>
      </c>
      <c r="T192" s="117" t="s">
        <v>208</v>
      </c>
      <c r="U192" s="116">
        <v>305.23797090736383</v>
      </c>
      <c r="V192" s="117" t="s">
        <v>208</v>
      </c>
      <c r="W192" s="116">
        <v>229.49770806099482</v>
      </c>
      <c r="X192" s="117" t="s">
        <v>208</v>
      </c>
      <c r="Y192" s="116">
        <v>272.3306146862451</v>
      </c>
      <c r="Z192" s="117" t="s">
        <v>208</v>
      </c>
      <c r="AA192" s="116">
        <v>299.47561199992606</v>
      </c>
      <c r="AB192" s="117" t="s">
        <v>208</v>
      </c>
      <c r="AC192" s="116">
        <v>269.92820571267305</v>
      </c>
      <c r="AD192" s="117" t="s">
        <v>208</v>
      </c>
      <c r="AE192" s="116">
        <v>238.82085547037698</v>
      </c>
      <c r="AF192" s="117" t="s">
        <v>208</v>
      </c>
      <c r="AG192" s="116">
        <v>352.26248725171916</v>
      </c>
      <c r="AH192" s="117" t="s">
        <v>208</v>
      </c>
      <c r="AI192" s="116">
        <v>323.28628317718938</v>
      </c>
      <c r="AJ192" s="117" t="s">
        <v>208</v>
      </c>
      <c r="AK192" s="116">
        <v>235.70603711452085</v>
      </c>
      <c r="AL192" s="117" t="s">
        <v>208</v>
      </c>
      <c r="AM192" s="116">
        <v>3267.9673762349412</v>
      </c>
    </row>
    <row r="193" spans="1:39" s="100" customFormat="1" ht="46.8" x14ac:dyDescent="0.3">
      <c r="A193" s="97">
        <v>183</v>
      </c>
      <c r="B193" s="98" t="s">
        <v>786</v>
      </c>
      <c r="C193" s="98" t="s">
        <v>2708</v>
      </c>
      <c r="D193" s="98" t="s">
        <v>1902</v>
      </c>
      <c r="E193" s="98" t="s">
        <v>2709</v>
      </c>
      <c r="F193" s="98" t="s">
        <v>49</v>
      </c>
      <c r="G193" s="99" t="s">
        <v>2710</v>
      </c>
      <c r="H193" s="99">
        <v>10</v>
      </c>
      <c r="I193" s="99" t="s">
        <v>2710</v>
      </c>
      <c r="J193" s="99">
        <v>2</v>
      </c>
      <c r="K193" s="98" t="s">
        <v>528</v>
      </c>
      <c r="L193" s="98" t="s">
        <v>528</v>
      </c>
      <c r="M193" s="116">
        <v>4893.2257193592513</v>
      </c>
      <c r="N193" s="116">
        <v>8028.564748367121</v>
      </c>
      <c r="O193" s="116">
        <v>574</v>
      </c>
      <c r="P193" s="117" t="s">
        <v>208</v>
      </c>
      <c r="Q193" s="116">
        <v>557</v>
      </c>
      <c r="R193" s="117" t="s">
        <v>208</v>
      </c>
      <c r="S193" s="116">
        <v>517</v>
      </c>
      <c r="T193" s="117" t="s">
        <v>208</v>
      </c>
      <c r="U193" s="116">
        <v>493</v>
      </c>
      <c r="V193" s="117" t="s">
        <v>208</v>
      </c>
      <c r="W193" s="116">
        <v>524</v>
      </c>
      <c r="X193" s="117" t="s">
        <v>208</v>
      </c>
      <c r="Y193" s="116">
        <v>561</v>
      </c>
      <c r="Z193" s="117" t="s">
        <v>208</v>
      </c>
      <c r="AA193" s="116">
        <v>315</v>
      </c>
      <c r="AB193" s="117" t="s">
        <v>208</v>
      </c>
      <c r="AC193" s="116">
        <v>1056</v>
      </c>
      <c r="AD193" s="117" t="s">
        <v>208</v>
      </c>
      <c r="AE193" s="116">
        <v>1106</v>
      </c>
      <c r="AF193" s="117" t="s">
        <v>208</v>
      </c>
      <c r="AG193" s="116">
        <v>0</v>
      </c>
      <c r="AH193" s="117" t="s">
        <v>208</v>
      </c>
      <c r="AI193" s="116">
        <v>516</v>
      </c>
      <c r="AJ193" s="117" t="s">
        <v>208</v>
      </c>
      <c r="AK193" s="116">
        <v>513</v>
      </c>
      <c r="AL193" s="117" t="s">
        <v>208</v>
      </c>
      <c r="AM193" s="116">
        <v>6732</v>
      </c>
    </row>
    <row r="194" spans="1:39" s="100" customFormat="1" ht="46.8" x14ac:dyDescent="0.3">
      <c r="A194" s="97">
        <v>184</v>
      </c>
      <c r="B194" s="98" t="s">
        <v>788</v>
      </c>
      <c r="C194" s="98" t="s">
        <v>2708</v>
      </c>
      <c r="D194" s="98" t="s">
        <v>1902</v>
      </c>
      <c r="E194" s="98" t="s">
        <v>2709</v>
      </c>
      <c r="F194" s="98" t="s">
        <v>49</v>
      </c>
      <c r="G194" s="99" t="s">
        <v>2710</v>
      </c>
      <c r="H194" s="99">
        <v>42</v>
      </c>
      <c r="I194" s="99" t="s">
        <v>2710</v>
      </c>
      <c r="J194" s="99">
        <v>7</v>
      </c>
      <c r="K194" s="98" t="s">
        <v>528</v>
      </c>
      <c r="L194" s="98" t="s">
        <v>528</v>
      </c>
      <c r="M194" s="116">
        <v>11536.476380188411</v>
      </c>
      <c r="N194" s="116">
        <v>20809.88773811813</v>
      </c>
      <c r="O194" s="116">
        <v>1942</v>
      </c>
      <c r="P194" s="117" t="s">
        <v>208</v>
      </c>
      <c r="Q194" s="116">
        <v>1491</v>
      </c>
      <c r="R194" s="117" t="s">
        <v>208</v>
      </c>
      <c r="S194" s="116">
        <v>1610</v>
      </c>
      <c r="T194" s="117" t="s">
        <v>208</v>
      </c>
      <c r="U194" s="116">
        <v>1262</v>
      </c>
      <c r="V194" s="117" t="s">
        <v>208</v>
      </c>
      <c r="W194" s="116">
        <v>1289</v>
      </c>
      <c r="X194" s="117" t="s">
        <v>208</v>
      </c>
      <c r="Y194" s="116">
        <v>1445.6363636363637</v>
      </c>
      <c r="Z194" s="117" t="s">
        <v>208</v>
      </c>
      <c r="AA194" s="116">
        <v>1698</v>
      </c>
      <c r="AB194" s="117" t="s">
        <v>208</v>
      </c>
      <c r="AC194" s="116">
        <v>847</v>
      </c>
      <c r="AD194" s="117" t="s">
        <v>208</v>
      </c>
      <c r="AE194" s="116">
        <v>1047</v>
      </c>
      <c r="AF194" s="117" t="s">
        <v>208</v>
      </c>
      <c r="AG194" s="116">
        <v>1751</v>
      </c>
      <c r="AH194" s="117" t="s">
        <v>208</v>
      </c>
      <c r="AI194" s="116">
        <v>1859</v>
      </c>
      <c r="AJ194" s="117" t="s">
        <v>208</v>
      </c>
      <c r="AK194" s="116">
        <v>1106</v>
      </c>
      <c r="AL194" s="117" t="s">
        <v>208</v>
      </c>
      <c r="AM194" s="116">
        <v>17347.636363636364</v>
      </c>
    </row>
    <row r="195" spans="1:39" s="100" customFormat="1" ht="46.8" x14ac:dyDescent="0.3">
      <c r="A195" s="97">
        <v>185</v>
      </c>
      <c r="B195" s="98" t="s">
        <v>789</v>
      </c>
      <c r="C195" s="98" t="s">
        <v>2708</v>
      </c>
      <c r="D195" s="98" t="s">
        <v>1902</v>
      </c>
      <c r="E195" s="98" t="s">
        <v>2709</v>
      </c>
      <c r="F195" s="98" t="s">
        <v>49</v>
      </c>
      <c r="G195" s="99" t="s">
        <v>2710</v>
      </c>
      <c r="H195" s="99">
        <v>36</v>
      </c>
      <c r="I195" s="99" t="s">
        <v>2710</v>
      </c>
      <c r="J195" s="99">
        <v>6</v>
      </c>
      <c r="K195" s="98" t="s">
        <v>528</v>
      </c>
      <c r="L195" s="98" t="s">
        <v>528</v>
      </c>
      <c r="M195" s="116">
        <v>143499.62682678987</v>
      </c>
      <c r="N195" s="116">
        <v>242225.74978135369</v>
      </c>
      <c r="O195" s="116">
        <v>16770</v>
      </c>
      <c r="P195" s="117" t="s">
        <v>208</v>
      </c>
      <c r="Q195" s="116">
        <v>15147</v>
      </c>
      <c r="R195" s="117" t="s">
        <v>208</v>
      </c>
      <c r="S195" s="116">
        <v>16770</v>
      </c>
      <c r="T195" s="117" t="s">
        <v>208</v>
      </c>
      <c r="U195" s="116">
        <v>16229</v>
      </c>
      <c r="V195" s="117" t="s">
        <v>208</v>
      </c>
      <c r="W195" s="116">
        <v>16770</v>
      </c>
      <c r="X195" s="117" t="s">
        <v>208</v>
      </c>
      <c r="Y195" s="116">
        <v>16474.909090909092</v>
      </c>
      <c r="Z195" s="117" t="s">
        <v>208</v>
      </c>
      <c r="AA195" s="116">
        <v>16770</v>
      </c>
      <c r="AB195" s="117" t="s">
        <v>208</v>
      </c>
      <c r="AC195" s="116">
        <v>16770</v>
      </c>
      <c r="AD195" s="117" t="s">
        <v>208</v>
      </c>
      <c r="AE195" s="116">
        <v>16229</v>
      </c>
      <c r="AF195" s="117" t="s">
        <v>208</v>
      </c>
      <c r="AG195" s="116">
        <v>16770</v>
      </c>
      <c r="AH195" s="117" t="s">
        <v>208</v>
      </c>
      <c r="AI195" s="116">
        <v>16229</v>
      </c>
      <c r="AJ195" s="117" t="s">
        <v>208</v>
      </c>
      <c r="AK195" s="116">
        <v>16770</v>
      </c>
      <c r="AL195" s="117" t="s">
        <v>208</v>
      </c>
      <c r="AM195" s="116">
        <v>197698.90909090909</v>
      </c>
    </row>
    <row r="196" spans="1:39" s="100" customFormat="1" ht="46.8" x14ac:dyDescent="0.3">
      <c r="A196" s="97">
        <v>186</v>
      </c>
      <c r="B196" s="98" t="s">
        <v>790</v>
      </c>
      <c r="C196" s="98" t="s">
        <v>2708</v>
      </c>
      <c r="D196" s="98" t="s">
        <v>1902</v>
      </c>
      <c r="E196" s="98" t="s">
        <v>2709</v>
      </c>
      <c r="F196" s="98" t="s">
        <v>49</v>
      </c>
      <c r="G196" s="99" t="s">
        <v>2710</v>
      </c>
      <c r="H196" s="99">
        <v>24</v>
      </c>
      <c r="I196" s="99" t="s">
        <v>2710</v>
      </c>
      <c r="J196" s="99">
        <v>4</v>
      </c>
      <c r="K196" s="98" t="s">
        <v>528</v>
      </c>
      <c r="L196" s="98" t="s">
        <v>528</v>
      </c>
      <c r="M196" s="116">
        <v>26702.971448697455</v>
      </c>
      <c r="N196" s="116">
        <v>43060.726940689696</v>
      </c>
      <c r="O196" s="116">
        <v>4252</v>
      </c>
      <c r="P196" s="117" t="s">
        <v>208</v>
      </c>
      <c r="Q196" s="116">
        <v>3045</v>
      </c>
      <c r="R196" s="117" t="s">
        <v>208</v>
      </c>
      <c r="S196" s="116">
        <v>3157</v>
      </c>
      <c r="T196" s="117" t="s">
        <v>208</v>
      </c>
      <c r="U196" s="116">
        <v>2641</v>
      </c>
      <c r="V196" s="117" t="s">
        <v>208</v>
      </c>
      <c r="W196" s="116">
        <v>2841</v>
      </c>
      <c r="X196" s="117" t="s">
        <v>208</v>
      </c>
      <c r="Y196" s="116">
        <v>3008.3636363636365</v>
      </c>
      <c r="Z196" s="117" t="s">
        <v>208</v>
      </c>
      <c r="AA196" s="116">
        <v>3487</v>
      </c>
      <c r="AB196" s="117" t="s">
        <v>208</v>
      </c>
      <c r="AC196" s="116">
        <v>1633</v>
      </c>
      <c r="AD196" s="117" t="s">
        <v>208</v>
      </c>
      <c r="AE196" s="116">
        <v>2450</v>
      </c>
      <c r="AF196" s="117" t="s">
        <v>208</v>
      </c>
      <c r="AG196" s="116">
        <v>3292</v>
      </c>
      <c r="AH196" s="117" t="s">
        <v>208</v>
      </c>
      <c r="AI196" s="116">
        <v>3799</v>
      </c>
      <c r="AJ196" s="117" t="s">
        <v>208</v>
      </c>
      <c r="AK196" s="116">
        <v>2495</v>
      </c>
      <c r="AL196" s="117" t="s">
        <v>208</v>
      </c>
      <c r="AM196" s="116">
        <v>36100.363636363632</v>
      </c>
    </row>
    <row r="197" spans="1:39" s="100" customFormat="1" ht="46.8" x14ac:dyDescent="0.3">
      <c r="A197" s="97">
        <v>187</v>
      </c>
      <c r="B197" s="98" t="s">
        <v>791</v>
      </c>
      <c r="C197" s="98" t="s">
        <v>2708</v>
      </c>
      <c r="D197" s="98" t="s">
        <v>1902</v>
      </c>
      <c r="E197" s="98" t="s">
        <v>2709</v>
      </c>
      <c r="F197" s="98" t="s">
        <v>49</v>
      </c>
      <c r="G197" s="99" t="s">
        <v>2710</v>
      </c>
      <c r="H197" s="99">
        <v>36</v>
      </c>
      <c r="I197" s="99" t="s">
        <v>2710</v>
      </c>
      <c r="J197" s="99">
        <v>6</v>
      </c>
      <c r="K197" s="98" t="s">
        <v>528</v>
      </c>
      <c r="L197" s="98" t="s">
        <v>528</v>
      </c>
      <c r="M197" s="116">
        <v>7281.1168235469049</v>
      </c>
      <c r="N197" s="116">
        <v>12466.31127105226</v>
      </c>
      <c r="O197" s="116">
        <v>1060</v>
      </c>
      <c r="P197" s="117" t="s">
        <v>208</v>
      </c>
      <c r="Q197" s="116">
        <v>943</v>
      </c>
      <c r="R197" s="117" t="s">
        <v>208</v>
      </c>
      <c r="S197" s="116">
        <v>956</v>
      </c>
      <c r="T197" s="117" t="s">
        <v>208</v>
      </c>
      <c r="U197" s="116">
        <v>815</v>
      </c>
      <c r="V197" s="117" t="s">
        <v>208</v>
      </c>
      <c r="W197" s="116">
        <v>939</v>
      </c>
      <c r="X197" s="117" t="s">
        <v>208</v>
      </c>
      <c r="Y197" s="116">
        <v>869.4545454545455</v>
      </c>
      <c r="Z197" s="117" t="s">
        <v>208</v>
      </c>
      <c r="AA197" s="116">
        <v>633</v>
      </c>
      <c r="AB197" s="117" t="s">
        <v>208</v>
      </c>
      <c r="AC197" s="116">
        <v>1100</v>
      </c>
      <c r="AD197" s="117" t="s">
        <v>208</v>
      </c>
      <c r="AE197" s="116">
        <v>1300</v>
      </c>
      <c r="AF197" s="117" t="s">
        <v>208</v>
      </c>
      <c r="AG197" s="116">
        <v>397</v>
      </c>
      <c r="AH197" s="117" t="s">
        <v>208</v>
      </c>
      <c r="AI197" s="116">
        <v>958</v>
      </c>
      <c r="AJ197" s="117" t="s">
        <v>208</v>
      </c>
      <c r="AK197" s="116">
        <v>463</v>
      </c>
      <c r="AL197" s="117" t="s">
        <v>208</v>
      </c>
      <c r="AM197" s="116">
        <v>10433.454545454546</v>
      </c>
    </row>
    <row r="198" spans="1:39" s="100" customFormat="1" ht="46.8" x14ac:dyDescent="0.3">
      <c r="A198" s="97">
        <v>188</v>
      </c>
      <c r="B198" s="98" t="s">
        <v>792</v>
      </c>
      <c r="C198" s="98" t="s">
        <v>2708</v>
      </c>
      <c r="D198" s="98" t="s">
        <v>1902</v>
      </c>
      <c r="E198" s="98" t="s">
        <v>2709</v>
      </c>
      <c r="F198" s="98" t="s">
        <v>49</v>
      </c>
      <c r="G198" s="99" t="s">
        <v>2710</v>
      </c>
      <c r="H198" s="99">
        <v>42</v>
      </c>
      <c r="I198" s="99" t="s">
        <v>2710</v>
      </c>
      <c r="J198" s="99">
        <v>7</v>
      </c>
      <c r="K198" s="98" t="s">
        <v>528</v>
      </c>
      <c r="L198" s="98" t="s">
        <v>528</v>
      </c>
      <c r="M198" s="116">
        <v>9166.7727716084646</v>
      </c>
      <c r="N198" s="116">
        <v>15900.095347862363</v>
      </c>
      <c r="O198" s="116">
        <v>1286</v>
      </c>
      <c r="P198" s="117" t="s">
        <v>208</v>
      </c>
      <c r="Q198" s="116">
        <v>1418</v>
      </c>
      <c r="R198" s="117" t="s">
        <v>208</v>
      </c>
      <c r="S198" s="116">
        <v>1465</v>
      </c>
      <c r="T198" s="117" t="s">
        <v>208</v>
      </c>
      <c r="U198" s="116">
        <v>1374</v>
      </c>
      <c r="V198" s="117" t="s">
        <v>208</v>
      </c>
      <c r="W198" s="116">
        <v>1622</v>
      </c>
      <c r="X198" s="117" t="s">
        <v>208</v>
      </c>
      <c r="Y198" s="116">
        <v>1092.1818181818182</v>
      </c>
      <c r="Z198" s="117" t="s">
        <v>208</v>
      </c>
      <c r="AA198" s="116">
        <v>1113</v>
      </c>
      <c r="AB198" s="117" t="s">
        <v>208</v>
      </c>
      <c r="AC198" s="116">
        <v>946</v>
      </c>
      <c r="AD198" s="117" t="s">
        <v>208</v>
      </c>
      <c r="AE198" s="116">
        <v>1146</v>
      </c>
      <c r="AF198" s="117" t="s">
        <v>208</v>
      </c>
      <c r="AG198" s="116">
        <v>279</v>
      </c>
      <c r="AH198" s="117" t="s">
        <v>208</v>
      </c>
      <c r="AI198" s="116">
        <v>872</v>
      </c>
      <c r="AJ198" s="117" t="s">
        <v>208</v>
      </c>
      <c r="AK198" s="116">
        <v>493</v>
      </c>
      <c r="AL198" s="117" t="s">
        <v>208</v>
      </c>
      <c r="AM198" s="116">
        <v>13106.181818181818</v>
      </c>
    </row>
    <row r="199" spans="1:39" s="100" customFormat="1" ht="46.8" x14ac:dyDescent="0.3">
      <c r="A199" s="97">
        <v>189</v>
      </c>
      <c r="B199" s="98" t="s">
        <v>793</v>
      </c>
      <c r="C199" s="98" t="s">
        <v>2708</v>
      </c>
      <c r="D199" s="98" t="s">
        <v>1902</v>
      </c>
      <c r="E199" s="98" t="s">
        <v>2709</v>
      </c>
      <c r="F199" s="98" t="s">
        <v>49</v>
      </c>
      <c r="G199" s="99" t="s">
        <v>2710</v>
      </c>
      <c r="H199" s="99">
        <v>36</v>
      </c>
      <c r="I199" s="99" t="s">
        <v>2710</v>
      </c>
      <c r="J199" s="99">
        <v>6</v>
      </c>
      <c r="K199" s="98" t="s">
        <v>528</v>
      </c>
      <c r="L199" s="98" t="s">
        <v>528</v>
      </c>
      <c r="M199" s="116">
        <v>23200.923915643132</v>
      </c>
      <c r="N199" s="116">
        <v>41492.683739984343</v>
      </c>
      <c r="O199" s="116">
        <v>4683</v>
      </c>
      <c r="P199" s="117" t="s">
        <v>208</v>
      </c>
      <c r="Q199" s="116">
        <v>3885</v>
      </c>
      <c r="R199" s="117" t="s">
        <v>208</v>
      </c>
      <c r="S199" s="116">
        <v>3486</v>
      </c>
      <c r="T199" s="117" t="s">
        <v>208</v>
      </c>
      <c r="U199" s="116">
        <v>3082</v>
      </c>
      <c r="V199" s="117" t="s">
        <v>208</v>
      </c>
      <c r="W199" s="116">
        <v>3114</v>
      </c>
      <c r="X199" s="117" t="s">
        <v>208</v>
      </c>
      <c r="Y199" s="116">
        <v>2882.5454545454545</v>
      </c>
      <c r="Z199" s="117" t="s">
        <v>208</v>
      </c>
      <c r="AA199" s="116">
        <v>1266</v>
      </c>
      <c r="AB199" s="117" t="s">
        <v>208</v>
      </c>
      <c r="AC199" s="116">
        <v>1525</v>
      </c>
      <c r="AD199" s="117" t="s">
        <v>208</v>
      </c>
      <c r="AE199" s="116">
        <v>1675</v>
      </c>
      <c r="AF199" s="117" t="s">
        <v>208</v>
      </c>
      <c r="AG199" s="116">
        <v>3101</v>
      </c>
      <c r="AH199" s="117" t="s">
        <v>208</v>
      </c>
      <c r="AI199" s="116">
        <v>3618</v>
      </c>
      <c r="AJ199" s="117" t="s">
        <v>208</v>
      </c>
      <c r="AK199" s="116">
        <v>2273</v>
      </c>
      <c r="AL199" s="117" t="s">
        <v>208</v>
      </c>
      <c r="AM199" s="116">
        <v>34590.545454545456</v>
      </c>
    </row>
    <row r="200" spans="1:39" s="100" customFormat="1" ht="46.8" x14ac:dyDescent="0.3">
      <c r="A200" s="97">
        <v>190</v>
      </c>
      <c r="B200" s="98" t="s">
        <v>794</v>
      </c>
      <c r="C200" s="98" t="s">
        <v>2708</v>
      </c>
      <c r="D200" s="98" t="s">
        <v>1902</v>
      </c>
      <c r="E200" s="98" t="s">
        <v>2709</v>
      </c>
      <c r="F200" s="98" t="s">
        <v>49</v>
      </c>
      <c r="G200" s="99" t="s">
        <v>2710</v>
      </c>
      <c r="H200" s="99">
        <v>56</v>
      </c>
      <c r="I200" s="99" t="s">
        <v>2710</v>
      </c>
      <c r="J200" s="99">
        <v>7</v>
      </c>
      <c r="K200" s="98" t="s">
        <v>528</v>
      </c>
      <c r="L200" s="98" t="s">
        <v>528</v>
      </c>
      <c r="M200" s="116">
        <v>20357.629599700125</v>
      </c>
      <c r="N200" s="116">
        <v>33308.839588750663</v>
      </c>
      <c r="O200" s="116">
        <v>3267</v>
      </c>
      <c r="P200" s="117" t="s">
        <v>208</v>
      </c>
      <c r="Q200" s="116">
        <v>2456</v>
      </c>
      <c r="R200" s="117" t="s">
        <v>208</v>
      </c>
      <c r="S200" s="116">
        <v>2408</v>
      </c>
      <c r="T200" s="117" t="s">
        <v>208</v>
      </c>
      <c r="U200" s="116">
        <v>2247</v>
      </c>
      <c r="V200" s="117" t="s">
        <v>208</v>
      </c>
      <c r="W200" s="116">
        <v>2473</v>
      </c>
      <c r="X200" s="117" t="s">
        <v>208</v>
      </c>
      <c r="Y200" s="116">
        <v>2357.181818181818</v>
      </c>
      <c r="Z200" s="117" t="s">
        <v>208</v>
      </c>
      <c r="AA200" s="116">
        <v>2686</v>
      </c>
      <c r="AB200" s="117" t="s">
        <v>208</v>
      </c>
      <c r="AC200" s="116">
        <v>1696</v>
      </c>
      <c r="AD200" s="117" t="s">
        <v>208</v>
      </c>
      <c r="AE200" s="116">
        <v>1896</v>
      </c>
      <c r="AF200" s="117" t="s">
        <v>208</v>
      </c>
      <c r="AG200" s="116">
        <v>2193</v>
      </c>
      <c r="AH200" s="117" t="s">
        <v>208</v>
      </c>
      <c r="AI200" s="116">
        <v>2886</v>
      </c>
      <c r="AJ200" s="117" t="s">
        <v>208</v>
      </c>
      <c r="AK200" s="116">
        <v>1721</v>
      </c>
      <c r="AL200" s="117" t="s">
        <v>208</v>
      </c>
      <c r="AM200" s="116">
        <v>28286.181818181816</v>
      </c>
    </row>
    <row r="201" spans="1:39" s="100" customFormat="1" ht="46.8" x14ac:dyDescent="0.3">
      <c r="A201" s="97">
        <v>191</v>
      </c>
      <c r="B201" s="98" t="s">
        <v>796</v>
      </c>
      <c r="C201" s="98" t="s">
        <v>2708</v>
      </c>
      <c r="D201" s="98" t="s">
        <v>1902</v>
      </c>
      <c r="E201" s="98" t="s">
        <v>2709</v>
      </c>
      <c r="F201" s="98" t="s">
        <v>49</v>
      </c>
      <c r="G201" s="99" t="s">
        <v>2710</v>
      </c>
      <c r="H201" s="99">
        <v>72</v>
      </c>
      <c r="I201" s="99" t="s">
        <v>2710</v>
      </c>
      <c r="J201" s="99">
        <v>12</v>
      </c>
      <c r="K201" s="98" t="s">
        <v>528</v>
      </c>
      <c r="L201" s="98" t="s">
        <v>528</v>
      </c>
      <c r="M201" s="116">
        <v>40582.562569299269</v>
      </c>
      <c r="N201" s="116">
        <v>69850.486302608537</v>
      </c>
      <c r="O201" s="116">
        <v>7203</v>
      </c>
      <c r="P201" s="117" t="s">
        <v>208</v>
      </c>
      <c r="Q201" s="116">
        <v>7203</v>
      </c>
      <c r="R201" s="117" t="s">
        <v>208</v>
      </c>
      <c r="S201" s="116">
        <v>7203</v>
      </c>
      <c r="T201" s="117" t="s">
        <v>208</v>
      </c>
      <c r="U201" s="116">
        <v>7203</v>
      </c>
      <c r="V201" s="117" t="s">
        <v>208</v>
      </c>
      <c r="W201" s="116">
        <v>7203</v>
      </c>
      <c r="X201" s="117" t="s">
        <v>208</v>
      </c>
      <c r="Y201" s="116">
        <v>4784.454545454545</v>
      </c>
      <c r="Z201" s="117" t="s">
        <v>208</v>
      </c>
      <c r="AA201" s="116">
        <v>2769</v>
      </c>
      <c r="AB201" s="117" t="s">
        <v>208</v>
      </c>
      <c r="AC201" s="116">
        <v>2769</v>
      </c>
      <c r="AD201" s="117" t="s">
        <v>208</v>
      </c>
      <c r="AE201" s="116">
        <v>2769</v>
      </c>
      <c r="AF201" s="117" t="s">
        <v>208</v>
      </c>
      <c r="AG201" s="116">
        <v>2769</v>
      </c>
      <c r="AH201" s="117" t="s">
        <v>208</v>
      </c>
      <c r="AI201" s="116">
        <v>2769</v>
      </c>
      <c r="AJ201" s="117" t="s">
        <v>208</v>
      </c>
      <c r="AK201" s="116">
        <v>2769</v>
      </c>
      <c r="AL201" s="117" t="s">
        <v>208</v>
      </c>
      <c r="AM201" s="116">
        <v>57413.454545454544</v>
      </c>
    </row>
    <row r="202" spans="1:39" s="100" customFormat="1" ht="46.8" x14ac:dyDescent="0.3">
      <c r="A202" s="97">
        <v>192</v>
      </c>
      <c r="B202" s="98" t="s">
        <v>798</v>
      </c>
      <c r="C202" s="98" t="s">
        <v>2708</v>
      </c>
      <c r="D202" s="98" t="s">
        <v>1902</v>
      </c>
      <c r="E202" s="98" t="s">
        <v>2709</v>
      </c>
      <c r="F202" s="98" t="s">
        <v>49</v>
      </c>
      <c r="G202" s="99" t="s">
        <v>2710</v>
      </c>
      <c r="H202" s="99">
        <v>54</v>
      </c>
      <c r="I202" s="99" t="s">
        <v>2710</v>
      </c>
      <c r="J202" s="99">
        <v>9</v>
      </c>
      <c r="K202" s="98" t="s">
        <v>528</v>
      </c>
      <c r="L202" s="98" t="s">
        <v>528</v>
      </c>
      <c r="M202" s="116">
        <v>20267.176822881804</v>
      </c>
      <c r="N202" s="116">
        <v>36481.726998377169</v>
      </c>
      <c r="O202" s="116">
        <v>2712</v>
      </c>
      <c r="P202" s="117" t="s">
        <v>208</v>
      </c>
      <c r="Q202" s="116">
        <v>3122</v>
      </c>
      <c r="R202" s="117" t="s">
        <v>208</v>
      </c>
      <c r="S202" s="116">
        <v>2602</v>
      </c>
      <c r="T202" s="117" t="s">
        <v>208</v>
      </c>
      <c r="U202" s="116">
        <v>2193</v>
      </c>
      <c r="V202" s="117" t="s">
        <v>208</v>
      </c>
      <c r="W202" s="116">
        <v>2404</v>
      </c>
      <c r="X202" s="117" t="s">
        <v>208</v>
      </c>
      <c r="Y202" s="116">
        <v>2482.6363636363635</v>
      </c>
      <c r="Z202" s="117" t="s">
        <v>208</v>
      </c>
      <c r="AA202" s="116">
        <v>2552</v>
      </c>
      <c r="AB202" s="117" t="s">
        <v>208</v>
      </c>
      <c r="AC202" s="116">
        <v>2225</v>
      </c>
      <c r="AD202" s="117" t="s">
        <v>208</v>
      </c>
      <c r="AE202" s="116">
        <v>2621</v>
      </c>
      <c r="AF202" s="117" t="s">
        <v>208</v>
      </c>
      <c r="AG202" s="116">
        <v>1757</v>
      </c>
      <c r="AH202" s="117" t="s">
        <v>208</v>
      </c>
      <c r="AI202" s="116">
        <v>2965</v>
      </c>
      <c r="AJ202" s="117" t="s">
        <v>208</v>
      </c>
      <c r="AK202" s="116">
        <v>2156</v>
      </c>
      <c r="AL202" s="117" t="s">
        <v>208</v>
      </c>
      <c r="AM202" s="116">
        <v>29791.636363636364</v>
      </c>
    </row>
    <row r="203" spans="1:39" s="100" customFormat="1" ht="46.8" x14ac:dyDescent="0.3">
      <c r="A203" s="97">
        <v>193</v>
      </c>
      <c r="B203" s="98" t="s">
        <v>799</v>
      </c>
      <c r="C203" s="98" t="s">
        <v>2708</v>
      </c>
      <c r="D203" s="98" t="s">
        <v>1902</v>
      </c>
      <c r="E203" s="98" t="s">
        <v>2709</v>
      </c>
      <c r="F203" s="98" t="s">
        <v>49</v>
      </c>
      <c r="G203" s="99" t="s">
        <v>2710</v>
      </c>
      <c r="H203" s="99">
        <v>5</v>
      </c>
      <c r="I203" s="99" t="s">
        <v>2710</v>
      </c>
      <c r="J203" s="99">
        <v>1</v>
      </c>
      <c r="K203" s="98" t="s">
        <v>528</v>
      </c>
      <c r="L203" s="98" t="s">
        <v>528</v>
      </c>
      <c r="M203" s="116">
        <v>2824.0531591590034</v>
      </c>
      <c r="N203" s="116">
        <v>4470.1603805220393</v>
      </c>
      <c r="O203" s="116">
        <v>333</v>
      </c>
      <c r="P203" s="117" t="s">
        <v>208</v>
      </c>
      <c r="Q203" s="116">
        <v>360</v>
      </c>
      <c r="R203" s="117" t="s">
        <v>208</v>
      </c>
      <c r="S203" s="116">
        <v>444</v>
      </c>
      <c r="T203" s="117" t="s">
        <v>208</v>
      </c>
      <c r="U203" s="116">
        <v>415</v>
      </c>
      <c r="V203" s="117" t="s">
        <v>208</v>
      </c>
      <c r="W203" s="116">
        <v>433</v>
      </c>
      <c r="X203" s="117" t="s">
        <v>208</v>
      </c>
      <c r="Y203" s="116">
        <v>315.72727272727275</v>
      </c>
      <c r="Z203" s="117" t="s">
        <v>208</v>
      </c>
      <c r="AA203" s="116">
        <v>259</v>
      </c>
      <c r="AB203" s="117" t="s">
        <v>208</v>
      </c>
      <c r="AC203" s="116">
        <v>264</v>
      </c>
      <c r="AD203" s="117" t="s">
        <v>208</v>
      </c>
      <c r="AE203" s="116">
        <v>364</v>
      </c>
      <c r="AF203" s="117" t="s">
        <v>208</v>
      </c>
      <c r="AG203" s="116">
        <v>106</v>
      </c>
      <c r="AH203" s="117" t="s">
        <v>208</v>
      </c>
      <c r="AI203" s="116">
        <v>39</v>
      </c>
      <c r="AJ203" s="117" t="s">
        <v>208</v>
      </c>
      <c r="AK203" s="116">
        <v>456</v>
      </c>
      <c r="AL203" s="117" t="s">
        <v>208</v>
      </c>
      <c r="AM203" s="116">
        <v>3788.727272727273</v>
      </c>
    </row>
    <row r="204" spans="1:39" s="100" customFormat="1" ht="46.8" x14ac:dyDescent="0.3">
      <c r="A204" s="97">
        <v>194</v>
      </c>
      <c r="B204" s="98" t="s">
        <v>800</v>
      </c>
      <c r="C204" s="98" t="s">
        <v>2708</v>
      </c>
      <c r="D204" s="98" t="s">
        <v>1902</v>
      </c>
      <c r="E204" s="98" t="s">
        <v>2709</v>
      </c>
      <c r="F204" s="98" t="s">
        <v>49</v>
      </c>
      <c r="G204" s="99" t="s">
        <v>2710</v>
      </c>
      <c r="H204" s="99">
        <v>12</v>
      </c>
      <c r="I204" s="99" t="s">
        <v>2710</v>
      </c>
      <c r="J204" s="99">
        <v>3</v>
      </c>
      <c r="K204" s="98" t="s">
        <v>528</v>
      </c>
      <c r="L204" s="98" t="s">
        <v>528</v>
      </c>
      <c r="M204" s="116">
        <v>956.69280930587456</v>
      </c>
      <c r="N204" s="116">
        <v>1735.9384554755079</v>
      </c>
      <c r="O204" s="116">
        <v>181.76</v>
      </c>
      <c r="P204" s="117" t="s">
        <v>208</v>
      </c>
      <c r="Q204" s="116">
        <v>170.88</v>
      </c>
      <c r="R204" s="117" t="s">
        <v>208</v>
      </c>
      <c r="S204" s="116">
        <v>150.72</v>
      </c>
      <c r="T204" s="117" t="s">
        <v>208</v>
      </c>
      <c r="U204" s="116">
        <v>102.4</v>
      </c>
      <c r="V204" s="117" t="s">
        <v>208</v>
      </c>
      <c r="W204" s="116">
        <v>100.16</v>
      </c>
      <c r="X204" s="117" t="s">
        <v>208</v>
      </c>
      <c r="Y204" s="116">
        <v>120.55272727272727</v>
      </c>
      <c r="Z204" s="117" t="s">
        <v>208</v>
      </c>
      <c r="AA204" s="116">
        <v>127.36</v>
      </c>
      <c r="AB204" s="117" t="s">
        <v>208</v>
      </c>
      <c r="AC204" s="116">
        <v>56</v>
      </c>
      <c r="AD204" s="117" t="s">
        <v>208</v>
      </c>
      <c r="AE204" s="116">
        <v>190.4</v>
      </c>
      <c r="AF204" s="117" t="s">
        <v>208</v>
      </c>
      <c r="AG204" s="116">
        <v>0</v>
      </c>
      <c r="AH204" s="117" t="s">
        <v>208</v>
      </c>
      <c r="AI204" s="116">
        <v>127.36</v>
      </c>
      <c r="AJ204" s="117" t="s">
        <v>208</v>
      </c>
      <c r="AK204" s="116">
        <v>119.04</v>
      </c>
      <c r="AL204" s="117" t="s">
        <v>208</v>
      </c>
      <c r="AM204" s="116">
        <v>1446.6327272727272</v>
      </c>
    </row>
    <row r="205" spans="1:39" s="100" customFormat="1" ht="46.8" x14ac:dyDescent="0.3">
      <c r="A205" s="97">
        <v>195</v>
      </c>
      <c r="B205" s="98" t="s">
        <v>801</v>
      </c>
      <c r="C205" s="98" t="s">
        <v>2708</v>
      </c>
      <c r="D205" s="98" t="s">
        <v>1902</v>
      </c>
      <c r="E205" s="98" t="s">
        <v>2709</v>
      </c>
      <c r="F205" s="98" t="s">
        <v>49</v>
      </c>
      <c r="G205" s="99" t="s">
        <v>2710</v>
      </c>
      <c r="H205" s="99">
        <v>66</v>
      </c>
      <c r="I205" s="99" t="s">
        <v>2710</v>
      </c>
      <c r="J205" s="99">
        <v>11</v>
      </c>
      <c r="K205" s="98" t="s">
        <v>528</v>
      </c>
      <c r="L205" s="98" t="s">
        <v>529</v>
      </c>
      <c r="M205" s="116">
        <v>46267.252812114348</v>
      </c>
      <c r="N205" s="116">
        <v>78973.409133695779</v>
      </c>
      <c r="O205" s="116">
        <v>4673</v>
      </c>
      <c r="P205" s="117" t="s">
        <v>1906</v>
      </c>
      <c r="Q205" s="116">
        <v>4919</v>
      </c>
      <c r="R205" s="117" t="s">
        <v>1906</v>
      </c>
      <c r="S205" s="116">
        <v>4789</v>
      </c>
      <c r="T205" s="117" t="s">
        <v>1906</v>
      </c>
      <c r="U205" s="116">
        <v>4826</v>
      </c>
      <c r="V205" s="117" t="s">
        <v>1906</v>
      </c>
      <c r="W205" s="116">
        <v>4532</v>
      </c>
      <c r="X205" s="117" t="s">
        <v>1906</v>
      </c>
      <c r="Y205" s="116">
        <v>5274.545454545455</v>
      </c>
      <c r="Z205" s="117" t="s">
        <v>1906</v>
      </c>
      <c r="AA205" s="116">
        <v>5528</v>
      </c>
      <c r="AB205" s="117" t="s">
        <v>1906</v>
      </c>
      <c r="AC205" s="116">
        <v>5637</v>
      </c>
      <c r="AD205" s="117" t="s">
        <v>1906</v>
      </c>
      <c r="AE205" s="116">
        <v>5529</v>
      </c>
      <c r="AF205" s="117" t="s">
        <v>1906</v>
      </c>
      <c r="AG205" s="116">
        <v>5902</v>
      </c>
      <c r="AH205" s="117" t="s">
        <v>1906</v>
      </c>
      <c r="AI205" s="116">
        <v>5796</v>
      </c>
      <c r="AJ205" s="117" t="s">
        <v>1906</v>
      </c>
      <c r="AK205" s="116">
        <v>5889</v>
      </c>
      <c r="AL205" s="117" t="s">
        <v>1906</v>
      </c>
      <c r="AM205" s="116">
        <v>63294.545454545456</v>
      </c>
    </row>
    <row r="206" spans="1:39" s="100" customFormat="1" ht="46.8" x14ac:dyDescent="0.3">
      <c r="A206" s="97">
        <v>196</v>
      </c>
      <c r="B206" s="98" t="s">
        <v>802</v>
      </c>
      <c r="C206" s="98" t="s">
        <v>2708</v>
      </c>
      <c r="D206" s="98" t="s">
        <v>1902</v>
      </c>
      <c r="E206" s="98" t="s">
        <v>2709</v>
      </c>
      <c r="F206" s="98" t="s">
        <v>49</v>
      </c>
      <c r="G206" s="99" t="s">
        <v>2710</v>
      </c>
      <c r="H206" s="99">
        <v>15</v>
      </c>
      <c r="I206" s="99" t="s">
        <v>2710</v>
      </c>
      <c r="J206" s="99">
        <v>3</v>
      </c>
      <c r="K206" s="98" t="s">
        <v>528</v>
      </c>
      <c r="L206" s="98" t="s">
        <v>528</v>
      </c>
      <c r="M206" s="116">
        <v>2218.1584422379219</v>
      </c>
      <c r="N206" s="116">
        <v>3701.2368281468139</v>
      </c>
      <c r="O206" s="116">
        <v>386.24</v>
      </c>
      <c r="P206" s="117" t="s">
        <v>208</v>
      </c>
      <c r="Q206" s="116">
        <v>363.12</v>
      </c>
      <c r="R206" s="117" t="s">
        <v>208</v>
      </c>
      <c r="S206" s="116">
        <v>320.28000000000003</v>
      </c>
      <c r="T206" s="117" t="s">
        <v>208</v>
      </c>
      <c r="U206" s="116">
        <v>217.60000000000002</v>
      </c>
      <c r="V206" s="117" t="s">
        <v>208</v>
      </c>
      <c r="W206" s="116">
        <v>212.84</v>
      </c>
      <c r="X206" s="117" t="s">
        <v>208</v>
      </c>
      <c r="Y206" s="116">
        <v>256.17454545454547</v>
      </c>
      <c r="Z206" s="117" t="s">
        <v>208</v>
      </c>
      <c r="AA206" s="116">
        <v>270.64000000000004</v>
      </c>
      <c r="AB206" s="117" t="s">
        <v>208</v>
      </c>
      <c r="AC206" s="116">
        <v>119.00000000000001</v>
      </c>
      <c r="AD206" s="117" t="s">
        <v>208</v>
      </c>
      <c r="AE206" s="116">
        <v>404.6</v>
      </c>
      <c r="AF206" s="117" t="s">
        <v>208</v>
      </c>
      <c r="AG206" s="116">
        <v>0</v>
      </c>
      <c r="AH206" s="117" t="s">
        <v>208</v>
      </c>
      <c r="AI206" s="116">
        <v>270.64000000000004</v>
      </c>
      <c r="AJ206" s="117" t="s">
        <v>208</v>
      </c>
      <c r="AK206" s="116">
        <v>252.96</v>
      </c>
      <c r="AL206" s="117" t="s">
        <v>208</v>
      </c>
      <c r="AM206" s="116">
        <v>3074.0945454545458</v>
      </c>
    </row>
    <row r="207" spans="1:39" s="100" customFormat="1" ht="46.8" x14ac:dyDescent="0.3">
      <c r="A207" s="97">
        <v>197</v>
      </c>
      <c r="B207" s="98" t="s">
        <v>803</v>
      </c>
      <c r="C207" s="98" t="s">
        <v>2708</v>
      </c>
      <c r="D207" s="98" t="s">
        <v>1902</v>
      </c>
      <c r="E207" s="98" t="s">
        <v>2709</v>
      </c>
      <c r="F207" s="98" t="s">
        <v>49</v>
      </c>
      <c r="G207" s="99" t="s">
        <v>2710</v>
      </c>
      <c r="H207" s="99">
        <v>12</v>
      </c>
      <c r="I207" s="99" t="s">
        <v>2710</v>
      </c>
      <c r="J207" s="99">
        <v>3</v>
      </c>
      <c r="K207" s="98" t="s">
        <v>528</v>
      </c>
      <c r="L207" s="98" t="s">
        <v>528</v>
      </c>
      <c r="M207" s="116">
        <v>4907.3666514424694</v>
      </c>
      <c r="N207" s="116">
        <v>8754.0739523760967</v>
      </c>
      <c r="O207" s="116">
        <v>463.61722446670092</v>
      </c>
      <c r="P207" s="117" t="s">
        <v>208</v>
      </c>
      <c r="Q207" s="116">
        <v>470.77565082874924</v>
      </c>
      <c r="R207" s="117" t="s">
        <v>208</v>
      </c>
      <c r="S207" s="116">
        <v>484.04580057997686</v>
      </c>
      <c r="T207" s="117" t="s">
        <v>208</v>
      </c>
      <c r="U207" s="116">
        <v>757.53673141681634</v>
      </c>
      <c r="V207" s="117" t="s">
        <v>208</v>
      </c>
      <c r="W207" s="116">
        <v>634.33077046032338</v>
      </c>
      <c r="X207" s="117" t="s">
        <v>208</v>
      </c>
      <c r="Y207" s="116">
        <v>610.98034738969034</v>
      </c>
      <c r="Z207" s="117" t="s">
        <v>208</v>
      </c>
      <c r="AA207" s="116">
        <v>751.44712374127039</v>
      </c>
      <c r="AB207" s="117" t="s">
        <v>208</v>
      </c>
      <c r="AC207" s="116">
        <v>647.60943408170283</v>
      </c>
      <c r="AD207" s="117" t="s">
        <v>208</v>
      </c>
      <c r="AE207" s="116">
        <v>642.05098118337082</v>
      </c>
      <c r="AF207" s="117" t="s">
        <v>208</v>
      </c>
      <c r="AG207" s="116">
        <v>705.5259417772312</v>
      </c>
      <c r="AH207" s="117" t="s">
        <v>208</v>
      </c>
      <c r="AI207" s="116">
        <v>609.72796147973861</v>
      </c>
      <c r="AJ207" s="117" t="s">
        <v>208</v>
      </c>
      <c r="AK207" s="116">
        <v>554.11620127071262</v>
      </c>
      <c r="AL207" s="117" t="s">
        <v>208</v>
      </c>
      <c r="AM207" s="116">
        <v>7331.7641686762845</v>
      </c>
    </row>
    <row r="208" spans="1:39" s="100" customFormat="1" ht="46.8" x14ac:dyDescent="0.3">
      <c r="A208" s="97">
        <v>198</v>
      </c>
      <c r="B208" s="98" t="s">
        <v>804</v>
      </c>
      <c r="C208" s="98" t="s">
        <v>2708</v>
      </c>
      <c r="D208" s="98" t="s">
        <v>1902</v>
      </c>
      <c r="E208" s="98" t="s">
        <v>2709</v>
      </c>
      <c r="F208" s="98" t="s">
        <v>49</v>
      </c>
      <c r="G208" s="99" t="s">
        <v>2710</v>
      </c>
      <c r="H208" s="99">
        <v>16</v>
      </c>
      <c r="I208" s="99" t="s">
        <v>2710</v>
      </c>
      <c r="J208" s="99">
        <v>4</v>
      </c>
      <c r="K208" s="98" t="s">
        <v>528</v>
      </c>
      <c r="L208" s="98" t="s">
        <v>528</v>
      </c>
      <c r="M208" s="116">
        <v>645.03464560399425</v>
      </c>
      <c r="N208" s="116">
        <v>1063.0073747805845</v>
      </c>
      <c r="O208" s="116">
        <v>9</v>
      </c>
      <c r="P208" s="117" t="s">
        <v>208</v>
      </c>
      <c r="Q208" s="116">
        <v>119</v>
      </c>
      <c r="R208" s="117" t="s">
        <v>208</v>
      </c>
      <c r="S208" s="116">
        <v>223</v>
      </c>
      <c r="T208" s="117" t="s">
        <v>208</v>
      </c>
      <c r="U208" s="116">
        <v>112</v>
      </c>
      <c r="V208" s="117" t="s">
        <v>208</v>
      </c>
      <c r="W208" s="116">
        <v>98</v>
      </c>
      <c r="X208" s="117" t="s">
        <v>208</v>
      </c>
      <c r="Y208" s="116">
        <v>73.454545454545453</v>
      </c>
      <c r="Z208" s="117" t="s">
        <v>208</v>
      </c>
      <c r="AA208" s="116">
        <v>0</v>
      </c>
      <c r="AB208" s="117" t="s">
        <v>208</v>
      </c>
      <c r="AC208" s="116">
        <v>247</v>
      </c>
      <c r="AD208" s="117" t="s">
        <v>208</v>
      </c>
      <c r="AE208" s="116">
        <v>0</v>
      </c>
      <c r="AF208" s="117" t="s">
        <v>208</v>
      </c>
      <c r="AG208" s="116">
        <v>0</v>
      </c>
      <c r="AH208" s="117" t="s">
        <v>208</v>
      </c>
      <c r="AI208" s="116">
        <v>0</v>
      </c>
      <c r="AJ208" s="117" t="s">
        <v>208</v>
      </c>
      <c r="AK208" s="116">
        <v>0</v>
      </c>
      <c r="AL208" s="117" t="s">
        <v>208</v>
      </c>
      <c r="AM208" s="116">
        <v>881.4545454545455</v>
      </c>
    </row>
    <row r="209" spans="1:39" s="100" customFormat="1" ht="46.8" x14ac:dyDescent="0.3">
      <c r="A209" s="97">
        <v>199</v>
      </c>
      <c r="B209" s="98" t="s">
        <v>805</v>
      </c>
      <c r="C209" s="98" t="s">
        <v>2708</v>
      </c>
      <c r="D209" s="98" t="s">
        <v>1902</v>
      </c>
      <c r="E209" s="98" t="s">
        <v>2709</v>
      </c>
      <c r="F209" s="98" t="s">
        <v>49</v>
      </c>
      <c r="G209" s="99" t="s">
        <v>2710</v>
      </c>
      <c r="H209" s="99">
        <v>24</v>
      </c>
      <c r="I209" s="99" t="s">
        <v>2710</v>
      </c>
      <c r="J209" s="99">
        <v>4</v>
      </c>
      <c r="K209" s="98" t="s">
        <v>528</v>
      </c>
      <c r="L209" s="98" t="s">
        <v>528</v>
      </c>
      <c r="M209" s="116">
        <v>2749.883312554894</v>
      </c>
      <c r="N209" s="116">
        <v>4788.480370047645</v>
      </c>
      <c r="O209" s="116">
        <v>435</v>
      </c>
      <c r="P209" s="117" t="s">
        <v>208</v>
      </c>
      <c r="Q209" s="116">
        <v>472</v>
      </c>
      <c r="R209" s="117" t="s">
        <v>208</v>
      </c>
      <c r="S209" s="116">
        <v>368</v>
      </c>
      <c r="T209" s="117" t="s">
        <v>208</v>
      </c>
      <c r="U209" s="116">
        <v>270</v>
      </c>
      <c r="V209" s="117" t="s">
        <v>208</v>
      </c>
      <c r="W209" s="116">
        <v>243</v>
      </c>
      <c r="X209" s="117" t="s">
        <v>208</v>
      </c>
      <c r="Y209" s="116">
        <v>330.54545454545456</v>
      </c>
      <c r="Z209" s="117" t="s">
        <v>208</v>
      </c>
      <c r="AA209" s="116">
        <v>169</v>
      </c>
      <c r="AB209" s="117" t="s">
        <v>208</v>
      </c>
      <c r="AC209" s="116">
        <v>294</v>
      </c>
      <c r="AD209" s="117" t="s">
        <v>208</v>
      </c>
      <c r="AE209" s="116">
        <v>394</v>
      </c>
      <c r="AF209" s="117" t="s">
        <v>208</v>
      </c>
      <c r="AG209" s="116">
        <v>328</v>
      </c>
      <c r="AH209" s="117" t="s">
        <v>208</v>
      </c>
      <c r="AI209" s="116">
        <v>329</v>
      </c>
      <c r="AJ209" s="117" t="s">
        <v>208</v>
      </c>
      <c r="AK209" s="116">
        <v>334</v>
      </c>
      <c r="AL209" s="117" t="s">
        <v>208</v>
      </c>
      <c r="AM209" s="116">
        <v>3966.5454545454545</v>
      </c>
    </row>
    <row r="210" spans="1:39" s="100" customFormat="1" ht="46.8" x14ac:dyDescent="0.3">
      <c r="A210" s="97">
        <v>200</v>
      </c>
      <c r="B210" s="98" t="s">
        <v>807</v>
      </c>
      <c r="C210" s="98" t="s">
        <v>2708</v>
      </c>
      <c r="D210" s="98" t="s">
        <v>1902</v>
      </c>
      <c r="E210" s="98" t="s">
        <v>2709</v>
      </c>
      <c r="F210" s="98" t="s">
        <v>49</v>
      </c>
      <c r="G210" s="99" t="s">
        <v>2710</v>
      </c>
      <c r="H210" s="99">
        <v>4</v>
      </c>
      <c r="I210" s="99" t="s">
        <v>2710</v>
      </c>
      <c r="J210" s="99">
        <v>1</v>
      </c>
      <c r="K210" s="98" t="s">
        <v>528</v>
      </c>
      <c r="L210" s="98" t="s">
        <v>528</v>
      </c>
      <c r="M210" s="116">
        <v>2883.3835629639434</v>
      </c>
      <c r="N210" s="116">
        <v>5004.7043791418355</v>
      </c>
      <c r="O210" s="116">
        <v>457</v>
      </c>
      <c r="P210" s="117" t="s">
        <v>208</v>
      </c>
      <c r="Q210" s="116">
        <v>337</v>
      </c>
      <c r="R210" s="117" t="s">
        <v>208</v>
      </c>
      <c r="S210" s="116">
        <v>293</v>
      </c>
      <c r="T210" s="117" t="s">
        <v>208</v>
      </c>
      <c r="U210" s="116">
        <v>337</v>
      </c>
      <c r="V210" s="117" t="s">
        <v>208</v>
      </c>
      <c r="W210" s="116">
        <v>303</v>
      </c>
      <c r="X210" s="117" t="s">
        <v>208</v>
      </c>
      <c r="Y210" s="116">
        <v>348.81818181818181</v>
      </c>
      <c r="Z210" s="117" t="s">
        <v>208</v>
      </c>
      <c r="AA210" s="116">
        <v>450</v>
      </c>
      <c r="AB210" s="117" t="s">
        <v>208</v>
      </c>
      <c r="AC210" s="116">
        <v>287</v>
      </c>
      <c r="AD210" s="117" t="s">
        <v>208</v>
      </c>
      <c r="AE210" s="116">
        <v>359</v>
      </c>
      <c r="AF210" s="117" t="s">
        <v>208</v>
      </c>
      <c r="AG210" s="116">
        <v>386</v>
      </c>
      <c r="AH210" s="117" t="s">
        <v>208</v>
      </c>
      <c r="AI210" s="116">
        <v>237</v>
      </c>
      <c r="AJ210" s="117" t="s">
        <v>208</v>
      </c>
      <c r="AK210" s="116">
        <v>391</v>
      </c>
      <c r="AL210" s="117" t="s">
        <v>208</v>
      </c>
      <c r="AM210" s="116">
        <v>4185.818181818182</v>
      </c>
    </row>
    <row r="211" spans="1:39" s="100" customFormat="1" ht="46.8" x14ac:dyDescent="0.3">
      <c r="A211" s="97">
        <v>201</v>
      </c>
      <c r="B211" s="98" t="s">
        <v>808</v>
      </c>
      <c r="C211" s="98" t="s">
        <v>2708</v>
      </c>
      <c r="D211" s="98" t="s">
        <v>1902</v>
      </c>
      <c r="E211" s="98" t="s">
        <v>2709</v>
      </c>
      <c r="F211" s="98" t="s">
        <v>49</v>
      </c>
      <c r="G211" s="99" t="s">
        <v>2710</v>
      </c>
      <c r="H211" s="99">
        <v>4</v>
      </c>
      <c r="I211" s="99" t="s">
        <v>2710</v>
      </c>
      <c r="J211" s="99">
        <v>1</v>
      </c>
      <c r="K211" s="98" t="s">
        <v>528</v>
      </c>
      <c r="L211" s="98" t="s">
        <v>528</v>
      </c>
      <c r="M211" s="116">
        <v>2698.3165851888471</v>
      </c>
      <c r="N211" s="116">
        <v>4737.5043665845287</v>
      </c>
      <c r="O211" s="116">
        <v>299.14972439592293</v>
      </c>
      <c r="P211" s="117" t="s">
        <v>208</v>
      </c>
      <c r="Q211" s="116">
        <v>419.36387693155166</v>
      </c>
      <c r="R211" s="117" t="s">
        <v>208</v>
      </c>
      <c r="S211" s="116">
        <v>328.93176658969537</v>
      </c>
      <c r="T211" s="117" t="s">
        <v>208</v>
      </c>
      <c r="U211" s="116">
        <v>407.10853976051339</v>
      </c>
      <c r="V211" s="117" t="s">
        <v>208</v>
      </c>
      <c r="W211" s="116">
        <v>365.3725322373781</v>
      </c>
      <c r="X211" s="117" t="s">
        <v>208</v>
      </c>
      <c r="Y211" s="116">
        <v>336.84532567249028</v>
      </c>
      <c r="Z211" s="117" t="s">
        <v>208</v>
      </c>
      <c r="AA211" s="116">
        <v>302.25325020650683</v>
      </c>
      <c r="AB211" s="117" t="s">
        <v>208</v>
      </c>
      <c r="AC211" s="116">
        <v>297.73789966058075</v>
      </c>
      <c r="AD211" s="117" t="s">
        <v>208</v>
      </c>
      <c r="AE211" s="116">
        <v>376.45431849659724</v>
      </c>
      <c r="AF211" s="117" t="s">
        <v>208</v>
      </c>
      <c r="AG211" s="116">
        <v>372.1208994711123</v>
      </c>
      <c r="AH211" s="117" t="s">
        <v>208</v>
      </c>
      <c r="AI211" s="116">
        <v>263.23519262335162</v>
      </c>
      <c r="AJ211" s="117" t="s">
        <v>208</v>
      </c>
      <c r="AK211" s="116">
        <v>273.57058202418301</v>
      </c>
      <c r="AL211" s="117" t="s">
        <v>208</v>
      </c>
      <c r="AM211" s="116">
        <v>4042.1439080698838</v>
      </c>
    </row>
    <row r="212" spans="1:39" s="100" customFormat="1" ht="46.8" x14ac:dyDescent="0.3">
      <c r="A212" s="97">
        <v>202</v>
      </c>
      <c r="B212" s="98" t="s">
        <v>810</v>
      </c>
      <c r="C212" s="98" t="s">
        <v>2708</v>
      </c>
      <c r="D212" s="98" t="s">
        <v>1902</v>
      </c>
      <c r="E212" s="98" t="s">
        <v>2709</v>
      </c>
      <c r="F212" s="98" t="s">
        <v>49</v>
      </c>
      <c r="G212" s="99" t="s">
        <v>2710</v>
      </c>
      <c r="H212" s="99">
        <v>15</v>
      </c>
      <c r="I212" s="99" t="s">
        <v>2710</v>
      </c>
      <c r="J212" s="99">
        <v>3</v>
      </c>
      <c r="K212" s="98" t="s">
        <v>528</v>
      </c>
      <c r="L212" s="98" t="s">
        <v>528</v>
      </c>
      <c r="M212" s="116">
        <v>1366.56009228792</v>
      </c>
      <c r="N212" s="116">
        <v>2456.626709149034</v>
      </c>
      <c r="O212" s="116">
        <v>218</v>
      </c>
      <c r="P212" s="117" t="s">
        <v>208</v>
      </c>
      <c r="Q212" s="116">
        <v>222</v>
      </c>
      <c r="R212" s="117" t="s">
        <v>208</v>
      </c>
      <c r="S212" s="116">
        <v>146</v>
      </c>
      <c r="T212" s="117" t="s">
        <v>208</v>
      </c>
      <c r="U212" s="116">
        <v>127</v>
      </c>
      <c r="V212" s="117" t="s">
        <v>208</v>
      </c>
      <c r="W212" s="116">
        <v>150</v>
      </c>
      <c r="X212" s="117" t="s">
        <v>208</v>
      </c>
      <c r="Y212" s="116">
        <v>173.81818181818181</v>
      </c>
      <c r="Z212" s="117" t="s">
        <v>208</v>
      </c>
      <c r="AA212" s="116">
        <v>160</v>
      </c>
      <c r="AB212" s="117" t="s">
        <v>208</v>
      </c>
      <c r="AC212" s="116">
        <v>119</v>
      </c>
      <c r="AD212" s="117" t="s">
        <v>208</v>
      </c>
      <c r="AE212" s="116">
        <v>133</v>
      </c>
      <c r="AF212" s="117" t="s">
        <v>208</v>
      </c>
      <c r="AG212" s="116">
        <v>226</v>
      </c>
      <c r="AH212" s="117" t="s">
        <v>208</v>
      </c>
      <c r="AI212" s="116">
        <v>181</v>
      </c>
      <c r="AJ212" s="117" t="s">
        <v>208</v>
      </c>
      <c r="AK212" s="116">
        <v>230</v>
      </c>
      <c r="AL212" s="117" t="s">
        <v>208</v>
      </c>
      <c r="AM212" s="116">
        <v>2085.818181818182</v>
      </c>
    </row>
    <row r="213" spans="1:39" s="100" customFormat="1" ht="46.8" x14ac:dyDescent="0.3">
      <c r="A213" s="97">
        <v>203</v>
      </c>
      <c r="B213" s="98" t="s">
        <v>812</v>
      </c>
      <c r="C213" s="98" t="s">
        <v>2708</v>
      </c>
      <c r="D213" s="98" t="s">
        <v>1902</v>
      </c>
      <c r="E213" s="98" t="s">
        <v>2709</v>
      </c>
      <c r="F213" s="98" t="s">
        <v>49</v>
      </c>
      <c r="G213" s="99" t="s">
        <v>2710</v>
      </c>
      <c r="H213" s="99">
        <v>12</v>
      </c>
      <c r="I213" s="99" t="s">
        <v>2710</v>
      </c>
      <c r="J213" s="99">
        <v>2</v>
      </c>
      <c r="K213" s="98" t="s">
        <v>528</v>
      </c>
      <c r="L213" s="98" t="s">
        <v>528</v>
      </c>
      <c r="M213" s="116">
        <v>4198.2562163075481</v>
      </c>
      <c r="N213" s="116">
        <v>7295.6994839251693</v>
      </c>
      <c r="O213" s="116">
        <v>1135</v>
      </c>
      <c r="P213" s="117" t="s">
        <v>208</v>
      </c>
      <c r="Q213" s="116">
        <v>471</v>
      </c>
      <c r="R213" s="117" t="s">
        <v>208</v>
      </c>
      <c r="S213" s="116">
        <v>362</v>
      </c>
      <c r="T213" s="117" t="s">
        <v>208</v>
      </c>
      <c r="U213" s="116">
        <v>436</v>
      </c>
      <c r="V213" s="117" t="s">
        <v>208</v>
      </c>
      <c r="W213" s="116">
        <v>241</v>
      </c>
      <c r="X213" s="117" t="s">
        <v>208</v>
      </c>
      <c r="Y213" s="116">
        <v>492</v>
      </c>
      <c r="Z213" s="117" t="s">
        <v>208</v>
      </c>
      <c r="AA213" s="116">
        <v>456</v>
      </c>
      <c r="AB213" s="117" t="s">
        <v>208</v>
      </c>
      <c r="AC213" s="116">
        <v>301</v>
      </c>
      <c r="AD213" s="117" t="s">
        <v>208</v>
      </c>
      <c r="AE213" s="116">
        <v>402</v>
      </c>
      <c r="AF213" s="117" t="s">
        <v>208</v>
      </c>
      <c r="AG213" s="116">
        <v>471</v>
      </c>
      <c r="AH213" s="117" t="s">
        <v>208</v>
      </c>
      <c r="AI213" s="116">
        <v>365</v>
      </c>
      <c r="AJ213" s="117" t="s">
        <v>208</v>
      </c>
      <c r="AK213" s="116">
        <v>772</v>
      </c>
      <c r="AL213" s="117" t="s">
        <v>208</v>
      </c>
      <c r="AM213" s="116">
        <v>5904</v>
      </c>
    </row>
    <row r="214" spans="1:39" s="100" customFormat="1" ht="46.8" x14ac:dyDescent="0.3">
      <c r="A214" s="97">
        <v>204</v>
      </c>
      <c r="B214" s="98" t="s">
        <v>814</v>
      </c>
      <c r="C214" s="98" t="s">
        <v>2708</v>
      </c>
      <c r="D214" s="98" t="s">
        <v>1902</v>
      </c>
      <c r="E214" s="98" t="s">
        <v>2709</v>
      </c>
      <c r="F214" s="98" t="s">
        <v>49</v>
      </c>
      <c r="G214" s="99" t="s">
        <v>2710</v>
      </c>
      <c r="H214" s="99">
        <v>12</v>
      </c>
      <c r="I214" s="99" t="s">
        <v>2710</v>
      </c>
      <c r="J214" s="99">
        <v>3</v>
      </c>
      <c r="K214" s="98" t="s">
        <v>528</v>
      </c>
      <c r="L214" s="98" t="s">
        <v>528</v>
      </c>
      <c r="M214" s="116">
        <v>1557.8721289151631</v>
      </c>
      <c r="N214" s="116">
        <v>2827.0046909760413</v>
      </c>
      <c r="O214" s="116">
        <v>240</v>
      </c>
      <c r="P214" s="117" t="s">
        <v>208</v>
      </c>
      <c r="Q214" s="116">
        <v>247</v>
      </c>
      <c r="R214" s="117" t="s">
        <v>208</v>
      </c>
      <c r="S214" s="116">
        <v>167</v>
      </c>
      <c r="T214" s="117" t="s">
        <v>208</v>
      </c>
      <c r="U214" s="116">
        <v>186</v>
      </c>
      <c r="V214" s="117" t="s">
        <v>208</v>
      </c>
      <c r="W214" s="116">
        <v>169</v>
      </c>
      <c r="X214" s="117" t="s">
        <v>208</v>
      </c>
      <c r="Y214" s="116">
        <v>191.90909090909091</v>
      </c>
      <c r="Z214" s="117" t="s">
        <v>208</v>
      </c>
      <c r="AA214" s="116">
        <v>235</v>
      </c>
      <c r="AB214" s="117" t="s">
        <v>208</v>
      </c>
      <c r="AC214" s="116">
        <v>91</v>
      </c>
      <c r="AD214" s="117" t="s">
        <v>208</v>
      </c>
      <c r="AE214" s="116">
        <v>249</v>
      </c>
      <c r="AF214" s="117" t="s">
        <v>208</v>
      </c>
      <c r="AG214" s="116">
        <v>180</v>
      </c>
      <c r="AH214" s="117" t="s">
        <v>208</v>
      </c>
      <c r="AI214" s="116">
        <v>185</v>
      </c>
      <c r="AJ214" s="117" t="s">
        <v>208</v>
      </c>
      <c r="AK214" s="116">
        <v>162</v>
      </c>
      <c r="AL214" s="117" t="s">
        <v>208</v>
      </c>
      <c r="AM214" s="116">
        <v>2302.909090909091</v>
      </c>
    </row>
    <row r="215" spans="1:39" s="100" customFormat="1" ht="46.8" x14ac:dyDescent="0.3">
      <c r="A215" s="97">
        <v>205</v>
      </c>
      <c r="B215" s="98" t="s">
        <v>815</v>
      </c>
      <c r="C215" s="98" t="s">
        <v>2708</v>
      </c>
      <c r="D215" s="98" t="s">
        <v>1902</v>
      </c>
      <c r="E215" s="98" t="s">
        <v>2709</v>
      </c>
      <c r="F215" s="98" t="s">
        <v>49</v>
      </c>
      <c r="G215" s="99" t="s">
        <v>2710</v>
      </c>
      <c r="H215" s="99">
        <v>6</v>
      </c>
      <c r="I215" s="99" t="s">
        <v>2710</v>
      </c>
      <c r="J215" s="99">
        <v>1</v>
      </c>
      <c r="K215" s="98" t="s">
        <v>528</v>
      </c>
      <c r="L215" s="98" t="s">
        <v>528</v>
      </c>
      <c r="M215" s="116">
        <v>3882.9565329975294</v>
      </c>
      <c r="N215" s="116">
        <v>6204.4938054993818</v>
      </c>
      <c r="O215" s="116">
        <v>658</v>
      </c>
      <c r="P215" s="117" t="s">
        <v>208</v>
      </c>
      <c r="Q215" s="116">
        <v>574</v>
      </c>
      <c r="R215" s="117" t="s">
        <v>208</v>
      </c>
      <c r="S215" s="116">
        <v>438</v>
      </c>
      <c r="T215" s="117" t="s">
        <v>208</v>
      </c>
      <c r="U215" s="116">
        <v>464</v>
      </c>
      <c r="V215" s="117" t="s">
        <v>208</v>
      </c>
      <c r="W215" s="116">
        <v>414</v>
      </c>
      <c r="X215" s="117" t="s">
        <v>208</v>
      </c>
      <c r="Y215" s="116">
        <v>438.45454545454544</v>
      </c>
      <c r="Z215" s="117" t="s">
        <v>208</v>
      </c>
      <c r="AA215" s="116">
        <v>410</v>
      </c>
      <c r="AB215" s="117" t="s">
        <v>208</v>
      </c>
      <c r="AC215" s="116">
        <v>167</v>
      </c>
      <c r="AD215" s="117" t="s">
        <v>208</v>
      </c>
      <c r="AE215" s="116">
        <v>485</v>
      </c>
      <c r="AF215" s="117" t="s">
        <v>208</v>
      </c>
      <c r="AG215" s="116">
        <v>389</v>
      </c>
      <c r="AH215" s="117" t="s">
        <v>208</v>
      </c>
      <c r="AI215" s="116">
        <v>432</v>
      </c>
      <c r="AJ215" s="117" t="s">
        <v>208</v>
      </c>
      <c r="AK215" s="116">
        <v>392</v>
      </c>
      <c r="AL215" s="117" t="s">
        <v>208</v>
      </c>
      <c r="AM215" s="116">
        <v>5261.454545454546</v>
      </c>
    </row>
    <row r="216" spans="1:39" s="100" customFormat="1" ht="46.8" x14ac:dyDescent="0.3">
      <c r="A216" s="97">
        <v>206</v>
      </c>
      <c r="B216" s="98" t="s">
        <v>816</v>
      </c>
      <c r="C216" s="98" t="s">
        <v>2708</v>
      </c>
      <c r="D216" s="98" t="s">
        <v>1902</v>
      </c>
      <c r="E216" s="98" t="s">
        <v>2709</v>
      </c>
      <c r="F216" s="98" t="s">
        <v>49</v>
      </c>
      <c r="G216" s="99" t="s">
        <v>2710</v>
      </c>
      <c r="H216" s="99">
        <v>42</v>
      </c>
      <c r="I216" s="99" t="s">
        <v>2710</v>
      </c>
      <c r="J216" s="99">
        <v>7</v>
      </c>
      <c r="K216" s="98" t="s">
        <v>528</v>
      </c>
      <c r="L216" s="98" t="s">
        <v>528</v>
      </c>
      <c r="M216" s="116">
        <v>4406.2583166315217</v>
      </c>
      <c r="N216" s="116">
        <v>7395.2671034323284</v>
      </c>
      <c r="O216" s="116">
        <v>682</v>
      </c>
      <c r="P216" s="117" t="s">
        <v>208</v>
      </c>
      <c r="Q216" s="116">
        <v>566</v>
      </c>
      <c r="R216" s="117" t="s">
        <v>208</v>
      </c>
      <c r="S216" s="116">
        <v>445</v>
      </c>
      <c r="T216" s="117" t="s">
        <v>208</v>
      </c>
      <c r="U216" s="116">
        <v>446</v>
      </c>
      <c r="V216" s="117" t="s">
        <v>208</v>
      </c>
      <c r="W216" s="116">
        <v>338</v>
      </c>
      <c r="X216" s="117" t="s">
        <v>208</v>
      </c>
      <c r="Y216" s="116">
        <v>526.4545454545455</v>
      </c>
      <c r="Z216" s="117" t="s">
        <v>208</v>
      </c>
      <c r="AA216" s="116">
        <v>633</v>
      </c>
      <c r="AB216" s="117" t="s">
        <v>208</v>
      </c>
      <c r="AC216" s="116">
        <v>287</v>
      </c>
      <c r="AD216" s="117" t="s">
        <v>208</v>
      </c>
      <c r="AE216" s="116">
        <v>626</v>
      </c>
      <c r="AF216" s="117" t="s">
        <v>208</v>
      </c>
      <c r="AG216" s="116">
        <v>500</v>
      </c>
      <c r="AH216" s="117" t="s">
        <v>208</v>
      </c>
      <c r="AI216" s="116">
        <v>726</v>
      </c>
      <c r="AJ216" s="117" t="s">
        <v>208</v>
      </c>
      <c r="AK216" s="116">
        <v>542</v>
      </c>
      <c r="AL216" s="117" t="s">
        <v>208</v>
      </c>
      <c r="AM216" s="116">
        <v>6317.454545454546</v>
      </c>
    </row>
    <row r="217" spans="1:39" s="100" customFormat="1" ht="46.8" x14ac:dyDescent="0.3">
      <c r="A217" s="97">
        <v>207</v>
      </c>
      <c r="B217" s="98" t="s">
        <v>817</v>
      </c>
      <c r="C217" s="98" t="s">
        <v>2708</v>
      </c>
      <c r="D217" s="98" t="s">
        <v>1902</v>
      </c>
      <c r="E217" s="98" t="s">
        <v>2709</v>
      </c>
      <c r="F217" s="98" t="s">
        <v>49</v>
      </c>
      <c r="G217" s="99" t="s">
        <v>2710</v>
      </c>
      <c r="H217" s="99">
        <v>30</v>
      </c>
      <c r="I217" s="99" t="s">
        <v>2710</v>
      </c>
      <c r="J217" s="99">
        <v>5</v>
      </c>
      <c r="K217" s="98" t="s">
        <v>528</v>
      </c>
      <c r="L217" s="98" t="s">
        <v>528</v>
      </c>
      <c r="M217" s="116">
        <v>5209.6728656666692</v>
      </c>
      <c r="N217" s="116">
        <v>8576.4164974950363</v>
      </c>
      <c r="O217" s="116">
        <v>722</v>
      </c>
      <c r="P217" s="117" t="s">
        <v>208</v>
      </c>
      <c r="Q217" s="116">
        <v>767</v>
      </c>
      <c r="R217" s="117" t="s">
        <v>208</v>
      </c>
      <c r="S217" s="116">
        <v>583</v>
      </c>
      <c r="T217" s="117" t="s">
        <v>208</v>
      </c>
      <c r="U217" s="116">
        <v>631</v>
      </c>
      <c r="V217" s="117" t="s">
        <v>208</v>
      </c>
      <c r="W217" s="116">
        <v>438</v>
      </c>
      <c r="X217" s="117" t="s">
        <v>208</v>
      </c>
      <c r="Y217" s="116">
        <v>601.27272727272725</v>
      </c>
      <c r="Z217" s="117" t="s">
        <v>208</v>
      </c>
      <c r="AA217" s="116">
        <v>664</v>
      </c>
      <c r="AB217" s="117" t="s">
        <v>208</v>
      </c>
      <c r="AC217" s="116">
        <v>283</v>
      </c>
      <c r="AD217" s="117" t="s">
        <v>208</v>
      </c>
      <c r="AE217" s="116">
        <v>719</v>
      </c>
      <c r="AF217" s="117" t="s">
        <v>208</v>
      </c>
      <c r="AG217" s="116">
        <v>494</v>
      </c>
      <c r="AH217" s="117" t="s">
        <v>208</v>
      </c>
      <c r="AI217" s="116">
        <v>751</v>
      </c>
      <c r="AJ217" s="117" t="s">
        <v>208</v>
      </c>
      <c r="AK217" s="116">
        <v>562</v>
      </c>
      <c r="AL217" s="117" t="s">
        <v>208</v>
      </c>
      <c r="AM217" s="116">
        <v>7215.272727272727</v>
      </c>
    </row>
    <row r="218" spans="1:39" s="100" customFormat="1" ht="46.8" x14ac:dyDescent="0.3">
      <c r="A218" s="97">
        <v>208</v>
      </c>
      <c r="B218" s="98" t="s">
        <v>818</v>
      </c>
      <c r="C218" s="98" t="s">
        <v>2708</v>
      </c>
      <c r="D218" s="98" t="s">
        <v>1902</v>
      </c>
      <c r="E218" s="98" t="s">
        <v>2709</v>
      </c>
      <c r="F218" s="98" t="s">
        <v>49</v>
      </c>
      <c r="G218" s="99" t="s">
        <v>2710</v>
      </c>
      <c r="H218" s="99">
        <v>21</v>
      </c>
      <c r="I218" s="99" t="s">
        <v>2710</v>
      </c>
      <c r="J218" s="99">
        <v>3</v>
      </c>
      <c r="K218" s="98" t="s">
        <v>528</v>
      </c>
      <c r="L218" s="98" t="s">
        <v>528</v>
      </c>
      <c r="M218" s="116">
        <v>4101.3327990252137</v>
      </c>
      <c r="N218" s="116">
        <v>6627.4419481131017</v>
      </c>
      <c r="O218" s="116">
        <v>567</v>
      </c>
      <c r="P218" s="117" t="s">
        <v>208</v>
      </c>
      <c r="Q218" s="116">
        <v>562.68000000000006</v>
      </c>
      <c r="R218" s="117" t="s">
        <v>208</v>
      </c>
      <c r="S218" s="116">
        <v>786.78000000000009</v>
      </c>
      <c r="T218" s="117" t="s">
        <v>208</v>
      </c>
      <c r="U218" s="116">
        <v>838.08</v>
      </c>
      <c r="V218" s="117" t="s">
        <v>208</v>
      </c>
      <c r="W218" s="116">
        <v>640.44000000000005</v>
      </c>
      <c r="X218" s="117" t="s">
        <v>208</v>
      </c>
      <c r="Y218" s="116">
        <v>459.9818181818182</v>
      </c>
      <c r="Z218" s="117" t="s">
        <v>208</v>
      </c>
      <c r="AA218" s="116">
        <v>296.46000000000004</v>
      </c>
      <c r="AB218" s="117" t="s">
        <v>208</v>
      </c>
      <c r="AC218" s="116">
        <v>135.54000000000002</v>
      </c>
      <c r="AD218" s="117" t="s">
        <v>208</v>
      </c>
      <c r="AE218" s="116">
        <v>252.18</v>
      </c>
      <c r="AF218" s="117" t="s">
        <v>208</v>
      </c>
      <c r="AG218" s="116">
        <v>240.84</v>
      </c>
      <c r="AH218" s="117" t="s">
        <v>208</v>
      </c>
      <c r="AI218" s="116">
        <v>376.38</v>
      </c>
      <c r="AJ218" s="117" t="s">
        <v>208</v>
      </c>
      <c r="AK218" s="116">
        <v>363.42</v>
      </c>
      <c r="AL218" s="117" t="s">
        <v>208</v>
      </c>
      <c r="AM218" s="116">
        <v>5519.7818181818184</v>
      </c>
    </row>
    <row r="219" spans="1:39" s="100" customFormat="1" ht="46.8" x14ac:dyDescent="0.3">
      <c r="A219" s="97">
        <v>209</v>
      </c>
      <c r="B219" s="98" t="s">
        <v>820</v>
      </c>
      <c r="C219" s="98" t="s">
        <v>2708</v>
      </c>
      <c r="D219" s="98" t="s">
        <v>1902</v>
      </c>
      <c r="E219" s="98" t="s">
        <v>2709</v>
      </c>
      <c r="F219" s="98" t="s">
        <v>49</v>
      </c>
      <c r="G219" s="99" t="s">
        <v>2710</v>
      </c>
      <c r="H219" s="99">
        <v>4</v>
      </c>
      <c r="I219" s="99" t="s">
        <v>2710</v>
      </c>
      <c r="J219" s="99">
        <v>1</v>
      </c>
      <c r="K219" s="98" t="s">
        <v>528</v>
      </c>
      <c r="L219" s="98" t="s">
        <v>529</v>
      </c>
      <c r="M219" s="116">
        <v>1011.6530581615583</v>
      </c>
      <c r="N219" s="116">
        <v>1665.7489741923223</v>
      </c>
      <c r="O219" s="116">
        <v>241</v>
      </c>
      <c r="P219" s="117" t="s">
        <v>1906</v>
      </c>
      <c r="Q219" s="116">
        <v>241</v>
      </c>
      <c r="R219" s="117" t="s">
        <v>1906</v>
      </c>
      <c r="S219" s="116">
        <v>241</v>
      </c>
      <c r="T219" s="117" t="s">
        <v>1906</v>
      </c>
      <c r="U219" s="116">
        <v>241</v>
      </c>
      <c r="V219" s="117" t="s">
        <v>1906</v>
      </c>
      <c r="W219" s="116">
        <v>241</v>
      </c>
      <c r="X219" s="117" t="s">
        <v>1906</v>
      </c>
      <c r="Y219" s="116">
        <v>119.09090909090909</v>
      </c>
      <c r="Z219" s="117" t="s">
        <v>1906</v>
      </c>
      <c r="AA219" s="116">
        <v>35</v>
      </c>
      <c r="AB219" s="117" t="s">
        <v>1906</v>
      </c>
      <c r="AC219" s="116">
        <v>0</v>
      </c>
      <c r="AD219" s="117" t="s">
        <v>1906</v>
      </c>
      <c r="AE219" s="116">
        <v>0</v>
      </c>
      <c r="AF219" s="117" t="s">
        <v>1906</v>
      </c>
      <c r="AG219" s="116">
        <v>0</v>
      </c>
      <c r="AH219" s="117" t="s">
        <v>1906</v>
      </c>
      <c r="AI219" s="116">
        <v>35</v>
      </c>
      <c r="AJ219" s="117" t="s">
        <v>1906</v>
      </c>
      <c r="AK219" s="116">
        <v>35</v>
      </c>
      <c r="AL219" s="117" t="s">
        <v>1906</v>
      </c>
      <c r="AM219" s="116">
        <v>1429.090909090909</v>
      </c>
    </row>
    <row r="220" spans="1:39" s="100" customFormat="1" ht="46.8" x14ac:dyDescent="0.3">
      <c r="A220" s="97">
        <v>210</v>
      </c>
      <c r="B220" s="98" t="s">
        <v>822</v>
      </c>
      <c r="C220" s="98" t="s">
        <v>2708</v>
      </c>
      <c r="D220" s="98" t="s">
        <v>1902</v>
      </c>
      <c r="E220" s="98" t="s">
        <v>2709</v>
      </c>
      <c r="F220" s="98" t="s">
        <v>49</v>
      </c>
      <c r="G220" s="99" t="s">
        <v>2710</v>
      </c>
      <c r="H220" s="99">
        <v>20</v>
      </c>
      <c r="I220" s="99" t="s">
        <v>2710</v>
      </c>
      <c r="J220" s="99">
        <v>4</v>
      </c>
      <c r="K220" s="98" t="s">
        <v>528</v>
      </c>
      <c r="L220" s="98" t="s">
        <v>528</v>
      </c>
      <c r="M220" s="116">
        <v>3150.8317854020565</v>
      </c>
      <c r="N220" s="116">
        <v>5416.1514340745971</v>
      </c>
      <c r="O220" s="116">
        <v>483</v>
      </c>
      <c r="P220" s="117" t="s">
        <v>208</v>
      </c>
      <c r="Q220" s="116">
        <v>479.32000000000005</v>
      </c>
      <c r="R220" s="117" t="s">
        <v>208</v>
      </c>
      <c r="S220" s="116">
        <v>670.22</v>
      </c>
      <c r="T220" s="117" t="s">
        <v>208</v>
      </c>
      <c r="U220" s="116">
        <v>713.92000000000007</v>
      </c>
      <c r="V220" s="117" t="s">
        <v>208</v>
      </c>
      <c r="W220" s="116">
        <v>545.56000000000006</v>
      </c>
      <c r="X220" s="117" t="s">
        <v>208</v>
      </c>
      <c r="Y220" s="116">
        <v>391.83636363636361</v>
      </c>
      <c r="Z220" s="117" t="s">
        <v>208</v>
      </c>
      <c r="AA220" s="116">
        <v>252.54000000000002</v>
      </c>
      <c r="AB220" s="117" t="s">
        <v>208</v>
      </c>
      <c r="AC220" s="116">
        <v>115.46000000000001</v>
      </c>
      <c r="AD220" s="117" t="s">
        <v>208</v>
      </c>
      <c r="AE220" s="116">
        <v>214.82</v>
      </c>
      <c r="AF220" s="117" t="s">
        <v>208</v>
      </c>
      <c r="AG220" s="116">
        <v>205.16</v>
      </c>
      <c r="AH220" s="117" t="s">
        <v>208</v>
      </c>
      <c r="AI220" s="116">
        <v>320.62</v>
      </c>
      <c r="AJ220" s="117" t="s">
        <v>208</v>
      </c>
      <c r="AK220" s="116">
        <v>309.58000000000004</v>
      </c>
      <c r="AL220" s="117" t="s">
        <v>208</v>
      </c>
      <c r="AM220" s="116">
        <v>4702.0363636363636</v>
      </c>
    </row>
    <row r="221" spans="1:39" s="100" customFormat="1" ht="46.8" x14ac:dyDescent="0.3">
      <c r="A221" s="97">
        <v>211</v>
      </c>
      <c r="B221" s="98" t="s">
        <v>823</v>
      </c>
      <c r="C221" s="98" t="s">
        <v>2708</v>
      </c>
      <c r="D221" s="98" t="s">
        <v>1902</v>
      </c>
      <c r="E221" s="98" t="s">
        <v>2709</v>
      </c>
      <c r="F221" s="98" t="s">
        <v>49</v>
      </c>
      <c r="G221" s="99" t="s">
        <v>2710</v>
      </c>
      <c r="H221" s="99">
        <v>8</v>
      </c>
      <c r="I221" s="99" t="s">
        <v>2710</v>
      </c>
      <c r="J221" s="99">
        <v>1</v>
      </c>
      <c r="K221" s="98" t="s">
        <v>528</v>
      </c>
      <c r="L221" s="98" t="s">
        <v>528</v>
      </c>
      <c r="M221" s="116">
        <v>7533.8829460901597</v>
      </c>
      <c r="N221" s="116">
        <v>12000.016984303427</v>
      </c>
      <c r="O221" s="116">
        <v>971</v>
      </c>
      <c r="P221" s="117" t="s">
        <v>208</v>
      </c>
      <c r="Q221" s="116">
        <v>1030</v>
      </c>
      <c r="R221" s="117" t="s">
        <v>208</v>
      </c>
      <c r="S221" s="116">
        <v>881</v>
      </c>
      <c r="T221" s="117" t="s">
        <v>208</v>
      </c>
      <c r="U221" s="116">
        <v>1017</v>
      </c>
      <c r="V221" s="117" t="s">
        <v>208</v>
      </c>
      <c r="W221" s="116">
        <v>470</v>
      </c>
      <c r="X221" s="117" t="s">
        <v>208</v>
      </c>
      <c r="Y221" s="116">
        <v>853.72727272727275</v>
      </c>
      <c r="Z221" s="117" t="s">
        <v>208</v>
      </c>
      <c r="AA221" s="116">
        <v>857</v>
      </c>
      <c r="AB221" s="117" t="s">
        <v>208</v>
      </c>
      <c r="AC221" s="116">
        <v>330</v>
      </c>
      <c r="AD221" s="117" t="s">
        <v>208</v>
      </c>
      <c r="AE221" s="116">
        <v>1203</v>
      </c>
      <c r="AF221" s="117" t="s">
        <v>208</v>
      </c>
      <c r="AG221" s="116">
        <v>898</v>
      </c>
      <c r="AH221" s="117" t="s">
        <v>208</v>
      </c>
      <c r="AI221" s="116">
        <v>981</v>
      </c>
      <c r="AJ221" s="117" t="s">
        <v>208</v>
      </c>
      <c r="AK221" s="116">
        <v>753</v>
      </c>
      <c r="AL221" s="117" t="s">
        <v>208</v>
      </c>
      <c r="AM221" s="116">
        <v>10244.727272727272</v>
      </c>
    </row>
    <row r="222" spans="1:39" s="100" customFormat="1" ht="46.8" x14ac:dyDescent="0.3">
      <c r="A222" s="97">
        <v>212</v>
      </c>
      <c r="B222" s="98" t="s">
        <v>824</v>
      </c>
      <c r="C222" s="98" t="s">
        <v>2708</v>
      </c>
      <c r="D222" s="98" t="s">
        <v>1902</v>
      </c>
      <c r="E222" s="98" t="s">
        <v>2709</v>
      </c>
      <c r="F222" s="98" t="s">
        <v>49</v>
      </c>
      <c r="G222" s="99" t="s">
        <v>2710</v>
      </c>
      <c r="H222" s="99">
        <v>24</v>
      </c>
      <c r="I222" s="99" t="s">
        <v>2710</v>
      </c>
      <c r="J222" s="99">
        <v>4</v>
      </c>
      <c r="K222" s="98" t="s">
        <v>528</v>
      </c>
      <c r="L222" s="98" t="s">
        <v>528</v>
      </c>
      <c r="M222" s="116">
        <v>12453.584231714014</v>
      </c>
      <c r="N222" s="116">
        <v>20737.715430708104</v>
      </c>
      <c r="O222" s="116">
        <v>2323</v>
      </c>
      <c r="P222" s="117" t="s">
        <v>208</v>
      </c>
      <c r="Q222" s="116">
        <v>2735</v>
      </c>
      <c r="R222" s="117" t="s">
        <v>208</v>
      </c>
      <c r="S222" s="116">
        <v>1887</v>
      </c>
      <c r="T222" s="117" t="s">
        <v>208</v>
      </c>
      <c r="U222" s="116">
        <v>1702</v>
      </c>
      <c r="V222" s="117" t="s">
        <v>208</v>
      </c>
      <c r="W222" s="116">
        <v>1118</v>
      </c>
      <c r="X222" s="117" t="s">
        <v>208</v>
      </c>
      <c r="Y222" s="116">
        <v>1411.090909090909</v>
      </c>
      <c r="Z222" s="117" t="s">
        <v>208</v>
      </c>
      <c r="AA222" s="116">
        <v>1330</v>
      </c>
      <c r="AB222" s="117" t="s">
        <v>208</v>
      </c>
      <c r="AC222" s="116">
        <v>542</v>
      </c>
      <c r="AD222" s="117" t="s">
        <v>208</v>
      </c>
      <c r="AE222" s="116">
        <v>1304</v>
      </c>
      <c r="AF222" s="117" t="s">
        <v>208</v>
      </c>
      <c r="AG222" s="116">
        <v>1280</v>
      </c>
      <c r="AH222" s="117" t="s">
        <v>208</v>
      </c>
      <c r="AI222" s="116">
        <v>269</v>
      </c>
      <c r="AJ222" s="117" t="s">
        <v>208</v>
      </c>
      <c r="AK222" s="116">
        <v>1032</v>
      </c>
      <c r="AL222" s="117" t="s">
        <v>208</v>
      </c>
      <c r="AM222" s="116">
        <v>16933.090909090908</v>
      </c>
    </row>
    <row r="223" spans="1:39" s="100" customFormat="1" ht="46.8" x14ac:dyDescent="0.3">
      <c r="A223" s="97">
        <v>213</v>
      </c>
      <c r="B223" s="98" t="s">
        <v>826</v>
      </c>
      <c r="C223" s="98" t="s">
        <v>2708</v>
      </c>
      <c r="D223" s="98" t="s">
        <v>1902</v>
      </c>
      <c r="E223" s="98" t="s">
        <v>2709</v>
      </c>
      <c r="F223" s="98" t="s">
        <v>49</v>
      </c>
      <c r="G223" s="99" t="s">
        <v>2710</v>
      </c>
      <c r="H223" s="99">
        <v>36</v>
      </c>
      <c r="I223" s="99" t="s">
        <v>2710</v>
      </c>
      <c r="J223" s="99">
        <v>6</v>
      </c>
      <c r="K223" s="98" t="s">
        <v>528</v>
      </c>
      <c r="L223" s="98" t="s">
        <v>529</v>
      </c>
      <c r="M223" s="116">
        <v>23524.948236184129</v>
      </c>
      <c r="N223" s="116">
        <v>43585.447830810663</v>
      </c>
      <c r="O223" s="116">
        <v>3616</v>
      </c>
      <c r="P223" s="117" t="s">
        <v>1906</v>
      </c>
      <c r="Q223" s="116">
        <v>3616</v>
      </c>
      <c r="R223" s="117" t="s">
        <v>1906</v>
      </c>
      <c r="S223" s="116">
        <v>3616</v>
      </c>
      <c r="T223" s="117" t="s">
        <v>1906</v>
      </c>
      <c r="U223" s="116">
        <v>3616</v>
      </c>
      <c r="V223" s="117" t="s">
        <v>1906</v>
      </c>
      <c r="W223" s="116">
        <v>3616</v>
      </c>
      <c r="X223" s="117" t="s">
        <v>1906</v>
      </c>
      <c r="Y223" s="116">
        <v>2983.818181818182</v>
      </c>
      <c r="Z223" s="117" t="s">
        <v>1906</v>
      </c>
      <c r="AA223" s="116">
        <v>2457</v>
      </c>
      <c r="AB223" s="117" t="s">
        <v>1906</v>
      </c>
      <c r="AC223" s="116">
        <v>2457</v>
      </c>
      <c r="AD223" s="117" t="s">
        <v>1906</v>
      </c>
      <c r="AE223" s="116">
        <v>2457</v>
      </c>
      <c r="AF223" s="117" t="s">
        <v>1906</v>
      </c>
      <c r="AG223" s="116">
        <v>2457</v>
      </c>
      <c r="AH223" s="117" t="s">
        <v>1906</v>
      </c>
      <c r="AI223" s="116">
        <v>2457</v>
      </c>
      <c r="AJ223" s="117" t="s">
        <v>1906</v>
      </c>
      <c r="AK223" s="116">
        <v>2457</v>
      </c>
      <c r="AL223" s="117" t="s">
        <v>1906</v>
      </c>
      <c r="AM223" s="116">
        <v>35805.818181818184</v>
      </c>
    </row>
    <row r="224" spans="1:39" s="100" customFormat="1" ht="46.8" x14ac:dyDescent="0.3">
      <c r="A224" s="97">
        <v>214</v>
      </c>
      <c r="B224" s="98" t="s">
        <v>827</v>
      </c>
      <c r="C224" s="98" t="s">
        <v>2708</v>
      </c>
      <c r="D224" s="98" t="s">
        <v>1902</v>
      </c>
      <c r="E224" s="98" t="s">
        <v>2709</v>
      </c>
      <c r="F224" s="98" t="s">
        <v>49</v>
      </c>
      <c r="G224" s="99" t="s">
        <v>2710</v>
      </c>
      <c r="H224" s="99">
        <v>12</v>
      </c>
      <c r="I224" s="99" t="s">
        <v>2710</v>
      </c>
      <c r="J224" s="99">
        <v>2</v>
      </c>
      <c r="K224" s="98" t="s">
        <v>528</v>
      </c>
      <c r="L224" s="98" t="s">
        <v>528</v>
      </c>
      <c r="M224" s="116">
        <v>21833.402369046871</v>
      </c>
      <c r="N224" s="116">
        <v>35341.163960658138</v>
      </c>
      <c r="O224" s="116">
        <v>3288</v>
      </c>
      <c r="P224" s="117" t="s">
        <v>208</v>
      </c>
      <c r="Q224" s="116">
        <v>3055</v>
      </c>
      <c r="R224" s="117" t="s">
        <v>208</v>
      </c>
      <c r="S224" s="116">
        <v>2138</v>
      </c>
      <c r="T224" s="117" t="s">
        <v>208</v>
      </c>
      <c r="U224" s="116">
        <v>2219</v>
      </c>
      <c r="V224" s="117" t="s">
        <v>208</v>
      </c>
      <c r="W224" s="116">
        <v>2052</v>
      </c>
      <c r="X224" s="117" t="s">
        <v>208</v>
      </c>
      <c r="Y224" s="116">
        <v>2491.2727272727275</v>
      </c>
      <c r="Z224" s="117" t="s">
        <v>208</v>
      </c>
      <c r="AA224" s="116">
        <v>2473</v>
      </c>
      <c r="AB224" s="117" t="s">
        <v>208</v>
      </c>
      <c r="AC224" s="116">
        <v>1087</v>
      </c>
      <c r="AD224" s="117" t="s">
        <v>208</v>
      </c>
      <c r="AE224" s="116">
        <v>2355</v>
      </c>
      <c r="AF224" s="117" t="s">
        <v>208</v>
      </c>
      <c r="AG224" s="116">
        <v>3501</v>
      </c>
      <c r="AH224" s="117" t="s">
        <v>208</v>
      </c>
      <c r="AI224" s="116">
        <v>2732</v>
      </c>
      <c r="AJ224" s="117" t="s">
        <v>208</v>
      </c>
      <c r="AK224" s="116">
        <v>2504</v>
      </c>
      <c r="AL224" s="117" t="s">
        <v>208</v>
      </c>
      <c r="AM224" s="116">
        <v>29895.272727272728</v>
      </c>
    </row>
    <row r="225" spans="1:39" s="100" customFormat="1" ht="46.8" x14ac:dyDescent="0.3">
      <c r="A225" s="97">
        <v>215</v>
      </c>
      <c r="B225" s="98" t="s">
        <v>828</v>
      </c>
      <c r="C225" s="98" t="s">
        <v>2708</v>
      </c>
      <c r="D225" s="98" t="s">
        <v>1902</v>
      </c>
      <c r="E225" s="98" t="s">
        <v>2709</v>
      </c>
      <c r="F225" s="98" t="s">
        <v>49</v>
      </c>
      <c r="G225" s="99" t="s">
        <v>2710</v>
      </c>
      <c r="H225" s="99">
        <v>7</v>
      </c>
      <c r="I225" s="99" t="s">
        <v>2710</v>
      </c>
      <c r="J225" s="99">
        <v>1</v>
      </c>
      <c r="K225" s="98" t="s">
        <v>528</v>
      </c>
      <c r="L225" s="98" t="s">
        <v>528</v>
      </c>
      <c r="M225" s="116">
        <v>9790.9253064090481</v>
      </c>
      <c r="N225" s="116">
        <v>16961.863556037013</v>
      </c>
      <c r="O225" s="116">
        <v>1075.7119863379189</v>
      </c>
      <c r="P225" s="117" t="s">
        <v>208</v>
      </c>
      <c r="Q225" s="116">
        <v>993.85432759037383</v>
      </c>
      <c r="R225" s="117" t="s">
        <v>208</v>
      </c>
      <c r="S225" s="116">
        <v>919.84114798550888</v>
      </c>
      <c r="T225" s="117" t="s">
        <v>208</v>
      </c>
      <c r="U225" s="116">
        <v>908.40387403845864</v>
      </c>
      <c r="V225" s="117" t="s">
        <v>208</v>
      </c>
      <c r="W225" s="116">
        <v>1389.0521287142803</v>
      </c>
      <c r="X225" s="117" t="s">
        <v>208</v>
      </c>
      <c r="Y225" s="116">
        <v>1157.8285694010544</v>
      </c>
      <c r="Z225" s="117" t="s">
        <v>208</v>
      </c>
      <c r="AA225" s="116">
        <v>1429.4624565206846</v>
      </c>
      <c r="AB225" s="117" t="s">
        <v>208</v>
      </c>
      <c r="AC225" s="116">
        <v>1049.8918112272702</v>
      </c>
      <c r="AD225" s="117" t="s">
        <v>208</v>
      </c>
      <c r="AE225" s="116">
        <v>1169.0428193070391</v>
      </c>
      <c r="AF225" s="117" t="s">
        <v>208</v>
      </c>
      <c r="AG225" s="116">
        <v>1439.9139140843865</v>
      </c>
      <c r="AH225" s="117" t="s">
        <v>208</v>
      </c>
      <c r="AI225" s="116">
        <v>903.82174571965311</v>
      </c>
      <c r="AJ225" s="117" t="s">
        <v>208</v>
      </c>
      <c r="AK225" s="116">
        <v>1457.1180518860231</v>
      </c>
      <c r="AL225" s="117" t="s">
        <v>208</v>
      </c>
      <c r="AM225" s="116">
        <v>13893.942832812652</v>
      </c>
    </row>
    <row r="226" spans="1:39" s="100" customFormat="1" ht="46.8" x14ac:dyDescent="0.3">
      <c r="A226" s="97">
        <v>216</v>
      </c>
      <c r="B226" s="98" t="s">
        <v>829</v>
      </c>
      <c r="C226" s="98" t="s">
        <v>2708</v>
      </c>
      <c r="D226" s="98" t="s">
        <v>1902</v>
      </c>
      <c r="E226" s="98" t="s">
        <v>2709</v>
      </c>
      <c r="F226" s="98" t="s">
        <v>49</v>
      </c>
      <c r="G226" s="99" t="s">
        <v>2710</v>
      </c>
      <c r="H226" s="99">
        <v>10</v>
      </c>
      <c r="I226" s="99" t="s">
        <v>2710</v>
      </c>
      <c r="J226" s="99">
        <v>2</v>
      </c>
      <c r="K226" s="98" t="s">
        <v>528</v>
      </c>
      <c r="L226" s="98" t="s">
        <v>528</v>
      </c>
      <c r="M226" s="116">
        <v>3604.8408814523145</v>
      </c>
      <c r="N226" s="116">
        <v>6436.0597670527086</v>
      </c>
      <c r="O226" s="116">
        <v>505</v>
      </c>
      <c r="P226" s="117" t="s">
        <v>208</v>
      </c>
      <c r="Q226" s="116">
        <v>470</v>
      </c>
      <c r="R226" s="117" t="s">
        <v>208</v>
      </c>
      <c r="S226" s="116">
        <v>446</v>
      </c>
      <c r="T226" s="117" t="s">
        <v>208</v>
      </c>
      <c r="U226" s="116">
        <v>417</v>
      </c>
      <c r="V226" s="117" t="s">
        <v>208</v>
      </c>
      <c r="W226" s="116">
        <v>397</v>
      </c>
      <c r="X226" s="117" t="s">
        <v>208</v>
      </c>
      <c r="Y226" s="116">
        <v>440.36363636363637</v>
      </c>
      <c r="Z226" s="117" t="s">
        <v>208</v>
      </c>
      <c r="AA226" s="116">
        <v>565</v>
      </c>
      <c r="AB226" s="117" t="s">
        <v>208</v>
      </c>
      <c r="AC226" s="116">
        <v>200</v>
      </c>
      <c r="AD226" s="117" t="s">
        <v>208</v>
      </c>
      <c r="AE226" s="116">
        <v>532</v>
      </c>
      <c r="AF226" s="117" t="s">
        <v>208</v>
      </c>
      <c r="AG226" s="116">
        <v>399</v>
      </c>
      <c r="AH226" s="117" t="s">
        <v>208</v>
      </c>
      <c r="AI226" s="116">
        <v>487</v>
      </c>
      <c r="AJ226" s="117" t="s">
        <v>208</v>
      </c>
      <c r="AK226" s="116">
        <v>426</v>
      </c>
      <c r="AL226" s="117" t="s">
        <v>208</v>
      </c>
      <c r="AM226" s="116">
        <v>5284.363636363636</v>
      </c>
    </row>
    <row r="227" spans="1:39" s="100" customFormat="1" ht="46.8" x14ac:dyDescent="0.3">
      <c r="A227" s="97">
        <v>217</v>
      </c>
      <c r="B227" s="98" t="s">
        <v>830</v>
      </c>
      <c r="C227" s="98" t="s">
        <v>2708</v>
      </c>
      <c r="D227" s="98" t="s">
        <v>1902</v>
      </c>
      <c r="E227" s="98" t="s">
        <v>2709</v>
      </c>
      <c r="F227" s="98" t="s">
        <v>49</v>
      </c>
      <c r="G227" s="99" t="s">
        <v>2710</v>
      </c>
      <c r="H227" s="99">
        <v>12</v>
      </c>
      <c r="I227" s="99" t="s">
        <v>2710</v>
      </c>
      <c r="J227" s="99">
        <v>2</v>
      </c>
      <c r="K227" s="98" t="s">
        <v>528</v>
      </c>
      <c r="L227" s="98" t="s">
        <v>528</v>
      </c>
      <c r="M227" s="116">
        <v>4295.8296799200753</v>
      </c>
      <c r="N227" s="116">
        <v>7045.9669552373189</v>
      </c>
      <c r="O227" s="116">
        <v>522</v>
      </c>
      <c r="P227" s="117" t="s">
        <v>208</v>
      </c>
      <c r="Q227" s="116">
        <v>454</v>
      </c>
      <c r="R227" s="117" t="s">
        <v>208</v>
      </c>
      <c r="S227" s="116">
        <v>436</v>
      </c>
      <c r="T227" s="117" t="s">
        <v>208</v>
      </c>
      <c r="U227" s="116">
        <v>555</v>
      </c>
      <c r="V227" s="117" t="s">
        <v>208</v>
      </c>
      <c r="W227" s="116">
        <v>450</v>
      </c>
      <c r="X227" s="117" t="s">
        <v>208</v>
      </c>
      <c r="Y227" s="116">
        <v>477.45454545454544</v>
      </c>
      <c r="Z227" s="117" t="s">
        <v>208</v>
      </c>
      <c r="AA227" s="116">
        <v>555</v>
      </c>
      <c r="AB227" s="117" t="s">
        <v>208</v>
      </c>
      <c r="AC227" s="116">
        <v>195</v>
      </c>
      <c r="AD227" s="117" t="s">
        <v>208</v>
      </c>
      <c r="AE227" s="116">
        <v>714</v>
      </c>
      <c r="AF227" s="117" t="s">
        <v>208</v>
      </c>
      <c r="AG227" s="116">
        <v>426</v>
      </c>
      <c r="AH227" s="117" t="s">
        <v>208</v>
      </c>
      <c r="AI227" s="116">
        <v>519</v>
      </c>
      <c r="AJ227" s="117" t="s">
        <v>208</v>
      </c>
      <c r="AK227" s="116">
        <v>426</v>
      </c>
      <c r="AL227" s="117" t="s">
        <v>208</v>
      </c>
      <c r="AM227" s="116">
        <v>5729.454545454546</v>
      </c>
    </row>
    <row r="228" spans="1:39" s="100" customFormat="1" ht="46.8" x14ac:dyDescent="0.3">
      <c r="A228" s="97">
        <v>218</v>
      </c>
      <c r="B228" s="98" t="s">
        <v>831</v>
      </c>
      <c r="C228" s="98" t="s">
        <v>2708</v>
      </c>
      <c r="D228" s="98" t="s">
        <v>1902</v>
      </c>
      <c r="E228" s="98" t="s">
        <v>2709</v>
      </c>
      <c r="F228" s="98" t="s">
        <v>49</v>
      </c>
      <c r="G228" s="99" t="s">
        <v>2710</v>
      </c>
      <c r="H228" s="99">
        <v>6</v>
      </c>
      <c r="I228" s="99" t="s">
        <v>2710</v>
      </c>
      <c r="J228" s="99">
        <v>1</v>
      </c>
      <c r="K228" s="98" t="s">
        <v>528</v>
      </c>
      <c r="L228" s="98" t="s">
        <v>528</v>
      </c>
      <c r="M228" s="116">
        <v>6377.2123101583338</v>
      </c>
      <c r="N228" s="116">
        <v>11313.194110410346</v>
      </c>
      <c r="O228" s="116">
        <v>859</v>
      </c>
      <c r="P228" s="117" t="s">
        <v>208</v>
      </c>
      <c r="Q228" s="116">
        <v>851</v>
      </c>
      <c r="R228" s="117" t="s">
        <v>208</v>
      </c>
      <c r="S228" s="116">
        <v>690</v>
      </c>
      <c r="T228" s="117" t="s">
        <v>208</v>
      </c>
      <c r="U228" s="116">
        <v>797</v>
      </c>
      <c r="V228" s="117" t="s">
        <v>208</v>
      </c>
      <c r="W228" s="116">
        <v>750</v>
      </c>
      <c r="X228" s="117" t="s">
        <v>208</v>
      </c>
      <c r="Y228" s="116">
        <v>807.5454545454545</v>
      </c>
      <c r="Z228" s="117" t="s">
        <v>208</v>
      </c>
      <c r="AA228" s="116">
        <v>1080</v>
      </c>
      <c r="AB228" s="117" t="s">
        <v>208</v>
      </c>
      <c r="AC228" s="116">
        <v>396</v>
      </c>
      <c r="AD228" s="117" t="s">
        <v>208</v>
      </c>
      <c r="AE228" s="116">
        <v>899</v>
      </c>
      <c r="AF228" s="117" t="s">
        <v>208</v>
      </c>
      <c r="AG228" s="116">
        <v>789</v>
      </c>
      <c r="AH228" s="117" t="s">
        <v>208</v>
      </c>
      <c r="AI228" s="116">
        <v>953</v>
      </c>
      <c r="AJ228" s="117" t="s">
        <v>208</v>
      </c>
      <c r="AK228" s="116">
        <v>819</v>
      </c>
      <c r="AL228" s="117" t="s">
        <v>208</v>
      </c>
      <c r="AM228" s="116">
        <v>9690.545454545454</v>
      </c>
    </row>
    <row r="229" spans="1:39" s="100" customFormat="1" ht="46.8" x14ac:dyDescent="0.3">
      <c r="A229" s="97">
        <v>219</v>
      </c>
      <c r="B229" s="98" t="s">
        <v>832</v>
      </c>
      <c r="C229" s="98" t="s">
        <v>2708</v>
      </c>
      <c r="D229" s="98" t="s">
        <v>1902</v>
      </c>
      <c r="E229" s="98" t="s">
        <v>2709</v>
      </c>
      <c r="F229" s="98" t="s">
        <v>49</v>
      </c>
      <c r="G229" s="99" t="s">
        <v>2710</v>
      </c>
      <c r="H229" s="99">
        <v>40</v>
      </c>
      <c r="I229" s="99" t="s">
        <v>2710</v>
      </c>
      <c r="J229" s="99">
        <v>5</v>
      </c>
      <c r="K229" s="98" t="s">
        <v>528</v>
      </c>
      <c r="L229" s="98" t="s">
        <v>528</v>
      </c>
      <c r="M229" s="116">
        <v>31239.381419375317</v>
      </c>
      <c r="N229" s="116">
        <v>56429.240963327298</v>
      </c>
      <c r="O229" s="116">
        <v>5972</v>
      </c>
      <c r="P229" s="117" t="s">
        <v>208</v>
      </c>
      <c r="Q229" s="116">
        <v>5367</v>
      </c>
      <c r="R229" s="117" t="s">
        <v>208</v>
      </c>
      <c r="S229" s="116">
        <v>3777</v>
      </c>
      <c r="T229" s="117" t="s">
        <v>208</v>
      </c>
      <c r="U229" s="116">
        <v>3703</v>
      </c>
      <c r="V229" s="117" t="s">
        <v>208</v>
      </c>
      <c r="W229" s="116">
        <v>2775</v>
      </c>
      <c r="X229" s="117" t="s">
        <v>208</v>
      </c>
      <c r="Y229" s="116">
        <v>3963.2727272727275</v>
      </c>
      <c r="Z229" s="117" t="s">
        <v>208</v>
      </c>
      <c r="AA229" s="116">
        <v>2904</v>
      </c>
      <c r="AB229" s="117" t="s">
        <v>208</v>
      </c>
      <c r="AC229" s="116">
        <v>1165</v>
      </c>
      <c r="AD229" s="117" t="s">
        <v>208</v>
      </c>
      <c r="AE229" s="116">
        <v>4029</v>
      </c>
      <c r="AF229" s="117" t="s">
        <v>208</v>
      </c>
      <c r="AG229" s="116">
        <v>4142</v>
      </c>
      <c r="AH229" s="117" t="s">
        <v>208</v>
      </c>
      <c r="AI229" s="116">
        <v>5154</v>
      </c>
      <c r="AJ229" s="117" t="s">
        <v>208</v>
      </c>
      <c r="AK229" s="116">
        <v>4608</v>
      </c>
      <c r="AL229" s="117" t="s">
        <v>208</v>
      </c>
      <c r="AM229" s="116">
        <v>47559.272727272728</v>
      </c>
    </row>
    <row r="230" spans="1:39" s="100" customFormat="1" ht="46.8" x14ac:dyDescent="0.3">
      <c r="A230" s="97">
        <v>220</v>
      </c>
      <c r="B230" s="98" t="s">
        <v>833</v>
      </c>
      <c r="C230" s="98" t="s">
        <v>2708</v>
      </c>
      <c r="D230" s="98" t="s">
        <v>1902</v>
      </c>
      <c r="E230" s="98" t="s">
        <v>2709</v>
      </c>
      <c r="F230" s="98" t="s">
        <v>49</v>
      </c>
      <c r="G230" s="99" t="s">
        <v>2710</v>
      </c>
      <c r="H230" s="99">
        <v>49</v>
      </c>
      <c r="I230" s="99" t="s">
        <v>2710</v>
      </c>
      <c r="J230" s="99">
        <v>7</v>
      </c>
      <c r="K230" s="98" t="s">
        <v>528</v>
      </c>
      <c r="L230" s="98" t="s">
        <v>528</v>
      </c>
      <c r="M230" s="116">
        <v>15007.993275791649</v>
      </c>
      <c r="N230" s="116">
        <v>26287.725009365582</v>
      </c>
      <c r="O230" s="116">
        <v>2270</v>
      </c>
      <c r="P230" s="117" t="s">
        <v>208</v>
      </c>
      <c r="Q230" s="116">
        <v>2258</v>
      </c>
      <c r="R230" s="117" t="s">
        <v>208</v>
      </c>
      <c r="S230" s="116">
        <v>1720</v>
      </c>
      <c r="T230" s="117" t="s">
        <v>208</v>
      </c>
      <c r="U230" s="116">
        <v>1878</v>
      </c>
      <c r="V230" s="117" t="s">
        <v>208</v>
      </c>
      <c r="W230" s="116">
        <v>1669</v>
      </c>
      <c r="X230" s="117" t="s">
        <v>208</v>
      </c>
      <c r="Y230" s="116">
        <v>1759.090909090909</v>
      </c>
      <c r="Z230" s="117" t="s">
        <v>208</v>
      </c>
      <c r="AA230" s="116">
        <v>2189</v>
      </c>
      <c r="AB230" s="117" t="s">
        <v>208</v>
      </c>
      <c r="AC230" s="116">
        <v>768</v>
      </c>
      <c r="AD230" s="117" t="s">
        <v>208</v>
      </c>
      <c r="AE230" s="116">
        <v>1656</v>
      </c>
      <c r="AF230" s="117" t="s">
        <v>208</v>
      </c>
      <c r="AG230" s="116">
        <v>1525</v>
      </c>
      <c r="AH230" s="117" t="s">
        <v>208</v>
      </c>
      <c r="AI230" s="116">
        <v>1073</v>
      </c>
      <c r="AJ230" s="117" t="s">
        <v>208</v>
      </c>
      <c r="AK230" s="116">
        <v>2344</v>
      </c>
      <c r="AL230" s="117" t="s">
        <v>208</v>
      </c>
      <c r="AM230" s="116">
        <v>21109.090909090908</v>
      </c>
    </row>
    <row r="231" spans="1:39" s="100" customFormat="1" ht="46.8" x14ac:dyDescent="0.3">
      <c r="A231" s="97">
        <v>221</v>
      </c>
      <c r="B231" s="98" t="s">
        <v>834</v>
      </c>
      <c r="C231" s="98" t="s">
        <v>2708</v>
      </c>
      <c r="D231" s="98" t="s">
        <v>1902</v>
      </c>
      <c r="E231" s="98" t="s">
        <v>2709</v>
      </c>
      <c r="F231" s="98" t="s">
        <v>49</v>
      </c>
      <c r="G231" s="99" t="s">
        <v>2710</v>
      </c>
      <c r="H231" s="99">
        <v>12</v>
      </c>
      <c r="I231" s="99" t="s">
        <v>2710</v>
      </c>
      <c r="J231" s="99">
        <v>3</v>
      </c>
      <c r="K231" s="98" t="s">
        <v>528</v>
      </c>
      <c r="L231" s="98" t="s">
        <v>528</v>
      </c>
      <c r="M231" s="116">
        <v>2314.632636410568</v>
      </c>
      <c r="N231" s="116">
        <v>3826.034541734914</v>
      </c>
      <c r="O231" s="116">
        <v>460</v>
      </c>
      <c r="P231" s="117" t="s">
        <v>208</v>
      </c>
      <c r="Q231" s="116">
        <v>840</v>
      </c>
      <c r="R231" s="117" t="s">
        <v>208</v>
      </c>
      <c r="S231" s="116">
        <v>36</v>
      </c>
      <c r="T231" s="117" t="s">
        <v>208</v>
      </c>
      <c r="U231" s="116">
        <v>289</v>
      </c>
      <c r="V231" s="117" t="s">
        <v>208</v>
      </c>
      <c r="W231" s="116">
        <v>240</v>
      </c>
      <c r="X231" s="117" t="s">
        <v>208</v>
      </c>
      <c r="Y231" s="116">
        <v>271.90909090909093</v>
      </c>
      <c r="Z231" s="117" t="s">
        <v>208</v>
      </c>
      <c r="AA231" s="116">
        <v>144</v>
      </c>
      <c r="AB231" s="117" t="s">
        <v>208</v>
      </c>
      <c r="AC231" s="116">
        <v>72</v>
      </c>
      <c r="AD231" s="117" t="s">
        <v>208</v>
      </c>
      <c r="AE231" s="116">
        <v>190</v>
      </c>
      <c r="AF231" s="117" t="s">
        <v>208</v>
      </c>
      <c r="AG231" s="116">
        <v>246</v>
      </c>
      <c r="AH231" s="117" t="s">
        <v>208</v>
      </c>
      <c r="AI231" s="116">
        <v>307</v>
      </c>
      <c r="AJ231" s="117" t="s">
        <v>208</v>
      </c>
      <c r="AK231" s="116">
        <v>167</v>
      </c>
      <c r="AL231" s="117" t="s">
        <v>208</v>
      </c>
      <c r="AM231" s="116">
        <v>3262.909090909091</v>
      </c>
    </row>
    <row r="232" spans="1:39" s="100" customFormat="1" ht="46.8" x14ac:dyDescent="0.3">
      <c r="A232" s="97">
        <v>222</v>
      </c>
      <c r="B232" s="98" t="s">
        <v>835</v>
      </c>
      <c r="C232" s="98" t="s">
        <v>2708</v>
      </c>
      <c r="D232" s="98" t="s">
        <v>1902</v>
      </c>
      <c r="E232" s="98" t="s">
        <v>2709</v>
      </c>
      <c r="F232" s="98" t="s">
        <v>49</v>
      </c>
      <c r="G232" s="99" t="s">
        <v>2710</v>
      </c>
      <c r="H232" s="99">
        <v>6</v>
      </c>
      <c r="I232" s="99" t="s">
        <v>2710</v>
      </c>
      <c r="J232" s="99">
        <v>2</v>
      </c>
      <c r="K232" s="98" t="s">
        <v>528</v>
      </c>
      <c r="L232" s="98" t="s">
        <v>528</v>
      </c>
      <c r="M232" s="116">
        <v>7412.4647985686615</v>
      </c>
      <c r="N232" s="116">
        <v>12967.438132067322</v>
      </c>
      <c r="O232" s="116">
        <v>943.0760968209903</v>
      </c>
      <c r="P232" s="117" t="s">
        <v>208</v>
      </c>
      <c r="Q232" s="116">
        <v>821.55832613521511</v>
      </c>
      <c r="R232" s="117" t="s">
        <v>208</v>
      </c>
      <c r="S232" s="116">
        <v>846.89976933268917</v>
      </c>
      <c r="T232" s="117" t="s">
        <v>208</v>
      </c>
      <c r="U232" s="116">
        <v>737.02868724488553</v>
      </c>
      <c r="V232" s="117" t="s">
        <v>208</v>
      </c>
      <c r="W232" s="116">
        <v>753.71198340134447</v>
      </c>
      <c r="X232" s="117" t="s">
        <v>208</v>
      </c>
      <c r="Y232" s="116">
        <v>879.17636275139193</v>
      </c>
      <c r="Z232" s="117" t="s">
        <v>208</v>
      </c>
      <c r="AA232" s="116">
        <v>978.31680559567496</v>
      </c>
      <c r="AB232" s="117" t="s">
        <v>208</v>
      </c>
      <c r="AC232" s="116">
        <v>1046.5176852814043</v>
      </c>
      <c r="AD232" s="117" t="s">
        <v>208</v>
      </c>
      <c r="AE232" s="116">
        <v>1051.8064834519407</v>
      </c>
      <c r="AF232" s="117" t="s">
        <v>208</v>
      </c>
      <c r="AG232" s="116">
        <v>825.46613976457365</v>
      </c>
      <c r="AH232" s="117" t="s">
        <v>208</v>
      </c>
      <c r="AI232" s="116">
        <v>1029.4198074359433</v>
      </c>
      <c r="AJ232" s="117" t="s">
        <v>208</v>
      </c>
      <c r="AK232" s="116">
        <v>637.13820580064851</v>
      </c>
      <c r="AL232" s="117" t="s">
        <v>208</v>
      </c>
      <c r="AM232" s="116">
        <v>10550.116353016703</v>
      </c>
    </row>
    <row r="233" spans="1:39" s="100" customFormat="1" ht="46.8" x14ac:dyDescent="0.3">
      <c r="A233" s="97">
        <v>223</v>
      </c>
      <c r="B233" s="98" t="s">
        <v>837</v>
      </c>
      <c r="C233" s="98" t="s">
        <v>2708</v>
      </c>
      <c r="D233" s="98" t="s">
        <v>1902</v>
      </c>
      <c r="E233" s="98" t="s">
        <v>2709</v>
      </c>
      <c r="F233" s="98" t="s">
        <v>49</v>
      </c>
      <c r="G233" s="99" t="s">
        <v>2710</v>
      </c>
      <c r="H233" s="99">
        <v>15</v>
      </c>
      <c r="I233" s="99" t="s">
        <v>2710</v>
      </c>
      <c r="J233" s="99">
        <v>3</v>
      </c>
      <c r="K233" s="98" t="s">
        <v>528</v>
      </c>
      <c r="L233" s="98" t="s">
        <v>528</v>
      </c>
      <c r="M233" s="116">
        <v>3141.8789594971408</v>
      </c>
      <c r="N233" s="116">
        <v>5520.929582480534</v>
      </c>
      <c r="O233" s="116">
        <v>424.62</v>
      </c>
      <c r="P233" s="117" t="s">
        <v>208</v>
      </c>
      <c r="Q233" s="116">
        <v>517.23</v>
      </c>
      <c r="R233" s="117" t="s">
        <v>208</v>
      </c>
      <c r="S233" s="116">
        <v>264.60000000000002</v>
      </c>
      <c r="T233" s="117" t="s">
        <v>208</v>
      </c>
      <c r="U233" s="116">
        <v>361.62</v>
      </c>
      <c r="V233" s="117" t="s">
        <v>208</v>
      </c>
      <c r="W233" s="116">
        <v>218.61</v>
      </c>
      <c r="X233" s="117" t="s">
        <v>208</v>
      </c>
      <c r="Y233" s="116">
        <v>368.09181818181821</v>
      </c>
      <c r="Z233" s="117" t="s">
        <v>208</v>
      </c>
      <c r="AA233" s="116">
        <v>550.62</v>
      </c>
      <c r="AB233" s="117" t="s">
        <v>208</v>
      </c>
      <c r="AC233" s="116">
        <v>149.94</v>
      </c>
      <c r="AD233" s="117" t="s">
        <v>208</v>
      </c>
      <c r="AE233" s="116">
        <v>354.06</v>
      </c>
      <c r="AF233" s="117" t="s">
        <v>208</v>
      </c>
      <c r="AG233" s="116">
        <v>316.26</v>
      </c>
      <c r="AH233" s="117" t="s">
        <v>208</v>
      </c>
      <c r="AI233" s="116">
        <v>471.87</v>
      </c>
      <c r="AJ233" s="117" t="s">
        <v>208</v>
      </c>
      <c r="AK233" s="116">
        <v>419.58000000000004</v>
      </c>
      <c r="AL233" s="117" t="s">
        <v>208</v>
      </c>
      <c r="AM233" s="116">
        <v>4417.1018181818181</v>
      </c>
    </row>
    <row r="234" spans="1:39" s="100" customFormat="1" ht="46.8" x14ac:dyDescent="0.3">
      <c r="A234" s="97">
        <v>224</v>
      </c>
      <c r="B234" s="98" t="s">
        <v>838</v>
      </c>
      <c r="C234" s="98" t="s">
        <v>2708</v>
      </c>
      <c r="D234" s="98" t="s">
        <v>1902</v>
      </c>
      <c r="E234" s="98" t="s">
        <v>2709</v>
      </c>
      <c r="F234" s="98" t="s">
        <v>49</v>
      </c>
      <c r="G234" s="99" t="s">
        <v>2710</v>
      </c>
      <c r="H234" s="99">
        <v>8</v>
      </c>
      <c r="I234" s="99" t="s">
        <v>2710</v>
      </c>
      <c r="J234" s="99">
        <v>2</v>
      </c>
      <c r="K234" s="98" t="s">
        <v>528</v>
      </c>
      <c r="L234" s="98" t="s">
        <v>528</v>
      </c>
      <c r="M234" s="116">
        <v>1841.1916420579951</v>
      </c>
      <c r="N234" s="116">
        <v>3135.8878194775998</v>
      </c>
      <c r="O234" s="116">
        <v>249.38</v>
      </c>
      <c r="P234" s="117" t="s">
        <v>208</v>
      </c>
      <c r="Q234" s="116">
        <v>303.77</v>
      </c>
      <c r="R234" s="117" t="s">
        <v>208</v>
      </c>
      <c r="S234" s="116">
        <v>155.4</v>
      </c>
      <c r="T234" s="117" t="s">
        <v>208</v>
      </c>
      <c r="U234" s="116">
        <v>212.38</v>
      </c>
      <c r="V234" s="117" t="s">
        <v>208</v>
      </c>
      <c r="W234" s="116">
        <v>128.39000000000001</v>
      </c>
      <c r="X234" s="117" t="s">
        <v>208</v>
      </c>
      <c r="Y234" s="116">
        <v>216.18090909090907</v>
      </c>
      <c r="Z234" s="117" t="s">
        <v>208</v>
      </c>
      <c r="AA234" s="116">
        <v>323.38</v>
      </c>
      <c r="AB234" s="117" t="s">
        <v>208</v>
      </c>
      <c r="AC234" s="116">
        <v>88.06</v>
      </c>
      <c r="AD234" s="117" t="s">
        <v>208</v>
      </c>
      <c r="AE234" s="116">
        <v>207.94</v>
      </c>
      <c r="AF234" s="117" t="s">
        <v>208</v>
      </c>
      <c r="AG234" s="116">
        <v>185.74</v>
      </c>
      <c r="AH234" s="117" t="s">
        <v>208</v>
      </c>
      <c r="AI234" s="116">
        <v>277.13</v>
      </c>
      <c r="AJ234" s="117" t="s">
        <v>208</v>
      </c>
      <c r="AK234" s="116">
        <v>246.42</v>
      </c>
      <c r="AL234" s="117" t="s">
        <v>208</v>
      </c>
      <c r="AM234" s="116">
        <v>2594.1709090909089</v>
      </c>
    </row>
    <row r="235" spans="1:39" s="100" customFormat="1" ht="46.8" x14ac:dyDescent="0.3">
      <c r="A235" s="97">
        <v>225</v>
      </c>
      <c r="B235" s="98" t="s">
        <v>839</v>
      </c>
      <c r="C235" s="98" t="s">
        <v>2708</v>
      </c>
      <c r="D235" s="98" t="s">
        <v>1902</v>
      </c>
      <c r="E235" s="98" t="s">
        <v>2709</v>
      </c>
      <c r="F235" s="98" t="s">
        <v>49</v>
      </c>
      <c r="G235" s="99" t="s">
        <v>2710</v>
      </c>
      <c r="H235" s="99">
        <v>30</v>
      </c>
      <c r="I235" s="99" t="s">
        <v>2710</v>
      </c>
      <c r="J235" s="99">
        <v>5</v>
      </c>
      <c r="K235" s="98" t="s">
        <v>528</v>
      </c>
      <c r="L235" s="98" t="s">
        <v>528</v>
      </c>
      <c r="M235" s="116">
        <v>18077.22708150365</v>
      </c>
      <c r="N235" s="116">
        <v>32767.428509375197</v>
      </c>
      <c r="O235" s="116">
        <v>2632</v>
      </c>
      <c r="P235" s="117" t="s">
        <v>208</v>
      </c>
      <c r="Q235" s="116">
        <v>2350</v>
      </c>
      <c r="R235" s="117" t="s">
        <v>208</v>
      </c>
      <c r="S235" s="116">
        <v>1651</v>
      </c>
      <c r="T235" s="117" t="s">
        <v>208</v>
      </c>
      <c r="U235" s="116">
        <v>3286</v>
      </c>
      <c r="V235" s="117" t="s">
        <v>208</v>
      </c>
      <c r="W235" s="116">
        <v>919</v>
      </c>
      <c r="X235" s="117" t="s">
        <v>208</v>
      </c>
      <c r="Y235" s="116">
        <v>2256.4545454545455</v>
      </c>
      <c r="Z235" s="117" t="s">
        <v>208</v>
      </c>
      <c r="AA235" s="116">
        <v>3832</v>
      </c>
      <c r="AB235" s="117" t="s">
        <v>208</v>
      </c>
      <c r="AC235" s="116">
        <v>1241</v>
      </c>
      <c r="AD235" s="117" t="s">
        <v>208</v>
      </c>
      <c r="AE235" s="116">
        <v>2568</v>
      </c>
      <c r="AF235" s="117" t="s">
        <v>208</v>
      </c>
      <c r="AG235" s="116">
        <v>1766</v>
      </c>
      <c r="AH235" s="117" t="s">
        <v>208</v>
      </c>
      <c r="AI235" s="116">
        <v>2490</v>
      </c>
      <c r="AJ235" s="117" t="s">
        <v>208</v>
      </c>
      <c r="AK235" s="116">
        <v>2086</v>
      </c>
      <c r="AL235" s="117" t="s">
        <v>208</v>
      </c>
      <c r="AM235" s="116">
        <v>27077.454545454544</v>
      </c>
    </row>
    <row r="236" spans="1:39" s="100" customFormat="1" ht="46.8" x14ac:dyDescent="0.3">
      <c r="A236" s="97">
        <v>226</v>
      </c>
      <c r="B236" s="98" t="s">
        <v>840</v>
      </c>
      <c r="C236" s="98" t="s">
        <v>2708</v>
      </c>
      <c r="D236" s="98" t="s">
        <v>1902</v>
      </c>
      <c r="E236" s="98" t="s">
        <v>2709</v>
      </c>
      <c r="F236" s="98" t="s">
        <v>49</v>
      </c>
      <c r="G236" s="99" t="s">
        <v>2710</v>
      </c>
      <c r="H236" s="99">
        <v>5</v>
      </c>
      <c r="I236" s="99" t="s">
        <v>2710</v>
      </c>
      <c r="J236" s="99">
        <v>1</v>
      </c>
      <c r="K236" s="98" t="s">
        <v>528</v>
      </c>
      <c r="L236" s="98" t="s">
        <v>528</v>
      </c>
      <c r="M236" s="116">
        <v>6918.8479483644496</v>
      </c>
      <c r="N236" s="116">
        <v>11807.985199226816</v>
      </c>
      <c r="O236" s="116">
        <v>1114</v>
      </c>
      <c r="P236" s="117" t="s">
        <v>208</v>
      </c>
      <c r="Q236" s="116">
        <v>1195</v>
      </c>
      <c r="R236" s="117" t="s">
        <v>208</v>
      </c>
      <c r="S236" s="116">
        <v>621</v>
      </c>
      <c r="T236" s="117" t="s">
        <v>208</v>
      </c>
      <c r="U236" s="116">
        <v>1129</v>
      </c>
      <c r="V236" s="117" t="s">
        <v>208</v>
      </c>
      <c r="W236" s="116">
        <v>763</v>
      </c>
      <c r="X236" s="117" t="s">
        <v>208</v>
      </c>
      <c r="Y236" s="116">
        <v>841.09090909090912</v>
      </c>
      <c r="Z236" s="117" t="s">
        <v>208</v>
      </c>
      <c r="AA236" s="116">
        <v>768</v>
      </c>
      <c r="AB236" s="117" t="s">
        <v>208</v>
      </c>
      <c r="AC236" s="116">
        <v>296</v>
      </c>
      <c r="AD236" s="117" t="s">
        <v>208</v>
      </c>
      <c r="AE236" s="116">
        <v>912</v>
      </c>
      <c r="AF236" s="117" t="s">
        <v>208</v>
      </c>
      <c r="AG236" s="116">
        <v>611</v>
      </c>
      <c r="AH236" s="117" t="s">
        <v>208</v>
      </c>
      <c r="AI236" s="116">
        <v>995</v>
      </c>
      <c r="AJ236" s="117" t="s">
        <v>208</v>
      </c>
      <c r="AK236" s="116">
        <v>848</v>
      </c>
      <c r="AL236" s="117" t="s">
        <v>208</v>
      </c>
      <c r="AM236" s="116">
        <v>10093.090909090908</v>
      </c>
    </row>
    <row r="237" spans="1:39" s="100" customFormat="1" ht="46.8" x14ac:dyDescent="0.3">
      <c r="A237" s="97">
        <v>227</v>
      </c>
      <c r="B237" s="98" t="s">
        <v>841</v>
      </c>
      <c r="C237" s="98" t="s">
        <v>2708</v>
      </c>
      <c r="D237" s="98" t="s">
        <v>1902</v>
      </c>
      <c r="E237" s="98" t="s">
        <v>2709</v>
      </c>
      <c r="F237" s="98" t="s">
        <v>49</v>
      </c>
      <c r="G237" s="99" t="s">
        <v>2710</v>
      </c>
      <c r="H237" s="99">
        <v>5</v>
      </c>
      <c r="I237" s="99" t="s">
        <v>2710</v>
      </c>
      <c r="J237" s="99">
        <v>1</v>
      </c>
      <c r="K237" s="98" t="s">
        <v>528</v>
      </c>
      <c r="L237" s="98" t="s">
        <v>528</v>
      </c>
      <c r="M237" s="116">
        <v>4056.1615346388758</v>
      </c>
      <c r="N237" s="116">
        <v>7174.4529283338106</v>
      </c>
      <c r="O237" s="116">
        <v>366.18175674724057</v>
      </c>
      <c r="P237" s="117" t="s">
        <v>208</v>
      </c>
      <c r="Q237" s="116">
        <v>504.55614234304664</v>
      </c>
      <c r="R237" s="117" t="s">
        <v>208</v>
      </c>
      <c r="S237" s="116">
        <v>487.72646764283502</v>
      </c>
      <c r="T237" s="117" t="s">
        <v>208</v>
      </c>
      <c r="U237" s="116">
        <v>335.04504714304551</v>
      </c>
      <c r="V237" s="117" t="s">
        <v>208</v>
      </c>
      <c r="W237" s="116">
        <v>462.55527032617698</v>
      </c>
      <c r="X237" s="117" t="s">
        <v>208</v>
      </c>
      <c r="Y237" s="116">
        <v>482.3472503090519</v>
      </c>
      <c r="Z237" s="117" t="s">
        <v>208</v>
      </c>
      <c r="AA237" s="116">
        <v>511.67797830553599</v>
      </c>
      <c r="AB237" s="117" t="s">
        <v>208</v>
      </c>
      <c r="AC237" s="116">
        <v>586.07099120359157</v>
      </c>
      <c r="AD237" s="117" t="s">
        <v>208</v>
      </c>
      <c r="AE237" s="116">
        <v>576.66848762304244</v>
      </c>
      <c r="AF237" s="117" t="s">
        <v>208</v>
      </c>
      <c r="AG237" s="116">
        <v>584.20727512240012</v>
      </c>
      <c r="AH237" s="117" t="s">
        <v>208</v>
      </c>
      <c r="AI237" s="116">
        <v>516.3256934820281</v>
      </c>
      <c r="AJ237" s="117" t="s">
        <v>208</v>
      </c>
      <c r="AK237" s="116">
        <v>374.8046434606274</v>
      </c>
      <c r="AL237" s="117" t="s">
        <v>208</v>
      </c>
      <c r="AM237" s="116">
        <v>5788.1670037086233</v>
      </c>
    </row>
    <row r="238" spans="1:39" s="100" customFormat="1" ht="46.8" x14ac:dyDescent="0.3">
      <c r="A238" s="97">
        <v>228</v>
      </c>
      <c r="B238" s="98" t="s">
        <v>842</v>
      </c>
      <c r="C238" s="98" t="s">
        <v>2708</v>
      </c>
      <c r="D238" s="98" t="s">
        <v>1902</v>
      </c>
      <c r="E238" s="98" t="s">
        <v>2709</v>
      </c>
      <c r="F238" s="98" t="s">
        <v>49</v>
      </c>
      <c r="G238" s="99" t="s">
        <v>2710</v>
      </c>
      <c r="H238" s="99">
        <v>6</v>
      </c>
      <c r="I238" s="99" t="s">
        <v>2710</v>
      </c>
      <c r="J238" s="99">
        <v>1</v>
      </c>
      <c r="K238" s="98" t="s">
        <v>528</v>
      </c>
      <c r="L238" s="98" t="s">
        <v>528</v>
      </c>
      <c r="M238" s="116">
        <v>5089.8175874971703</v>
      </c>
      <c r="N238" s="116">
        <v>8528.5798792449386</v>
      </c>
      <c r="O238" s="116">
        <v>739.48957097488096</v>
      </c>
      <c r="P238" s="117" t="s">
        <v>208</v>
      </c>
      <c r="Q238" s="116">
        <v>464.42443214421968</v>
      </c>
      <c r="R238" s="117" t="s">
        <v>208</v>
      </c>
      <c r="S238" s="116">
        <v>417.46253041811417</v>
      </c>
      <c r="T238" s="117" t="s">
        <v>208</v>
      </c>
      <c r="U238" s="116">
        <v>540.64370149467231</v>
      </c>
      <c r="V238" s="117" t="s">
        <v>208</v>
      </c>
      <c r="W238" s="116">
        <v>552.29600652749116</v>
      </c>
      <c r="X238" s="117" t="s">
        <v>208</v>
      </c>
      <c r="Y238" s="116">
        <v>571.12740675895304</v>
      </c>
      <c r="Z238" s="117" t="s">
        <v>208</v>
      </c>
      <c r="AA238" s="116">
        <v>698.49893510226241</v>
      </c>
      <c r="AB238" s="117" t="s">
        <v>208</v>
      </c>
      <c r="AC238" s="116">
        <v>665.23993108895411</v>
      </c>
      <c r="AD238" s="117" t="s">
        <v>208</v>
      </c>
      <c r="AE238" s="116">
        <v>451.54579902416964</v>
      </c>
      <c r="AF238" s="117" t="s">
        <v>208</v>
      </c>
      <c r="AG238" s="116">
        <v>700.34569574203658</v>
      </c>
      <c r="AH238" s="117" t="s">
        <v>208</v>
      </c>
      <c r="AI238" s="116">
        <v>444.18804970705531</v>
      </c>
      <c r="AJ238" s="117" t="s">
        <v>208</v>
      </c>
      <c r="AK238" s="116">
        <v>608.26682212462663</v>
      </c>
      <c r="AL238" s="117" t="s">
        <v>208</v>
      </c>
      <c r="AM238" s="116">
        <v>6853.5288811074361</v>
      </c>
    </row>
    <row r="239" spans="1:39" s="100" customFormat="1" ht="46.8" x14ac:dyDescent="0.3">
      <c r="A239" s="97">
        <v>229</v>
      </c>
      <c r="B239" s="98" t="s">
        <v>843</v>
      </c>
      <c r="C239" s="98" t="s">
        <v>2708</v>
      </c>
      <c r="D239" s="98" t="s">
        <v>1902</v>
      </c>
      <c r="E239" s="98" t="s">
        <v>2709</v>
      </c>
      <c r="F239" s="98" t="s">
        <v>49</v>
      </c>
      <c r="G239" s="99" t="s">
        <v>2710</v>
      </c>
      <c r="H239" s="99">
        <v>5</v>
      </c>
      <c r="I239" s="99" t="s">
        <v>2710</v>
      </c>
      <c r="J239" s="99">
        <v>1</v>
      </c>
      <c r="K239" s="98" t="s">
        <v>528</v>
      </c>
      <c r="L239" s="98" t="s">
        <v>528</v>
      </c>
      <c r="M239" s="116">
        <v>6250.6479074752233</v>
      </c>
      <c r="N239" s="116">
        <v>10726.850310641594</v>
      </c>
      <c r="O239" s="116">
        <v>992</v>
      </c>
      <c r="P239" s="117" t="s">
        <v>208</v>
      </c>
      <c r="Q239" s="116">
        <v>916</v>
      </c>
      <c r="R239" s="117" t="s">
        <v>208</v>
      </c>
      <c r="S239" s="116">
        <v>645</v>
      </c>
      <c r="T239" s="117" t="s">
        <v>208</v>
      </c>
      <c r="U239" s="116">
        <v>632</v>
      </c>
      <c r="V239" s="117" t="s">
        <v>208</v>
      </c>
      <c r="W239" s="116">
        <v>371</v>
      </c>
      <c r="X239" s="117" t="s">
        <v>208</v>
      </c>
      <c r="Y239" s="116">
        <v>753.72727272727275</v>
      </c>
      <c r="Z239" s="117" t="s">
        <v>208</v>
      </c>
      <c r="AA239" s="116">
        <v>817</v>
      </c>
      <c r="AB239" s="117" t="s">
        <v>208</v>
      </c>
      <c r="AC239" s="116">
        <v>307</v>
      </c>
      <c r="AD239" s="117" t="s">
        <v>208</v>
      </c>
      <c r="AE239" s="116">
        <v>895</v>
      </c>
      <c r="AF239" s="117" t="s">
        <v>208</v>
      </c>
      <c r="AG239" s="116">
        <v>677</v>
      </c>
      <c r="AH239" s="117" t="s">
        <v>208</v>
      </c>
      <c r="AI239" s="116">
        <v>1040</v>
      </c>
      <c r="AJ239" s="117" t="s">
        <v>208</v>
      </c>
      <c r="AK239" s="116">
        <v>999</v>
      </c>
      <c r="AL239" s="117" t="s">
        <v>208</v>
      </c>
      <c r="AM239" s="116">
        <v>9044.7272727272721</v>
      </c>
    </row>
    <row r="240" spans="1:39" s="100" customFormat="1" ht="46.8" x14ac:dyDescent="0.3">
      <c r="A240" s="97">
        <v>230</v>
      </c>
      <c r="B240" s="98" t="s">
        <v>844</v>
      </c>
      <c r="C240" s="98" t="s">
        <v>2708</v>
      </c>
      <c r="D240" s="98" t="s">
        <v>1902</v>
      </c>
      <c r="E240" s="98" t="s">
        <v>2709</v>
      </c>
      <c r="F240" s="98" t="s">
        <v>49</v>
      </c>
      <c r="G240" s="99" t="s">
        <v>2710</v>
      </c>
      <c r="H240" s="99">
        <v>10</v>
      </c>
      <c r="I240" s="99" t="s">
        <v>2710</v>
      </c>
      <c r="J240" s="99">
        <v>2</v>
      </c>
      <c r="K240" s="98" t="s">
        <v>528</v>
      </c>
      <c r="L240" s="98" t="s">
        <v>528</v>
      </c>
      <c r="M240" s="116">
        <v>4173.0518390004681</v>
      </c>
      <c r="N240" s="116">
        <v>7467.5222813501514</v>
      </c>
      <c r="O240" s="116">
        <v>689.09395332507768</v>
      </c>
      <c r="P240" s="117" t="s">
        <v>208</v>
      </c>
      <c r="Q240" s="116">
        <v>519.36813316543578</v>
      </c>
      <c r="R240" s="117" t="s">
        <v>208</v>
      </c>
      <c r="S240" s="116">
        <v>469.25435160432988</v>
      </c>
      <c r="T240" s="117" t="s">
        <v>208</v>
      </c>
      <c r="U240" s="116">
        <v>415.3794449959077</v>
      </c>
      <c r="V240" s="117" t="s">
        <v>208</v>
      </c>
      <c r="W240" s="116">
        <v>562.31797762919746</v>
      </c>
      <c r="X240" s="117" t="s">
        <v>208</v>
      </c>
      <c r="Y240" s="116">
        <v>524.08406940878194</v>
      </c>
      <c r="Z240" s="117" t="s">
        <v>208</v>
      </c>
      <c r="AA240" s="116">
        <v>652.28811924195406</v>
      </c>
      <c r="AB240" s="117" t="s">
        <v>208</v>
      </c>
      <c r="AC240" s="116">
        <v>405.68339491498767</v>
      </c>
      <c r="AD240" s="117" t="s">
        <v>208</v>
      </c>
      <c r="AE240" s="116">
        <v>594.78495615161228</v>
      </c>
      <c r="AF240" s="117" t="s">
        <v>208</v>
      </c>
      <c r="AG240" s="116">
        <v>398.33423289949843</v>
      </c>
      <c r="AH240" s="117" t="s">
        <v>208</v>
      </c>
      <c r="AI240" s="116">
        <v>626.20025912810047</v>
      </c>
      <c r="AJ240" s="117" t="s">
        <v>208</v>
      </c>
      <c r="AK240" s="116">
        <v>432.21994044049933</v>
      </c>
      <c r="AL240" s="117" t="s">
        <v>208</v>
      </c>
      <c r="AM240" s="116">
        <v>6289.0088329053824</v>
      </c>
    </row>
    <row r="241" spans="1:39" s="100" customFormat="1" ht="46.8" x14ac:dyDescent="0.3">
      <c r="A241" s="97">
        <v>231</v>
      </c>
      <c r="B241" s="98" t="s">
        <v>845</v>
      </c>
      <c r="C241" s="98" t="s">
        <v>2708</v>
      </c>
      <c r="D241" s="98" t="s">
        <v>1902</v>
      </c>
      <c r="E241" s="98" t="s">
        <v>2709</v>
      </c>
      <c r="F241" s="98" t="s">
        <v>49</v>
      </c>
      <c r="G241" s="99" t="s">
        <v>2710</v>
      </c>
      <c r="H241" s="99">
        <v>6</v>
      </c>
      <c r="I241" s="99" t="s">
        <v>2710</v>
      </c>
      <c r="J241" s="99">
        <v>1</v>
      </c>
      <c r="K241" s="98" t="s">
        <v>528</v>
      </c>
      <c r="L241" s="98" t="s">
        <v>528</v>
      </c>
      <c r="M241" s="116">
        <v>5266.4458422127336</v>
      </c>
      <c r="N241" s="116">
        <v>8357.182705522122</v>
      </c>
      <c r="O241" s="116">
        <v>668.2907270882921</v>
      </c>
      <c r="P241" s="117" t="s">
        <v>208</v>
      </c>
      <c r="Q241" s="116">
        <v>700.2215140010145</v>
      </c>
      <c r="R241" s="117" t="s">
        <v>208</v>
      </c>
      <c r="S241" s="116">
        <v>527.4254613299355</v>
      </c>
      <c r="T241" s="117" t="s">
        <v>208</v>
      </c>
      <c r="U241" s="116">
        <v>511.58845517920679</v>
      </c>
      <c r="V241" s="117" t="s">
        <v>208</v>
      </c>
      <c r="W241" s="116">
        <v>708.62837000446007</v>
      </c>
      <c r="X241" s="117" t="s">
        <v>208</v>
      </c>
      <c r="Y241" s="116">
        <v>595.42615970227291</v>
      </c>
      <c r="Z241" s="117" t="s">
        <v>208</v>
      </c>
      <c r="AA241" s="116">
        <v>676.89293934270711</v>
      </c>
      <c r="AB241" s="117" t="s">
        <v>208</v>
      </c>
      <c r="AC241" s="116">
        <v>600.79914689490454</v>
      </c>
      <c r="AD241" s="117" t="s">
        <v>208</v>
      </c>
      <c r="AE241" s="116">
        <v>609.33629104021099</v>
      </c>
      <c r="AF241" s="117" t="s">
        <v>208</v>
      </c>
      <c r="AG241" s="116">
        <v>489.37233483366941</v>
      </c>
      <c r="AH241" s="117" t="s">
        <v>208</v>
      </c>
      <c r="AI241" s="116">
        <v>506.05741485958606</v>
      </c>
      <c r="AJ241" s="117" t="s">
        <v>208</v>
      </c>
      <c r="AK241" s="116">
        <v>551.07510215101445</v>
      </c>
      <c r="AL241" s="117" t="s">
        <v>208</v>
      </c>
      <c r="AM241" s="116">
        <v>7145.1139164272754</v>
      </c>
    </row>
    <row r="242" spans="1:39" s="100" customFormat="1" ht="46.8" x14ac:dyDescent="0.3">
      <c r="A242" s="97">
        <v>232</v>
      </c>
      <c r="B242" s="98" t="s">
        <v>847</v>
      </c>
      <c r="C242" s="98" t="s">
        <v>2708</v>
      </c>
      <c r="D242" s="98" t="s">
        <v>1902</v>
      </c>
      <c r="E242" s="98" t="s">
        <v>2709</v>
      </c>
      <c r="F242" s="98" t="s">
        <v>49</v>
      </c>
      <c r="G242" s="99" t="s">
        <v>2710</v>
      </c>
      <c r="H242" s="99">
        <v>28</v>
      </c>
      <c r="I242" s="99" t="s">
        <v>2710</v>
      </c>
      <c r="J242" s="99">
        <v>4</v>
      </c>
      <c r="K242" s="98" t="s">
        <v>528</v>
      </c>
      <c r="L242" s="98" t="s">
        <v>528</v>
      </c>
      <c r="M242" s="116">
        <v>900.0075828680549</v>
      </c>
      <c r="N242" s="116">
        <v>1640.1219535792645</v>
      </c>
      <c r="O242" s="116">
        <v>142</v>
      </c>
      <c r="P242" s="117" t="s">
        <v>208</v>
      </c>
      <c r="Q242" s="116">
        <v>134</v>
      </c>
      <c r="R242" s="117" t="s">
        <v>208</v>
      </c>
      <c r="S242" s="116">
        <v>123</v>
      </c>
      <c r="T242" s="117" t="s">
        <v>208</v>
      </c>
      <c r="U242" s="116">
        <v>21</v>
      </c>
      <c r="V242" s="117" t="s">
        <v>208</v>
      </c>
      <c r="W242" s="116">
        <v>45</v>
      </c>
      <c r="X242" s="117" t="s">
        <v>208</v>
      </c>
      <c r="Y242" s="116">
        <v>113.54545454545455</v>
      </c>
      <c r="Z242" s="117" t="s">
        <v>208</v>
      </c>
      <c r="AA242" s="116">
        <v>173</v>
      </c>
      <c r="AB242" s="117" t="s">
        <v>208</v>
      </c>
      <c r="AC242" s="116">
        <v>61</v>
      </c>
      <c r="AD242" s="117" t="s">
        <v>208</v>
      </c>
      <c r="AE242" s="116">
        <v>184</v>
      </c>
      <c r="AF242" s="117" t="s">
        <v>208</v>
      </c>
      <c r="AG242" s="116">
        <v>97</v>
      </c>
      <c r="AH242" s="117" t="s">
        <v>208</v>
      </c>
      <c r="AI242" s="116">
        <v>139</v>
      </c>
      <c r="AJ242" s="117" t="s">
        <v>208</v>
      </c>
      <c r="AK242" s="116">
        <v>130</v>
      </c>
      <c r="AL242" s="117" t="s">
        <v>208</v>
      </c>
      <c r="AM242" s="116">
        <v>1362.5454545454545</v>
      </c>
    </row>
    <row r="243" spans="1:39" s="100" customFormat="1" ht="46.8" x14ac:dyDescent="0.3">
      <c r="A243" s="97">
        <v>233</v>
      </c>
      <c r="B243" s="98" t="s">
        <v>851</v>
      </c>
      <c r="C243" s="98" t="s">
        <v>2708</v>
      </c>
      <c r="D243" s="98" t="s">
        <v>1902</v>
      </c>
      <c r="E243" s="98" t="s">
        <v>2709</v>
      </c>
      <c r="F243" s="98" t="s">
        <v>49</v>
      </c>
      <c r="G243" s="99" t="s">
        <v>2710</v>
      </c>
      <c r="H243" s="99">
        <v>42</v>
      </c>
      <c r="I243" s="99" t="s">
        <v>2710</v>
      </c>
      <c r="J243" s="99">
        <v>6</v>
      </c>
      <c r="K243" s="98" t="s">
        <v>528</v>
      </c>
      <c r="L243" s="98" t="s">
        <v>528</v>
      </c>
      <c r="M243" s="116">
        <v>19856.14550192262</v>
      </c>
      <c r="N243" s="116">
        <v>34611.426918331941</v>
      </c>
      <c r="O243" s="116">
        <v>2658</v>
      </c>
      <c r="P243" s="117" t="s">
        <v>208</v>
      </c>
      <c r="Q243" s="116">
        <v>2444</v>
      </c>
      <c r="R243" s="117" t="s">
        <v>208</v>
      </c>
      <c r="S243" s="116">
        <v>2082</v>
      </c>
      <c r="T243" s="117" t="s">
        <v>208</v>
      </c>
      <c r="U243" s="116">
        <v>2252</v>
      </c>
      <c r="V243" s="117" t="s">
        <v>208</v>
      </c>
      <c r="W243" s="116">
        <v>2340</v>
      </c>
      <c r="X243" s="117" t="s">
        <v>208</v>
      </c>
      <c r="Y243" s="116">
        <v>2400.090909090909</v>
      </c>
      <c r="Z243" s="117" t="s">
        <v>208</v>
      </c>
      <c r="AA243" s="116">
        <v>2932</v>
      </c>
      <c r="AB243" s="117" t="s">
        <v>208</v>
      </c>
      <c r="AC243" s="116">
        <v>2221</v>
      </c>
      <c r="AD243" s="117" t="s">
        <v>208</v>
      </c>
      <c r="AE243" s="116">
        <v>2091</v>
      </c>
      <c r="AF243" s="117" t="s">
        <v>208</v>
      </c>
      <c r="AG243" s="116">
        <v>2765</v>
      </c>
      <c r="AH243" s="117" t="s">
        <v>208</v>
      </c>
      <c r="AI243" s="116">
        <v>2832</v>
      </c>
      <c r="AJ243" s="117" t="s">
        <v>208</v>
      </c>
      <c r="AK243" s="116">
        <v>1784</v>
      </c>
      <c r="AL243" s="117" t="s">
        <v>208</v>
      </c>
      <c r="AM243" s="116">
        <v>28801.090909090908</v>
      </c>
    </row>
    <row r="244" spans="1:39" s="100" customFormat="1" ht="46.8" x14ac:dyDescent="0.3">
      <c r="A244" s="97">
        <v>234</v>
      </c>
      <c r="B244" s="98" t="s">
        <v>852</v>
      </c>
      <c r="C244" s="98" t="s">
        <v>2708</v>
      </c>
      <c r="D244" s="98" t="s">
        <v>1902</v>
      </c>
      <c r="E244" s="98" t="s">
        <v>2709</v>
      </c>
      <c r="F244" s="98" t="s">
        <v>49</v>
      </c>
      <c r="G244" s="99" t="s">
        <v>2710</v>
      </c>
      <c r="H244" s="99">
        <v>21</v>
      </c>
      <c r="I244" s="99" t="s">
        <v>2710</v>
      </c>
      <c r="J244" s="99">
        <v>3</v>
      </c>
      <c r="K244" s="98" t="s">
        <v>528</v>
      </c>
      <c r="L244" s="98" t="s">
        <v>528</v>
      </c>
      <c r="M244" s="116">
        <v>16182.914016700061</v>
      </c>
      <c r="N244" s="116">
        <v>28750.648044394417</v>
      </c>
      <c r="O244" s="116">
        <v>2169</v>
      </c>
      <c r="P244" s="117" t="s">
        <v>208</v>
      </c>
      <c r="Q244" s="116">
        <v>1957</v>
      </c>
      <c r="R244" s="117" t="s">
        <v>208</v>
      </c>
      <c r="S244" s="116">
        <v>1721</v>
      </c>
      <c r="T244" s="117" t="s">
        <v>208</v>
      </c>
      <c r="U244" s="116">
        <v>1918</v>
      </c>
      <c r="V244" s="117" t="s">
        <v>208</v>
      </c>
      <c r="W244" s="116">
        <v>2056</v>
      </c>
      <c r="X244" s="117" t="s">
        <v>208</v>
      </c>
      <c r="Y244" s="116">
        <v>1997.4545454545455</v>
      </c>
      <c r="Z244" s="117" t="s">
        <v>208</v>
      </c>
      <c r="AA244" s="116">
        <v>2612</v>
      </c>
      <c r="AB244" s="117" t="s">
        <v>208</v>
      </c>
      <c r="AC244" s="116">
        <v>1638</v>
      </c>
      <c r="AD244" s="117" t="s">
        <v>208</v>
      </c>
      <c r="AE244" s="116">
        <v>1918</v>
      </c>
      <c r="AF244" s="117" t="s">
        <v>208</v>
      </c>
      <c r="AG244" s="116">
        <v>2126</v>
      </c>
      <c r="AH244" s="117" t="s">
        <v>208</v>
      </c>
      <c r="AI244" s="116">
        <v>1860</v>
      </c>
      <c r="AJ244" s="117" t="s">
        <v>208</v>
      </c>
      <c r="AK244" s="116">
        <v>1997</v>
      </c>
      <c r="AL244" s="117" t="s">
        <v>208</v>
      </c>
      <c r="AM244" s="116">
        <v>23969.454545454544</v>
      </c>
    </row>
    <row r="245" spans="1:39" s="100" customFormat="1" ht="46.8" x14ac:dyDescent="0.3">
      <c r="A245" s="97">
        <v>235</v>
      </c>
      <c r="B245" s="98" t="s">
        <v>853</v>
      </c>
      <c r="C245" s="98" t="s">
        <v>2708</v>
      </c>
      <c r="D245" s="98" t="s">
        <v>1902</v>
      </c>
      <c r="E245" s="98" t="s">
        <v>2709</v>
      </c>
      <c r="F245" s="98" t="s">
        <v>49</v>
      </c>
      <c r="G245" s="99" t="s">
        <v>2710</v>
      </c>
      <c r="H245" s="99">
        <v>24</v>
      </c>
      <c r="I245" s="99" t="s">
        <v>2710</v>
      </c>
      <c r="J245" s="99">
        <v>4</v>
      </c>
      <c r="K245" s="98" t="s">
        <v>528</v>
      </c>
      <c r="L245" s="98" t="s">
        <v>528</v>
      </c>
      <c r="M245" s="116">
        <v>6457.7118633941009</v>
      </c>
      <c r="N245" s="116">
        <v>10915.61908068748</v>
      </c>
      <c r="O245" s="116">
        <v>482</v>
      </c>
      <c r="P245" s="117" t="s">
        <v>208</v>
      </c>
      <c r="Q245" s="116">
        <v>483</v>
      </c>
      <c r="R245" s="117" t="s">
        <v>208</v>
      </c>
      <c r="S245" s="116">
        <v>408</v>
      </c>
      <c r="T245" s="117" t="s">
        <v>208</v>
      </c>
      <c r="U245" s="116">
        <v>544</v>
      </c>
      <c r="V245" s="117" t="s">
        <v>208</v>
      </c>
      <c r="W245" s="116">
        <v>623</v>
      </c>
      <c r="X245" s="117" t="s">
        <v>208</v>
      </c>
      <c r="Y245" s="116">
        <v>783.72727272727275</v>
      </c>
      <c r="Z245" s="117" t="s">
        <v>208</v>
      </c>
      <c r="AA245" s="116">
        <v>756</v>
      </c>
      <c r="AB245" s="117" t="s">
        <v>208</v>
      </c>
      <c r="AC245" s="116">
        <v>448</v>
      </c>
      <c r="AD245" s="117" t="s">
        <v>208</v>
      </c>
      <c r="AE245" s="116">
        <v>548</v>
      </c>
      <c r="AF245" s="117" t="s">
        <v>208</v>
      </c>
      <c r="AG245" s="116">
        <v>3278</v>
      </c>
      <c r="AH245" s="117" t="s">
        <v>208</v>
      </c>
      <c r="AI245" s="116">
        <v>534</v>
      </c>
      <c r="AJ245" s="117" t="s">
        <v>208</v>
      </c>
      <c r="AK245" s="116">
        <v>517</v>
      </c>
      <c r="AL245" s="117" t="s">
        <v>208</v>
      </c>
      <c r="AM245" s="116">
        <v>9404.7272727272721</v>
      </c>
    </row>
    <row r="246" spans="1:39" s="100" customFormat="1" ht="46.8" x14ac:dyDescent="0.3">
      <c r="A246" s="97">
        <v>236</v>
      </c>
      <c r="B246" s="98" t="s">
        <v>854</v>
      </c>
      <c r="C246" s="98" t="s">
        <v>2708</v>
      </c>
      <c r="D246" s="98" t="s">
        <v>1902</v>
      </c>
      <c r="E246" s="98" t="s">
        <v>2709</v>
      </c>
      <c r="F246" s="98" t="s">
        <v>49</v>
      </c>
      <c r="G246" s="99" t="s">
        <v>2710</v>
      </c>
      <c r="H246" s="99">
        <v>4</v>
      </c>
      <c r="I246" s="99" t="s">
        <v>2710</v>
      </c>
      <c r="J246" s="99">
        <v>1</v>
      </c>
      <c r="K246" s="98" t="s">
        <v>528</v>
      </c>
      <c r="L246" s="98" t="s">
        <v>528</v>
      </c>
      <c r="M246" s="116">
        <v>1650.6654906527413</v>
      </c>
      <c r="N246" s="116">
        <v>2749.4620960291181</v>
      </c>
      <c r="O246" s="116">
        <v>162</v>
      </c>
      <c r="P246" s="117" t="s">
        <v>208</v>
      </c>
      <c r="Q246" s="116">
        <v>246</v>
      </c>
      <c r="R246" s="117" t="s">
        <v>208</v>
      </c>
      <c r="S246" s="116">
        <v>124</v>
      </c>
      <c r="T246" s="117" t="s">
        <v>208</v>
      </c>
      <c r="U246" s="116">
        <v>180</v>
      </c>
      <c r="V246" s="117" t="s">
        <v>208</v>
      </c>
      <c r="W246" s="116">
        <v>152</v>
      </c>
      <c r="X246" s="117" t="s">
        <v>208</v>
      </c>
      <c r="Y246" s="116">
        <v>192.18181818181819</v>
      </c>
      <c r="Z246" s="117" t="s">
        <v>208</v>
      </c>
      <c r="AA246" s="116">
        <v>262</v>
      </c>
      <c r="AB246" s="117" t="s">
        <v>208</v>
      </c>
      <c r="AC246" s="116">
        <v>164</v>
      </c>
      <c r="AD246" s="117" t="s">
        <v>208</v>
      </c>
      <c r="AE246" s="116">
        <v>217</v>
      </c>
      <c r="AF246" s="117" t="s">
        <v>208</v>
      </c>
      <c r="AG246" s="116">
        <v>192</v>
      </c>
      <c r="AH246" s="117" t="s">
        <v>208</v>
      </c>
      <c r="AI246" s="116">
        <v>208</v>
      </c>
      <c r="AJ246" s="117" t="s">
        <v>208</v>
      </c>
      <c r="AK246" s="116">
        <v>207</v>
      </c>
      <c r="AL246" s="117" t="s">
        <v>208</v>
      </c>
      <c r="AM246" s="116">
        <v>2306.181818181818</v>
      </c>
    </row>
    <row r="247" spans="1:39" s="100" customFormat="1" ht="46.8" x14ac:dyDescent="0.3">
      <c r="A247" s="97">
        <v>237</v>
      </c>
      <c r="B247" s="98" t="s">
        <v>855</v>
      </c>
      <c r="C247" s="98" t="s">
        <v>2708</v>
      </c>
      <c r="D247" s="98" t="s">
        <v>1902</v>
      </c>
      <c r="E247" s="98" t="s">
        <v>2709</v>
      </c>
      <c r="F247" s="98" t="s">
        <v>49</v>
      </c>
      <c r="G247" s="99" t="s">
        <v>2710</v>
      </c>
      <c r="H247" s="99">
        <v>3</v>
      </c>
      <c r="I247" s="99" t="s">
        <v>2710</v>
      </c>
      <c r="J247" s="99">
        <v>1</v>
      </c>
      <c r="K247" s="98" t="s">
        <v>528</v>
      </c>
      <c r="L247" s="98" t="s">
        <v>528</v>
      </c>
      <c r="M247" s="116">
        <v>1970.0228309959241</v>
      </c>
      <c r="N247" s="116">
        <v>3401.6692196748386</v>
      </c>
      <c r="O247" s="116">
        <v>163.94816908456301</v>
      </c>
      <c r="P247" s="117" t="s">
        <v>208</v>
      </c>
      <c r="Q247" s="116">
        <v>263.68125884410057</v>
      </c>
      <c r="R247" s="117" t="s">
        <v>208</v>
      </c>
      <c r="S247" s="116">
        <v>237.69537619655861</v>
      </c>
      <c r="T247" s="117" t="s">
        <v>208</v>
      </c>
      <c r="U247" s="116">
        <v>181.34632095619912</v>
      </c>
      <c r="V247" s="117" t="s">
        <v>208</v>
      </c>
      <c r="W247" s="116">
        <v>267.07011325527355</v>
      </c>
      <c r="X247" s="117" t="s">
        <v>208</v>
      </c>
      <c r="Y247" s="116">
        <v>233.5996645149925</v>
      </c>
      <c r="Z247" s="117" t="s">
        <v>208</v>
      </c>
      <c r="AA247" s="116">
        <v>254.74380287587479</v>
      </c>
      <c r="AB247" s="117" t="s">
        <v>208</v>
      </c>
      <c r="AC247" s="116">
        <v>224.41578270615148</v>
      </c>
      <c r="AD247" s="117" t="s">
        <v>208</v>
      </c>
      <c r="AE247" s="116">
        <v>246.71151582478018</v>
      </c>
      <c r="AF247" s="117" t="s">
        <v>208</v>
      </c>
      <c r="AG247" s="116">
        <v>206.81422420386372</v>
      </c>
      <c r="AH247" s="117" t="s">
        <v>208</v>
      </c>
      <c r="AI247" s="116">
        <v>263.11769586151308</v>
      </c>
      <c r="AJ247" s="117" t="s">
        <v>208</v>
      </c>
      <c r="AK247" s="116">
        <v>260.05204985603928</v>
      </c>
      <c r="AL247" s="117" t="s">
        <v>208</v>
      </c>
      <c r="AM247" s="116">
        <v>2803.1959741799101</v>
      </c>
    </row>
    <row r="248" spans="1:39" s="100" customFormat="1" ht="46.8" x14ac:dyDescent="0.3">
      <c r="A248" s="97">
        <v>238</v>
      </c>
      <c r="B248" s="98" t="s">
        <v>856</v>
      </c>
      <c r="C248" s="98" t="s">
        <v>2708</v>
      </c>
      <c r="D248" s="98" t="s">
        <v>1902</v>
      </c>
      <c r="E248" s="98" t="s">
        <v>2709</v>
      </c>
      <c r="F248" s="98" t="s">
        <v>49</v>
      </c>
      <c r="G248" s="99" t="s">
        <v>2710</v>
      </c>
      <c r="H248" s="99">
        <v>12</v>
      </c>
      <c r="I248" s="99" t="s">
        <v>2710</v>
      </c>
      <c r="J248" s="99">
        <v>2</v>
      </c>
      <c r="K248" s="98" t="s">
        <v>528</v>
      </c>
      <c r="L248" s="98" t="s">
        <v>528</v>
      </c>
      <c r="M248" s="116">
        <v>8324.7327960754901</v>
      </c>
      <c r="N248" s="116">
        <v>14197.531641463956</v>
      </c>
      <c r="O248" s="116">
        <v>1001</v>
      </c>
      <c r="P248" s="117" t="s">
        <v>208</v>
      </c>
      <c r="Q248" s="116">
        <v>974</v>
      </c>
      <c r="R248" s="117" t="s">
        <v>208</v>
      </c>
      <c r="S248" s="116">
        <v>872</v>
      </c>
      <c r="T248" s="117" t="s">
        <v>208</v>
      </c>
      <c r="U248" s="116">
        <v>1028</v>
      </c>
      <c r="V248" s="117" t="s">
        <v>208</v>
      </c>
      <c r="W248" s="116">
        <v>1080</v>
      </c>
      <c r="X248" s="117" t="s">
        <v>208</v>
      </c>
      <c r="Y248" s="116">
        <v>977.90909090909088</v>
      </c>
      <c r="Z248" s="117" t="s">
        <v>208</v>
      </c>
      <c r="AA248" s="116">
        <v>1199</v>
      </c>
      <c r="AB248" s="117" t="s">
        <v>208</v>
      </c>
      <c r="AC248" s="116">
        <v>691</v>
      </c>
      <c r="AD248" s="117" t="s">
        <v>208</v>
      </c>
      <c r="AE248" s="116">
        <v>891</v>
      </c>
      <c r="AF248" s="117" t="s">
        <v>208</v>
      </c>
      <c r="AG248" s="116">
        <v>1190</v>
      </c>
      <c r="AH248" s="117" t="s">
        <v>208</v>
      </c>
      <c r="AI248" s="116">
        <v>988</v>
      </c>
      <c r="AJ248" s="117" t="s">
        <v>208</v>
      </c>
      <c r="AK248" s="116">
        <v>843</v>
      </c>
      <c r="AL248" s="117" t="s">
        <v>208</v>
      </c>
      <c r="AM248" s="116">
        <v>11734.909090909092</v>
      </c>
    </row>
    <row r="249" spans="1:39" s="100" customFormat="1" ht="46.8" x14ac:dyDescent="0.3">
      <c r="A249" s="97">
        <v>239</v>
      </c>
      <c r="B249" s="98" t="s">
        <v>857</v>
      </c>
      <c r="C249" s="98" t="s">
        <v>2708</v>
      </c>
      <c r="D249" s="98" t="s">
        <v>1902</v>
      </c>
      <c r="E249" s="98" t="s">
        <v>2709</v>
      </c>
      <c r="F249" s="98" t="s">
        <v>49</v>
      </c>
      <c r="G249" s="99" t="s">
        <v>2710</v>
      </c>
      <c r="H249" s="99">
        <v>18</v>
      </c>
      <c r="I249" s="99" t="s">
        <v>2710</v>
      </c>
      <c r="J249" s="99">
        <v>3</v>
      </c>
      <c r="K249" s="98" t="s">
        <v>528</v>
      </c>
      <c r="L249" s="98" t="s">
        <v>528</v>
      </c>
      <c r="M249" s="116">
        <v>29164.219897780327</v>
      </c>
      <c r="N249" s="116">
        <v>52013.869843229833</v>
      </c>
      <c r="O249" s="116">
        <v>4616</v>
      </c>
      <c r="P249" s="117" t="s">
        <v>208</v>
      </c>
      <c r="Q249" s="116">
        <v>4160</v>
      </c>
      <c r="R249" s="117" t="s">
        <v>208</v>
      </c>
      <c r="S249" s="116">
        <v>3375</v>
      </c>
      <c r="T249" s="117" t="s">
        <v>208</v>
      </c>
      <c r="U249" s="116">
        <v>3657</v>
      </c>
      <c r="V249" s="117" t="s">
        <v>208</v>
      </c>
      <c r="W249" s="116">
        <v>3793</v>
      </c>
      <c r="X249" s="117" t="s">
        <v>208</v>
      </c>
      <c r="Y249" s="116">
        <v>3531.2727272727275</v>
      </c>
      <c r="Z249" s="117" t="s">
        <v>208</v>
      </c>
      <c r="AA249" s="116">
        <v>1053</v>
      </c>
      <c r="AB249" s="117" t="s">
        <v>208</v>
      </c>
      <c r="AC249" s="116">
        <v>1053</v>
      </c>
      <c r="AD249" s="117" t="s">
        <v>208</v>
      </c>
      <c r="AE249" s="116">
        <v>3862</v>
      </c>
      <c r="AF249" s="117" t="s">
        <v>208</v>
      </c>
      <c r="AG249" s="116">
        <v>4733</v>
      </c>
      <c r="AH249" s="117" t="s">
        <v>208</v>
      </c>
      <c r="AI249" s="116">
        <v>4165</v>
      </c>
      <c r="AJ249" s="117" t="s">
        <v>208</v>
      </c>
      <c r="AK249" s="116">
        <v>4377</v>
      </c>
      <c r="AL249" s="117" t="s">
        <v>208</v>
      </c>
      <c r="AM249" s="116">
        <v>42375.272727272728</v>
      </c>
    </row>
    <row r="250" spans="1:39" s="100" customFormat="1" ht="46.8" x14ac:dyDescent="0.3">
      <c r="A250" s="97">
        <v>240</v>
      </c>
      <c r="B250" s="98" t="s">
        <v>859</v>
      </c>
      <c r="C250" s="98" t="s">
        <v>2708</v>
      </c>
      <c r="D250" s="98" t="s">
        <v>1902</v>
      </c>
      <c r="E250" s="98" t="s">
        <v>2709</v>
      </c>
      <c r="F250" s="98" t="s">
        <v>49</v>
      </c>
      <c r="G250" s="99" t="s">
        <v>2710</v>
      </c>
      <c r="H250" s="99">
        <v>12</v>
      </c>
      <c r="I250" s="99" t="s">
        <v>2710</v>
      </c>
      <c r="J250" s="99">
        <v>2</v>
      </c>
      <c r="K250" s="98" t="s">
        <v>528</v>
      </c>
      <c r="L250" s="98" t="s">
        <v>528</v>
      </c>
      <c r="M250" s="116">
        <v>3665.3412729700226</v>
      </c>
      <c r="N250" s="116">
        <v>6262.0209528708838</v>
      </c>
      <c r="O250" s="116">
        <v>544</v>
      </c>
      <c r="P250" s="117" t="s">
        <v>208</v>
      </c>
      <c r="Q250" s="116">
        <v>517</v>
      </c>
      <c r="R250" s="117" t="s">
        <v>208</v>
      </c>
      <c r="S250" s="116">
        <v>400</v>
      </c>
      <c r="T250" s="117" t="s">
        <v>208</v>
      </c>
      <c r="U250" s="116">
        <v>273</v>
      </c>
      <c r="V250" s="117" t="s">
        <v>208</v>
      </c>
      <c r="W250" s="116">
        <v>291</v>
      </c>
      <c r="X250" s="117" t="s">
        <v>208</v>
      </c>
      <c r="Y250" s="116">
        <v>452.90909090909093</v>
      </c>
      <c r="Z250" s="117" t="s">
        <v>208</v>
      </c>
      <c r="AA250" s="116">
        <v>588</v>
      </c>
      <c r="AB250" s="117" t="s">
        <v>208</v>
      </c>
      <c r="AC250" s="116">
        <v>348</v>
      </c>
      <c r="AD250" s="117" t="s">
        <v>208</v>
      </c>
      <c r="AE250" s="116">
        <v>454</v>
      </c>
      <c r="AF250" s="117" t="s">
        <v>208</v>
      </c>
      <c r="AG250" s="116">
        <v>547</v>
      </c>
      <c r="AH250" s="117" t="s">
        <v>208</v>
      </c>
      <c r="AI250" s="116">
        <v>499</v>
      </c>
      <c r="AJ250" s="117" t="s">
        <v>208</v>
      </c>
      <c r="AK250" s="116">
        <v>521</v>
      </c>
      <c r="AL250" s="117" t="s">
        <v>208</v>
      </c>
      <c r="AM250" s="116">
        <v>5434.909090909091</v>
      </c>
    </row>
    <row r="251" spans="1:39" s="100" customFormat="1" ht="46.8" x14ac:dyDescent="0.3">
      <c r="A251" s="97">
        <v>241</v>
      </c>
      <c r="B251" s="98" t="s">
        <v>860</v>
      </c>
      <c r="C251" s="98" t="s">
        <v>2708</v>
      </c>
      <c r="D251" s="98" t="s">
        <v>1902</v>
      </c>
      <c r="E251" s="98" t="s">
        <v>2709</v>
      </c>
      <c r="F251" s="98" t="s">
        <v>49</v>
      </c>
      <c r="G251" s="99" t="s">
        <v>2710</v>
      </c>
      <c r="H251" s="99">
        <v>54</v>
      </c>
      <c r="I251" s="99" t="s">
        <v>2710</v>
      </c>
      <c r="J251" s="99">
        <v>9</v>
      </c>
      <c r="K251" s="98" t="s">
        <v>528</v>
      </c>
      <c r="L251" s="98" t="s">
        <v>528</v>
      </c>
      <c r="M251" s="116">
        <v>16068.097312075672</v>
      </c>
      <c r="N251" s="116">
        <v>26231.026578456211</v>
      </c>
      <c r="O251" s="116">
        <v>2081</v>
      </c>
      <c r="P251" s="117" t="s">
        <v>208</v>
      </c>
      <c r="Q251" s="116">
        <v>1911</v>
      </c>
      <c r="R251" s="117" t="s">
        <v>208</v>
      </c>
      <c r="S251" s="116">
        <v>1622</v>
      </c>
      <c r="T251" s="117" t="s">
        <v>208</v>
      </c>
      <c r="U251" s="116">
        <v>1706</v>
      </c>
      <c r="V251" s="117" t="s">
        <v>208</v>
      </c>
      <c r="W251" s="116">
        <v>1771</v>
      </c>
      <c r="X251" s="117" t="s">
        <v>208</v>
      </c>
      <c r="Y251" s="116">
        <v>1816.090909090909</v>
      </c>
      <c r="Z251" s="117" t="s">
        <v>208</v>
      </c>
      <c r="AA251" s="116">
        <v>2351</v>
      </c>
      <c r="AB251" s="117" t="s">
        <v>208</v>
      </c>
      <c r="AC251" s="116">
        <v>1019</v>
      </c>
      <c r="AD251" s="117" t="s">
        <v>208</v>
      </c>
      <c r="AE251" s="116">
        <v>1609</v>
      </c>
      <c r="AF251" s="117" t="s">
        <v>208</v>
      </c>
      <c r="AG251" s="116">
        <v>2527</v>
      </c>
      <c r="AH251" s="117" t="s">
        <v>208</v>
      </c>
      <c r="AI251" s="116">
        <v>1551</v>
      </c>
      <c r="AJ251" s="117" t="s">
        <v>208</v>
      </c>
      <c r="AK251" s="116">
        <v>1829</v>
      </c>
      <c r="AL251" s="117" t="s">
        <v>208</v>
      </c>
      <c r="AM251" s="116">
        <v>21793.090909090908</v>
      </c>
    </row>
    <row r="252" spans="1:39" s="100" customFormat="1" ht="46.8" x14ac:dyDescent="0.3">
      <c r="A252" s="97">
        <v>242</v>
      </c>
      <c r="B252" s="98" t="s">
        <v>861</v>
      </c>
      <c r="C252" s="98" t="s">
        <v>2708</v>
      </c>
      <c r="D252" s="98" t="s">
        <v>1902</v>
      </c>
      <c r="E252" s="98" t="s">
        <v>2709</v>
      </c>
      <c r="F252" s="98" t="s">
        <v>49</v>
      </c>
      <c r="G252" s="99" t="s">
        <v>2710</v>
      </c>
      <c r="H252" s="99">
        <v>5</v>
      </c>
      <c r="I252" s="99" t="s">
        <v>2710</v>
      </c>
      <c r="J252" s="99">
        <v>1</v>
      </c>
      <c r="K252" s="98" t="s">
        <v>528</v>
      </c>
      <c r="L252" s="98" t="s">
        <v>529</v>
      </c>
      <c r="M252" s="116">
        <v>1933.202182152871</v>
      </c>
      <c r="N252" s="116">
        <v>3280.8140143243618</v>
      </c>
      <c r="O252" s="116">
        <v>454</v>
      </c>
      <c r="P252" s="117" t="s">
        <v>1906</v>
      </c>
      <c r="Q252" s="116">
        <v>297</v>
      </c>
      <c r="R252" s="117" t="s">
        <v>1906</v>
      </c>
      <c r="S252" s="116">
        <v>250</v>
      </c>
      <c r="T252" s="117" t="s">
        <v>1906</v>
      </c>
      <c r="U252" s="116">
        <v>249</v>
      </c>
      <c r="V252" s="117" t="s">
        <v>1906</v>
      </c>
      <c r="W252" s="116">
        <v>179</v>
      </c>
      <c r="X252" s="117" t="s">
        <v>1906</v>
      </c>
      <c r="Y252" s="116">
        <v>223.27272727272728</v>
      </c>
      <c r="Z252" s="117" t="s">
        <v>1906</v>
      </c>
      <c r="AA252" s="116">
        <v>159</v>
      </c>
      <c r="AB252" s="117" t="s">
        <v>1906</v>
      </c>
      <c r="AC252" s="116">
        <v>151</v>
      </c>
      <c r="AD252" s="117" t="s">
        <v>1906</v>
      </c>
      <c r="AE252" s="116">
        <v>222</v>
      </c>
      <c r="AF252" s="117" t="s">
        <v>1906</v>
      </c>
      <c r="AG252" s="116">
        <v>165</v>
      </c>
      <c r="AH252" s="117" t="s">
        <v>1906</v>
      </c>
      <c r="AI252" s="116">
        <v>165</v>
      </c>
      <c r="AJ252" s="117" t="s">
        <v>1906</v>
      </c>
      <c r="AK252" s="116">
        <v>165</v>
      </c>
      <c r="AL252" s="117" t="s">
        <v>1906</v>
      </c>
      <c r="AM252" s="116">
        <v>2679.272727272727</v>
      </c>
    </row>
    <row r="253" spans="1:39" s="100" customFormat="1" ht="46.8" x14ac:dyDescent="0.3">
      <c r="A253" s="97">
        <v>243</v>
      </c>
      <c r="B253" s="98" t="s">
        <v>862</v>
      </c>
      <c r="C253" s="98" t="s">
        <v>2708</v>
      </c>
      <c r="D253" s="98" t="s">
        <v>1902</v>
      </c>
      <c r="E253" s="98" t="s">
        <v>2709</v>
      </c>
      <c r="F253" s="98" t="s">
        <v>49</v>
      </c>
      <c r="G253" s="99" t="s">
        <v>2710</v>
      </c>
      <c r="H253" s="99">
        <v>4</v>
      </c>
      <c r="I253" s="99" t="s">
        <v>2710</v>
      </c>
      <c r="J253" s="99">
        <v>1</v>
      </c>
      <c r="K253" s="98" t="s">
        <v>528</v>
      </c>
      <c r="L253" s="98" t="s">
        <v>528</v>
      </c>
      <c r="M253" s="116">
        <v>2108.0160382607805</v>
      </c>
      <c r="N253" s="116">
        <v>3593.3194857244584</v>
      </c>
      <c r="O253" s="116">
        <v>197.45766655059117</v>
      </c>
      <c r="P253" s="117" t="s">
        <v>208</v>
      </c>
      <c r="Q253" s="116">
        <v>253.51612590089201</v>
      </c>
      <c r="R253" s="117" t="s">
        <v>208</v>
      </c>
      <c r="S253" s="116">
        <v>281.94832189457833</v>
      </c>
      <c r="T253" s="117" t="s">
        <v>208</v>
      </c>
      <c r="U253" s="116">
        <v>213.48488292956679</v>
      </c>
      <c r="V253" s="117" t="s">
        <v>208</v>
      </c>
      <c r="W253" s="116">
        <v>239.81638824459742</v>
      </c>
      <c r="X253" s="117" t="s">
        <v>208</v>
      </c>
      <c r="Y253" s="116">
        <v>243.11980756128932</v>
      </c>
      <c r="Z253" s="117" t="s">
        <v>208</v>
      </c>
      <c r="AA253" s="116">
        <v>228.28367417017603</v>
      </c>
      <c r="AB253" s="117" t="s">
        <v>208</v>
      </c>
      <c r="AC253" s="116">
        <v>333.94968558275576</v>
      </c>
      <c r="AD253" s="117" t="s">
        <v>208</v>
      </c>
      <c r="AE253" s="116">
        <v>247.77810800304226</v>
      </c>
      <c r="AF253" s="117" t="s">
        <v>208</v>
      </c>
      <c r="AG253" s="116">
        <v>289.99635366419614</v>
      </c>
      <c r="AH253" s="117" t="s">
        <v>208</v>
      </c>
      <c r="AI253" s="116">
        <v>195.69435291644882</v>
      </c>
      <c r="AJ253" s="117" t="s">
        <v>208</v>
      </c>
      <c r="AK253" s="116">
        <v>192.39232331733774</v>
      </c>
      <c r="AL253" s="117" t="s">
        <v>208</v>
      </c>
      <c r="AM253" s="116">
        <v>2917.4376907354717</v>
      </c>
    </row>
    <row r="254" spans="1:39" s="100" customFormat="1" ht="46.8" x14ac:dyDescent="0.3">
      <c r="A254" s="97">
        <v>244</v>
      </c>
      <c r="B254" s="98" t="s">
        <v>863</v>
      </c>
      <c r="C254" s="98" t="s">
        <v>2708</v>
      </c>
      <c r="D254" s="98" t="s">
        <v>1902</v>
      </c>
      <c r="E254" s="98" t="s">
        <v>2709</v>
      </c>
      <c r="F254" s="98" t="s">
        <v>49</v>
      </c>
      <c r="G254" s="99" t="s">
        <v>2710</v>
      </c>
      <c r="H254" s="99">
        <v>30</v>
      </c>
      <c r="I254" s="99" t="s">
        <v>2710</v>
      </c>
      <c r="J254" s="99">
        <v>5</v>
      </c>
      <c r="K254" s="98" t="s">
        <v>528</v>
      </c>
      <c r="L254" s="98" t="s">
        <v>528</v>
      </c>
      <c r="M254" s="116">
        <v>22268.510170647241</v>
      </c>
      <c r="N254" s="116">
        <v>38335.244402894896</v>
      </c>
      <c r="O254" s="116">
        <v>3376</v>
      </c>
      <c r="P254" s="117" t="s">
        <v>208</v>
      </c>
      <c r="Q254" s="116">
        <v>3411</v>
      </c>
      <c r="R254" s="117" t="s">
        <v>208</v>
      </c>
      <c r="S254" s="116">
        <v>2890</v>
      </c>
      <c r="T254" s="117" t="s">
        <v>208</v>
      </c>
      <c r="U254" s="116">
        <v>2500</v>
      </c>
      <c r="V254" s="117" t="s">
        <v>208</v>
      </c>
      <c r="W254" s="116">
        <v>2594</v>
      </c>
      <c r="X254" s="117" t="s">
        <v>208</v>
      </c>
      <c r="Y254" s="116">
        <v>2648.4545454545455</v>
      </c>
      <c r="Z254" s="117" t="s">
        <v>208</v>
      </c>
      <c r="AA254" s="116">
        <v>2149</v>
      </c>
      <c r="AB254" s="117" t="s">
        <v>208</v>
      </c>
      <c r="AC254" s="116">
        <v>1803</v>
      </c>
      <c r="AD254" s="117" t="s">
        <v>208</v>
      </c>
      <c r="AE254" s="116">
        <v>2214</v>
      </c>
      <c r="AF254" s="117" t="s">
        <v>208</v>
      </c>
      <c r="AG254" s="116">
        <v>2799</v>
      </c>
      <c r="AH254" s="117" t="s">
        <v>208</v>
      </c>
      <c r="AI254" s="116">
        <v>2379</v>
      </c>
      <c r="AJ254" s="117" t="s">
        <v>208</v>
      </c>
      <c r="AK254" s="116">
        <v>3018</v>
      </c>
      <c r="AL254" s="117" t="s">
        <v>208</v>
      </c>
      <c r="AM254" s="116">
        <v>31781.454545454544</v>
      </c>
    </row>
    <row r="255" spans="1:39" s="100" customFormat="1" ht="46.8" x14ac:dyDescent="0.3">
      <c r="A255" s="97">
        <v>245</v>
      </c>
      <c r="B255" s="98" t="s">
        <v>864</v>
      </c>
      <c r="C255" s="98" t="s">
        <v>2708</v>
      </c>
      <c r="D255" s="98" t="s">
        <v>1902</v>
      </c>
      <c r="E255" s="98" t="s">
        <v>2709</v>
      </c>
      <c r="F255" s="98" t="s">
        <v>49</v>
      </c>
      <c r="G255" s="99" t="s">
        <v>2710</v>
      </c>
      <c r="H255" s="99">
        <v>2</v>
      </c>
      <c r="I255" s="99" t="s">
        <v>2710</v>
      </c>
      <c r="J255" s="99">
        <v>1</v>
      </c>
      <c r="K255" s="98" t="s">
        <v>528</v>
      </c>
      <c r="L255" s="98" t="s">
        <v>528</v>
      </c>
      <c r="M255" s="116">
        <v>2418.1207696145975</v>
      </c>
      <c r="N255" s="116">
        <v>4100.4886755016241</v>
      </c>
      <c r="O255" s="116">
        <v>311.94809742099432</v>
      </c>
      <c r="P255" s="117" t="s">
        <v>208</v>
      </c>
      <c r="Q255" s="116">
        <v>312.23129832372217</v>
      </c>
      <c r="R255" s="117" t="s">
        <v>208</v>
      </c>
      <c r="S255" s="116">
        <v>270.26444983327553</v>
      </c>
      <c r="T255" s="117" t="s">
        <v>208</v>
      </c>
      <c r="U255" s="116">
        <v>344.54435454698773</v>
      </c>
      <c r="V255" s="117" t="s">
        <v>208</v>
      </c>
      <c r="W255" s="116">
        <v>348.82659661274357</v>
      </c>
      <c r="X255" s="117" t="s">
        <v>208</v>
      </c>
      <c r="Y255" s="116">
        <v>282.21169901713284</v>
      </c>
      <c r="Z255" s="117" t="s">
        <v>208</v>
      </c>
      <c r="AA255" s="116">
        <v>301.90324993372337</v>
      </c>
      <c r="AB255" s="117" t="s">
        <v>208</v>
      </c>
      <c r="AC255" s="116">
        <v>297.72885143950788</v>
      </c>
      <c r="AD255" s="117" t="s">
        <v>208</v>
      </c>
      <c r="AE255" s="116">
        <v>261.81608950753798</v>
      </c>
      <c r="AF255" s="117" t="s">
        <v>208</v>
      </c>
      <c r="AG255" s="116">
        <v>231.62207794319266</v>
      </c>
      <c r="AH255" s="117" t="s">
        <v>208</v>
      </c>
      <c r="AI255" s="116">
        <v>227.93024450740313</v>
      </c>
      <c r="AJ255" s="117" t="s">
        <v>208</v>
      </c>
      <c r="AK255" s="116">
        <v>195.51337911937316</v>
      </c>
      <c r="AL255" s="117" t="s">
        <v>208</v>
      </c>
      <c r="AM255" s="116">
        <v>3386.5403882055944</v>
      </c>
    </row>
    <row r="256" spans="1:39" s="100" customFormat="1" ht="46.8" x14ac:dyDescent="0.3">
      <c r="A256" s="97">
        <v>246</v>
      </c>
      <c r="B256" s="98" t="s">
        <v>865</v>
      </c>
      <c r="C256" s="98" t="s">
        <v>2708</v>
      </c>
      <c r="D256" s="98" t="s">
        <v>1902</v>
      </c>
      <c r="E256" s="98" t="s">
        <v>2709</v>
      </c>
      <c r="F256" s="98" t="s">
        <v>49</v>
      </c>
      <c r="G256" s="99" t="s">
        <v>2710</v>
      </c>
      <c r="H256" s="99">
        <v>24</v>
      </c>
      <c r="I256" s="99" t="s">
        <v>2710</v>
      </c>
      <c r="J256" s="99">
        <v>4</v>
      </c>
      <c r="K256" s="98" t="s">
        <v>528</v>
      </c>
      <c r="L256" s="98" t="s">
        <v>528</v>
      </c>
      <c r="M256" s="116">
        <v>6576.4848895057894</v>
      </c>
      <c r="N256" s="116">
        <v>11187.008620784909</v>
      </c>
      <c r="O256" s="116">
        <v>934</v>
      </c>
      <c r="P256" s="117" t="s">
        <v>208</v>
      </c>
      <c r="Q256" s="116">
        <v>807</v>
      </c>
      <c r="R256" s="117" t="s">
        <v>208</v>
      </c>
      <c r="S256" s="116">
        <v>628</v>
      </c>
      <c r="T256" s="117" t="s">
        <v>208</v>
      </c>
      <c r="U256" s="116">
        <v>607</v>
      </c>
      <c r="V256" s="117" t="s">
        <v>208</v>
      </c>
      <c r="W256" s="116">
        <v>622</v>
      </c>
      <c r="X256" s="117" t="s">
        <v>208</v>
      </c>
      <c r="Y256" s="116">
        <v>780.5454545454545</v>
      </c>
      <c r="Z256" s="117" t="s">
        <v>208</v>
      </c>
      <c r="AA256" s="116">
        <v>1057</v>
      </c>
      <c r="AB256" s="117" t="s">
        <v>208</v>
      </c>
      <c r="AC256" s="116">
        <v>833</v>
      </c>
      <c r="AD256" s="117" t="s">
        <v>208</v>
      </c>
      <c r="AE256" s="116">
        <v>737</v>
      </c>
      <c r="AF256" s="117" t="s">
        <v>208</v>
      </c>
      <c r="AG256" s="116">
        <v>830</v>
      </c>
      <c r="AH256" s="117" t="s">
        <v>208</v>
      </c>
      <c r="AI256" s="116">
        <v>763</v>
      </c>
      <c r="AJ256" s="117" t="s">
        <v>208</v>
      </c>
      <c r="AK256" s="116">
        <v>768</v>
      </c>
      <c r="AL256" s="117" t="s">
        <v>208</v>
      </c>
      <c r="AM256" s="116">
        <v>9366.545454545454</v>
      </c>
    </row>
    <row r="257" spans="1:39" s="100" customFormat="1" ht="46.8" x14ac:dyDescent="0.3">
      <c r="A257" s="97">
        <v>247</v>
      </c>
      <c r="B257" s="98" t="s">
        <v>866</v>
      </c>
      <c r="C257" s="98" t="s">
        <v>2708</v>
      </c>
      <c r="D257" s="98" t="s">
        <v>1902</v>
      </c>
      <c r="E257" s="98" t="s">
        <v>2709</v>
      </c>
      <c r="F257" s="98" t="s">
        <v>49</v>
      </c>
      <c r="G257" s="99" t="s">
        <v>2710</v>
      </c>
      <c r="H257" s="99">
        <v>28</v>
      </c>
      <c r="I257" s="99" t="s">
        <v>2710</v>
      </c>
      <c r="J257" s="99">
        <v>4</v>
      </c>
      <c r="K257" s="98" t="s">
        <v>528</v>
      </c>
      <c r="L257" s="98" t="s">
        <v>528</v>
      </c>
      <c r="M257" s="116">
        <v>8357.6082697978436</v>
      </c>
      <c r="N257" s="116">
        <v>14537.240101565014</v>
      </c>
      <c r="O257" s="116">
        <v>1064</v>
      </c>
      <c r="P257" s="117" t="s">
        <v>208</v>
      </c>
      <c r="Q257" s="116">
        <v>958</v>
      </c>
      <c r="R257" s="117" t="s">
        <v>208</v>
      </c>
      <c r="S257" s="116">
        <v>964</v>
      </c>
      <c r="T257" s="117" t="s">
        <v>208</v>
      </c>
      <c r="U257" s="116">
        <v>1002</v>
      </c>
      <c r="V257" s="117" t="s">
        <v>208</v>
      </c>
      <c r="W257" s="116">
        <v>921</v>
      </c>
      <c r="X257" s="117" t="s">
        <v>208</v>
      </c>
      <c r="Y257" s="116">
        <v>1027.7272727272727</v>
      </c>
      <c r="Z257" s="117" t="s">
        <v>208</v>
      </c>
      <c r="AA257" s="116">
        <v>1556</v>
      </c>
      <c r="AB257" s="117" t="s">
        <v>208</v>
      </c>
      <c r="AC257" s="116">
        <v>1224</v>
      </c>
      <c r="AD257" s="117" t="s">
        <v>208</v>
      </c>
      <c r="AE257" s="116">
        <v>581</v>
      </c>
      <c r="AF257" s="117" t="s">
        <v>208</v>
      </c>
      <c r="AG257" s="116">
        <v>1084</v>
      </c>
      <c r="AH257" s="117" t="s">
        <v>208</v>
      </c>
      <c r="AI257" s="116">
        <v>971</v>
      </c>
      <c r="AJ257" s="117" t="s">
        <v>208</v>
      </c>
      <c r="AK257" s="116">
        <v>980</v>
      </c>
      <c r="AL257" s="117" t="s">
        <v>208</v>
      </c>
      <c r="AM257" s="116">
        <v>12332.727272727272</v>
      </c>
    </row>
    <row r="258" spans="1:39" s="100" customFormat="1" ht="46.8" x14ac:dyDescent="0.3">
      <c r="A258" s="97">
        <v>248</v>
      </c>
      <c r="B258" s="98" t="s">
        <v>867</v>
      </c>
      <c r="C258" s="98" t="s">
        <v>2708</v>
      </c>
      <c r="D258" s="98" t="s">
        <v>1902</v>
      </c>
      <c r="E258" s="98" t="s">
        <v>2709</v>
      </c>
      <c r="F258" s="98" t="s">
        <v>49</v>
      </c>
      <c r="G258" s="99" t="s">
        <v>2710</v>
      </c>
      <c r="H258" s="99">
        <v>7</v>
      </c>
      <c r="I258" s="99" t="s">
        <v>2710</v>
      </c>
      <c r="J258" s="99">
        <v>12</v>
      </c>
      <c r="K258" s="98" t="s">
        <v>528</v>
      </c>
      <c r="L258" s="98" t="s">
        <v>528</v>
      </c>
      <c r="M258" s="116">
        <v>21579.858507086767</v>
      </c>
      <c r="N258" s="116">
        <v>40494.593317306942</v>
      </c>
      <c r="O258" s="116">
        <v>2874</v>
      </c>
      <c r="P258" s="117" t="s">
        <v>208</v>
      </c>
      <c r="Q258" s="116">
        <v>2585</v>
      </c>
      <c r="R258" s="117" t="s">
        <v>208</v>
      </c>
      <c r="S258" s="116">
        <v>2190</v>
      </c>
      <c r="T258" s="117" t="s">
        <v>208</v>
      </c>
      <c r="U258" s="116">
        <v>2554</v>
      </c>
      <c r="V258" s="117" t="s">
        <v>208</v>
      </c>
      <c r="W258" s="116">
        <v>2462</v>
      </c>
      <c r="X258" s="117" t="s">
        <v>208</v>
      </c>
      <c r="Y258" s="116">
        <v>2750.5454545454545</v>
      </c>
      <c r="Z258" s="117" t="s">
        <v>208</v>
      </c>
      <c r="AA258" s="116">
        <v>2952</v>
      </c>
      <c r="AB258" s="117" t="s">
        <v>208</v>
      </c>
      <c r="AC258" s="116">
        <v>2686</v>
      </c>
      <c r="AD258" s="117" t="s">
        <v>208</v>
      </c>
      <c r="AE258" s="116">
        <v>2658</v>
      </c>
      <c r="AF258" s="117" t="s">
        <v>208</v>
      </c>
      <c r="AG258" s="116">
        <v>3590</v>
      </c>
      <c r="AH258" s="117" t="s">
        <v>208</v>
      </c>
      <c r="AI258" s="116">
        <v>2960</v>
      </c>
      <c r="AJ258" s="117" t="s">
        <v>208</v>
      </c>
      <c r="AK258" s="116">
        <v>2745</v>
      </c>
      <c r="AL258" s="117" t="s">
        <v>208</v>
      </c>
      <c r="AM258" s="116">
        <v>33006.545454545456</v>
      </c>
    </row>
    <row r="259" spans="1:39" s="100" customFormat="1" ht="46.8" x14ac:dyDescent="0.3">
      <c r="A259" s="97">
        <v>249</v>
      </c>
      <c r="B259" s="98" t="s">
        <v>868</v>
      </c>
      <c r="C259" s="98" t="s">
        <v>2708</v>
      </c>
      <c r="D259" s="98" t="s">
        <v>1902</v>
      </c>
      <c r="E259" s="98" t="s">
        <v>2709</v>
      </c>
      <c r="F259" s="98" t="s">
        <v>49</v>
      </c>
      <c r="G259" s="99" t="s">
        <v>2710</v>
      </c>
      <c r="H259" s="99">
        <v>35</v>
      </c>
      <c r="I259" s="99" t="s">
        <v>2710</v>
      </c>
      <c r="J259" s="99">
        <v>7</v>
      </c>
      <c r="K259" s="98" t="s">
        <v>528</v>
      </c>
      <c r="L259" s="98" t="s">
        <v>528</v>
      </c>
      <c r="M259" s="116">
        <v>15295.95161524809</v>
      </c>
      <c r="N259" s="116">
        <v>25637.184481828583</v>
      </c>
      <c r="O259" s="116">
        <v>1725</v>
      </c>
      <c r="P259" s="117" t="s">
        <v>208</v>
      </c>
      <c r="Q259" s="116">
        <v>1607</v>
      </c>
      <c r="R259" s="117" t="s">
        <v>208</v>
      </c>
      <c r="S259" s="116">
        <v>1178</v>
      </c>
      <c r="T259" s="117" t="s">
        <v>208</v>
      </c>
      <c r="U259" s="116">
        <v>1268</v>
      </c>
      <c r="V259" s="117" t="s">
        <v>208</v>
      </c>
      <c r="W259" s="116">
        <v>1191</v>
      </c>
      <c r="X259" s="117" t="s">
        <v>208</v>
      </c>
      <c r="Y259" s="116">
        <v>1746.3636363636363</v>
      </c>
      <c r="Z259" s="117" t="s">
        <v>208</v>
      </c>
      <c r="AA259" s="116">
        <v>3432</v>
      </c>
      <c r="AB259" s="117" t="s">
        <v>208</v>
      </c>
      <c r="AC259" s="116">
        <v>3432</v>
      </c>
      <c r="AD259" s="117" t="s">
        <v>208</v>
      </c>
      <c r="AE259" s="116">
        <v>1239</v>
      </c>
      <c r="AF259" s="117" t="s">
        <v>208</v>
      </c>
      <c r="AG259" s="116">
        <v>1509</v>
      </c>
      <c r="AH259" s="117" t="s">
        <v>208</v>
      </c>
      <c r="AI259" s="116">
        <v>1307</v>
      </c>
      <c r="AJ259" s="117" t="s">
        <v>208</v>
      </c>
      <c r="AK259" s="116">
        <v>1322</v>
      </c>
      <c r="AL259" s="117" t="s">
        <v>208</v>
      </c>
      <c r="AM259" s="116">
        <v>20956.363636363636</v>
      </c>
    </row>
    <row r="260" spans="1:39" s="100" customFormat="1" ht="46.8" x14ac:dyDescent="0.3">
      <c r="A260" s="97">
        <v>250</v>
      </c>
      <c r="B260" s="98" t="s">
        <v>869</v>
      </c>
      <c r="C260" s="98" t="s">
        <v>2708</v>
      </c>
      <c r="D260" s="98" t="s">
        <v>1902</v>
      </c>
      <c r="E260" s="98" t="s">
        <v>2709</v>
      </c>
      <c r="F260" s="98" t="s">
        <v>49</v>
      </c>
      <c r="G260" s="99" t="s">
        <v>2710</v>
      </c>
      <c r="H260" s="99">
        <v>36</v>
      </c>
      <c r="I260" s="99" t="s">
        <v>2710</v>
      </c>
      <c r="J260" s="99">
        <v>6</v>
      </c>
      <c r="K260" s="98" t="s">
        <v>528</v>
      </c>
      <c r="L260" s="98" t="s">
        <v>528</v>
      </c>
      <c r="M260" s="116">
        <v>10268.844344090498</v>
      </c>
      <c r="N260" s="116">
        <v>17884.858271199715</v>
      </c>
      <c r="O260" s="116">
        <v>1501</v>
      </c>
      <c r="P260" s="117" t="s">
        <v>208</v>
      </c>
      <c r="Q260" s="116">
        <v>1295</v>
      </c>
      <c r="R260" s="117" t="s">
        <v>208</v>
      </c>
      <c r="S260" s="116">
        <v>1055</v>
      </c>
      <c r="T260" s="117" t="s">
        <v>208</v>
      </c>
      <c r="U260" s="116">
        <v>1151</v>
      </c>
      <c r="V260" s="117" t="s">
        <v>208</v>
      </c>
      <c r="W260" s="116">
        <v>1142</v>
      </c>
      <c r="X260" s="117" t="s">
        <v>208</v>
      </c>
      <c r="Y260" s="116">
        <v>1257.909090909091</v>
      </c>
      <c r="Z260" s="117" t="s">
        <v>208</v>
      </c>
      <c r="AA260" s="116">
        <v>1619</v>
      </c>
      <c r="AB260" s="117" t="s">
        <v>208</v>
      </c>
      <c r="AC260" s="116">
        <v>1026</v>
      </c>
      <c r="AD260" s="117" t="s">
        <v>208</v>
      </c>
      <c r="AE260" s="116">
        <v>1070</v>
      </c>
      <c r="AF260" s="117" t="s">
        <v>208</v>
      </c>
      <c r="AG260" s="116">
        <v>1371</v>
      </c>
      <c r="AH260" s="117" t="s">
        <v>208</v>
      </c>
      <c r="AI260" s="116">
        <v>1238</v>
      </c>
      <c r="AJ260" s="117" t="s">
        <v>208</v>
      </c>
      <c r="AK260" s="116">
        <v>1369</v>
      </c>
      <c r="AL260" s="117" t="s">
        <v>208</v>
      </c>
      <c r="AM260" s="116">
        <v>15094.909090909092</v>
      </c>
    </row>
    <row r="261" spans="1:39" s="100" customFormat="1" ht="46.8" x14ac:dyDescent="0.3">
      <c r="A261" s="97">
        <v>251</v>
      </c>
      <c r="B261" s="98" t="s">
        <v>870</v>
      </c>
      <c r="C261" s="98" t="s">
        <v>2708</v>
      </c>
      <c r="D261" s="98" t="s">
        <v>1902</v>
      </c>
      <c r="E261" s="98" t="s">
        <v>2709</v>
      </c>
      <c r="F261" s="98" t="s">
        <v>49</v>
      </c>
      <c r="G261" s="99" t="s">
        <v>2710</v>
      </c>
      <c r="H261" s="99">
        <v>12</v>
      </c>
      <c r="I261" s="99" t="s">
        <v>2710</v>
      </c>
      <c r="J261" s="99">
        <v>4</v>
      </c>
      <c r="K261" s="98" t="s">
        <v>528</v>
      </c>
      <c r="L261" s="98" t="s">
        <v>528</v>
      </c>
      <c r="M261" s="116">
        <v>4187.3869139211847</v>
      </c>
      <c r="N261" s="116">
        <v>6805.8932023787174</v>
      </c>
      <c r="O261" s="116">
        <v>577</v>
      </c>
      <c r="P261" s="117" t="s">
        <v>208</v>
      </c>
      <c r="Q261" s="116">
        <v>548</v>
      </c>
      <c r="R261" s="117" t="s">
        <v>208</v>
      </c>
      <c r="S261" s="116">
        <v>410</v>
      </c>
      <c r="T261" s="117" t="s">
        <v>208</v>
      </c>
      <c r="U261" s="116">
        <v>474</v>
      </c>
      <c r="V261" s="117" t="s">
        <v>208</v>
      </c>
      <c r="W261" s="116">
        <v>506</v>
      </c>
      <c r="X261" s="117" t="s">
        <v>208</v>
      </c>
      <c r="Y261" s="116">
        <v>491.90909090909093</v>
      </c>
      <c r="Z261" s="117" t="s">
        <v>208</v>
      </c>
      <c r="AA261" s="116">
        <v>551</v>
      </c>
      <c r="AB261" s="117" t="s">
        <v>208</v>
      </c>
      <c r="AC261" s="116">
        <v>377</v>
      </c>
      <c r="AD261" s="117" t="s">
        <v>208</v>
      </c>
      <c r="AE261" s="116">
        <v>414</v>
      </c>
      <c r="AF261" s="117" t="s">
        <v>208</v>
      </c>
      <c r="AG261" s="116">
        <v>552</v>
      </c>
      <c r="AH261" s="117" t="s">
        <v>208</v>
      </c>
      <c r="AI261" s="116">
        <v>477</v>
      </c>
      <c r="AJ261" s="117" t="s">
        <v>208</v>
      </c>
      <c r="AK261" s="116">
        <v>525</v>
      </c>
      <c r="AL261" s="117" t="s">
        <v>208</v>
      </c>
      <c r="AM261" s="116">
        <v>5902.909090909091</v>
      </c>
    </row>
    <row r="262" spans="1:39" s="100" customFormat="1" ht="46.8" x14ac:dyDescent="0.3">
      <c r="A262" s="97">
        <v>252</v>
      </c>
      <c r="B262" s="98" t="s">
        <v>871</v>
      </c>
      <c r="C262" s="98" t="s">
        <v>2708</v>
      </c>
      <c r="D262" s="98" t="s">
        <v>1902</v>
      </c>
      <c r="E262" s="98" t="s">
        <v>2709</v>
      </c>
      <c r="F262" s="98" t="s">
        <v>49</v>
      </c>
      <c r="G262" s="99" t="s">
        <v>2710</v>
      </c>
      <c r="H262" s="99">
        <v>12</v>
      </c>
      <c r="I262" s="99" t="s">
        <v>2710</v>
      </c>
      <c r="J262" s="99">
        <v>3</v>
      </c>
      <c r="K262" s="98" t="s">
        <v>528</v>
      </c>
      <c r="L262" s="98" t="s">
        <v>528</v>
      </c>
      <c r="M262" s="116">
        <v>6423.4241709959588</v>
      </c>
      <c r="N262" s="116">
        <v>10928.021189204528</v>
      </c>
      <c r="O262" s="116">
        <v>1179</v>
      </c>
      <c r="P262" s="117" t="s">
        <v>208</v>
      </c>
      <c r="Q262" s="116">
        <v>1003</v>
      </c>
      <c r="R262" s="117" t="s">
        <v>208</v>
      </c>
      <c r="S262" s="116">
        <v>702</v>
      </c>
      <c r="T262" s="117" t="s">
        <v>208</v>
      </c>
      <c r="U262" s="116">
        <v>710</v>
      </c>
      <c r="V262" s="117" t="s">
        <v>208</v>
      </c>
      <c r="W262" s="116">
        <v>596</v>
      </c>
      <c r="X262" s="117" t="s">
        <v>208</v>
      </c>
      <c r="Y262" s="116">
        <v>736.81818181818187</v>
      </c>
      <c r="Z262" s="117" t="s">
        <v>208</v>
      </c>
      <c r="AA262" s="116">
        <v>202</v>
      </c>
      <c r="AB262" s="117" t="s">
        <v>208</v>
      </c>
      <c r="AC262" s="116">
        <v>474</v>
      </c>
      <c r="AD262" s="117" t="s">
        <v>208</v>
      </c>
      <c r="AE262" s="116">
        <v>598</v>
      </c>
      <c r="AF262" s="117" t="s">
        <v>208</v>
      </c>
      <c r="AG262" s="116">
        <v>1014</v>
      </c>
      <c r="AH262" s="117" t="s">
        <v>208</v>
      </c>
      <c r="AI262" s="116">
        <v>807</v>
      </c>
      <c r="AJ262" s="117" t="s">
        <v>208</v>
      </c>
      <c r="AK262" s="116">
        <v>820</v>
      </c>
      <c r="AL262" s="117" t="s">
        <v>208</v>
      </c>
      <c r="AM262" s="116">
        <v>8841.818181818182</v>
      </c>
    </row>
    <row r="263" spans="1:39" s="100" customFormat="1" ht="46.8" x14ac:dyDescent="0.3">
      <c r="A263" s="97">
        <v>253</v>
      </c>
      <c r="B263" s="98" t="s">
        <v>872</v>
      </c>
      <c r="C263" s="98" t="s">
        <v>2708</v>
      </c>
      <c r="D263" s="98" t="s">
        <v>1902</v>
      </c>
      <c r="E263" s="98" t="s">
        <v>2709</v>
      </c>
      <c r="F263" s="98" t="s">
        <v>49</v>
      </c>
      <c r="G263" s="99" t="s">
        <v>2710</v>
      </c>
      <c r="H263" s="99">
        <v>6</v>
      </c>
      <c r="I263" s="99" t="s">
        <v>2710</v>
      </c>
      <c r="J263" s="99">
        <v>1</v>
      </c>
      <c r="K263" s="98" t="s">
        <v>528</v>
      </c>
      <c r="L263" s="98" t="s">
        <v>528</v>
      </c>
      <c r="M263" s="116">
        <v>23829.265157375121</v>
      </c>
      <c r="N263" s="116">
        <v>43392.372669067372</v>
      </c>
      <c r="O263" s="116">
        <v>3290</v>
      </c>
      <c r="P263" s="117" t="s">
        <v>208</v>
      </c>
      <c r="Q263" s="116">
        <v>3007</v>
      </c>
      <c r="R263" s="117" t="s">
        <v>208</v>
      </c>
      <c r="S263" s="116">
        <v>2742</v>
      </c>
      <c r="T263" s="117" t="s">
        <v>208</v>
      </c>
      <c r="U263" s="116">
        <v>2960</v>
      </c>
      <c r="V263" s="117" t="s">
        <v>208</v>
      </c>
      <c r="W263" s="116">
        <v>2832</v>
      </c>
      <c r="X263" s="117" t="s">
        <v>208</v>
      </c>
      <c r="Y263" s="116">
        <v>2982.4545454545455</v>
      </c>
      <c r="Z263" s="117" t="s">
        <v>208</v>
      </c>
      <c r="AA263" s="116">
        <v>3444</v>
      </c>
      <c r="AB263" s="117" t="s">
        <v>208</v>
      </c>
      <c r="AC263" s="116">
        <v>2260</v>
      </c>
      <c r="AD263" s="117" t="s">
        <v>208</v>
      </c>
      <c r="AE263" s="116">
        <v>2828</v>
      </c>
      <c r="AF263" s="117" t="s">
        <v>208</v>
      </c>
      <c r="AG263" s="116">
        <v>3174</v>
      </c>
      <c r="AH263" s="117" t="s">
        <v>208</v>
      </c>
      <c r="AI263" s="116">
        <v>2983</v>
      </c>
      <c r="AJ263" s="117" t="s">
        <v>208</v>
      </c>
      <c r="AK263" s="116">
        <v>3287</v>
      </c>
      <c r="AL263" s="117" t="s">
        <v>208</v>
      </c>
      <c r="AM263" s="116">
        <v>35789.454545454544</v>
      </c>
    </row>
    <row r="264" spans="1:39" s="100" customFormat="1" ht="46.8" x14ac:dyDescent="0.3">
      <c r="A264" s="97">
        <v>254</v>
      </c>
      <c r="B264" s="98" t="s">
        <v>873</v>
      </c>
      <c r="C264" s="98" t="s">
        <v>2708</v>
      </c>
      <c r="D264" s="98" t="s">
        <v>1902</v>
      </c>
      <c r="E264" s="98" t="s">
        <v>2709</v>
      </c>
      <c r="F264" s="98" t="s">
        <v>49</v>
      </c>
      <c r="G264" s="99" t="s">
        <v>2710</v>
      </c>
      <c r="H264" s="99">
        <v>1</v>
      </c>
      <c r="I264" s="99" t="s">
        <v>2710</v>
      </c>
      <c r="J264" s="99">
        <v>1</v>
      </c>
      <c r="K264" s="98" t="s">
        <v>528</v>
      </c>
      <c r="L264" s="98" t="s">
        <v>528</v>
      </c>
      <c r="M264" s="116">
        <v>1475.6769446906171</v>
      </c>
      <c r="N264" s="116">
        <v>2574.5267897227213</v>
      </c>
      <c r="O264" s="116">
        <v>167.63605764503134</v>
      </c>
      <c r="P264" s="117" t="s">
        <v>208</v>
      </c>
      <c r="Q264" s="116">
        <v>148.79790736375583</v>
      </c>
      <c r="R264" s="117" t="s">
        <v>208</v>
      </c>
      <c r="S264" s="116">
        <v>164.02487763860407</v>
      </c>
      <c r="T264" s="117" t="s">
        <v>208</v>
      </c>
      <c r="U264" s="116">
        <v>183.24083283302681</v>
      </c>
      <c r="V264" s="117" t="s">
        <v>208</v>
      </c>
      <c r="W264" s="116">
        <v>172.95012381426417</v>
      </c>
      <c r="X264" s="117" t="s">
        <v>208</v>
      </c>
      <c r="Y264" s="116">
        <v>183.65306393020103</v>
      </c>
      <c r="Z264" s="117" t="s">
        <v>208</v>
      </c>
      <c r="AA264" s="116">
        <v>188.62273242412635</v>
      </c>
      <c r="AB264" s="117" t="s">
        <v>208</v>
      </c>
      <c r="AC264" s="116">
        <v>186.34257243730355</v>
      </c>
      <c r="AD264" s="117" t="s">
        <v>208</v>
      </c>
      <c r="AE264" s="116">
        <v>193.05366577279872</v>
      </c>
      <c r="AF264" s="117" t="s">
        <v>208</v>
      </c>
      <c r="AG264" s="116">
        <v>237.12831068739629</v>
      </c>
      <c r="AH264" s="117" t="s">
        <v>208</v>
      </c>
      <c r="AI264" s="116">
        <v>195.41595803400222</v>
      </c>
      <c r="AJ264" s="117" t="s">
        <v>208</v>
      </c>
      <c r="AK264" s="116">
        <v>182.97066458190221</v>
      </c>
      <c r="AL264" s="117" t="s">
        <v>208</v>
      </c>
      <c r="AM264" s="116">
        <v>2203.8367671624128</v>
      </c>
    </row>
    <row r="265" spans="1:39" s="100" customFormat="1" ht="46.8" x14ac:dyDescent="0.3">
      <c r="A265" s="97">
        <v>255</v>
      </c>
      <c r="B265" s="98" t="s">
        <v>875</v>
      </c>
      <c r="C265" s="98" t="s">
        <v>2708</v>
      </c>
      <c r="D265" s="98" t="s">
        <v>1902</v>
      </c>
      <c r="E265" s="98" t="s">
        <v>2709</v>
      </c>
      <c r="F265" s="98" t="s">
        <v>49</v>
      </c>
      <c r="G265" s="99" t="s">
        <v>2710</v>
      </c>
      <c r="H265" s="99">
        <v>5</v>
      </c>
      <c r="I265" s="99" t="s">
        <v>2710</v>
      </c>
      <c r="J265" s="99">
        <v>1</v>
      </c>
      <c r="K265" s="98" t="s">
        <v>528</v>
      </c>
      <c r="L265" s="98" t="s">
        <v>528</v>
      </c>
      <c r="M265" s="116">
        <v>4381.2362973186173</v>
      </c>
      <c r="N265" s="116">
        <v>7864.2141138759025</v>
      </c>
      <c r="O265" s="116">
        <v>354.27037996332399</v>
      </c>
      <c r="P265" s="117" t="s">
        <v>208</v>
      </c>
      <c r="Q265" s="116">
        <v>533.90184165713481</v>
      </c>
      <c r="R265" s="117" t="s">
        <v>208</v>
      </c>
      <c r="S265" s="116">
        <v>549.81770781490127</v>
      </c>
      <c r="T265" s="117" t="s">
        <v>208</v>
      </c>
      <c r="U265" s="116">
        <v>473.64309191439236</v>
      </c>
      <c r="V265" s="117" t="s">
        <v>208</v>
      </c>
      <c r="W265" s="116">
        <v>625.02480372476032</v>
      </c>
      <c r="X265" s="117" t="s">
        <v>208</v>
      </c>
      <c r="Y265" s="116">
        <v>535.1259780655887</v>
      </c>
      <c r="Z265" s="117" t="s">
        <v>208</v>
      </c>
      <c r="AA265" s="116">
        <v>613.34077065438476</v>
      </c>
      <c r="AB265" s="117" t="s">
        <v>208</v>
      </c>
      <c r="AC265" s="116">
        <v>616.35989493798218</v>
      </c>
      <c r="AD265" s="117" t="s">
        <v>208</v>
      </c>
      <c r="AE265" s="116">
        <v>586.17170914153587</v>
      </c>
      <c r="AF265" s="117" t="s">
        <v>208</v>
      </c>
      <c r="AG265" s="116">
        <v>615.53808057182118</v>
      </c>
      <c r="AH265" s="117" t="s">
        <v>208</v>
      </c>
      <c r="AI265" s="116">
        <v>538.26282975179322</v>
      </c>
      <c r="AJ265" s="117" t="s">
        <v>208</v>
      </c>
      <c r="AK265" s="116">
        <v>380.05464858944532</v>
      </c>
      <c r="AL265" s="117" t="s">
        <v>208</v>
      </c>
      <c r="AM265" s="116">
        <v>6421.5117367870644</v>
      </c>
    </row>
    <row r="266" spans="1:39" s="100" customFormat="1" ht="46.8" x14ac:dyDescent="0.3">
      <c r="A266" s="97">
        <v>256</v>
      </c>
      <c r="B266" s="98" t="s">
        <v>876</v>
      </c>
      <c r="C266" s="98" t="s">
        <v>2708</v>
      </c>
      <c r="D266" s="98" t="s">
        <v>1902</v>
      </c>
      <c r="E266" s="98" t="s">
        <v>2709</v>
      </c>
      <c r="F266" s="98" t="s">
        <v>49</v>
      </c>
      <c r="G266" s="99" t="s">
        <v>2710</v>
      </c>
      <c r="H266" s="99">
        <v>8</v>
      </c>
      <c r="I266" s="99" t="s">
        <v>2710</v>
      </c>
      <c r="J266" s="99">
        <v>2</v>
      </c>
      <c r="K266" s="98" t="s">
        <v>528</v>
      </c>
      <c r="L266" s="98" t="s">
        <v>528</v>
      </c>
      <c r="M266" s="116">
        <v>1765.7487977340184</v>
      </c>
      <c r="N266" s="116">
        <v>3271.7283433152834</v>
      </c>
      <c r="O266" s="116">
        <v>282</v>
      </c>
      <c r="P266" s="117" t="s">
        <v>208</v>
      </c>
      <c r="Q266" s="116">
        <v>285</v>
      </c>
      <c r="R266" s="117" t="s">
        <v>208</v>
      </c>
      <c r="S266" s="116">
        <v>98</v>
      </c>
      <c r="T266" s="117" t="s">
        <v>208</v>
      </c>
      <c r="U266" s="116">
        <v>200</v>
      </c>
      <c r="V266" s="117" t="s">
        <v>208</v>
      </c>
      <c r="W266" s="116">
        <v>280</v>
      </c>
      <c r="X266" s="117" t="s">
        <v>208</v>
      </c>
      <c r="Y266" s="116">
        <v>221.81818181818181</v>
      </c>
      <c r="Z266" s="117" t="s">
        <v>208</v>
      </c>
      <c r="AA266" s="116">
        <v>194</v>
      </c>
      <c r="AB266" s="117" t="s">
        <v>208</v>
      </c>
      <c r="AC266" s="116">
        <v>158</v>
      </c>
      <c r="AD266" s="117" t="s">
        <v>208</v>
      </c>
      <c r="AE266" s="116">
        <v>183</v>
      </c>
      <c r="AF266" s="117" t="s">
        <v>208</v>
      </c>
      <c r="AG266" s="116">
        <v>280</v>
      </c>
      <c r="AH266" s="117" t="s">
        <v>208</v>
      </c>
      <c r="AI266" s="116">
        <v>227</v>
      </c>
      <c r="AJ266" s="117" t="s">
        <v>208</v>
      </c>
      <c r="AK266" s="116">
        <v>253</v>
      </c>
      <c r="AL266" s="117" t="s">
        <v>208</v>
      </c>
      <c r="AM266" s="116">
        <v>2661.818181818182</v>
      </c>
    </row>
    <row r="267" spans="1:39" s="100" customFormat="1" ht="46.8" x14ac:dyDescent="0.3">
      <c r="A267" s="97">
        <v>257</v>
      </c>
      <c r="B267" s="98" t="s">
        <v>877</v>
      </c>
      <c r="C267" s="98" t="s">
        <v>2708</v>
      </c>
      <c r="D267" s="98" t="s">
        <v>1902</v>
      </c>
      <c r="E267" s="98" t="s">
        <v>2709</v>
      </c>
      <c r="F267" s="98" t="s">
        <v>49</v>
      </c>
      <c r="G267" s="99" t="s">
        <v>2710</v>
      </c>
      <c r="H267" s="99">
        <v>4</v>
      </c>
      <c r="I267" s="99" t="s">
        <v>2710</v>
      </c>
      <c r="J267" s="99">
        <v>1</v>
      </c>
      <c r="K267" s="98" t="s">
        <v>528</v>
      </c>
      <c r="L267" s="98" t="s">
        <v>528</v>
      </c>
      <c r="M267" s="116">
        <v>3731.9062855292959</v>
      </c>
      <c r="N267" s="116">
        <v>6946.9838830668587</v>
      </c>
      <c r="O267" s="116">
        <v>494.91941365977817</v>
      </c>
      <c r="P267" s="117" t="s">
        <v>208</v>
      </c>
      <c r="Q267" s="116">
        <v>562.58993215848102</v>
      </c>
      <c r="R267" s="117" t="s">
        <v>208</v>
      </c>
      <c r="S267" s="116">
        <v>480.27799242893013</v>
      </c>
      <c r="T267" s="117" t="s">
        <v>208</v>
      </c>
      <c r="U267" s="116">
        <v>552.50442297305506</v>
      </c>
      <c r="V267" s="117" t="s">
        <v>208</v>
      </c>
      <c r="W267" s="116">
        <v>450.61514472955918</v>
      </c>
      <c r="X267" s="117" t="s">
        <v>208</v>
      </c>
      <c r="Y267" s="116">
        <v>467.82478253609401</v>
      </c>
      <c r="Z267" s="117" t="s">
        <v>208</v>
      </c>
      <c r="AA267" s="116">
        <v>330.25606606315523</v>
      </c>
      <c r="AB267" s="117" t="s">
        <v>208</v>
      </c>
      <c r="AC267" s="116">
        <v>530.79701165909489</v>
      </c>
      <c r="AD267" s="117" t="s">
        <v>208</v>
      </c>
      <c r="AE267" s="116">
        <v>338.0007780862631</v>
      </c>
      <c r="AF267" s="117" t="s">
        <v>208</v>
      </c>
      <c r="AG267" s="116">
        <v>390.65043558434701</v>
      </c>
      <c r="AH267" s="117" t="s">
        <v>208</v>
      </c>
      <c r="AI267" s="116">
        <v>598.08284162252869</v>
      </c>
      <c r="AJ267" s="117" t="s">
        <v>208</v>
      </c>
      <c r="AK267" s="116">
        <v>417.37856893184136</v>
      </c>
      <c r="AL267" s="117" t="s">
        <v>208</v>
      </c>
      <c r="AM267" s="116">
        <v>5613.8973904331278</v>
      </c>
    </row>
    <row r="268" spans="1:39" s="100" customFormat="1" ht="46.8" x14ac:dyDescent="0.3">
      <c r="A268" s="97">
        <v>258</v>
      </c>
      <c r="B268" s="98" t="s">
        <v>878</v>
      </c>
      <c r="C268" s="98" t="s">
        <v>2708</v>
      </c>
      <c r="D268" s="98" t="s">
        <v>1902</v>
      </c>
      <c r="E268" s="98" t="s">
        <v>2709</v>
      </c>
      <c r="F268" s="98" t="s">
        <v>49</v>
      </c>
      <c r="G268" s="99" t="s">
        <v>2710</v>
      </c>
      <c r="H268" s="99">
        <v>25</v>
      </c>
      <c r="I268" s="99" t="s">
        <v>2710</v>
      </c>
      <c r="J268" s="99">
        <v>2</v>
      </c>
      <c r="K268" s="98" t="s">
        <v>528</v>
      </c>
      <c r="L268" s="98" t="s">
        <v>528</v>
      </c>
      <c r="M268" s="116">
        <v>4604.3599330921834</v>
      </c>
      <c r="N268" s="116">
        <v>7410.185730838667</v>
      </c>
      <c r="O268" s="116">
        <v>818</v>
      </c>
      <c r="P268" s="117" t="s">
        <v>208</v>
      </c>
      <c r="Q268" s="116">
        <v>664</v>
      </c>
      <c r="R268" s="117" t="s">
        <v>208</v>
      </c>
      <c r="S268" s="116">
        <v>488</v>
      </c>
      <c r="T268" s="117" t="s">
        <v>208</v>
      </c>
      <c r="U268" s="116">
        <v>342</v>
      </c>
      <c r="V268" s="117" t="s">
        <v>208</v>
      </c>
      <c r="W268" s="116">
        <v>348</v>
      </c>
      <c r="X268" s="117" t="s">
        <v>208</v>
      </c>
      <c r="Y268" s="116">
        <v>534.90909090909088</v>
      </c>
      <c r="Z268" s="117" t="s">
        <v>208</v>
      </c>
      <c r="AA268" s="116">
        <v>404</v>
      </c>
      <c r="AB268" s="117" t="s">
        <v>208</v>
      </c>
      <c r="AC268" s="116">
        <v>382</v>
      </c>
      <c r="AD268" s="117" t="s">
        <v>208</v>
      </c>
      <c r="AE268" s="116">
        <v>477</v>
      </c>
      <c r="AF268" s="117" t="s">
        <v>208</v>
      </c>
      <c r="AG268" s="116">
        <v>580</v>
      </c>
      <c r="AH268" s="117" t="s">
        <v>208</v>
      </c>
      <c r="AI268" s="116">
        <v>592</v>
      </c>
      <c r="AJ268" s="117" t="s">
        <v>208</v>
      </c>
      <c r="AK268" s="116">
        <v>789</v>
      </c>
      <c r="AL268" s="117" t="s">
        <v>208</v>
      </c>
      <c r="AM268" s="116">
        <v>6418.909090909091</v>
      </c>
    </row>
    <row r="269" spans="1:39" s="100" customFormat="1" ht="46.8" x14ac:dyDescent="0.3">
      <c r="A269" s="97">
        <v>259</v>
      </c>
      <c r="B269" s="98" t="s">
        <v>879</v>
      </c>
      <c r="C269" s="98" t="s">
        <v>2708</v>
      </c>
      <c r="D269" s="98" t="s">
        <v>1902</v>
      </c>
      <c r="E269" s="98" t="s">
        <v>2709</v>
      </c>
      <c r="F269" s="98" t="s">
        <v>49</v>
      </c>
      <c r="G269" s="99" t="s">
        <v>2710</v>
      </c>
      <c r="H269" s="99">
        <v>5</v>
      </c>
      <c r="I269" s="99" t="s">
        <v>2710</v>
      </c>
      <c r="J269" s="99">
        <v>1</v>
      </c>
      <c r="K269" s="98" t="s">
        <v>528</v>
      </c>
      <c r="L269" s="98" t="s">
        <v>528</v>
      </c>
      <c r="M269" s="116">
        <v>958.76083964855275</v>
      </c>
      <c r="N269" s="116">
        <v>1629.9044290665456</v>
      </c>
      <c r="O269" s="116">
        <v>92</v>
      </c>
      <c r="P269" s="117" t="s">
        <v>208</v>
      </c>
      <c r="Q269" s="116">
        <v>112</v>
      </c>
      <c r="R269" s="117" t="s">
        <v>208</v>
      </c>
      <c r="S269" s="116">
        <v>120</v>
      </c>
      <c r="T269" s="117" t="s">
        <v>208</v>
      </c>
      <c r="U269" s="116">
        <v>94</v>
      </c>
      <c r="V269" s="117" t="s">
        <v>208</v>
      </c>
      <c r="W269" s="116">
        <v>84</v>
      </c>
      <c r="X269" s="117" t="s">
        <v>208</v>
      </c>
      <c r="Y269" s="116">
        <v>111.72727272727273</v>
      </c>
      <c r="Z269" s="117" t="s">
        <v>208</v>
      </c>
      <c r="AA269" s="116">
        <v>116</v>
      </c>
      <c r="AB269" s="117" t="s">
        <v>208</v>
      </c>
      <c r="AC269" s="116">
        <v>102</v>
      </c>
      <c r="AD269" s="117" t="s">
        <v>208</v>
      </c>
      <c r="AE269" s="116">
        <v>118</v>
      </c>
      <c r="AF269" s="117" t="s">
        <v>208</v>
      </c>
      <c r="AG269" s="116">
        <v>146</v>
      </c>
      <c r="AH269" s="117" t="s">
        <v>208</v>
      </c>
      <c r="AI269" s="116">
        <v>122</v>
      </c>
      <c r="AJ269" s="117" t="s">
        <v>208</v>
      </c>
      <c r="AK269" s="116">
        <v>123</v>
      </c>
      <c r="AL269" s="117" t="s">
        <v>208</v>
      </c>
      <c r="AM269" s="116">
        <v>1340.7272727272727</v>
      </c>
    </row>
    <row r="270" spans="1:39" s="100" customFormat="1" ht="46.8" x14ac:dyDescent="0.3">
      <c r="A270" s="97">
        <v>260</v>
      </c>
      <c r="B270" s="98" t="s">
        <v>880</v>
      </c>
      <c r="C270" s="98" t="s">
        <v>2708</v>
      </c>
      <c r="D270" s="98" t="s">
        <v>1902</v>
      </c>
      <c r="E270" s="98" t="s">
        <v>2709</v>
      </c>
      <c r="F270" s="98" t="s">
        <v>49</v>
      </c>
      <c r="G270" s="99" t="s">
        <v>2710</v>
      </c>
      <c r="H270" s="99">
        <v>6</v>
      </c>
      <c r="I270" s="99" t="s">
        <v>2710</v>
      </c>
      <c r="J270" s="99">
        <v>1</v>
      </c>
      <c r="K270" s="98" t="s">
        <v>528</v>
      </c>
      <c r="L270" s="98" t="s">
        <v>528</v>
      </c>
      <c r="M270" s="116">
        <v>9372.2159806012314</v>
      </c>
      <c r="N270" s="116">
        <v>15815.811202496574</v>
      </c>
      <c r="O270" s="116">
        <v>1436</v>
      </c>
      <c r="P270" s="117" t="s">
        <v>208</v>
      </c>
      <c r="Q270" s="116">
        <v>1357</v>
      </c>
      <c r="R270" s="117" t="s">
        <v>208</v>
      </c>
      <c r="S270" s="116">
        <v>1132</v>
      </c>
      <c r="T270" s="117" t="s">
        <v>208</v>
      </c>
      <c r="U270" s="116">
        <v>1196</v>
      </c>
      <c r="V270" s="117" t="s">
        <v>208</v>
      </c>
      <c r="W270" s="116">
        <v>960</v>
      </c>
      <c r="X270" s="117" t="s">
        <v>208</v>
      </c>
      <c r="Y270" s="116">
        <v>1085.8181818181818</v>
      </c>
      <c r="Z270" s="117" t="s">
        <v>208</v>
      </c>
      <c r="AA270" s="116">
        <v>958</v>
      </c>
      <c r="AB270" s="117" t="s">
        <v>208</v>
      </c>
      <c r="AC270" s="116">
        <v>560</v>
      </c>
      <c r="AD270" s="117" t="s">
        <v>208</v>
      </c>
      <c r="AE270" s="116">
        <v>771</v>
      </c>
      <c r="AF270" s="117" t="s">
        <v>208</v>
      </c>
      <c r="AG270" s="116">
        <v>1149</v>
      </c>
      <c r="AH270" s="117" t="s">
        <v>208</v>
      </c>
      <c r="AI270" s="116">
        <v>1090</v>
      </c>
      <c r="AJ270" s="117" t="s">
        <v>208</v>
      </c>
      <c r="AK270" s="116">
        <v>1335</v>
      </c>
      <c r="AL270" s="117" t="s">
        <v>208</v>
      </c>
      <c r="AM270" s="116">
        <v>13029.818181818182</v>
      </c>
    </row>
    <row r="271" spans="1:39" s="100" customFormat="1" ht="46.8" x14ac:dyDescent="0.3">
      <c r="A271" s="97">
        <v>261</v>
      </c>
      <c r="B271" s="98" t="s">
        <v>882</v>
      </c>
      <c r="C271" s="98" t="s">
        <v>2708</v>
      </c>
      <c r="D271" s="98" t="s">
        <v>1902</v>
      </c>
      <c r="E271" s="98" t="s">
        <v>2709</v>
      </c>
      <c r="F271" s="98" t="s">
        <v>49</v>
      </c>
      <c r="G271" s="99" t="s">
        <v>2710</v>
      </c>
      <c r="H271" s="99">
        <v>54</v>
      </c>
      <c r="I271" s="99" t="s">
        <v>2710</v>
      </c>
      <c r="J271" s="99">
        <v>9</v>
      </c>
      <c r="K271" s="98" t="s">
        <v>528</v>
      </c>
      <c r="L271" s="98" t="s">
        <v>529</v>
      </c>
      <c r="M271" s="116">
        <v>13356.023633000257</v>
      </c>
      <c r="N271" s="116">
        <v>23331.450122578048</v>
      </c>
      <c r="O271" s="116">
        <v>2068</v>
      </c>
      <c r="P271" s="117" t="s">
        <v>1906</v>
      </c>
      <c r="Q271" s="116">
        <v>2068</v>
      </c>
      <c r="R271" s="117" t="s">
        <v>1906</v>
      </c>
      <c r="S271" s="116">
        <v>2068</v>
      </c>
      <c r="T271" s="117" t="s">
        <v>1906</v>
      </c>
      <c r="U271" s="116">
        <v>2068</v>
      </c>
      <c r="V271" s="117" t="s">
        <v>1906</v>
      </c>
      <c r="W271" s="116">
        <v>2068</v>
      </c>
      <c r="X271" s="117" t="s">
        <v>1906</v>
      </c>
      <c r="Y271" s="116">
        <v>1627.2727272727273</v>
      </c>
      <c r="Z271" s="117" t="s">
        <v>1906</v>
      </c>
      <c r="AA271" s="116">
        <v>1260</v>
      </c>
      <c r="AB271" s="117" t="s">
        <v>1906</v>
      </c>
      <c r="AC271" s="116">
        <v>1260</v>
      </c>
      <c r="AD271" s="117" t="s">
        <v>1906</v>
      </c>
      <c r="AE271" s="116">
        <v>1260</v>
      </c>
      <c r="AF271" s="117" t="s">
        <v>1906</v>
      </c>
      <c r="AG271" s="116">
        <v>1260</v>
      </c>
      <c r="AH271" s="117" t="s">
        <v>1906</v>
      </c>
      <c r="AI271" s="116">
        <v>1260</v>
      </c>
      <c r="AJ271" s="117" t="s">
        <v>1906</v>
      </c>
      <c r="AK271" s="116">
        <v>1260</v>
      </c>
      <c r="AL271" s="117" t="s">
        <v>1906</v>
      </c>
      <c r="AM271" s="116">
        <v>19527.272727272728</v>
      </c>
    </row>
    <row r="272" spans="1:39" s="100" customFormat="1" ht="46.8" x14ac:dyDescent="0.3">
      <c r="A272" s="97">
        <v>262</v>
      </c>
      <c r="B272" s="98" t="s">
        <v>883</v>
      </c>
      <c r="C272" s="98" t="s">
        <v>2708</v>
      </c>
      <c r="D272" s="98" t="s">
        <v>1902</v>
      </c>
      <c r="E272" s="98" t="s">
        <v>2709</v>
      </c>
      <c r="F272" s="98" t="s">
        <v>49</v>
      </c>
      <c r="G272" s="99" t="s">
        <v>2710</v>
      </c>
      <c r="H272" s="99">
        <v>36</v>
      </c>
      <c r="I272" s="99" t="s">
        <v>2710</v>
      </c>
      <c r="J272" s="99">
        <v>6</v>
      </c>
      <c r="K272" s="98" t="s">
        <v>528</v>
      </c>
      <c r="L272" s="98" t="s">
        <v>528</v>
      </c>
      <c r="M272" s="116">
        <v>5767.7721323020014</v>
      </c>
      <c r="N272" s="116">
        <v>9587.311642017894</v>
      </c>
      <c r="O272" s="116">
        <v>677</v>
      </c>
      <c r="P272" s="117" t="s">
        <v>208</v>
      </c>
      <c r="Q272" s="116">
        <v>687</v>
      </c>
      <c r="R272" s="117" t="s">
        <v>208</v>
      </c>
      <c r="S272" s="116">
        <v>449</v>
      </c>
      <c r="T272" s="117" t="s">
        <v>208</v>
      </c>
      <c r="U272" s="116">
        <v>582</v>
      </c>
      <c r="V272" s="117" t="s">
        <v>208</v>
      </c>
      <c r="W272" s="116">
        <v>872</v>
      </c>
      <c r="X272" s="117" t="s">
        <v>208</v>
      </c>
      <c r="Y272" s="116">
        <v>691.90909090909088</v>
      </c>
      <c r="Z272" s="117" t="s">
        <v>208</v>
      </c>
      <c r="AA272" s="116">
        <v>910</v>
      </c>
      <c r="AB272" s="117" t="s">
        <v>208</v>
      </c>
      <c r="AC272" s="116">
        <v>618</v>
      </c>
      <c r="AD272" s="117" t="s">
        <v>208</v>
      </c>
      <c r="AE272" s="116">
        <v>643</v>
      </c>
      <c r="AF272" s="117" t="s">
        <v>208</v>
      </c>
      <c r="AG272" s="116">
        <v>840</v>
      </c>
      <c r="AH272" s="117" t="s">
        <v>208</v>
      </c>
      <c r="AI272" s="116">
        <v>626</v>
      </c>
      <c r="AJ272" s="117" t="s">
        <v>208</v>
      </c>
      <c r="AK272" s="116">
        <v>707</v>
      </c>
      <c r="AL272" s="117" t="s">
        <v>208</v>
      </c>
      <c r="AM272" s="116">
        <v>8302.9090909090919</v>
      </c>
    </row>
    <row r="273" spans="1:39" s="100" customFormat="1" ht="46.8" x14ac:dyDescent="0.3">
      <c r="A273" s="97">
        <v>263</v>
      </c>
      <c r="B273" s="98" t="s">
        <v>884</v>
      </c>
      <c r="C273" s="98" t="s">
        <v>2708</v>
      </c>
      <c r="D273" s="98" t="s">
        <v>1902</v>
      </c>
      <c r="E273" s="98" t="s">
        <v>2709</v>
      </c>
      <c r="F273" s="98" t="s">
        <v>49</v>
      </c>
      <c r="G273" s="99" t="s">
        <v>2710</v>
      </c>
      <c r="H273" s="99">
        <v>35</v>
      </c>
      <c r="I273" s="99" t="s">
        <v>2710</v>
      </c>
      <c r="J273" s="99">
        <v>7</v>
      </c>
      <c r="K273" s="98" t="s">
        <v>528</v>
      </c>
      <c r="L273" s="98" t="s">
        <v>528</v>
      </c>
      <c r="M273" s="116">
        <v>14626.416118572221</v>
      </c>
      <c r="N273" s="116">
        <v>25155.792207990566</v>
      </c>
      <c r="O273" s="116">
        <v>1987.78</v>
      </c>
      <c r="P273" s="117" t="s">
        <v>208</v>
      </c>
      <c r="Q273" s="116">
        <v>1843.76</v>
      </c>
      <c r="R273" s="117" t="s">
        <v>208</v>
      </c>
      <c r="S273" s="116">
        <v>1662.12</v>
      </c>
      <c r="T273" s="117" t="s">
        <v>208</v>
      </c>
      <c r="U273" s="116">
        <v>1822.48</v>
      </c>
      <c r="V273" s="117" t="s">
        <v>208</v>
      </c>
      <c r="W273" s="116">
        <v>1716.8400000000001</v>
      </c>
      <c r="X273" s="117" t="s">
        <v>208</v>
      </c>
      <c r="Y273" s="116">
        <v>1813.8436363636365</v>
      </c>
      <c r="Z273" s="117" t="s">
        <v>208</v>
      </c>
      <c r="AA273" s="116">
        <v>2199.44</v>
      </c>
      <c r="AB273" s="117" t="s">
        <v>208</v>
      </c>
      <c r="AC273" s="116">
        <v>1660.98</v>
      </c>
      <c r="AD273" s="117" t="s">
        <v>208</v>
      </c>
      <c r="AE273" s="116">
        <v>1782.2</v>
      </c>
      <c r="AF273" s="117" t="s">
        <v>208</v>
      </c>
      <c r="AG273" s="116">
        <v>1920.14</v>
      </c>
      <c r="AH273" s="117" t="s">
        <v>208</v>
      </c>
      <c r="AI273" s="116">
        <v>1688.7199999999998</v>
      </c>
      <c r="AJ273" s="117" t="s">
        <v>208</v>
      </c>
      <c r="AK273" s="116">
        <v>1667.8200000000002</v>
      </c>
      <c r="AL273" s="117" t="s">
        <v>208</v>
      </c>
      <c r="AM273" s="116">
        <v>21766.123636363634</v>
      </c>
    </row>
    <row r="274" spans="1:39" s="100" customFormat="1" ht="46.8" x14ac:dyDescent="0.3">
      <c r="A274" s="97">
        <v>264</v>
      </c>
      <c r="B274" s="98" t="s">
        <v>886</v>
      </c>
      <c r="C274" s="98" t="s">
        <v>2708</v>
      </c>
      <c r="D274" s="98" t="s">
        <v>1902</v>
      </c>
      <c r="E274" s="98" t="s">
        <v>2709</v>
      </c>
      <c r="F274" s="98" t="s">
        <v>49</v>
      </c>
      <c r="G274" s="99" t="s">
        <v>2710</v>
      </c>
      <c r="H274" s="99">
        <v>12</v>
      </c>
      <c r="I274" s="99" t="s">
        <v>2710</v>
      </c>
      <c r="J274" s="99">
        <v>3</v>
      </c>
      <c r="K274" s="98" t="s">
        <v>528</v>
      </c>
      <c r="L274" s="98" t="s">
        <v>528</v>
      </c>
      <c r="M274" s="116">
        <v>3088.5825017901252</v>
      </c>
      <c r="N274" s="116">
        <v>5209.5858641401082</v>
      </c>
      <c r="O274" s="116">
        <v>328</v>
      </c>
      <c r="P274" s="117" t="s">
        <v>208</v>
      </c>
      <c r="Q274" s="116">
        <v>544</v>
      </c>
      <c r="R274" s="117" t="s">
        <v>208</v>
      </c>
      <c r="S274" s="116">
        <v>343</v>
      </c>
      <c r="T274" s="117" t="s">
        <v>208</v>
      </c>
      <c r="U274" s="116">
        <v>344</v>
      </c>
      <c r="V274" s="117" t="s">
        <v>208</v>
      </c>
      <c r="W274" s="116">
        <v>300</v>
      </c>
      <c r="X274" s="117" t="s">
        <v>208</v>
      </c>
      <c r="Y274" s="116">
        <v>355.54545454545456</v>
      </c>
      <c r="Z274" s="117" t="s">
        <v>208</v>
      </c>
      <c r="AA274" s="116">
        <v>295</v>
      </c>
      <c r="AB274" s="117" t="s">
        <v>208</v>
      </c>
      <c r="AC274" s="116">
        <v>209</v>
      </c>
      <c r="AD274" s="117" t="s">
        <v>208</v>
      </c>
      <c r="AE274" s="116">
        <v>242</v>
      </c>
      <c r="AF274" s="117" t="s">
        <v>208</v>
      </c>
      <c r="AG274" s="116">
        <v>416</v>
      </c>
      <c r="AH274" s="117" t="s">
        <v>208</v>
      </c>
      <c r="AI274" s="116">
        <v>444</v>
      </c>
      <c r="AJ274" s="117" t="s">
        <v>208</v>
      </c>
      <c r="AK274" s="116">
        <v>446</v>
      </c>
      <c r="AL274" s="117" t="s">
        <v>208</v>
      </c>
      <c r="AM274" s="116">
        <v>4266.545454545454</v>
      </c>
    </row>
    <row r="275" spans="1:39" s="100" customFormat="1" ht="46.8" x14ac:dyDescent="0.3">
      <c r="A275" s="97">
        <v>265</v>
      </c>
      <c r="B275" s="98" t="s">
        <v>888</v>
      </c>
      <c r="C275" s="98" t="s">
        <v>2708</v>
      </c>
      <c r="D275" s="98" t="s">
        <v>1902</v>
      </c>
      <c r="E275" s="98" t="s">
        <v>2709</v>
      </c>
      <c r="F275" s="98" t="s">
        <v>49</v>
      </c>
      <c r="G275" s="99" t="s">
        <v>2710</v>
      </c>
      <c r="H275" s="99">
        <v>40</v>
      </c>
      <c r="I275" s="99" t="s">
        <v>2710</v>
      </c>
      <c r="J275" s="99">
        <v>8</v>
      </c>
      <c r="K275" s="98" t="s">
        <v>528</v>
      </c>
      <c r="L275" s="98" t="s">
        <v>528</v>
      </c>
      <c r="M275" s="116">
        <v>23608.239148503912</v>
      </c>
      <c r="N275" s="116">
        <v>39478.321095675594</v>
      </c>
      <c r="O275" s="116">
        <v>4931</v>
      </c>
      <c r="P275" s="117" t="s">
        <v>208</v>
      </c>
      <c r="Q275" s="116">
        <v>3998</v>
      </c>
      <c r="R275" s="117" t="s">
        <v>208</v>
      </c>
      <c r="S275" s="116">
        <v>3061</v>
      </c>
      <c r="T275" s="117" t="s">
        <v>208</v>
      </c>
      <c r="U275" s="116">
        <v>2688</v>
      </c>
      <c r="V275" s="117" t="s">
        <v>208</v>
      </c>
      <c r="W275" s="116">
        <v>1791</v>
      </c>
      <c r="X275" s="117" t="s">
        <v>208</v>
      </c>
      <c r="Y275" s="116">
        <v>2850.4545454545455</v>
      </c>
      <c r="Z275" s="117" t="s">
        <v>208</v>
      </c>
      <c r="AA275" s="116">
        <v>2457</v>
      </c>
      <c r="AB275" s="117" t="s">
        <v>208</v>
      </c>
      <c r="AC275" s="116">
        <v>2165</v>
      </c>
      <c r="AD275" s="117" t="s">
        <v>208</v>
      </c>
      <c r="AE275" s="116">
        <v>2089</v>
      </c>
      <c r="AF275" s="117" t="s">
        <v>208</v>
      </c>
      <c r="AG275" s="116">
        <v>2057</v>
      </c>
      <c r="AH275" s="117" t="s">
        <v>208</v>
      </c>
      <c r="AI275" s="116">
        <v>3898</v>
      </c>
      <c r="AJ275" s="117" t="s">
        <v>208</v>
      </c>
      <c r="AK275" s="116">
        <v>2220</v>
      </c>
      <c r="AL275" s="117" t="s">
        <v>208</v>
      </c>
      <c r="AM275" s="116">
        <v>34205.454545454544</v>
      </c>
    </row>
    <row r="276" spans="1:39" s="100" customFormat="1" ht="46.8" x14ac:dyDescent="0.3">
      <c r="A276" s="97">
        <v>266</v>
      </c>
      <c r="B276" s="98" t="s">
        <v>889</v>
      </c>
      <c r="C276" s="98" t="s">
        <v>2708</v>
      </c>
      <c r="D276" s="98" t="s">
        <v>1902</v>
      </c>
      <c r="E276" s="98" t="s">
        <v>2709</v>
      </c>
      <c r="F276" s="98" t="s">
        <v>49</v>
      </c>
      <c r="G276" s="99" t="s">
        <v>2710</v>
      </c>
      <c r="H276" s="99">
        <v>12</v>
      </c>
      <c r="I276" s="99" t="s">
        <v>2710</v>
      </c>
      <c r="J276" s="99">
        <v>2</v>
      </c>
      <c r="K276" s="98" t="s">
        <v>528</v>
      </c>
      <c r="L276" s="98" t="s">
        <v>528</v>
      </c>
      <c r="M276" s="116">
        <v>8661.7666404741685</v>
      </c>
      <c r="N276" s="116">
        <v>13887.166544289175</v>
      </c>
      <c r="O276" s="116">
        <v>1000.7025788853401</v>
      </c>
      <c r="P276" s="117" t="s">
        <v>208</v>
      </c>
      <c r="Q276" s="116">
        <v>847.62663146206091</v>
      </c>
      <c r="R276" s="117" t="s">
        <v>208</v>
      </c>
      <c r="S276" s="116">
        <v>846.02219068934198</v>
      </c>
      <c r="T276" s="117" t="s">
        <v>208</v>
      </c>
      <c r="U276" s="116">
        <v>878.66594142360748</v>
      </c>
      <c r="V276" s="117" t="s">
        <v>208</v>
      </c>
      <c r="W276" s="116">
        <v>993.1909978418031</v>
      </c>
      <c r="X276" s="117" t="s">
        <v>208</v>
      </c>
      <c r="Y276" s="116">
        <v>970.51262711684797</v>
      </c>
      <c r="Z276" s="117" t="s">
        <v>208</v>
      </c>
      <c r="AA276" s="116">
        <v>881.807466173271</v>
      </c>
      <c r="AB276" s="117" t="s">
        <v>208</v>
      </c>
      <c r="AC276" s="116">
        <v>1135.8330096186103</v>
      </c>
      <c r="AD276" s="117" t="s">
        <v>208</v>
      </c>
      <c r="AE276" s="116">
        <v>823.75390878066389</v>
      </c>
      <c r="AF276" s="117" t="s">
        <v>208</v>
      </c>
      <c r="AG276" s="116">
        <v>1066.6009883322961</v>
      </c>
      <c r="AH276" s="117" t="s">
        <v>208</v>
      </c>
      <c r="AI276" s="116">
        <v>1101.4970592863563</v>
      </c>
      <c r="AJ276" s="117" t="s">
        <v>208</v>
      </c>
      <c r="AK276" s="116">
        <v>1099.9381257919779</v>
      </c>
      <c r="AL276" s="117" t="s">
        <v>208</v>
      </c>
      <c r="AM276" s="116">
        <v>11646.151525402176</v>
      </c>
    </row>
    <row r="277" spans="1:39" s="100" customFormat="1" ht="46.8" x14ac:dyDescent="0.3">
      <c r="A277" s="97">
        <v>267</v>
      </c>
      <c r="B277" s="98" t="s">
        <v>890</v>
      </c>
      <c r="C277" s="98" t="s">
        <v>2708</v>
      </c>
      <c r="D277" s="98" t="s">
        <v>1902</v>
      </c>
      <c r="E277" s="98" t="s">
        <v>2709</v>
      </c>
      <c r="F277" s="98" t="s">
        <v>49</v>
      </c>
      <c r="G277" s="99" t="s">
        <v>2710</v>
      </c>
      <c r="H277" s="99">
        <v>12</v>
      </c>
      <c r="I277" s="99" t="s">
        <v>2710</v>
      </c>
      <c r="J277" s="99">
        <v>3</v>
      </c>
      <c r="K277" s="98" t="s">
        <v>528</v>
      </c>
      <c r="L277" s="98" t="s">
        <v>528</v>
      </c>
      <c r="M277" s="116">
        <v>1679.8286245174659</v>
      </c>
      <c r="N277" s="116">
        <v>2905.9155535744962</v>
      </c>
      <c r="O277" s="116">
        <v>225</v>
      </c>
      <c r="P277" s="117" t="s">
        <v>208</v>
      </c>
      <c r="Q277" s="116">
        <v>204</v>
      </c>
      <c r="R277" s="117" t="s">
        <v>208</v>
      </c>
      <c r="S277" s="116">
        <v>296</v>
      </c>
      <c r="T277" s="117" t="s">
        <v>208</v>
      </c>
      <c r="U277" s="116">
        <v>154</v>
      </c>
      <c r="V277" s="117" t="s">
        <v>208</v>
      </c>
      <c r="W277" s="116">
        <v>228</v>
      </c>
      <c r="X277" s="117" t="s">
        <v>208</v>
      </c>
      <c r="Y277" s="116">
        <v>203.81818181818181</v>
      </c>
      <c r="Z277" s="117" t="s">
        <v>208</v>
      </c>
      <c r="AA277" s="116">
        <v>206</v>
      </c>
      <c r="AB277" s="117" t="s">
        <v>208</v>
      </c>
      <c r="AC277" s="116">
        <v>214</v>
      </c>
      <c r="AD277" s="117" t="s">
        <v>208</v>
      </c>
      <c r="AE277" s="116">
        <v>113</v>
      </c>
      <c r="AF277" s="117" t="s">
        <v>208</v>
      </c>
      <c r="AG277" s="116">
        <v>216</v>
      </c>
      <c r="AH277" s="117" t="s">
        <v>208</v>
      </c>
      <c r="AI277" s="116">
        <v>265</v>
      </c>
      <c r="AJ277" s="117" t="s">
        <v>208</v>
      </c>
      <c r="AK277" s="116">
        <v>121</v>
      </c>
      <c r="AL277" s="117" t="s">
        <v>208</v>
      </c>
      <c r="AM277" s="116">
        <v>2445.818181818182</v>
      </c>
    </row>
    <row r="278" spans="1:39" s="100" customFormat="1" ht="46.8" x14ac:dyDescent="0.3">
      <c r="A278" s="97">
        <v>268</v>
      </c>
      <c r="B278" s="98" t="s">
        <v>891</v>
      </c>
      <c r="C278" s="98" t="s">
        <v>2708</v>
      </c>
      <c r="D278" s="98" t="s">
        <v>1902</v>
      </c>
      <c r="E278" s="98" t="s">
        <v>2709</v>
      </c>
      <c r="F278" s="98" t="s">
        <v>49</v>
      </c>
      <c r="G278" s="99" t="s">
        <v>2710</v>
      </c>
      <c r="H278" s="99">
        <v>16</v>
      </c>
      <c r="I278" s="99" t="s">
        <v>2710</v>
      </c>
      <c r="J278" s="99">
        <v>4</v>
      </c>
      <c r="K278" s="98" t="s">
        <v>528</v>
      </c>
      <c r="L278" s="98" t="s">
        <v>528</v>
      </c>
      <c r="M278" s="116">
        <v>8893.6323949907783</v>
      </c>
      <c r="N278" s="116">
        <v>16160.425900316337</v>
      </c>
      <c r="O278" s="116">
        <v>1037</v>
      </c>
      <c r="P278" s="117" t="s">
        <v>208</v>
      </c>
      <c r="Q278" s="116">
        <v>835</v>
      </c>
      <c r="R278" s="117" t="s">
        <v>208</v>
      </c>
      <c r="S278" s="116">
        <v>646</v>
      </c>
      <c r="T278" s="117" t="s">
        <v>208</v>
      </c>
      <c r="U278" s="116">
        <v>1740</v>
      </c>
      <c r="V278" s="117" t="s">
        <v>208</v>
      </c>
      <c r="W278" s="116">
        <v>1884</v>
      </c>
      <c r="X278" s="117" t="s">
        <v>208</v>
      </c>
      <c r="Y278" s="116">
        <v>1119.4545454545455</v>
      </c>
      <c r="Z278" s="117" t="s">
        <v>208</v>
      </c>
      <c r="AA278" s="116">
        <v>1284</v>
      </c>
      <c r="AB278" s="117" t="s">
        <v>208</v>
      </c>
      <c r="AC278" s="116">
        <v>1299</v>
      </c>
      <c r="AD278" s="117" t="s">
        <v>208</v>
      </c>
      <c r="AE278" s="116">
        <v>442</v>
      </c>
      <c r="AF278" s="117" t="s">
        <v>208</v>
      </c>
      <c r="AG278" s="116">
        <v>1049</v>
      </c>
      <c r="AH278" s="117" t="s">
        <v>208</v>
      </c>
      <c r="AI278" s="116">
        <v>1183</v>
      </c>
      <c r="AJ278" s="117" t="s">
        <v>208</v>
      </c>
      <c r="AK278" s="116">
        <v>915</v>
      </c>
      <c r="AL278" s="117" t="s">
        <v>208</v>
      </c>
      <c r="AM278" s="116">
        <v>13433.454545454546</v>
      </c>
    </row>
    <row r="279" spans="1:39" s="100" customFormat="1" ht="46.8" x14ac:dyDescent="0.3">
      <c r="A279" s="97">
        <v>269</v>
      </c>
      <c r="B279" s="98" t="s">
        <v>892</v>
      </c>
      <c r="C279" s="98" t="s">
        <v>2708</v>
      </c>
      <c r="D279" s="98" t="s">
        <v>1902</v>
      </c>
      <c r="E279" s="98" t="s">
        <v>2709</v>
      </c>
      <c r="F279" s="98" t="s">
        <v>49</v>
      </c>
      <c r="G279" s="99" t="s">
        <v>2710</v>
      </c>
      <c r="H279" s="99">
        <v>5</v>
      </c>
      <c r="I279" s="99" t="s">
        <v>2710</v>
      </c>
      <c r="J279" s="99">
        <v>1</v>
      </c>
      <c r="K279" s="98" t="s">
        <v>528</v>
      </c>
      <c r="L279" s="98" t="s">
        <v>528</v>
      </c>
      <c r="M279" s="116">
        <v>2159.1191531115282</v>
      </c>
      <c r="N279" s="116">
        <v>3788.279097904302</v>
      </c>
      <c r="O279" s="116">
        <v>341.63876397832166</v>
      </c>
      <c r="P279" s="117" t="s">
        <v>208</v>
      </c>
      <c r="Q279" s="116">
        <v>258.42019837918019</v>
      </c>
      <c r="R279" s="117" t="s">
        <v>208</v>
      </c>
      <c r="S279" s="116">
        <v>204.24649502133155</v>
      </c>
      <c r="T279" s="117" t="s">
        <v>208</v>
      </c>
      <c r="U279" s="116">
        <v>226.00919869415065</v>
      </c>
      <c r="V279" s="117" t="s">
        <v>208</v>
      </c>
      <c r="W279" s="116">
        <v>343.32468227174377</v>
      </c>
      <c r="X279" s="117" t="s">
        <v>208</v>
      </c>
      <c r="Y279" s="116">
        <v>259.97440273378413</v>
      </c>
      <c r="Z279" s="117" t="s">
        <v>208</v>
      </c>
      <c r="AA279" s="116">
        <v>239.76275257000762</v>
      </c>
      <c r="AB279" s="117" t="s">
        <v>208</v>
      </c>
      <c r="AC279" s="116">
        <v>217.59514862597393</v>
      </c>
      <c r="AD279" s="117" t="s">
        <v>208</v>
      </c>
      <c r="AE279" s="116">
        <v>221.09280556470813</v>
      </c>
      <c r="AF279" s="117" t="s">
        <v>208</v>
      </c>
      <c r="AG279" s="116">
        <v>282.43204047230063</v>
      </c>
      <c r="AH279" s="117" t="s">
        <v>208</v>
      </c>
      <c r="AI279" s="116">
        <v>328.23888737884806</v>
      </c>
      <c r="AJ279" s="117" t="s">
        <v>208</v>
      </c>
      <c r="AK279" s="116">
        <v>196.95745711505893</v>
      </c>
      <c r="AL279" s="117" t="s">
        <v>208</v>
      </c>
      <c r="AM279" s="116">
        <v>3119.6928328054091</v>
      </c>
    </row>
    <row r="280" spans="1:39" s="100" customFormat="1" ht="46.8" x14ac:dyDescent="0.3">
      <c r="A280" s="97">
        <v>270</v>
      </c>
      <c r="B280" s="98" t="s">
        <v>895</v>
      </c>
      <c r="C280" s="98" t="s">
        <v>2708</v>
      </c>
      <c r="D280" s="98" t="s">
        <v>1902</v>
      </c>
      <c r="E280" s="98" t="s">
        <v>2709</v>
      </c>
      <c r="F280" s="98" t="s">
        <v>49</v>
      </c>
      <c r="G280" s="99" t="s">
        <v>2710</v>
      </c>
      <c r="H280" s="99">
        <v>70</v>
      </c>
      <c r="I280" s="99" t="s">
        <v>2710</v>
      </c>
      <c r="J280" s="99">
        <v>14</v>
      </c>
      <c r="K280" s="98" t="s">
        <v>528</v>
      </c>
      <c r="L280" s="98" t="s">
        <v>528</v>
      </c>
      <c r="M280" s="116">
        <v>46268.948713381193</v>
      </c>
      <c r="N280" s="116">
        <v>77623.501748412207</v>
      </c>
      <c r="O280" s="116">
        <v>8250</v>
      </c>
      <c r="P280" s="117" t="s">
        <v>208</v>
      </c>
      <c r="Q280" s="116">
        <v>8250</v>
      </c>
      <c r="R280" s="117" t="s">
        <v>208</v>
      </c>
      <c r="S280" s="116">
        <v>8250</v>
      </c>
      <c r="T280" s="117" t="s">
        <v>208</v>
      </c>
      <c r="U280" s="116">
        <v>8250</v>
      </c>
      <c r="V280" s="117" t="s">
        <v>208</v>
      </c>
      <c r="W280" s="116">
        <v>8250</v>
      </c>
      <c r="X280" s="117" t="s">
        <v>208</v>
      </c>
      <c r="Y280" s="116">
        <v>5558.181818181818</v>
      </c>
      <c r="Z280" s="117" t="s">
        <v>208</v>
      </c>
      <c r="AA280" s="116">
        <v>3315</v>
      </c>
      <c r="AB280" s="117" t="s">
        <v>208</v>
      </c>
      <c r="AC280" s="116">
        <v>3315</v>
      </c>
      <c r="AD280" s="117" t="s">
        <v>208</v>
      </c>
      <c r="AE280" s="116">
        <v>3315</v>
      </c>
      <c r="AF280" s="117" t="s">
        <v>208</v>
      </c>
      <c r="AG280" s="116">
        <v>3315</v>
      </c>
      <c r="AH280" s="117" t="s">
        <v>208</v>
      </c>
      <c r="AI280" s="116">
        <v>3315</v>
      </c>
      <c r="AJ280" s="117" t="s">
        <v>208</v>
      </c>
      <c r="AK280" s="116">
        <v>3315</v>
      </c>
      <c r="AL280" s="117" t="s">
        <v>208</v>
      </c>
      <c r="AM280" s="116">
        <v>66698.181818181823</v>
      </c>
    </row>
    <row r="281" spans="1:39" s="100" customFormat="1" ht="46.8" x14ac:dyDescent="0.3">
      <c r="A281" s="97">
        <v>271</v>
      </c>
      <c r="B281" s="98" t="s">
        <v>896</v>
      </c>
      <c r="C281" s="98" t="s">
        <v>2708</v>
      </c>
      <c r="D281" s="98" t="s">
        <v>1902</v>
      </c>
      <c r="E281" s="98" t="s">
        <v>2709</v>
      </c>
      <c r="F281" s="98" t="s">
        <v>49</v>
      </c>
      <c r="G281" s="99" t="s">
        <v>2710</v>
      </c>
      <c r="H281" s="99">
        <v>3</v>
      </c>
      <c r="I281" s="99" t="s">
        <v>2710</v>
      </c>
      <c r="J281" s="99">
        <v>1</v>
      </c>
      <c r="K281" s="98" t="s">
        <v>528</v>
      </c>
      <c r="L281" s="98" t="s">
        <v>528</v>
      </c>
      <c r="M281" s="116">
        <v>360.17470473918524</v>
      </c>
      <c r="N281" s="116">
        <v>667.3934775802071</v>
      </c>
      <c r="O281" s="116">
        <v>59</v>
      </c>
      <c r="P281" s="117" t="s">
        <v>208</v>
      </c>
      <c r="Q281" s="116">
        <v>32</v>
      </c>
      <c r="R281" s="117" t="s">
        <v>208</v>
      </c>
      <c r="S281" s="116">
        <v>20</v>
      </c>
      <c r="T281" s="117" t="s">
        <v>208</v>
      </c>
      <c r="U281" s="116">
        <v>43</v>
      </c>
      <c r="V281" s="117" t="s">
        <v>208</v>
      </c>
      <c r="W281" s="116">
        <v>22</v>
      </c>
      <c r="X281" s="117" t="s">
        <v>208</v>
      </c>
      <c r="Y281" s="116">
        <v>44.81818181818182</v>
      </c>
      <c r="Z281" s="117" t="s">
        <v>208</v>
      </c>
      <c r="AA281" s="116">
        <v>159</v>
      </c>
      <c r="AB281" s="117" t="s">
        <v>208</v>
      </c>
      <c r="AC281" s="116">
        <v>31</v>
      </c>
      <c r="AD281" s="117" t="s">
        <v>208</v>
      </c>
      <c r="AE281" s="116">
        <v>50</v>
      </c>
      <c r="AF281" s="117" t="s">
        <v>208</v>
      </c>
      <c r="AG281" s="116">
        <v>21</v>
      </c>
      <c r="AH281" s="117" t="s">
        <v>208</v>
      </c>
      <c r="AI281" s="116">
        <v>31</v>
      </c>
      <c r="AJ281" s="117" t="s">
        <v>208</v>
      </c>
      <c r="AK281" s="116">
        <v>25</v>
      </c>
      <c r="AL281" s="117" t="s">
        <v>208</v>
      </c>
      <c r="AM281" s="116">
        <v>537.81818181818176</v>
      </c>
    </row>
    <row r="282" spans="1:39" s="100" customFormat="1" ht="46.8" x14ac:dyDescent="0.3">
      <c r="A282" s="97">
        <v>272</v>
      </c>
      <c r="B282" s="98" t="s">
        <v>898</v>
      </c>
      <c r="C282" s="98" t="s">
        <v>2708</v>
      </c>
      <c r="D282" s="98" t="s">
        <v>1902</v>
      </c>
      <c r="E282" s="98" t="s">
        <v>2709</v>
      </c>
      <c r="F282" s="98" t="s">
        <v>49</v>
      </c>
      <c r="G282" s="99" t="s">
        <v>2710</v>
      </c>
      <c r="H282" s="99">
        <v>36</v>
      </c>
      <c r="I282" s="99" t="s">
        <v>2710</v>
      </c>
      <c r="J282" s="99">
        <v>6</v>
      </c>
      <c r="K282" s="98" t="s">
        <v>528</v>
      </c>
      <c r="L282" s="98" t="s">
        <v>528</v>
      </c>
      <c r="M282" s="116">
        <v>4543.5444010325446</v>
      </c>
      <c r="N282" s="116">
        <v>8173.081265288738</v>
      </c>
      <c r="O282" s="116">
        <v>840</v>
      </c>
      <c r="P282" s="117" t="s">
        <v>208</v>
      </c>
      <c r="Q282" s="116">
        <v>661</v>
      </c>
      <c r="R282" s="117" t="s">
        <v>208</v>
      </c>
      <c r="S282" s="116">
        <v>570</v>
      </c>
      <c r="T282" s="117" t="s">
        <v>208</v>
      </c>
      <c r="U282" s="116">
        <v>555</v>
      </c>
      <c r="V282" s="117" t="s">
        <v>208</v>
      </c>
      <c r="W282" s="116">
        <v>503</v>
      </c>
      <c r="X282" s="117" t="s">
        <v>208</v>
      </c>
      <c r="Y282" s="116">
        <v>580.18181818181813</v>
      </c>
      <c r="Z282" s="117" t="s">
        <v>208</v>
      </c>
      <c r="AA282" s="116">
        <v>602</v>
      </c>
      <c r="AB282" s="117" t="s">
        <v>208</v>
      </c>
      <c r="AC282" s="116">
        <v>383</v>
      </c>
      <c r="AD282" s="117" t="s">
        <v>208</v>
      </c>
      <c r="AE282" s="116">
        <v>483</v>
      </c>
      <c r="AF282" s="117" t="s">
        <v>208</v>
      </c>
      <c r="AG282" s="116">
        <v>531</v>
      </c>
      <c r="AH282" s="117" t="s">
        <v>208</v>
      </c>
      <c r="AI282" s="116">
        <v>787</v>
      </c>
      <c r="AJ282" s="117" t="s">
        <v>208</v>
      </c>
      <c r="AK282" s="116">
        <v>467</v>
      </c>
      <c r="AL282" s="117" t="s">
        <v>208</v>
      </c>
      <c r="AM282" s="116">
        <v>6962.181818181818</v>
      </c>
    </row>
    <row r="283" spans="1:39" s="100" customFormat="1" ht="46.8" x14ac:dyDescent="0.3">
      <c r="A283" s="97">
        <v>273</v>
      </c>
      <c r="B283" s="98" t="s">
        <v>900</v>
      </c>
      <c r="C283" s="98" t="s">
        <v>2708</v>
      </c>
      <c r="D283" s="98" t="s">
        <v>1902</v>
      </c>
      <c r="E283" s="98" t="s">
        <v>2709</v>
      </c>
      <c r="F283" s="98" t="s">
        <v>49</v>
      </c>
      <c r="G283" s="99" t="s">
        <v>2710</v>
      </c>
      <c r="H283" s="99">
        <v>21</v>
      </c>
      <c r="I283" s="99" t="s">
        <v>2710</v>
      </c>
      <c r="J283" s="99">
        <v>3</v>
      </c>
      <c r="K283" s="98" t="s">
        <v>528</v>
      </c>
      <c r="L283" s="98" t="s">
        <v>528</v>
      </c>
      <c r="M283" s="116">
        <v>12054.374377964376</v>
      </c>
      <c r="N283" s="116">
        <v>20392.345549377522</v>
      </c>
      <c r="O283" s="116">
        <v>1404</v>
      </c>
      <c r="P283" s="117" t="s">
        <v>208</v>
      </c>
      <c r="Q283" s="116">
        <v>1472</v>
      </c>
      <c r="R283" s="117" t="s">
        <v>208</v>
      </c>
      <c r="S283" s="116">
        <v>1423</v>
      </c>
      <c r="T283" s="117" t="s">
        <v>208</v>
      </c>
      <c r="U283" s="116">
        <v>897</v>
      </c>
      <c r="V283" s="117" t="s">
        <v>208</v>
      </c>
      <c r="W283" s="116">
        <v>945</v>
      </c>
      <c r="X283" s="117" t="s">
        <v>208</v>
      </c>
      <c r="Y283" s="116">
        <v>1361</v>
      </c>
      <c r="Z283" s="117" t="s">
        <v>208</v>
      </c>
      <c r="AA283" s="116">
        <v>1989</v>
      </c>
      <c r="AB283" s="117" t="s">
        <v>208</v>
      </c>
      <c r="AC283" s="116">
        <v>890</v>
      </c>
      <c r="AD283" s="117" t="s">
        <v>208</v>
      </c>
      <c r="AE283" s="116">
        <v>1287</v>
      </c>
      <c r="AF283" s="117" t="s">
        <v>208</v>
      </c>
      <c r="AG283" s="116">
        <v>1287</v>
      </c>
      <c r="AH283" s="117" t="s">
        <v>208</v>
      </c>
      <c r="AI283" s="116">
        <v>1866</v>
      </c>
      <c r="AJ283" s="117" t="s">
        <v>208</v>
      </c>
      <c r="AK283" s="116">
        <v>1511</v>
      </c>
      <c r="AL283" s="117" t="s">
        <v>208</v>
      </c>
      <c r="AM283" s="116">
        <v>16332</v>
      </c>
    </row>
    <row r="284" spans="1:39" s="100" customFormat="1" ht="46.8" x14ac:dyDescent="0.3">
      <c r="A284" s="97">
        <v>274</v>
      </c>
      <c r="B284" s="98" t="s">
        <v>901</v>
      </c>
      <c r="C284" s="98" t="s">
        <v>2708</v>
      </c>
      <c r="D284" s="98" t="s">
        <v>1902</v>
      </c>
      <c r="E284" s="98" t="s">
        <v>2709</v>
      </c>
      <c r="F284" s="98" t="s">
        <v>49</v>
      </c>
      <c r="G284" s="99" t="s">
        <v>2710</v>
      </c>
      <c r="H284" s="99">
        <v>6</v>
      </c>
      <c r="I284" s="99" t="s">
        <v>2710</v>
      </c>
      <c r="J284" s="99">
        <v>1</v>
      </c>
      <c r="K284" s="98" t="s">
        <v>528</v>
      </c>
      <c r="L284" s="98" t="s">
        <v>528</v>
      </c>
      <c r="M284" s="116">
        <v>1775.8212069585854</v>
      </c>
      <c r="N284" s="116">
        <v>3188.6941974018782</v>
      </c>
      <c r="O284" s="116">
        <v>345.46000000000004</v>
      </c>
      <c r="P284" s="117" t="s">
        <v>208</v>
      </c>
      <c r="Q284" s="116">
        <v>135.24</v>
      </c>
      <c r="R284" s="117" t="s">
        <v>208</v>
      </c>
      <c r="S284" s="116">
        <v>161.92000000000002</v>
      </c>
      <c r="T284" s="117" t="s">
        <v>208</v>
      </c>
      <c r="U284" s="116">
        <v>231.38</v>
      </c>
      <c r="V284" s="117" t="s">
        <v>208</v>
      </c>
      <c r="W284" s="116">
        <v>133.86000000000001</v>
      </c>
      <c r="X284" s="117" t="s">
        <v>208</v>
      </c>
      <c r="Y284" s="116">
        <v>223.56000000000003</v>
      </c>
      <c r="Z284" s="117" t="s">
        <v>208</v>
      </c>
      <c r="AA284" s="116">
        <v>401.12</v>
      </c>
      <c r="AB284" s="117" t="s">
        <v>208</v>
      </c>
      <c r="AC284" s="116">
        <v>139.38</v>
      </c>
      <c r="AD284" s="117" t="s">
        <v>208</v>
      </c>
      <c r="AE284" s="116">
        <v>190.9</v>
      </c>
      <c r="AF284" s="117" t="s">
        <v>208</v>
      </c>
      <c r="AG284" s="116">
        <v>259.44</v>
      </c>
      <c r="AH284" s="117" t="s">
        <v>208</v>
      </c>
      <c r="AI284" s="116">
        <v>251.16000000000003</v>
      </c>
      <c r="AJ284" s="117" t="s">
        <v>208</v>
      </c>
      <c r="AK284" s="116">
        <v>209.3</v>
      </c>
      <c r="AL284" s="117" t="s">
        <v>208</v>
      </c>
      <c r="AM284" s="116">
        <v>2682.7200000000003</v>
      </c>
    </row>
    <row r="285" spans="1:39" s="100" customFormat="1" ht="46.8" x14ac:dyDescent="0.3">
      <c r="A285" s="97">
        <v>275</v>
      </c>
      <c r="B285" s="98" t="s">
        <v>902</v>
      </c>
      <c r="C285" s="98" t="s">
        <v>2708</v>
      </c>
      <c r="D285" s="98" t="s">
        <v>1902</v>
      </c>
      <c r="E285" s="98" t="s">
        <v>2709</v>
      </c>
      <c r="F285" s="98" t="s">
        <v>49</v>
      </c>
      <c r="G285" s="99" t="s">
        <v>2710</v>
      </c>
      <c r="H285" s="99">
        <v>18</v>
      </c>
      <c r="I285" s="99" t="s">
        <v>2710</v>
      </c>
      <c r="J285" s="99">
        <v>3</v>
      </c>
      <c r="K285" s="98" t="s">
        <v>528</v>
      </c>
      <c r="L285" s="98" t="s">
        <v>528</v>
      </c>
      <c r="M285" s="116">
        <v>8280.9025796892238</v>
      </c>
      <c r="N285" s="116">
        <v>13527.998804220933</v>
      </c>
      <c r="O285" s="116">
        <v>1002</v>
      </c>
      <c r="P285" s="117" t="s">
        <v>208</v>
      </c>
      <c r="Q285" s="116">
        <v>794</v>
      </c>
      <c r="R285" s="117" t="s">
        <v>208</v>
      </c>
      <c r="S285" s="116">
        <v>1155</v>
      </c>
      <c r="T285" s="117" t="s">
        <v>208</v>
      </c>
      <c r="U285" s="116">
        <v>1201</v>
      </c>
      <c r="V285" s="117" t="s">
        <v>208</v>
      </c>
      <c r="W285" s="116">
        <v>811</v>
      </c>
      <c r="X285" s="117" t="s">
        <v>208</v>
      </c>
      <c r="Y285" s="116">
        <v>979.63636363636363</v>
      </c>
      <c r="Z285" s="117" t="s">
        <v>208</v>
      </c>
      <c r="AA285" s="116">
        <v>1253</v>
      </c>
      <c r="AB285" s="117" t="s">
        <v>208</v>
      </c>
      <c r="AC285" s="116">
        <v>578</v>
      </c>
      <c r="AD285" s="117" t="s">
        <v>208</v>
      </c>
      <c r="AE285" s="116">
        <v>844</v>
      </c>
      <c r="AF285" s="117" t="s">
        <v>208</v>
      </c>
      <c r="AG285" s="116">
        <v>983</v>
      </c>
      <c r="AH285" s="117" t="s">
        <v>208</v>
      </c>
      <c r="AI285" s="116">
        <v>1134</v>
      </c>
      <c r="AJ285" s="117" t="s">
        <v>208</v>
      </c>
      <c r="AK285" s="116">
        <v>1021</v>
      </c>
      <c r="AL285" s="117" t="s">
        <v>208</v>
      </c>
      <c r="AM285" s="116">
        <v>11755.636363636364</v>
      </c>
    </row>
    <row r="286" spans="1:39" s="100" customFormat="1" ht="46.8" x14ac:dyDescent="0.3">
      <c r="A286" s="97">
        <v>276</v>
      </c>
      <c r="B286" s="98" t="s">
        <v>903</v>
      </c>
      <c r="C286" s="98" t="s">
        <v>2708</v>
      </c>
      <c r="D286" s="98" t="s">
        <v>1902</v>
      </c>
      <c r="E286" s="98" t="s">
        <v>2709</v>
      </c>
      <c r="F286" s="98" t="s">
        <v>49</v>
      </c>
      <c r="G286" s="99" t="s">
        <v>2710</v>
      </c>
      <c r="H286" s="99">
        <v>18</v>
      </c>
      <c r="I286" s="99" t="s">
        <v>2710</v>
      </c>
      <c r="J286" s="99">
        <v>3</v>
      </c>
      <c r="K286" s="98" t="s">
        <v>528</v>
      </c>
      <c r="L286" s="98" t="s">
        <v>528</v>
      </c>
      <c r="M286" s="116">
        <v>3315.2447339337441</v>
      </c>
      <c r="N286" s="116">
        <v>5490.1139128524765</v>
      </c>
      <c r="O286" s="116">
        <v>357.56000000000006</v>
      </c>
      <c r="P286" s="117" t="s">
        <v>208</v>
      </c>
      <c r="Q286" s="116">
        <v>431.76000000000005</v>
      </c>
      <c r="R286" s="117" t="s">
        <v>208</v>
      </c>
      <c r="S286" s="116">
        <v>360.64000000000004</v>
      </c>
      <c r="T286" s="117" t="s">
        <v>208</v>
      </c>
      <c r="U286" s="116">
        <v>400.96000000000004</v>
      </c>
      <c r="V286" s="117" t="s">
        <v>208</v>
      </c>
      <c r="W286" s="116">
        <v>319.20000000000005</v>
      </c>
      <c r="X286" s="117" t="s">
        <v>208</v>
      </c>
      <c r="Y286" s="116">
        <v>371.68727272727278</v>
      </c>
      <c r="Z286" s="117" t="s">
        <v>208</v>
      </c>
      <c r="AA286" s="116">
        <v>638.12000000000012</v>
      </c>
      <c r="AB286" s="117" t="s">
        <v>208</v>
      </c>
      <c r="AC286" s="116">
        <v>246.96000000000004</v>
      </c>
      <c r="AD286" s="117" t="s">
        <v>208</v>
      </c>
      <c r="AE286" s="116">
        <v>333.76</v>
      </c>
      <c r="AF286" s="117" t="s">
        <v>208</v>
      </c>
      <c r="AG286" s="116">
        <v>448.00000000000006</v>
      </c>
      <c r="AH286" s="117" t="s">
        <v>208</v>
      </c>
      <c r="AI286" s="116">
        <v>386.12</v>
      </c>
      <c r="AJ286" s="117" t="s">
        <v>208</v>
      </c>
      <c r="AK286" s="116">
        <v>165.48000000000002</v>
      </c>
      <c r="AL286" s="117" t="s">
        <v>208</v>
      </c>
      <c r="AM286" s="116">
        <v>4460.2472727272725</v>
      </c>
    </row>
    <row r="287" spans="1:39" s="100" customFormat="1" ht="46.8" x14ac:dyDescent="0.3">
      <c r="A287" s="97">
        <v>277</v>
      </c>
      <c r="B287" s="98" t="s">
        <v>904</v>
      </c>
      <c r="C287" s="98" t="s">
        <v>2708</v>
      </c>
      <c r="D287" s="98" t="s">
        <v>1902</v>
      </c>
      <c r="E287" s="98" t="s">
        <v>2709</v>
      </c>
      <c r="F287" s="98" t="s">
        <v>49</v>
      </c>
      <c r="G287" s="99" t="s">
        <v>2710</v>
      </c>
      <c r="H287" s="99">
        <v>18</v>
      </c>
      <c r="I287" s="99" t="s">
        <v>2710</v>
      </c>
      <c r="J287" s="99">
        <v>3</v>
      </c>
      <c r="K287" s="98" t="s">
        <v>528</v>
      </c>
      <c r="L287" s="98" t="s">
        <v>528</v>
      </c>
      <c r="M287" s="116">
        <v>1810.2572505552382</v>
      </c>
      <c r="N287" s="116">
        <v>2979.1419217034636</v>
      </c>
      <c r="O287" s="116">
        <v>228</v>
      </c>
      <c r="P287" s="117" t="s">
        <v>208</v>
      </c>
      <c r="Q287" s="116">
        <v>152</v>
      </c>
      <c r="R287" s="117" t="s">
        <v>208</v>
      </c>
      <c r="S287" s="116">
        <v>136</v>
      </c>
      <c r="T287" s="117" t="s">
        <v>208</v>
      </c>
      <c r="U287" s="116">
        <v>136</v>
      </c>
      <c r="V287" s="117" t="s">
        <v>208</v>
      </c>
      <c r="W287" s="116">
        <v>131</v>
      </c>
      <c r="X287" s="117" t="s">
        <v>208</v>
      </c>
      <c r="Y287" s="116">
        <v>215.45454545454547</v>
      </c>
      <c r="Z287" s="117" t="s">
        <v>208</v>
      </c>
      <c r="AA287" s="116">
        <v>326</v>
      </c>
      <c r="AB287" s="117" t="s">
        <v>208</v>
      </c>
      <c r="AC287" s="116">
        <v>143</v>
      </c>
      <c r="AD287" s="117" t="s">
        <v>208</v>
      </c>
      <c r="AE287" s="116">
        <v>243</v>
      </c>
      <c r="AF287" s="117" t="s">
        <v>208</v>
      </c>
      <c r="AG287" s="116">
        <v>319</v>
      </c>
      <c r="AH287" s="117" t="s">
        <v>208</v>
      </c>
      <c r="AI287" s="116">
        <v>386</v>
      </c>
      <c r="AJ287" s="117" t="s">
        <v>208</v>
      </c>
      <c r="AK287" s="116">
        <v>170</v>
      </c>
      <c r="AL287" s="117" t="s">
        <v>208</v>
      </c>
      <c r="AM287" s="116">
        <v>2585.4545454545455</v>
      </c>
    </row>
    <row r="288" spans="1:39" s="100" customFormat="1" ht="46.8" x14ac:dyDescent="0.3">
      <c r="A288" s="97">
        <v>278</v>
      </c>
      <c r="B288" s="98" t="s">
        <v>905</v>
      </c>
      <c r="C288" s="98" t="s">
        <v>2708</v>
      </c>
      <c r="D288" s="98" t="s">
        <v>1902</v>
      </c>
      <c r="E288" s="98" t="s">
        <v>2709</v>
      </c>
      <c r="F288" s="98" t="s">
        <v>49</v>
      </c>
      <c r="G288" s="99" t="s">
        <v>2710</v>
      </c>
      <c r="H288" s="99">
        <v>5</v>
      </c>
      <c r="I288" s="99" t="s">
        <v>2710</v>
      </c>
      <c r="J288" s="99">
        <v>2</v>
      </c>
      <c r="K288" s="98" t="s">
        <v>528</v>
      </c>
      <c r="L288" s="98" t="s">
        <v>528</v>
      </c>
      <c r="M288" s="116">
        <v>713.52252300971907</v>
      </c>
      <c r="N288" s="116">
        <v>1313.2658141418904</v>
      </c>
      <c r="O288" s="116">
        <v>153</v>
      </c>
      <c r="P288" s="117" t="s">
        <v>208</v>
      </c>
      <c r="Q288" s="116">
        <v>113</v>
      </c>
      <c r="R288" s="117" t="s">
        <v>208</v>
      </c>
      <c r="S288" s="116">
        <v>84</v>
      </c>
      <c r="T288" s="117" t="s">
        <v>208</v>
      </c>
      <c r="U288" s="116">
        <v>88</v>
      </c>
      <c r="V288" s="117" t="s">
        <v>208</v>
      </c>
      <c r="W288" s="116">
        <v>79</v>
      </c>
      <c r="X288" s="117" t="s">
        <v>208</v>
      </c>
      <c r="Y288" s="116">
        <v>88.272727272727266</v>
      </c>
      <c r="Z288" s="117" t="s">
        <v>208</v>
      </c>
      <c r="AA288" s="116">
        <v>48</v>
      </c>
      <c r="AB288" s="117" t="s">
        <v>208</v>
      </c>
      <c r="AC288" s="116">
        <v>84</v>
      </c>
      <c r="AD288" s="117" t="s">
        <v>208</v>
      </c>
      <c r="AE288" s="116">
        <v>184</v>
      </c>
      <c r="AF288" s="117" t="s">
        <v>208</v>
      </c>
      <c r="AG288" s="116">
        <v>0</v>
      </c>
      <c r="AH288" s="117" t="s">
        <v>208</v>
      </c>
      <c r="AI288" s="116">
        <v>7</v>
      </c>
      <c r="AJ288" s="117" t="s">
        <v>208</v>
      </c>
      <c r="AK288" s="116">
        <v>131</v>
      </c>
      <c r="AL288" s="117" t="s">
        <v>208</v>
      </c>
      <c r="AM288" s="116">
        <v>1059.2727272727273</v>
      </c>
    </row>
    <row r="289" spans="1:39" s="100" customFormat="1" ht="46.8" x14ac:dyDescent="0.3">
      <c r="A289" s="97">
        <v>279</v>
      </c>
      <c r="B289" s="98" t="s">
        <v>906</v>
      </c>
      <c r="C289" s="98" t="s">
        <v>2708</v>
      </c>
      <c r="D289" s="98" t="s">
        <v>1902</v>
      </c>
      <c r="E289" s="98" t="s">
        <v>2709</v>
      </c>
      <c r="F289" s="98" t="s">
        <v>49</v>
      </c>
      <c r="G289" s="99" t="s">
        <v>2710</v>
      </c>
      <c r="H289" s="99">
        <v>24</v>
      </c>
      <c r="I289" s="99" t="s">
        <v>2710</v>
      </c>
      <c r="J289" s="99">
        <v>4</v>
      </c>
      <c r="K289" s="98" t="s">
        <v>528</v>
      </c>
      <c r="L289" s="98" t="s">
        <v>528</v>
      </c>
      <c r="M289" s="116">
        <v>6668.8356748688484</v>
      </c>
      <c r="N289" s="116">
        <v>12166.710880130102</v>
      </c>
      <c r="O289" s="116">
        <v>1101.1000000000001</v>
      </c>
      <c r="P289" s="117" t="s">
        <v>208</v>
      </c>
      <c r="Q289" s="116">
        <v>987.25000000000011</v>
      </c>
      <c r="R289" s="117" t="s">
        <v>208</v>
      </c>
      <c r="S289" s="116">
        <v>740.85</v>
      </c>
      <c r="T289" s="117" t="s">
        <v>208</v>
      </c>
      <c r="U289" s="116">
        <v>795.30000000000007</v>
      </c>
      <c r="V289" s="117" t="s">
        <v>208</v>
      </c>
      <c r="W289" s="116">
        <v>650.65000000000009</v>
      </c>
      <c r="X289" s="117" t="s">
        <v>208</v>
      </c>
      <c r="Y289" s="116">
        <v>832.85</v>
      </c>
      <c r="Z289" s="117" t="s">
        <v>208</v>
      </c>
      <c r="AA289" s="116">
        <v>843.7</v>
      </c>
      <c r="AB289" s="117" t="s">
        <v>208</v>
      </c>
      <c r="AC289" s="116">
        <v>713.90000000000009</v>
      </c>
      <c r="AD289" s="117" t="s">
        <v>208</v>
      </c>
      <c r="AE289" s="116">
        <v>823.90000000000009</v>
      </c>
      <c r="AF289" s="117" t="s">
        <v>208</v>
      </c>
      <c r="AG289" s="116">
        <v>811.25</v>
      </c>
      <c r="AH289" s="117" t="s">
        <v>208</v>
      </c>
      <c r="AI289" s="116">
        <v>1008.7</v>
      </c>
      <c r="AJ289" s="117" t="s">
        <v>208</v>
      </c>
      <c r="AK289" s="116">
        <v>684.75</v>
      </c>
      <c r="AL289" s="117" t="s">
        <v>208</v>
      </c>
      <c r="AM289" s="116">
        <v>9994.2000000000007</v>
      </c>
    </row>
    <row r="290" spans="1:39" s="100" customFormat="1" ht="46.8" x14ac:dyDescent="0.3">
      <c r="A290" s="97">
        <v>280</v>
      </c>
      <c r="B290" s="98" t="s">
        <v>907</v>
      </c>
      <c r="C290" s="98" t="s">
        <v>2708</v>
      </c>
      <c r="D290" s="98" t="s">
        <v>1902</v>
      </c>
      <c r="E290" s="98" t="s">
        <v>2709</v>
      </c>
      <c r="F290" s="98" t="s">
        <v>49</v>
      </c>
      <c r="G290" s="99" t="s">
        <v>2710</v>
      </c>
      <c r="H290" s="99">
        <v>18</v>
      </c>
      <c r="I290" s="99" t="s">
        <v>2710</v>
      </c>
      <c r="J290" s="99">
        <v>3</v>
      </c>
      <c r="K290" s="98" t="s">
        <v>528</v>
      </c>
      <c r="L290" s="98" t="s">
        <v>528</v>
      </c>
      <c r="M290" s="116">
        <v>7161.500715069742</v>
      </c>
      <c r="N290" s="116">
        <v>11707.014665954262</v>
      </c>
      <c r="O290" s="116">
        <v>1076</v>
      </c>
      <c r="P290" s="117" t="s">
        <v>208</v>
      </c>
      <c r="Q290" s="116">
        <v>966</v>
      </c>
      <c r="R290" s="117" t="s">
        <v>208</v>
      </c>
      <c r="S290" s="116">
        <v>788</v>
      </c>
      <c r="T290" s="117" t="s">
        <v>208</v>
      </c>
      <c r="U290" s="116">
        <v>908</v>
      </c>
      <c r="V290" s="117" t="s">
        <v>208</v>
      </c>
      <c r="W290" s="116">
        <v>694</v>
      </c>
      <c r="X290" s="117" t="s">
        <v>208</v>
      </c>
      <c r="Y290" s="116">
        <v>840.09090909090912</v>
      </c>
      <c r="Z290" s="117" t="s">
        <v>208</v>
      </c>
      <c r="AA290" s="116">
        <v>704</v>
      </c>
      <c r="AB290" s="117" t="s">
        <v>208</v>
      </c>
      <c r="AC290" s="116">
        <v>536</v>
      </c>
      <c r="AD290" s="117" t="s">
        <v>208</v>
      </c>
      <c r="AE290" s="116">
        <v>636</v>
      </c>
      <c r="AF290" s="117" t="s">
        <v>208</v>
      </c>
      <c r="AG290" s="116">
        <v>1076</v>
      </c>
      <c r="AH290" s="117" t="s">
        <v>208</v>
      </c>
      <c r="AI290" s="116">
        <v>1158</v>
      </c>
      <c r="AJ290" s="117" t="s">
        <v>208</v>
      </c>
      <c r="AK290" s="116">
        <v>699</v>
      </c>
      <c r="AL290" s="117" t="s">
        <v>208</v>
      </c>
      <c r="AM290" s="116">
        <v>10081.090909090908</v>
      </c>
    </row>
    <row r="291" spans="1:39" s="100" customFormat="1" ht="46.8" x14ac:dyDescent="0.3">
      <c r="A291" s="97">
        <v>281</v>
      </c>
      <c r="B291" s="98" t="s">
        <v>908</v>
      </c>
      <c r="C291" s="98" t="s">
        <v>2708</v>
      </c>
      <c r="D291" s="98" t="s">
        <v>1902</v>
      </c>
      <c r="E291" s="98" t="s">
        <v>2709</v>
      </c>
      <c r="F291" s="98" t="s">
        <v>49</v>
      </c>
      <c r="G291" s="99" t="s">
        <v>2710</v>
      </c>
      <c r="H291" s="99">
        <v>4</v>
      </c>
      <c r="I291" s="99" t="s">
        <v>2710</v>
      </c>
      <c r="J291" s="99">
        <v>1</v>
      </c>
      <c r="K291" s="98" t="s">
        <v>528</v>
      </c>
      <c r="L291" s="98" t="s">
        <v>528</v>
      </c>
      <c r="M291" s="116">
        <v>2796.2261797625642</v>
      </c>
      <c r="N291" s="116">
        <v>4721.0237080251582</v>
      </c>
      <c r="O291" s="116">
        <v>378.62763842544604</v>
      </c>
      <c r="P291" s="117" t="s">
        <v>208</v>
      </c>
      <c r="Q291" s="116">
        <v>256.18382288307822</v>
      </c>
      <c r="R291" s="117" t="s">
        <v>208</v>
      </c>
      <c r="S291" s="116">
        <v>294.99380029200449</v>
      </c>
      <c r="T291" s="117" t="s">
        <v>208</v>
      </c>
      <c r="U291" s="116">
        <v>281.58599500805309</v>
      </c>
      <c r="V291" s="117" t="s">
        <v>208</v>
      </c>
      <c r="W291" s="116">
        <v>302.79395474427417</v>
      </c>
      <c r="X291" s="117" t="s">
        <v>208</v>
      </c>
      <c r="Y291" s="116">
        <v>331.4050996986802</v>
      </c>
      <c r="Z291" s="117" t="s">
        <v>208</v>
      </c>
      <c r="AA291" s="116">
        <v>433.59208282351335</v>
      </c>
      <c r="AB291" s="117" t="s">
        <v>208</v>
      </c>
      <c r="AC291" s="116">
        <v>373.20809451145522</v>
      </c>
      <c r="AD291" s="117" t="s">
        <v>208</v>
      </c>
      <c r="AE291" s="116">
        <v>437.31026901563763</v>
      </c>
      <c r="AF291" s="117" t="s">
        <v>208</v>
      </c>
      <c r="AG291" s="116">
        <v>252.45504284679964</v>
      </c>
      <c r="AH291" s="117" t="s">
        <v>208</v>
      </c>
      <c r="AI291" s="116">
        <v>334.43426320755378</v>
      </c>
      <c r="AJ291" s="117" t="s">
        <v>208</v>
      </c>
      <c r="AK291" s="116">
        <v>300.27113292766649</v>
      </c>
      <c r="AL291" s="117" t="s">
        <v>208</v>
      </c>
      <c r="AM291" s="116">
        <v>3976.8611963841622</v>
      </c>
    </row>
    <row r="292" spans="1:39" s="100" customFormat="1" ht="46.8" x14ac:dyDescent="0.3">
      <c r="A292" s="97">
        <v>282</v>
      </c>
      <c r="B292" s="98" t="s">
        <v>909</v>
      </c>
      <c r="C292" s="98" t="s">
        <v>2708</v>
      </c>
      <c r="D292" s="98" t="s">
        <v>1902</v>
      </c>
      <c r="E292" s="98" t="s">
        <v>2709</v>
      </c>
      <c r="F292" s="98" t="s">
        <v>49</v>
      </c>
      <c r="G292" s="99" t="s">
        <v>2710</v>
      </c>
      <c r="H292" s="99">
        <v>24</v>
      </c>
      <c r="I292" s="99" t="s">
        <v>2710</v>
      </c>
      <c r="J292" s="99">
        <v>4</v>
      </c>
      <c r="K292" s="98" t="s">
        <v>528</v>
      </c>
      <c r="L292" s="98" t="s">
        <v>528</v>
      </c>
      <c r="M292" s="116">
        <v>5267.4352917827382</v>
      </c>
      <c r="N292" s="116">
        <v>9499.582773519056</v>
      </c>
      <c r="O292" s="116">
        <v>1391</v>
      </c>
      <c r="P292" s="117" t="s">
        <v>208</v>
      </c>
      <c r="Q292" s="116">
        <v>691</v>
      </c>
      <c r="R292" s="117" t="s">
        <v>208</v>
      </c>
      <c r="S292" s="116">
        <v>817</v>
      </c>
      <c r="T292" s="117" t="s">
        <v>208</v>
      </c>
      <c r="U292" s="116">
        <v>852</v>
      </c>
      <c r="V292" s="117" t="s">
        <v>208</v>
      </c>
      <c r="W292" s="116">
        <v>664</v>
      </c>
      <c r="X292" s="117" t="s">
        <v>208</v>
      </c>
      <c r="Y292" s="116">
        <v>666.18181818181813</v>
      </c>
      <c r="Z292" s="117" t="s">
        <v>208</v>
      </c>
      <c r="AA292" s="116">
        <v>148</v>
      </c>
      <c r="AB292" s="117" t="s">
        <v>208</v>
      </c>
      <c r="AC292" s="116">
        <v>538</v>
      </c>
      <c r="AD292" s="117" t="s">
        <v>208</v>
      </c>
      <c r="AE292" s="116">
        <v>56</v>
      </c>
      <c r="AF292" s="117" t="s">
        <v>208</v>
      </c>
      <c r="AG292" s="116">
        <v>668</v>
      </c>
      <c r="AH292" s="117" t="s">
        <v>208</v>
      </c>
      <c r="AI292" s="116">
        <v>960</v>
      </c>
      <c r="AJ292" s="117" t="s">
        <v>208</v>
      </c>
      <c r="AK292" s="116">
        <v>543</v>
      </c>
      <c r="AL292" s="117" t="s">
        <v>208</v>
      </c>
      <c r="AM292" s="116">
        <v>7994.181818181818</v>
      </c>
    </row>
    <row r="293" spans="1:39" s="100" customFormat="1" ht="46.8" x14ac:dyDescent="0.3">
      <c r="A293" s="97">
        <v>283</v>
      </c>
      <c r="B293" s="98" t="s">
        <v>910</v>
      </c>
      <c r="C293" s="98" t="s">
        <v>2708</v>
      </c>
      <c r="D293" s="98" t="s">
        <v>1902</v>
      </c>
      <c r="E293" s="98" t="s">
        <v>2709</v>
      </c>
      <c r="F293" s="98" t="s">
        <v>49</v>
      </c>
      <c r="G293" s="99" t="s">
        <v>2710</v>
      </c>
      <c r="H293" s="99">
        <v>3</v>
      </c>
      <c r="I293" s="99" t="s">
        <v>2710</v>
      </c>
      <c r="J293" s="99">
        <v>1</v>
      </c>
      <c r="K293" s="98" t="s">
        <v>528</v>
      </c>
      <c r="L293" s="98" t="s">
        <v>528</v>
      </c>
      <c r="M293" s="116">
        <v>3319.926771682522</v>
      </c>
      <c r="N293" s="116">
        <v>5338.1701031733928</v>
      </c>
      <c r="O293" s="116">
        <v>416.96934840987439</v>
      </c>
      <c r="P293" s="117" t="s">
        <v>208</v>
      </c>
      <c r="Q293" s="116">
        <v>368.37694484592362</v>
      </c>
      <c r="R293" s="117" t="s">
        <v>208</v>
      </c>
      <c r="S293" s="116">
        <v>347.96766434415986</v>
      </c>
      <c r="T293" s="117" t="s">
        <v>208</v>
      </c>
      <c r="U293" s="116">
        <v>256.55402440962348</v>
      </c>
      <c r="V293" s="117" t="s">
        <v>208</v>
      </c>
      <c r="W293" s="116">
        <v>343.2067994299012</v>
      </c>
      <c r="X293" s="117" t="s">
        <v>208</v>
      </c>
      <c r="Y293" s="116">
        <v>375.97685990558205</v>
      </c>
      <c r="Z293" s="117" t="s">
        <v>208</v>
      </c>
      <c r="AA293" s="116">
        <v>428.58023260179698</v>
      </c>
      <c r="AB293" s="117" t="s">
        <v>208</v>
      </c>
      <c r="AC293" s="116">
        <v>403.87213953274306</v>
      </c>
      <c r="AD293" s="117" t="s">
        <v>208</v>
      </c>
      <c r="AE293" s="116">
        <v>443.73763989156566</v>
      </c>
      <c r="AF293" s="117" t="s">
        <v>208</v>
      </c>
      <c r="AG293" s="116">
        <v>334.35271782561369</v>
      </c>
      <c r="AH293" s="117" t="s">
        <v>208</v>
      </c>
      <c r="AI293" s="116">
        <v>342.65204918551763</v>
      </c>
      <c r="AJ293" s="117" t="s">
        <v>208</v>
      </c>
      <c r="AK293" s="116">
        <v>449.47589848468397</v>
      </c>
      <c r="AL293" s="117" t="s">
        <v>208</v>
      </c>
      <c r="AM293" s="116">
        <v>4511.722318866985</v>
      </c>
    </row>
    <row r="294" spans="1:39" s="100" customFormat="1" ht="46.8" x14ac:dyDescent="0.3">
      <c r="A294" s="97">
        <v>284</v>
      </c>
      <c r="B294" s="98" t="s">
        <v>911</v>
      </c>
      <c r="C294" s="98" t="s">
        <v>2708</v>
      </c>
      <c r="D294" s="98" t="s">
        <v>1902</v>
      </c>
      <c r="E294" s="98" t="s">
        <v>2709</v>
      </c>
      <c r="F294" s="98" t="s">
        <v>49</v>
      </c>
      <c r="G294" s="99" t="s">
        <v>2711</v>
      </c>
      <c r="H294" s="99">
        <v>28</v>
      </c>
      <c r="I294" s="99" t="s">
        <v>2711</v>
      </c>
      <c r="J294" s="99">
        <v>4</v>
      </c>
      <c r="K294" s="98" t="s">
        <v>528</v>
      </c>
      <c r="L294" s="98" t="s">
        <v>528</v>
      </c>
      <c r="M294" s="116">
        <v>8486.3516138836549</v>
      </c>
      <c r="N294" s="116">
        <v>13814.989431221276</v>
      </c>
      <c r="O294" s="116">
        <v>1197</v>
      </c>
      <c r="P294" s="117" t="s">
        <v>208</v>
      </c>
      <c r="Q294" s="116">
        <v>1051</v>
      </c>
      <c r="R294" s="117" t="s">
        <v>208</v>
      </c>
      <c r="S294" s="116">
        <v>877</v>
      </c>
      <c r="T294" s="117" t="s">
        <v>208</v>
      </c>
      <c r="U294" s="116">
        <v>945</v>
      </c>
      <c r="V294" s="117" t="s">
        <v>208</v>
      </c>
      <c r="W294" s="116">
        <v>856</v>
      </c>
      <c r="X294" s="117" t="s">
        <v>208</v>
      </c>
      <c r="Y294" s="116">
        <v>989.72727272727275</v>
      </c>
      <c r="Z294" s="117" t="s">
        <v>208</v>
      </c>
      <c r="AA294" s="116">
        <v>1310</v>
      </c>
      <c r="AB294" s="117" t="s">
        <v>208</v>
      </c>
      <c r="AC294" s="116">
        <v>1063</v>
      </c>
      <c r="AD294" s="117" t="s">
        <v>208</v>
      </c>
      <c r="AE294" s="116">
        <v>1260</v>
      </c>
      <c r="AF294" s="117" t="s">
        <v>208</v>
      </c>
      <c r="AG294" s="116">
        <v>702</v>
      </c>
      <c r="AH294" s="117" t="s">
        <v>208</v>
      </c>
      <c r="AI294" s="116">
        <v>1006</v>
      </c>
      <c r="AJ294" s="117" t="s">
        <v>208</v>
      </c>
      <c r="AK294" s="116">
        <v>620</v>
      </c>
      <c r="AL294" s="117" t="s">
        <v>208</v>
      </c>
      <c r="AM294" s="116">
        <v>11876.727272727272</v>
      </c>
    </row>
    <row r="295" spans="1:39" s="100" customFormat="1" ht="46.8" x14ac:dyDescent="0.3">
      <c r="A295" s="97">
        <v>285</v>
      </c>
      <c r="B295" s="98" t="s">
        <v>912</v>
      </c>
      <c r="C295" s="98" t="s">
        <v>2708</v>
      </c>
      <c r="D295" s="98" t="s">
        <v>1902</v>
      </c>
      <c r="E295" s="98" t="s">
        <v>2709</v>
      </c>
      <c r="F295" s="98" t="s">
        <v>49</v>
      </c>
      <c r="G295" s="99" t="s">
        <v>2710</v>
      </c>
      <c r="H295" s="99">
        <v>10</v>
      </c>
      <c r="I295" s="99" t="s">
        <v>2710</v>
      </c>
      <c r="J295" s="99">
        <v>2</v>
      </c>
      <c r="K295" s="98" t="s">
        <v>528</v>
      </c>
      <c r="L295" s="98" t="s">
        <v>528</v>
      </c>
      <c r="M295" s="116">
        <v>3203.3631664427412</v>
      </c>
      <c r="N295" s="116">
        <v>5229.0584533213887</v>
      </c>
      <c r="O295" s="116">
        <v>589</v>
      </c>
      <c r="P295" s="117" t="s">
        <v>208</v>
      </c>
      <c r="Q295" s="116">
        <v>403</v>
      </c>
      <c r="R295" s="117" t="s">
        <v>208</v>
      </c>
      <c r="S295" s="116">
        <v>351</v>
      </c>
      <c r="T295" s="117" t="s">
        <v>208</v>
      </c>
      <c r="U295" s="116">
        <v>400</v>
      </c>
      <c r="V295" s="117" t="s">
        <v>208</v>
      </c>
      <c r="W295" s="116">
        <v>253</v>
      </c>
      <c r="X295" s="117" t="s">
        <v>208</v>
      </c>
      <c r="Y295" s="116">
        <v>365.63636363636363</v>
      </c>
      <c r="Z295" s="117" t="s">
        <v>208</v>
      </c>
      <c r="AA295" s="116">
        <v>266</v>
      </c>
      <c r="AB295" s="117" t="s">
        <v>208</v>
      </c>
      <c r="AC295" s="116">
        <v>229</v>
      </c>
      <c r="AD295" s="117" t="s">
        <v>208</v>
      </c>
      <c r="AE295" s="116">
        <v>295</v>
      </c>
      <c r="AF295" s="117" t="s">
        <v>208</v>
      </c>
      <c r="AG295" s="116">
        <v>301</v>
      </c>
      <c r="AH295" s="117" t="s">
        <v>208</v>
      </c>
      <c r="AI295" s="116">
        <v>549</v>
      </c>
      <c r="AJ295" s="117" t="s">
        <v>208</v>
      </c>
      <c r="AK295" s="116">
        <v>386</v>
      </c>
      <c r="AL295" s="117" t="s">
        <v>208</v>
      </c>
      <c r="AM295" s="116">
        <v>4387.636363636364</v>
      </c>
    </row>
    <row r="296" spans="1:39" s="100" customFormat="1" ht="46.8" x14ac:dyDescent="0.3">
      <c r="A296" s="97">
        <v>286</v>
      </c>
      <c r="B296" s="98" t="s">
        <v>913</v>
      </c>
      <c r="C296" s="98" t="s">
        <v>2708</v>
      </c>
      <c r="D296" s="98" t="s">
        <v>1902</v>
      </c>
      <c r="E296" s="98" t="s">
        <v>2709</v>
      </c>
      <c r="F296" s="98" t="s">
        <v>49</v>
      </c>
      <c r="G296" s="99" t="s">
        <v>2710</v>
      </c>
      <c r="H296" s="99">
        <v>56</v>
      </c>
      <c r="I296" s="99" t="s">
        <v>2710</v>
      </c>
      <c r="J296" s="99">
        <v>8</v>
      </c>
      <c r="K296" s="98" t="s">
        <v>528</v>
      </c>
      <c r="L296" s="98" t="s">
        <v>528</v>
      </c>
      <c r="M296" s="116">
        <v>13948.278385030408</v>
      </c>
      <c r="N296" s="116">
        <v>22715.684389296224</v>
      </c>
      <c r="O296" s="116">
        <v>2340</v>
      </c>
      <c r="P296" s="117" t="s">
        <v>208</v>
      </c>
      <c r="Q296" s="116">
        <v>2260</v>
      </c>
      <c r="R296" s="117" t="s">
        <v>208</v>
      </c>
      <c r="S296" s="116">
        <v>1885</v>
      </c>
      <c r="T296" s="117" t="s">
        <v>208</v>
      </c>
      <c r="U296" s="116">
        <v>1830</v>
      </c>
      <c r="V296" s="117" t="s">
        <v>208</v>
      </c>
      <c r="W296" s="116">
        <v>1770</v>
      </c>
      <c r="X296" s="117" t="s">
        <v>208</v>
      </c>
      <c r="Y296" s="116">
        <v>1635</v>
      </c>
      <c r="Z296" s="117" t="s">
        <v>208</v>
      </c>
      <c r="AA296" s="116">
        <v>1376</v>
      </c>
      <c r="AB296" s="117" t="s">
        <v>208</v>
      </c>
      <c r="AC296" s="116">
        <v>1147</v>
      </c>
      <c r="AD296" s="117" t="s">
        <v>208</v>
      </c>
      <c r="AE296" s="116">
        <v>1128</v>
      </c>
      <c r="AF296" s="117" t="s">
        <v>208</v>
      </c>
      <c r="AG296" s="116">
        <v>1564</v>
      </c>
      <c r="AH296" s="117" t="s">
        <v>208</v>
      </c>
      <c r="AI296" s="116">
        <v>1529</v>
      </c>
      <c r="AJ296" s="117" t="s">
        <v>208</v>
      </c>
      <c r="AK296" s="116">
        <v>1156</v>
      </c>
      <c r="AL296" s="117" t="s">
        <v>208</v>
      </c>
      <c r="AM296" s="116">
        <v>19620</v>
      </c>
    </row>
    <row r="297" spans="1:39" s="100" customFormat="1" ht="46.8" x14ac:dyDescent="0.3">
      <c r="A297" s="97">
        <v>287</v>
      </c>
      <c r="B297" s="98" t="s">
        <v>915</v>
      </c>
      <c r="C297" s="98" t="s">
        <v>2708</v>
      </c>
      <c r="D297" s="98" t="s">
        <v>1902</v>
      </c>
      <c r="E297" s="98" t="s">
        <v>2709</v>
      </c>
      <c r="F297" s="98" t="s">
        <v>49</v>
      </c>
      <c r="G297" s="99" t="s">
        <v>2710</v>
      </c>
      <c r="H297" s="99">
        <v>30</v>
      </c>
      <c r="I297" s="99" t="s">
        <v>2710</v>
      </c>
      <c r="J297" s="99">
        <v>5</v>
      </c>
      <c r="K297" s="98" t="s">
        <v>528</v>
      </c>
      <c r="L297" s="98" t="s">
        <v>528</v>
      </c>
      <c r="M297" s="116">
        <v>5728.8627787354708</v>
      </c>
      <c r="N297" s="116">
        <v>10176.730561475146</v>
      </c>
      <c r="O297" s="116">
        <v>851</v>
      </c>
      <c r="P297" s="117" t="s">
        <v>208</v>
      </c>
      <c r="Q297" s="116">
        <v>885</v>
      </c>
      <c r="R297" s="117" t="s">
        <v>208</v>
      </c>
      <c r="S297" s="116">
        <v>794</v>
      </c>
      <c r="T297" s="117" t="s">
        <v>208</v>
      </c>
      <c r="U297" s="116">
        <v>624</v>
      </c>
      <c r="V297" s="117" t="s">
        <v>208</v>
      </c>
      <c r="W297" s="116">
        <v>827</v>
      </c>
      <c r="X297" s="117" t="s">
        <v>208</v>
      </c>
      <c r="Y297" s="116">
        <v>715.09090909090912</v>
      </c>
      <c r="Z297" s="117" t="s">
        <v>208</v>
      </c>
      <c r="AA297" s="116">
        <v>545</v>
      </c>
      <c r="AB297" s="117" t="s">
        <v>208</v>
      </c>
      <c r="AC297" s="116">
        <v>544</v>
      </c>
      <c r="AD297" s="117" t="s">
        <v>208</v>
      </c>
      <c r="AE297" s="116">
        <v>478</v>
      </c>
      <c r="AF297" s="117" t="s">
        <v>208</v>
      </c>
      <c r="AG297" s="116">
        <v>639</v>
      </c>
      <c r="AH297" s="117" t="s">
        <v>208</v>
      </c>
      <c r="AI297" s="116">
        <v>956</v>
      </c>
      <c r="AJ297" s="117" t="s">
        <v>208</v>
      </c>
      <c r="AK297" s="116">
        <v>723</v>
      </c>
      <c r="AL297" s="117" t="s">
        <v>208</v>
      </c>
      <c r="AM297" s="116">
        <v>8581.0909090909081</v>
      </c>
    </row>
    <row r="298" spans="1:39" s="100" customFormat="1" ht="46.8" x14ac:dyDescent="0.3">
      <c r="A298" s="97">
        <v>288</v>
      </c>
      <c r="B298" s="98" t="s">
        <v>916</v>
      </c>
      <c r="C298" s="98" t="s">
        <v>2708</v>
      </c>
      <c r="D298" s="98" t="s">
        <v>1902</v>
      </c>
      <c r="E298" s="98" t="s">
        <v>2709</v>
      </c>
      <c r="F298" s="98" t="s">
        <v>49</v>
      </c>
      <c r="G298" s="99" t="s">
        <v>2710</v>
      </c>
      <c r="H298" s="99">
        <v>8</v>
      </c>
      <c r="I298" s="99" t="s">
        <v>2710</v>
      </c>
      <c r="J298" s="99">
        <v>2</v>
      </c>
      <c r="K298" s="98" t="s">
        <v>528</v>
      </c>
      <c r="L298" s="98" t="s">
        <v>528</v>
      </c>
      <c r="M298" s="116">
        <v>400.65175049729277</v>
      </c>
      <c r="N298" s="116">
        <v>709.33594440969568</v>
      </c>
      <c r="O298" s="116">
        <v>87</v>
      </c>
      <c r="P298" s="117" t="s">
        <v>208</v>
      </c>
      <c r="Q298" s="116">
        <v>92</v>
      </c>
      <c r="R298" s="117" t="s">
        <v>208</v>
      </c>
      <c r="S298" s="116">
        <v>79</v>
      </c>
      <c r="T298" s="117" t="s">
        <v>208</v>
      </c>
      <c r="U298" s="116">
        <v>76</v>
      </c>
      <c r="V298" s="117" t="s">
        <v>208</v>
      </c>
      <c r="W298" s="116">
        <v>63</v>
      </c>
      <c r="X298" s="117" t="s">
        <v>208</v>
      </c>
      <c r="Y298" s="116">
        <v>51.363636363636367</v>
      </c>
      <c r="Z298" s="117" t="s">
        <v>208</v>
      </c>
      <c r="AA298" s="116">
        <v>0</v>
      </c>
      <c r="AB298" s="117" t="s">
        <v>208</v>
      </c>
      <c r="AC298" s="116">
        <v>0</v>
      </c>
      <c r="AD298" s="117" t="s">
        <v>208</v>
      </c>
      <c r="AE298" s="116">
        <v>0</v>
      </c>
      <c r="AF298" s="117" t="s">
        <v>208</v>
      </c>
      <c r="AG298" s="116">
        <v>49</v>
      </c>
      <c r="AH298" s="117" t="s">
        <v>208</v>
      </c>
      <c r="AI298" s="116">
        <v>70</v>
      </c>
      <c r="AJ298" s="117" t="s">
        <v>208</v>
      </c>
      <c r="AK298" s="116">
        <v>49</v>
      </c>
      <c r="AL298" s="117" t="s">
        <v>208</v>
      </c>
      <c r="AM298" s="116">
        <v>616.36363636363637</v>
      </c>
    </row>
    <row r="299" spans="1:39" s="100" customFormat="1" ht="46.8" x14ac:dyDescent="0.3">
      <c r="A299" s="97">
        <v>289</v>
      </c>
      <c r="B299" s="98" t="s">
        <v>918</v>
      </c>
      <c r="C299" s="98" t="s">
        <v>2708</v>
      </c>
      <c r="D299" s="98" t="s">
        <v>1902</v>
      </c>
      <c r="E299" s="98" t="s">
        <v>2709</v>
      </c>
      <c r="F299" s="98" t="s">
        <v>49</v>
      </c>
      <c r="G299" s="99" t="s">
        <v>2710</v>
      </c>
      <c r="H299" s="99">
        <v>15</v>
      </c>
      <c r="I299" s="99" t="s">
        <v>2710</v>
      </c>
      <c r="J299" s="99">
        <v>3</v>
      </c>
      <c r="K299" s="98" t="s">
        <v>528</v>
      </c>
      <c r="L299" s="98" t="s">
        <v>528</v>
      </c>
      <c r="M299" s="116">
        <v>8675.4654902138391</v>
      </c>
      <c r="N299" s="116">
        <v>13712.904412258524</v>
      </c>
      <c r="O299" s="116">
        <v>1335</v>
      </c>
      <c r="P299" s="117" t="s">
        <v>208</v>
      </c>
      <c r="Q299" s="116">
        <v>1351</v>
      </c>
      <c r="R299" s="117" t="s">
        <v>208</v>
      </c>
      <c r="S299" s="116">
        <v>347</v>
      </c>
      <c r="T299" s="117" t="s">
        <v>208</v>
      </c>
      <c r="U299" s="116">
        <v>708</v>
      </c>
      <c r="V299" s="117" t="s">
        <v>208</v>
      </c>
      <c r="W299" s="116">
        <v>714</v>
      </c>
      <c r="X299" s="117" t="s">
        <v>208</v>
      </c>
      <c r="Y299" s="116">
        <v>984.81818181818187</v>
      </c>
      <c r="Z299" s="117" t="s">
        <v>208</v>
      </c>
      <c r="AA299" s="116">
        <v>1131</v>
      </c>
      <c r="AB299" s="117" t="s">
        <v>208</v>
      </c>
      <c r="AC299" s="116">
        <v>879</v>
      </c>
      <c r="AD299" s="117" t="s">
        <v>208</v>
      </c>
      <c r="AE299" s="116">
        <v>900</v>
      </c>
      <c r="AF299" s="117" t="s">
        <v>208</v>
      </c>
      <c r="AG299" s="116">
        <v>1331</v>
      </c>
      <c r="AH299" s="117" t="s">
        <v>208</v>
      </c>
      <c r="AI299" s="116">
        <v>976</v>
      </c>
      <c r="AJ299" s="117" t="s">
        <v>208</v>
      </c>
      <c r="AK299" s="116">
        <v>1161</v>
      </c>
      <c r="AL299" s="117" t="s">
        <v>208</v>
      </c>
      <c r="AM299" s="116">
        <v>11817.818181818182</v>
      </c>
    </row>
    <row r="300" spans="1:39" s="100" customFormat="1" ht="46.8" x14ac:dyDescent="0.3">
      <c r="A300" s="97">
        <v>290</v>
      </c>
      <c r="B300" s="98" t="s">
        <v>920</v>
      </c>
      <c r="C300" s="98" t="s">
        <v>2708</v>
      </c>
      <c r="D300" s="98" t="s">
        <v>1902</v>
      </c>
      <c r="E300" s="98" t="s">
        <v>2709</v>
      </c>
      <c r="F300" s="98" t="s">
        <v>49</v>
      </c>
      <c r="G300" s="99" t="s">
        <v>2710</v>
      </c>
      <c r="H300" s="99">
        <v>6</v>
      </c>
      <c r="I300" s="99" t="s">
        <v>2710</v>
      </c>
      <c r="J300" s="99">
        <v>1</v>
      </c>
      <c r="K300" s="98" t="s">
        <v>528</v>
      </c>
      <c r="L300" s="98" t="s">
        <v>528</v>
      </c>
      <c r="M300" s="116">
        <v>8751.9396570065237</v>
      </c>
      <c r="N300" s="116">
        <v>14770.880876354073</v>
      </c>
      <c r="O300" s="116">
        <v>1727</v>
      </c>
      <c r="P300" s="117" t="s">
        <v>208</v>
      </c>
      <c r="Q300" s="116">
        <v>1511</v>
      </c>
      <c r="R300" s="117" t="s">
        <v>208</v>
      </c>
      <c r="S300" s="116">
        <v>1008</v>
      </c>
      <c r="T300" s="117" t="s">
        <v>208</v>
      </c>
      <c r="U300" s="116">
        <v>698</v>
      </c>
      <c r="V300" s="117" t="s">
        <v>208</v>
      </c>
      <c r="W300" s="116">
        <v>1738</v>
      </c>
      <c r="X300" s="117" t="s">
        <v>208</v>
      </c>
      <c r="Y300" s="116">
        <v>1046.8181818181818</v>
      </c>
      <c r="Z300" s="117" t="s">
        <v>208</v>
      </c>
      <c r="AA300" s="116">
        <v>980</v>
      </c>
      <c r="AB300" s="117" t="s">
        <v>208</v>
      </c>
      <c r="AC300" s="116">
        <v>627</v>
      </c>
      <c r="AD300" s="117" t="s">
        <v>208</v>
      </c>
      <c r="AE300" s="116">
        <v>817</v>
      </c>
      <c r="AF300" s="117" t="s">
        <v>208</v>
      </c>
      <c r="AG300" s="116">
        <v>807</v>
      </c>
      <c r="AH300" s="117" t="s">
        <v>208</v>
      </c>
      <c r="AI300" s="116">
        <v>758</v>
      </c>
      <c r="AJ300" s="117" t="s">
        <v>208</v>
      </c>
      <c r="AK300" s="116">
        <v>844</v>
      </c>
      <c r="AL300" s="117" t="s">
        <v>208</v>
      </c>
      <c r="AM300" s="116">
        <v>12561.818181818182</v>
      </c>
    </row>
    <row r="301" spans="1:39" s="100" customFormat="1" ht="46.8" x14ac:dyDescent="0.3">
      <c r="A301" s="97">
        <v>291</v>
      </c>
      <c r="B301" s="98" t="s">
        <v>921</v>
      </c>
      <c r="C301" s="98" t="s">
        <v>2708</v>
      </c>
      <c r="D301" s="98" t="s">
        <v>1902</v>
      </c>
      <c r="E301" s="98" t="s">
        <v>2709</v>
      </c>
      <c r="F301" s="98" t="s">
        <v>49</v>
      </c>
      <c r="G301" s="99" t="s">
        <v>2710</v>
      </c>
      <c r="H301" s="99">
        <v>3</v>
      </c>
      <c r="I301" s="99" t="s">
        <v>2710</v>
      </c>
      <c r="J301" s="99">
        <v>1</v>
      </c>
      <c r="K301" s="98" t="s">
        <v>528</v>
      </c>
      <c r="L301" s="98" t="s">
        <v>528</v>
      </c>
      <c r="M301" s="116">
        <v>2461.3230073051195</v>
      </c>
      <c r="N301" s="116">
        <v>4021.5526893440688</v>
      </c>
      <c r="O301" s="116">
        <v>207.3079270078253</v>
      </c>
      <c r="P301" s="117" t="s">
        <v>208</v>
      </c>
      <c r="Q301" s="116">
        <v>338.05548621858708</v>
      </c>
      <c r="R301" s="117" t="s">
        <v>208</v>
      </c>
      <c r="S301" s="116">
        <v>226.40668793532842</v>
      </c>
      <c r="T301" s="117" t="s">
        <v>208</v>
      </c>
      <c r="U301" s="116">
        <v>259.55939957566397</v>
      </c>
      <c r="V301" s="117" t="s">
        <v>208</v>
      </c>
      <c r="W301" s="116">
        <v>337.32793585449065</v>
      </c>
      <c r="X301" s="117" t="s">
        <v>208</v>
      </c>
      <c r="Y301" s="116">
        <v>276.1635849441372</v>
      </c>
      <c r="Z301" s="117" t="s">
        <v>208</v>
      </c>
      <c r="AA301" s="116">
        <v>222.01474909543944</v>
      </c>
      <c r="AB301" s="117" t="s">
        <v>208</v>
      </c>
      <c r="AC301" s="116">
        <v>332.59432699059744</v>
      </c>
      <c r="AD301" s="117" t="s">
        <v>208</v>
      </c>
      <c r="AE301" s="116">
        <v>297.34258599736455</v>
      </c>
      <c r="AF301" s="117" t="s">
        <v>208</v>
      </c>
      <c r="AG301" s="116">
        <v>290.9242989782486</v>
      </c>
      <c r="AH301" s="117" t="s">
        <v>208</v>
      </c>
      <c r="AI301" s="116">
        <v>216.92049844049544</v>
      </c>
      <c r="AJ301" s="117" t="s">
        <v>208</v>
      </c>
      <c r="AK301" s="116">
        <v>309.34553829146824</v>
      </c>
      <c r="AL301" s="117" t="s">
        <v>208</v>
      </c>
      <c r="AM301" s="116">
        <v>3313.9630193296462</v>
      </c>
    </row>
    <row r="302" spans="1:39" s="100" customFormat="1" ht="46.8" x14ac:dyDescent="0.3">
      <c r="A302" s="97">
        <v>292</v>
      </c>
      <c r="B302" s="98" t="s">
        <v>922</v>
      </c>
      <c r="C302" s="98" t="s">
        <v>2708</v>
      </c>
      <c r="D302" s="98" t="s">
        <v>1902</v>
      </c>
      <c r="E302" s="98" t="s">
        <v>2709</v>
      </c>
      <c r="F302" s="98" t="s">
        <v>49</v>
      </c>
      <c r="G302" s="99" t="s">
        <v>2710</v>
      </c>
      <c r="H302" s="99">
        <v>5</v>
      </c>
      <c r="I302" s="99" t="s">
        <v>2710</v>
      </c>
      <c r="J302" s="99">
        <v>1</v>
      </c>
      <c r="K302" s="98" t="s">
        <v>528</v>
      </c>
      <c r="L302" s="98" t="s">
        <v>528</v>
      </c>
      <c r="M302" s="116">
        <v>4540.4576313536081</v>
      </c>
      <c r="N302" s="116">
        <v>7609.5264504041716</v>
      </c>
      <c r="O302" s="116">
        <v>528.26160308236501</v>
      </c>
      <c r="P302" s="117" t="s">
        <v>208</v>
      </c>
      <c r="Q302" s="116">
        <v>456.84518124676657</v>
      </c>
      <c r="R302" s="117" t="s">
        <v>208</v>
      </c>
      <c r="S302" s="116">
        <v>728.58120727761059</v>
      </c>
      <c r="T302" s="117" t="s">
        <v>208</v>
      </c>
      <c r="U302" s="116">
        <v>477.75988505358009</v>
      </c>
      <c r="V302" s="117" t="s">
        <v>208</v>
      </c>
      <c r="W302" s="116">
        <v>646.66618054745379</v>
      </c>
      <c r="X302" s="117" t="s">
        <v>208</v>
      </c>
      <c r="Y302" s="116">
        <v>533.1616650948888</v>
      </c>
      <c r="Z302" s="117" t="s">
        <v>208</v>
      </c>
      <c r="AA302" s="116">
        <v>512.2829450430645</v>
      </c>
      <c r="AB302" s="117" t="s">
        <v>208</v>
      </c>
      <c r="AC302" s="116">
        <v>525.4982426051223</v>
      </c>
      <c r="AD302" s="117" t="s">
        <v>208</v>
      </c>
      <c r="AE302" s="116">
        <v>644.04744877200494</v>
      </c>
      <c r="AF302" s="117" t="s">
        <v>208</v>
      </c>
      <c r="AG302" s="116">
        <v>431.62565379275441</v>
      </c>
      <c r="AH302" s="117" t="s">
        <v>208</v>
      </c>
      <c r="AI302" s="116">
        <v>485.0985899326098</v>
      </c>
      <c r="AJ302" s="117" t="s">
        <v>208</v>
      </c>
      <c r="AK302" s="116">
        <v>428.11137869044404</v>
      </c>
      <c r="AL302" s="117" t="s">
        <v>208</v>
      </c>
      <c r="AM302" s="116">
        <v>6397.9399811386647</v>
      </c>
    </row>
    <row r="303" spans="1:39" s="100" customFormat="1" ht="46.8" x14ac:dyDescent="0.3">
      <c r="A303" s="97">
        <v>293</v>
      </c>
      <c r="B303" s="98" t="s">
        <v>923</v>
      </c>
      <c r="C303" s="98" t="s">
        <v>2708</v>
      </c>
      <c r="D303" s="98" t="s">
        <v>1902</v>
      </c>
      <c r="E303" s="98" t="s">
        <v>2709</v>
      </c>
      <c r="F303" s="98" t="s">
        <v>49</v>
      </c>
      <c r="G303" s="99" t="s">
        <v>2710</v>
      </c>
      <c r="H303" s="99">
        <v>6</v>
      </c>
      <c r="I303" s="99" t="s">
        <v>2710</v>
      </c>
      <c r="J303" s="99">
        <v>1</v>
      </c>
      <c r="K303" s="98" t="s">
        <v>528</v>
      </c>
      <c r="L303" s="98" t="s">
        <v>528</v>
      </c>
      <c r="M303" s="116">
        <v>2871.0819057977401</v>
      </c>
      <c r="N303" s="116">
        <v>4983.09246637058</v>
      </c>
      <c r="O303" s="116">
        <v>348.75568996193277</v>
      </c>
      <c r="P303" s="117" t="s">
        <v>208</v>
      </c>
      <c r="Q303" s="116">
        <v>259.0339556652346</v>
      </c>
      <c r="R303" s="117" t="s">
        <v>208</v>
      </c>
      <c r="S303" s="116">
        <v>337.15670860297524</v>
      </c>
      <c r="T303" s="117" t="s">
        <v>208</v>
      </c>
      <c r="U303" s="116">
        <v>376.60758032478583</v>
      </c>
      <c r="V303" s="117" t="s">
        <v>208</v>
      </c>
      <c r="W303" s="116">
        <v>349.39103878482518</v>
      </c>
      <c r="X303" s="117" t="s">
        <v>208</v>
      </c>
      <c r="Y303" s="116">
        <v>346.25627736188096</v>
      </c>
      <c r="Z303" s="117" t="s">
        <v>208</v>
      </c>
      <c r="AA303" s="116">
        <v>328.94405236188368</v>
      </c>
      <c r="AB303" s="117" t="s">
        <v>208</v>
      </c>
      <c r="AC303" s="116">
        <v>318.69853933006112</v>
      </c>
      <c r="AD303" s="117" t="s">
        <v>208</v>
      </c>
      <c r="AE303" s="116">
        <v>431.35676985995332</v>
      </c>
      <c r="AF303" s="117" t="s">
        <v>208</v>
      </c>
      <c r="AG303" s="116">
        <v>382.6921049657858</v>
      </c>
      <c r="AH303" s="117" t="s">
        <v>208</v>
      </c>
      <c r="AI303" s="116">
        <v>391.0078472792971</v>
      </c>
      <c r="AJ303" s="117" t="s">
        <v>208</v>
      </c>
      <c r="AK303" s="116">
        <v>285.17476384395587</v>
      </c>
      <c r="AL303" s="117" t="s">
        <v>208</v>
      </c>
      <c r="AM303" s="116">
        <v>4155.0753283425711</v>
      </c>
    </row>
    <row r="304" spans="1:39" s="100" customFormat="1" ht="46.8" x14ac:dyDescent="0.3">
      <c r="A304" s="97">
        <v>294</v>
      </c>
      <c r="B304" s="98" t="s">
        <v>925</v>
      </c>
      <c r="C304" s="98" t="s">
        <v>2708</v>
      </c>
      <c r="D304" s="98" t="s">
        <v>1902</v>
      </c>
      <c r="E304" s="98" t="s">
        <v>2709</v>
      </c>
      <c r="F304" s="98" t="s">
        <v>49</v>
      </c>
      <c r="G304" s="99" t="s">
        <v>2710</v>
      </c>
      <c r="H304" s="99">
        <v>36</v>
      </c>
      <c r="I304" s="99" t="s">
        <v>2710</v>
      </c>
      <c r="J304" s="99">
        <v>6</v>
      </c>
      <c r="K304" s="98" t="s">
        <v>528</v>
      </c>
      <c r="L304" s="98" t="s">
        <v>528</v>
      </c>
      <c r="M304" s="116">
        <v>16441.294929631284</v>
      </c>
      <c r="N304" s="116">
        <v>31376.722120914845</v>
      </c>
      <c r="O304" s="116">
        <v>4828</v>
      </c>
      <c r="P304" s="117" t="s">
        <v>208</v>
      </c>
      <c r="Q304" s="116">
        <v>1541</v>
      </c>
      <c r="R304" s="117" t="s">
        <v>208</v>
      </c>
      <c r="S304" s="116">
        <v>1050</v>
      </c>
      <c r="T304" s="117" t="s">
        <v>208</v>
      </c>
      <c r="U304" s="116">
        <v>1377</v>
      </c>
      <c r="V304" s="117" t="s">
        <v>208</v>
      </c>
      <c r="W304" s="116">
        <v>917</v>
      </c>
      <c r="X304" s="117" t="s">
        <v>208</v>
      </c>
      <c r="Y304" s="116">
        <v>2092.3636363636365</v>
      </c>
      <c r="Z304" s="117" t="s">
        <v>208</v>
      </c>
      <c r="AA304" s="116">
        <v>1775</v>
      </c>
      <c r="AB304" s="117" t="s">
        <v>208</v>
      </c>
      <c r="AC304" s="116">
        <v>1244</v>
      </c>
      <c r="AD304" s="117" t="s">
        <v>208</v>
      </c>
      <c r="AE304" s="116">
        <v>3646</v>
      </c>
      <c r="AF304" s="117" t="s">
        <v>208</v>
      </c>
      <c r="AG304" s="116">
        <v>1716</v>
      </c>
      <c r="AH304" s="117" t="s">
        <v>208</v>
      </c>
      <c r="AI304" s="116">
        <v>2455</v>
      </c>
      <c r="AJ304" s="117" t="s">
        <v>208</v>
      </c>
      <c r="AK304" s="116">
        <v>2467</v>
      </c>
      <c r="AL304" s="117" t="s">
        <v>208</v>
      </c>
      <c r="AM304" s="116">
        <v>25108.363636363636</v>
      </c>
    </row>
    <row r="305" spans="1:39" s="100" customFormat="1" ht="46.8" x14ac:dyDescent="0.3">
      <c r="A305" s="97">
        <v>295</v>
      </c>
      <c r="B305" s="98" t="s">
        <v>926</v>
      </c>
      <c r="C305" s="98" t="s">
        <v>2708</v>
      </c>
      <c r="D305" s="98" t="s">
        <v>1902</v>
      </c>
      <c r="E305" s="98" t="s">
        <v>2709</v>
      </c>
      <c r="F305" s="98" t="s">
        <v>49</v>
      </c>
      <c r="G305" s="99" t="s">
        <v>2710</v>
      </c>
      <c r="H305" s="99">
        <v>6</v>
      </c>
      <c r="I305" s="99" t="s">
        <v>2710</v>
      </c>
      <c r="J305" s="99">
        <v>1</v>
      </c>
      <c r="K305" s="98" t="s">
        <v>528</v>
      </c>
      <c r="L305" s="98" t="s">
        <v>528</v>
      </c>
      <c r="M305" s="116">
        <v>2959.1878518354674</v>
      </c>
      <c r="N305" s="116">
        <v>4754.1439305988488</v>
      </c>
      <c r="O305" s="116">
        <v>440</v>
      </c>
      <c r="P305" s="117" t="s">
        <v>208</v>
      </c>
      <c r="Q305" s="116">
        <v>327</v>
      </c>
      <c r="R305" s="117" t="s">
        <v>208</v>
      </c>
      <c r="S305" s="116">
        <v>292</v>
      </c>
      <c r="T305" s="117" t="s">
        <v>208</v>
      </c>
      <c r="U305" s="116">
        <v>324</v>
      </c>
      <c r="V305" s="117" t="s">
        <v>208</v>
      </c>
      <c r="W305" s="116">
        <v>342</v>
      </c>
      <c r="X305" s="117" t="s">
        <v>208</v>
      </c>
      <c r="Y305" s="116">
        <v>342.09090909090907</v>
      </c>
      <c r="Z305" s="117" t="s">
        <v>208</v>
      </c>
      <c r="AA305" s="116">
        <v>362</v>
      </c>
      <c r="AB305" s="117" t="s">
        <v>208</v>
      </c>
      <c r="AC305" s="116">
        <v>263</v>
      </c>
      <c r="AD305" s="117" t="s">
        <v>208</v>
      </c>
      <c r="AE305" s="116">
        <v>412</v>
      </c>
      <c r="AF305" s="117" t="s">
        <v>208</v>
      </c>
      <c r="AG305" s="116">
        <v>296</v>
      </c>
      <c r="AH305" s="117" t="s">
        <v>208</v>
      </c>
      <c r="AI305" s="116">
        <v>343</v>
      </c>
      <c r="AJ305" s="117" t="s">
        <v>208</v>
      </c>
      <c r="AK305" s="116">
        <v>362</v>
      </c>
      <c r="AL305" s="117" t="s">
        <v>208</v>
      </c>
      <c r="AM305" s="116">
        <v>4105.090909090909</v>
      </c>
    </row>
    <row r="306" spans="1:39" s="100" customFormat="1" ht="46.8" x14ac:dyDescent="0.3">
      <c r="A306" s="97">
        <v>296</v>
      </c>
      <c r="B306" s="98" t="s">
        <v>927</v>
      </c>
      <c r="C306" s="98" t="s">
        <v>2708</v>
      </c>
      <c r="D306" s="98" t="s">
        <v>1902</v>
      </c>
      <c r="E306" s="98" t="s">
        <v>2709</v>
      </c>
      <c r="F306" s="98" t="s">
        <v>49</v>
      </c>
      <c r="G306" s="99" t="s">
        <v>2710</v>
      </c>
      <c r="H306" s="99">
        <v>7</v>
      </c>
      <c r="I306" s="99" t="s">
        <v>2710</v>
      </c>
      <c r="J306" s="99">
        <v>1</v>
      </c>
      <c r="K306" s="98" t="s">
        <v>528</v>
      </c>
      <c r="L306" s="98" t="s">
        <v>528</v>
      </c>
      <c r="M306" s="116">
        <v>10196.284050234492</v>
      </c>
      <c r="N306" s="116">
        <v>17895.567961745845</v>
      </c>
      <c r="O306" s="116">
        <v>1331</v>
      </c>
      <c r="P306" s="117" t="s">
        <v>208</v>
      </c>
      <c r="Q306" s="116">
        <v>1239</v>
      </c>
      <c r="R306" s="117" t="s">
        <v>208</v>
      </c>
      <c r="S306" s="116">
        <v>1108</v>
      </c>
      <c r="T306" s="117" t="s">
        <v>208</v>
      </c>
      <c r="U306" s="116">
        <v>1152</v>
      </c>
      <c r="V306" s="117" t="s">
        <v>208</v>
      </c>
      <c r="W306" s="116">
        <v>1414</v>
      </c>
      <c r="X306" s="117" t="s">
        <v>208</v>
      </c>
      <c r="Y306" s="116">
        <v>1232.4545454545455</v>
      </c>
      <c r="Z306" s="117" t="s">
        <v>208</v>
      </c>
      <c r="AA306" s="116">
        <v>1420</v>
      </c>
      <c r="AB306" s="117" t="s">
        <v>208</v>
      </c>
      <c r="AC306" s="116">
        <v>910</v>
      </c>
      <c r="AD306" s="117" t="s">
        <v>208</v>
      </c>
      <c r="AE306" s="116">
        <v>1195</v>
      </c>
      <c r="AF306" s="117" t="s">
        <v>208</v>
      </c>
      <c r="AG306" s="116">
        <v>1404</v>
      </c>
      <c r="AH306" s="117" t="s">
        <v>208</v>
      </c>
      <c r="AI306" s="116">
        <v>1143</v>
      </c>
      <c r="AJ306" s="117" t="s">
        <v>208</v>
      </c>
      <c r="AK306" s="116">
        <v>1241</v>
      </c>
      <c r="AL306" s="117" t="s">
        <v>208</v>
      </c>
      <c r="AM306" s="116">
        <v>14789.454545454546</v>
      </c>
    </row>
    <row r="307" spans="1:39" s="100" customFormat="1" ht="46.8" x14ac:dyDescent="0.3">
      <c r="A307" s="97">
        <v>297</v>
      </c>
      <c r="B307" s="98" t="s">
        <v>928</v>
      </c>
      <c r="C307" s="98" t="s">
        <v>2708</v>
      </c>
      <c r="D307" s="98" t="s">
        <v>1902</v>
      </c>
      <c r="E307" s="98" t="s">
        <v>2709</v>
      </c>
      <c r="F307" s="98" t="s">
        <v>49</v>
      </c>
      <c r="G307" s="99" t="s">
        <v>2710</v>
      </c>
      <c r="H307" s="99">
        <v>2</v>
      </c>
      <c r="I307" s="99" t="s">
        <v>2710</v>
      </c>
      <c r="J307" s="99">
        <v>1</v>
      </c>
      <c r="K307" s="98" t="s">
        <v>528</v>
      </c>
      <c r="L307" s="98" t="s">
        <v>528</v>
      </c>
      <c r="M307" s="116">
        <v>1823.431779323367</v>
      </c>
      <c r="N307" s="116">
        <v>3279.2934446082636</v>
      </c>
      <c r="O307" s="116">
        <v>198.35098426101976</v>
      </c>
      <c r="P307" s="117" t="s">
        <v>208</v>
      </c>
      <c r="Q307" s="116">
        <v>261.82550973669777</v>
      </c>
      <c r="R307" s="117" t="s">
        <v>208</v>
      </c>
      <c r="S307" s="116">
        <v>220.04769793938081</v>
      </c>
      <c r="T307" s="117" t="s">
        <v>208</v>
      </c>
      <c r="U307" s="116">
        <v>262.61822938054451</v>
      </c>
      <c r="V307" s="117" t="s">
        <v>208</v>
      </c>
      <c r="W307" s="116">
        <v>270.97898272166628</v>
      </c>
      <c r="X307" s="117" t="s">
        <v>208</v>
      </c>
      <c r="Y307" s="116">
        <v>229.42164859577903</v>
      </c>
      <c r="Z307" s="117" t="s">
        <v>208</v>
      </c>
      <c r="AA307" s="116">
        <v>280.71496297821835</v>
      </c>
      <c r="AB307" s="117" t="s">
        <v>208</v>
      </c>
      <c r="AC307" s="116">
        <v>172.79840230382604</v>
      </c>
      <c r="AD307" s="117" t="s">
        <v>208</v>
      </c>
      <c r="AE307" s="116">
        <v>207.32108850576302</v>
      </c>
      <c r="AF307" s="117" t="s">
        <v>208</v>
      </c>
      <c r="AG307" s="116">
        <v>212.55163964065144</v>
      </c>
      <c r="AH307" s="117" t="s">
        <v>208</v>
      </c>
      <c r="AI307" s="116">
        <v>200.62559989553242</v>
      </c>
      <c r="AJ307" s="117" t="s">
        <v>208</v>
      </c>
      <c r="AK307" s="116">
        <v>235.80503719026845</v>
      </c>
      <c r="AL307" s="117" t="s">
        <v>208</v>
      </c>
      <c r="AM307" s="116">
        <v>2753.0597831493483</v>
      </c>
    </row>
    <row r="308" spans="1:39" s="100" customFormat="1" ht="46.8" x14ac:dyDescent="0.3">
      <c r="A308" s="97">
        <v>298</v>
      </c>
      <c r="B308" s="98" t="s">
        <v>929</v>
      </c>
      <c r="C308" s="98" t="s">
        <v>2708</v>
      </c>
      <c r="D308" s="98" t="s">
        <v>1902</v>
      </c>
      <c r="E308" s="98" t="s">
        <v>2709</v>
      </c>
      <c r="F308" s="98" t="s">
        <v>49</v>
      </c>
      <c r="G308" s="99" t="s">
        <v>2710</v>
      </c>
      <c r="H308" s="99">
        <v>15</v>
      </c>
      <c r="I308" s="99" t="s">
        <v>2710</v>
      </c>
      <c r="J308" s="99">
        <v>3</v>
      </c>
      <c r="K308" s="98" t="s">
        <v>528</v>
      </c>
      <c r="L308" s="98" t="s">
        <v>528</v>
      </c>
      <c r="M308" s="116">
        <v>4966.9737173650392</v>
      </c>
      <c r="N308" s="116">
        <v>8621.8371158904029</v>
      </c>
      <c r="O308" s="116">
        <v>630.31392916023776</v>
      </c>
      <c r="P308" s="117" t="s">
        <v>208</v>
      </c>
      <c r="Q308" s="116">
        <v>495.98878734492718</v>
      </c>
      <c r="R308" s="117" t="s">
        <v>208</v>
      </c>
      <c r="S308" s="116">
        <v>755.11960234402613</v>
      </c>
      <c r="T308" s="117" t="s">
        <v>208</v>
      </c>
      <c r="U308" s="116">
        <v>435.98146827754431</v>
      </c>
      <c r="V308" s="117" t="s">
        <v>208</v>
      </c>
      <c r="W308" s="116">
        <v>706.50591045474675</v>
      </c>
      <c r="X308" s="117" t="s">
        <v>208</v>
      </c>
      <c r="Y308" s="116">
        <v>606.42800182746862</v>
      </c>
      <c r="Z308" s="117" t="s">
        <v>208</v>
      </c>
      <c r="AA308" s="116">
        <v>572.00029047932992</v>
      </c>
      <c r="AB308" s="117" t="s">
        <v>208</v>
      </c>
      <c r="AC308" s="116">
        <v>599.51927569614679</v>
      </c>
      <c r="AD308" s="117" t="s">
        <v>208</v>
      </c>
      <c r="AE308" s="116">
        <v>619.48060190151148</v>
      </c>
      <c r="AF308" s="117" t="s">
        <v>208</v>
      </c>
      <c r="AG308" s="116">
        <v>615.05739474512484</v>
      </c>
      <c r="AH308" s="117" t="s">
        <v>208</v>
      </c>
      <c r="AI308" s="116">
        <v>747.74999851434973</v>
      </c>
      <c r="AJ308" s="117" t="s">
        <v>208</v>
      </c>
      <c r="AK308" s="116">
        <v>492.99076118421107</v>
      </c>
      <c r="AL308" s="117" t="s">
        <v>208</v>
      </c>
      <c r="AM308" s="116">
        <v>7277.1360219296239</v>
      </c>
    </row>
    <row r="309" spans="1:39" s="100" customFormat="1" ht="46.8" x14ac:dyDescent="0.3">
      <c r="A309" s="97">
        <v>299</v>
      </c>
      <c r="B309" s="98" t="s">
        <v>930</v>
      </c>
      <c r="C309" s="98" t="s">
        <v>2708</v>
      </c>
      <c r="D309" s="98" t="s">
        <v>1902</v>
      </c>
      <c r="E309" s="98" t="s">
        <v>2709</v>
      </c>
      <c r="F309" s="98" t="s">
        <v>49</v>
      </c>
      <c r="G309" s="99" t="s">
        <v>2710</v>
      </c>
      <c r="H309" s="99">
        <v>40</v>
      </c>
      <c r="I309" s="99" t="s">
        <v>2710</v>
      </c>
      <c r="J309" s="99">
        <v>5</v>
      </c>
      <c r="K309" s="98" t="s">
        <v>528</v>
      </c>
      <c r="L309" s="98" t="s">
        <v>528</v>
      </c>
      <c r="M309" s="116">
        <v>21914.716944815154</v>
      </c>
      <c r="N309" s="116">
        <v>35447.055465732643</v>
      </c>
      <c r="O309" s="116">
        <v>3180</v>
      </c>
      <c r="P309" s="117" t="s">
        <v>208</v>
      </c>
      <c r="Q309" s="116">
        <v>3307</v>
      </c>
      <c r="R309" s="117" t="s">
        <v>208</v>
      </c>
      <c r="S309" s="116">
        <v>2294</v>
      </c>
      <c r="T309" s="117" t="s">
        <v>208</v>
      </c>
      <c r="U309" s="116">
        <v>2222</v>
      </c>
      <c r="V309" s="117" t="s">
        <v>208</v>
      </c>
      <c r="W309" s="116">
        <v>2950</v>
      </c>
      <c r="X309" s="117" t="s">
        <v>208</v>
      </c>
      <c r="Y309" s="116">
        <v>2482.7272727272725</v>
      </c>
      <c r="Z309" s="117" t="s">
        <v>208</v>
      </c>
      <c r="AA309" s="116">
        <v>2412</v>
      </c>
      <c r="AB309" s="117" t="s">
        <v>208</v>
      </c>
      <c r="AC309" s="116">
        <v>1625</v>
      </c>
      <c r="AD309" s="117" t="s">
        <v>208</v>
      </c>
      <c r="AE309" s="116">
        <v>2260</v>
      </c>
      <c r="AF309" s="117" t="s">
        <v>208</v>
      </c>
      <c r="AG309" s="116">
        <v>2595</v>
      </c>
      <c r="AH309" s="117" t="s">
        <v>208</v>
      </c>
      <c r="AI309" s="116">
        <v>2088</v>
      </c>
      <c r="AJ309" s="117" t="s">
        <v>208</v>
      </c>
      <c r="AK309" s="116">
        <v>2377</v>
      </c>
      <c r="AL309" s="117" t="s">
        <v>208</v>
      </c>
      <c r="AM309" s="116">
        <v>29792.727272727272</v>
      </c>
    </row>
    <row r="310" spans="1:39" s="100" customFormat="1" ht="46.8" x14ac:dyDescent="0.3">
      <c r="A310" s="97">
        <v>300</v>
      </c>
      <c r="B310" s="98" t="s">
        <v>931</v>
      </c>
      <c r="C310" s="98" t="s">
        <v>2708</v>
      </c>
      <c r="D310" s="98" t="s">
        <v>1902</v>
      </c>
      <c r="E310" s="98" t="s">
        <v>2709</v>
      </c>
      <c r="F310" s="98" t="s">
        <v>49</v>
      </c>
      <c r="G310" s="99" t="s">
        <v>2710</v>
      </c>
      <c r="H310" s="99">
        <v>20</v>
      </c>
      <c r="I310" s="99" t="s">
        <v>2710</v>
      </c>
      <c r="J310" s="99">
        <v>4</v>
      </c>
      <c r="K310" s="98" t="s">
        <v>528</v>
      </c>
      <c r="L310" s="98" t="s">
        <v>528</v>
      </c>
      <c r="M310" s="116">
        <v>5639.7653132331152</v>
      </c>
      <c r="N310" s="116">
        <v>9771.8226274026456</v>
      </c>
      <c r="O310" s="116">
        <v>892</v>
      </c>
      <c r="P310" s="117" t="s">
        <v>208</v>
      </c>
      <c r="Q310" s="116">
        <v>757</v>
      </c>
      <c r="R310" s="117" t="s">
        <v>208</v>
      </c>
      <c r="S310" s="116">
        <v>650</v>
      </c>
      <c r="T310" s="117" t="s">
        <v>208</v>
      </c>
      <c r="U310" s="116">
        <v>703</v>
      </c>
      <c r="V310" s="117" t="s">
        <v>208</v>
      </c>
      <c r="W310" s="116">
        <v>741</v>
      </c>
      <c r="X310" s="117" t="s">
        <v>208</v>
      </c>
      <c r="Y310" s="116">
        <v>691.90909090909088</v>
      </c>
      <c r="Z310" s="117" t="s">
        <v>208</v>
      </c>
      <c r="AA310" s="116">
        <v>784</v>
      </c>
      <c r="AB310" s="117" t="s">
        <v>208</v>
      </c>
      <c r="AC310" s="116">
        <v>475</v>
      </c>
      <c r="AD310" s="117" t="s">
        <v>208</v>
      </c>
      <c r="AE310" s="116">
        <v>610</v>
      </c>
      <c r="AF310" s="117" t="s">
        <v>208</v>
      </c>
      <c r="AG310" s="116">
        <v>691</v>
      </c>
      <c r="AH310" s="117" t="s">
        <v>208</v>
      </c>
      <c r="AI310" s="116">
        <v>591</v>
      </c>
      <c r="AJ310" s="117" t="s">
        <v>208</v>
      </c>
      <c r="AK310" s="116">
        <v>717</v>
      </c>
      <c r="AL310" s="117" t="s">
        <v>208</v>
      </c>
      <c r="AM310" s="116">
        <v>8302.9090909090919</v>
      </c>
    </row>
    <row r="311" spans="1:39" s="100" customFormat="1" ht="46.8" x14ac:dyDescent="0.3">
      <c r="A311" s="97">
        <v>301</v>
      </c>
      <c r="B311" s="98" t="s">
        <v>932</v>
      </c>
      <c r="C311" s="98" t="s">
        <v>2708</v>
      </c>
      <c r="D311" s="98" t="s">
        <v>1902</v>
      </c>
      <c r="E311" s="98" t="s">
        <v>2709</v>
      </c>
      <c r="F311" s="98" t="s">
        <v>49</v>
      </c>
      <c r="G311" s="99" t="s">
        <v>2710</v>
      </c>
      <c r="H311" s="99">
        <v>4</v>
      </c>
      <c r="I311" s="99" t="s">
        <v>2710</v>
      </c>
      <c r="J311" s="99">
        <v>1</v>
      </c>
      <c r="K311" s="98" t="s">
        <v>528</v>
      </c>
      <c r="L311" s="98" t="s">
        <v>528</v>
      </c>
      <c r="M311" s="116">
        <v>16877.420874463009</v>
      </c>
      <c r="N311" s="116">
        <v>29390.028970590687</v>
      </c>
      <c r="O311" s="116">
        <v>2484.6</v>
      </c>
      <c r="P311" s="117" t="s">
        <v>208</v>
      </c>
      <c r="Q311" s="116">
        <v>1603.1</v>
      </c>
      <c r="R311" s="117" t="s">
        <v>208</v>
      </c>
      <c r="S311" s="116">
        <v>1220.98</v>
      </c>
      <c r="T311" s="117" t="s">
        <v>208</v>
      </c>
      <c r="U311" s="116">
        <v>1525.1999999999998</v>
      </c>
      <c r="V311" s="117" t="s">
        <v>208</v>
      </c>
      <c r="W311" s="116">
        <v>1603.9199999999998</v>
      </c>
      <c r="X311" s="117" t="s">
        <v>208</v>
      </c>
      <c r="Y311" s="116">
        <v>2084.7381818181816</v>
      </c>
      <c r="Z311" s="117" t="s">
        <v>208</v>
      </c>
      <c r="AA311" s="116">
        <v>3538.2999999999997</v>
      </c>
      <c r="AB311" s="117" t="s">
        <v>208</v>
      </c>
      <c r="AC311" s="116">
        <v>3538.2999999999997</v>
      </c>
      <c r="AD311" s="117" t="s">
        <v>208</v>
      </c>
      <c r="AE311" s="116">
        <v>1445.6599999999999</v>
      </c>
      <c r="AF311" s="117" t="s">
        <v>208</v>
      </c>
      <c r="AG311" s="116">
        <v>2241.06</v>
      </c>
      <c r="AH311" s="117" t="s">
        <v>208</v>
      </c>
      <c r="AI311" s="116">
        <v>1757.2599999999998</v>
      </c>
      <c r="AJ311" s="117" t="s">
        <v>208</v>
      </c>
      <c r="AK311" s="116">
        <v>1973.7399999999998</v>
      </c>
      <c r="AL311" s="117" t="s">
        <v>208</v>
      </c>
      <c r="AM311" s="116">
        <v>25016.858181818177</v>
      </c>
    </row>
    <row r="312" spans="1:39" s="100" customFormat="1" ht="46.8" x14ac:dyDescent="0.3">
      <c r="A312" s="97">
        <v>302</v>
      </c>
      <c r="B312" s="98" t="s">
        <v>933</v>
      </c>
      <c r="C312" s="98" t="s">
        <v>2708</v>
      </c>
      <c r="D312" s="98" t="s">
        <v>1902</v>
      </c>
      <c r="E312" s="98" t="s">
        <v>2709</v>
      </c>
      <c r="F312" s="98" t="s">
        <v>49</v>
      </c>
      <c r="G312" s="99" t="s">
        <v>2710</v>
      </c>
      <c r="H312" s="99">
        <v>18</v>
      </c>
      <c r="I312" s="99" t="s">
        <v>2710</v>
      </c>
      <c r="J312" s="99">
        <v>3</v>
      </c>
      <c r="K312" s="98" t="s">
        <v>528</v>
      </c>
      <c r="L312" s="98" t="s">
        <v>528</v>
      </c>
      <c r="M312" s="116">
        <v>14160.427410050397</v>
      </c>
      <c r="N312" s="116">
        <v>22483.598551794472</v>
      </c>
      <c r="O312" s="116">
        <v>1487.5044269744908</v>
      </c>
      <c r="P312" s="117" t="s">
        <v>208</v>
      </c>
      <c r="Q312" s="116">
        <v>1714.3175433614645</v>
      </c>
      <c r="R312" s="117" t="s">
        <v>208</v>
      </c>
      <c r="S312" s="116">
        <v>1148.4895009125064</v>
      </c>
      <c r="T312" s="117" t="s">
        <v>208</v>
      </c>
      <c r="U312" s="116">
        <v>1618.6761761934176</v>
      </c>
      <c r="V312" s="117" t="s">
        <v>208</v>
      </c>
      <c r="W312" s="116">
        <v>1868.6235736597682</v>
      </c>
      <c r="X312" s="117" t="s">
        <v>208</v>
      </c>
      <c r="Y312" s="116">
        <v>1593.716844590725</v>
      </c>
      <c r="Z312" s="117" t="s">
        <v>208</v>
      </c>
      <c r="AA312" s="116">
        <v>1704.9737344511268</v>
      </c>
      <c r="AB312" s="117" t="s">
        <v>208</v>
      </c>
      <c r="AC312" s="116">
        <v>1561.0178733282658</v>
      </c>
      <c r="AD312" s="117" t="s">
        <v>208</v>
      </c>
      <c r="AE312" s="116">
        <v>1442.0651523318652</v>
      </c>
      <c r="AF312" s="117" t="s">
        <v>208</v>
      </c>
      <c r="AG312" s="116">
        <v>1883.7892570466647</v>
      </c>
      <c r="AH312" s="117" t="s">
        <v>208</v>
      </c>
      <c r="AI312" s="116">
        <v>1322.5149565648246</v>
      </c>
      <c r="AJ312" s="117" t="s">
        <v>208</v>
      </c>
      <c r="AK312" s="116">
        <v>1778.913095673581</v>
      </c>
      <c r="AL312" s="117" t="s">
        <v>208</v>
      </c>
      <c r="AM312" s="116">
        <v>19124.602135088702</v>
      </c>
    </row>
    <row r="313" spans="1:39" s="100" customFormat="1" ht="46.8" x14ac:dyDescent="0.3">
      <c r="A313" s="97">
        <v>303</v>
      </c>
      <c r="B313" s="98" t="s">
        <v>934</v>
      </c>
      <c r="C313" s="98" t="s">
        <v>2708</v>
      </c>
      <c r="D313" s="98" t="s">
        <v>1902</v>
      </c>
      <c r="E313" s="98" t="s">
        <v>2709</v>
      </c>
      <c r="F313" s="98" t="s">
        <v>49</v>
      </c>
      <c r="G313" s="99" t="s">
        <v>2710</v>
      </c>
      <c r="H313" s="99">
        <v>12</v>
      </c>
      <c r="I313" s="99" t="s">
        <v>2710</v>
      </c>
      <c r="J313" s="99">
        <v>3</v>
      </c>
      <c r="K313" s="98" t="s">
        <v>528</v>
      </c>
      <c r="L313" s="98" t="s">
        <v>528</v>
      </c>
      <c r="M313" s="116">
        <v>1971.4902142306973</v>
      </c>
      <c r="N313" s="116">
        <v>3556.7222056277278</v>
      </c>
      <c r="O313" s="116">
        <v>378</v>
      </c>
      <c r="P313" s="117" t="s">
        <v>208</v>
      </c>
      <c r="Q313" s="116">
        <v>303</v>
      </c>
      <c r="R313" s="117" t="s">
        <v>208</v>
      </c>
      <c r="S313" s="116">
        <v>232</v>
      </c>
      <c r="T313" s="117" t="s">
        <v>208</v>
      </c>
      <c r="U313" s="116">
        <v>176</v>
      </c>
      <c r="V313" s="117" t="s">
        <v>208</v>
      </c>
      <c r="W313" s="116">
        <v>142</v>
      </c>
      <c r="X313" s="117" t="s">
        <v>208</v>
      </c>
      <c r="Y313" s="116">
        <v>238.09090909090909</v>
      </c>
      <c r="Z313" s="117" t="s">
        <v>208</v>
      </c>
      <c r="AA313" s="116">
        <v>322</v>
      </c>
      <c r="AB313" s="117" t="s">
        <v>208</v>
      </c>
      <c r="AC313" s="116">
        <v>168</v>
      </c>
      <c r="AD313" s="117" t="s">
        <v>208</v>
      </c>
      <c r="AE313" s="116">
        <v>185</v>
      </c>
      <c r="AF313" s="117" t="s">
        <v>208</v>
      </c>
      <c r="AG313" s="116">
        <v>239</v>
      </c>
      <c r="AH313" s="117" t="s">
        <v>208</v>
      </c>
      <c r="AI313" s="116">
        <v>198</v>
      </c>
      <c r="AJ313" s="117" t="s">
        <v>208</v>
      </c>
      <c r="AK313" s="116">
        <v>276</v>
      </c>
      <c r="AL313" s="117" t="s">
        <v>208</v>
      </c>
      <c r="AM313" s="116">
        <v>2857.090909090909</v>
      </c>
    </row>
    <row r="314" spans="1:39" s="100" customFormat="1" ht="46.8" x14ac:dyDescent="0.3">
      <c r="A314" s="97">
        <v>304</v>
      </c>
      <c r="B314" s="98" t="s">
        <v>935</v>
      </c>
      <c r="C314" s="98" t="s">
        <v>2708</v>
      </c>
      <c r="D314" s="98" t="s">
        <v>1902</v>
      </c>
      <c r="E314" s="98" t="s">
        <v>2709</v>
      </c>
      <c r="F314" s="98" t="s">
        <v>49</v>
      </c>
      <c r="G314" s="99" t="s">
        <v>2710</v>
      </c>
      <c r="H314" s="99">
        <v>10</v>
      </c>
      <c r="I314" s="99" t="s">
        <v>2710</v>
      </c>
      <c r="J314" s="99">
        <v>2</v>
      </c>
      <c r="K314" s="98" t="s">
        <v>528</v>
      </c>
      <c r="L314" s="98" t="s">
        <v>528</v>
      </c>
      <c r="M314" s="116">
        <v>3686.7609661113675</v>
      </c>
      <c r="N314" s="116">
        <v>6461.9128779914754</v>
      </c>
      <c r="O314" s="116">
        <v>545.4</v>
      </c>
      <c r="P314" s="117" t="s">
        <v>208</v>
      </c>
      <c r="Q314" s="116">
        <v>351.9</v>
      </c>
      <c r="R314" s="117" t="s">
        <v>208</v>
      </c>
      <c r="S314" s="116">
        <v>268.02</v>
      </c>
      <c r="T314" s="117" t="s">
        <v>208</v>
      </c>
      <c r="U314" s="116">
        <v>334.79999999999995</v>
      </c>
      <c r="V314" s="117" t="s">
        <v>208</v>
      </c>
      <c r="W314" s="116">
        <v>352.08</v>
      </c>
      <c r="X314" s="117" t="s">
        <v>208</v>
      </c>
      <c r="Y314" s="116">
        <v>457.62545454545449</v>
      </c>
      <c r="Z314" s="117" t="s">
        <v>208</v>
      </c>
      <c r="AA314" s="116">
        <v>776.69999999999993</v>
      </c>
      <c r="AB314" s="117" t="s">
        <v>208</v>
      </c>
      <c r="AC314" s="116">
        <v>776.69999999999993</v>
      </c>
      <c r="AD314" s="117" t="s">
        <v>208</v>
      </c>
      <c r="AE314" s="116">
        <v>317.33999999999997</v>
      </c>
      <c r="AF314" s="117" t="s">
        <v>208</v>
      </c>
      <c r="AG314" s="116">
        <v>491.93999999999994</v>
      </c>
      <c r="AH314" s="117" t="s">
        <v>208</v>
      </c>
      <c r="AI314" s="116">
        <v>385.74</v>
      </c>
      <c r="AJ314" s="117" t="s">
        <v>208</v>
      </c>
      <c r="AK314" s="116">
        <v>433.26</v>
      </c>
      <c r="AL314" s="117" t="s">
        <v>208</v>
      </c>
      <c r="AM314" s="116">
        <v>5491.5054545454532</v>
      </c>
    </row>
    <row r="315" spans="1:39" s="100" customFormat="1" ht="46.8" x14ac:dyDescent="0.3">
      <c r="A315" s="97">
        <v>305</v>
      </c>
      <c r="B315" s="98" t="s">
        <v>936</v>
      </c>
      <c r="C315" s="98" t="s">
        <v>2708</v>
      </c>
      <c r="D315" s="98" t="s">
        <v>1902</v>
      </c>
      <c r="E315" s="98" t="s">
        <v>2709</v>
      </c>
      <c r="F315" s="98" t="s">
        <v>49</v>
      </c>
      <c r="G315" s="99" t="s">
        <v>2710</v>
      </c>
      <c r="H315" s="99">
        <v>10</v>
      </c>
      <c r="I315" s="99" t="s">
        <v>2710</v>
      </c>
      <c r="J315" s="99">
        <v>2</v>
      </c>
      <c r="K315" s="98" t="s">
        <v>528</v>
      </c>
      <c r="L315" s="98" t="s">
        <v>528</v>
      </c>
      <c r="M315" s="116">
        <v>2689.7246644137281</v>
      </c>
      <c r="N315" s="116">
        <v>4617.989907723645</v>
      </c>
      <c r="O315" s="116">
        <v>248.22763198707295</v>
      </c>
      <c r="P315" s="117" t="s">
        <v>208</v>
      </c>
      <c r="Q315" s="116">
        <v>218.18729609484285</v>
      </c>
      <c r="R315" s="117" t="s">
        <v>208</v>
      </c>
      <c r="S315" s="116">
        <v>249.99736869770362</v>
      </c>
      <c r="T315" s="117" t="s">
        <v>208</v>
      </c>
      <c r="U315" s="116">
        <v>335.02397847104373</v>
      </c>
      <c r="V315" s="117" t="s">
        <v>208</v>
      </c>
      <c r="W315" s="116">
        <v>358.30476176972883</v>
      </c>
      <c r="X315" s="117" t="s">
        <v>208</v>
      </c>
      <c r="Y315" s="116">
        <v>315.66594190654945</v>
      </c>
      <c r="Z315" s="117" t="s">
        <v>208</v>
      </c>
      <c r="AA315" s="116">
        <v>345.7465166590211</v>
      </c>
      <c r="AB315" s="117" t="s">
        <v>208</v>
      </c>
      <c r="AC315" s="116">
        <v>358.29648918704987</v>
      </c>
      <c r="AD315" s="117" t="s">
        <v>208</v>
      </c>
      <c r="AE315" s="116">
        <v>358.58221597659463</v>
      </c>
      <c r="AF315" s="117" t="s">
        <v>208</v>
      </c>
      <c r="AG315" s="116">
        <v>240.32721335994793</v>
      </c>
      <c r="AH315" s="117" t="s">
        <v>208</v>
      </c>
      <c r="AI315" s="116">
        <v>396.8250969373006</v>
      </c>
      <c r="AJ315" s="117" t="s">
        <v>208</v>
      </c>
      <c r="AK315" s="116">
        <v>362.8067918317368</v>
      </c>
      <c r="AL315" s="117" t="s">
        <v>208</v>
      </c>
      <c r="AM315" s="116">
        <v>3787.9913028785927</v>
      </c>
    </row>
    <row r="316" spans="1:39" s="100" customFormat="1" ht="46.8" x14ac:dyDescent="0.3">
      <c r="A316" s="97">
        <v>306</v>
      </c>
      <c r="B316" s="98" t="s">
        <v>937</v>
      </c>
      <c r="C316" s="98" t="s">
        <v>2708</v>
      </c>
      <c r="D316" s="98" t="s">
        <v>1902</v>
      </c>
      <c r="E316" s="98" t="s">
        <v>2709</v>
      </c>
      <c r="F316" s="98" t="s">
        <v>49</v>
      </c>
      <c r="G316" s="99" t="s">
        <v>2710</v>
      </c>
      <c r="H316" s="99">
        <v>10</v>
      </c>
      <c r="I316" s="99" t="s">
        <v>2710</v>
      </c>
      <c r="J316" s="99">
        <v>2</v>
      </c>
      <c r="K316" s="98" t="s">
        <v>528</v>
      </c>
      <c r="L316" s="98" t="s">
        <v>528</v>
      </c>
      <c r="M316" s="116">
        <v>2164.5682416185782</v>
      </c>
      <c r="N316" s="116">
        <v>3771.3536452415169</v>
      </c>
      <c r="O316" s="116">
        <v>14</v>
      </c>
      <c r="P316" s="117" t="s">
        <v>208</v>
      </c>
      <c r="Q316" s="116">
        <v>655</v>
      </c>
      <c r="R316" s="117" t="s">
        <v>208</v>
      </c>
      <c r="S316" s="116">
        <v>235</v>
      </c>
      <c r="T316" s="117" t="s">
        <v>208</v>
      </c>
      <c r="U316" s="116">
        <v>209</v>
      </c>
      <c r="V316" s="117" t="s">
        <v>208</v>
      </c>
      <c r="W316" s="116">
        <v>163</v>
      </c>
      <c r="X316" s="117" t="s">
        <v>208</v>
      </c>
      <c r="Y316" s="116">
        <v>258.81818181818181</v>
      </c>
      <c r="Z316" s="117" t="s">
        <v>208</v>
      </c>
      <c r="AA316" s="116">
        <v>223</v>
      </c>
      <c r="AB316" s="117" t="s">
        <v>208</v>
      </c>
      <c r="AC316" s="116">
        <v>251</v>
      </c>
      <c r="AD316" s="117" t="s">
        <v>208</v>
      </c>
      <c r="AE316" s="116">
        <v>298</v>
      </c>
      <c r="AF316" s="117" t="s">
        <v>208</v>
      </c>
      <c r="AG316" s="116">
        <v>279</v>
      </c>
      <c r="AH316" s="117" t="s">
        <v>208</v>
      </c>
      <c r="AI316" s="116">
        <v>259</v>
      </c>
      <c r="AJ316" s="117" t="s">
        <v>208</v>
      </c>
      <c r="AK316" s="116">
        <v>261</v>
      </c>
      <c r="AL316" s="117" t="s">
        <v>208</v>
      </c>
      <c r="AM316" s="116">
        <v>3105.818181818182</v>
      </c>
    </row>
    <row r="317" spans="1:39" s="100" customFormat="1" ht="46.8" x14ac:dyDescent="0.3">
      <c r="A317" s="97">
        <v>307</v>
      </c>
      <c r="B317" s="98" t="s">
        <v>939</v>
      </c>
      <c r="C317" s="98" t="s">
        <v>2708</v>
      </c>
      <c r="D317" s="98" t="s">
        <v>1902</v>
      </c>
      <c r="E317" s="98" t="s">
        <v>2709</v>
      </c>
      <c r="F317" s="98" t="s">
        <v>49</v>
      </c>
      <c r="G317" s="99" t="s">
        <v>2710</v>
      </c>
      <c r="H317" s="99">
        <v>49</v>
      </c>
      <c r="I317" s="99" t="s">
        <v>2710</v>
      </c>
      <c r="J317" s="99">
        <v>7</v>
      </c>
      <c r="K317" s="98" t="s">
        <v>528</v>
      </c>
      <c r="L317" s="98" t="s">
        <v>528</v>
      </c>
      <c r="M317" s="116">
        <v>11690.741135481239</v>
      </c>
      <c r="N317" s="116">
        <v>19618.142848976917</v>
      </c>
      <c r="O317" s="116">
        <v>1465</v>
      </c>
      <c r="P317" s="117" t="s">
        <v>208</v>
      </c>
      <c r="Q317" s="116">
        <v>1395</v>
      </c>
      <c r="R317" s="117" t="s">
        <v>208</v>
      </c>
      <c r="S317" s="116">
        <v>1228</v>
      </c>
      <c r="T317" s="117" t="s">
        <v>208</v>
      </c>
      <c r="U317" s="116">
        <v>1470</v>
      </c>
      <c r="V317" s="117" t="s">
        <v>208</v>
      </c>
      <c r="W317" s="116">
        <v>1425</v>
      </c>
      <c r="X317" s="117" t="s">
        <v>208</v>
      </c>
      <c r="Y317" s="116">
        <v>1340.2727272727273</v>
      </c>
      <c r="Z317" s="117" t="s">
        <v>208</v>
      </c>
      <c r="AA317" s="116">
        <v>1652</v>
      </c>
      <c r="AB317" s="117" t="s">
        <v>208</v>
      </c>
      <c r="AC317" s="116">
        <v>1166</v>
      </c>
      <c r="AD317" s="117" t="s">
        <v>208</v>
      </c>
      <c r="AE317" s="116">
        <v>1137</v>
      </c>
      <c r="AF317" s="117" t="s">
        <v>208</v>
      </c>
      <c r="AG317" s="116">
        <v>1370</v>
      </c>
      <c r="AH317" s="117" t="s">
        <v>208</v>
      </c>
      <c r="AI317" s="116">
        <v>1212</v>
      </c>
      <c r="AJ317" s="117" t="s">
        <v>208</v>
      </c>
      <c r="AK317" s="116">
        <v>1223</v>
      </c>
      <c r="AL317" s="117" t="s">
        <v>208</v>
      </c>
      <c r="AM317" s="116">
        <v>16083.272727272728</v>
      </c>
    </row>
    <row r="318" spans="1:39" s="100" customFormat="1" ht="46.8" x14ac:dyDescent="0.3">
      <c r="A318" s="97">
        <v>308</v>
      </c>
      <c r="B318" s="98" t="s">
        <v>942</v>
      </c>
      <c r="C318" s="98" t="s">
        <v>2708</v>
      </c>
      <c r="D318" s="98" t="s">
        <v>1902</v>
      </c>
      <c r="E318" s="98" t="s">
        <v>2709</v>
      </c>
      <c r="F318" s="98" t="s">
        <v>49</v>
      </c>
      <c r="G318" s="99" t="s">
        <v>2710</v>
      </c>
      <c r="H318" s="99">
        <v>8</v>
      </c>
      <c r="I318" s="99" t="s">
        <v>2710</v>
      </c>
      <c r="J318" s="99">
        <v>2</v>
      </c>
      <c r="K318" s="98" t="s">
        <v>528</v>
      </c>
      <c r="L318" s="98" t="s">
        <v>529</v>
      </c>
      <c r="M318" s="116">
        <v>2813.8003361169758</v>
      </c>
      <c r="N318" s="116">
        <v>5264.3580518211147</v>
      </c>
      <c r="O318" s="116">
        <v>773</v>
      </c>
      <c r="P318" s="117" t="s">
        <v>1906</v>
      </c>
      <c r="Q318" s="116">
        <v>773</v>
      </c>
      <c r="R318" s="117" t="s">
        <v>1906</v>
      </c>
      <c r="S318" s="116">
        <v>773</v>
      </c>
      <c r="T318" s="117" t="s">
        <v>1906</v>
      </c>
      <c r="U318" s="116">
        <v>773</v>
      </c>
      <c r="V318" s="117" t="s">
        <v>1906</v>
      </c>
      <c r="W318" s="116">
        <v>773</v>
      </c>
      <c r="X318" s="117" t="s">
        <v>1906</v>
      </c>
      <c r="Y318" s="116">
        <v>351.36363636363637</v>
      </c>
      <c r="Z318" s="117" t="s">
        <v>1906</v>
      </c>
      <c r="AA318" s="116">
        <v>0</v>
      </c>
      <c r="AB318" s="117" t="s">
        <v>1906</v>
      </c>
      <c r="AC318" s="116">
        <v>0</v>
      </c>
      <c r="AD318" s="117" t="s">
        <v>1906</v>
      </c>
      <c r="AE318" s="116">
        <v>0</v>
      </c>
      <c r="AF318" s="117" t="s">
        <v>1906</v>
      </c>
      <c r="AG318" s="116">
        <v>0</v>
      </c>
      <c r="AH318" s="117" t="s">
        <v>1906</v>
      </c>
      <c r="AI318" s="116">
        <v>0</v>
      </c>
      <c r="AJ318" s="117" t="s">
        <v>1906</v>
      </c>
      <c r="AK318" s="116">
        <v>0</v>
      </c>
      <c r="AL318" s="117" t="s">
        <v>1906</v>
      </c>
      <c r="AM318" s="116">
        <v>4216.363636363636</v>
      </c>
    </row>
    <row r="319" spans="1:39" s="100" customFormat="1" ht="46.8" x14ac:dyDescent="0.3">
      <c r="A319" s="97">
        <v>309</v>
      </c>
      <c r="B319" s="98" t="s">
        <v>944</v>
      </c>
      <c r="C319" s="98" t="s">
        <v>2708</v>
      </c>
      <c r="D319" s="98" t="s">
        <v>1902</v>
      </c>
      <c r="E319" s="98" t="s">
        <v>2709</v>
      </c>
      <c r="F319" s="98" t="s">
        <v>49</v>
      </c>
      <c r="G319" s="99" t="s">
        <v>2710</v>
      </c>
      <c r="H319" s="99">
        <v>18</v>
      </c>
      <c r="I319" s="99" t="s">
        <v>2710</v>
      </c>
      <c r="J319" s="99">
        <v>3</v>
      </c>
      <c r="K319" s="98" t="s">
        <v>528</v>
      </c>
      <c r="L319" s="98" t="s">
        <v>528</v>
      </c>
      <c r="M319" s="116">
        <v>1583.7412722325012</v>
      </c>
      <c r="N319" s="116">
        <v>2650.5379179124075</v>
      </c>
      <c r="O319" s="116">
        <v>210</v>
      </c>
      <c r="P319" s="117" t="s">
        <v>208</v>
      </c>
      <c r="Q319" s="116">
        <v>110</v>
      </c>
      <c r="R319" s="117" t="s">
        <v>208</v>
      </c>
      <c r="S319" s="116">
        <v>109</v>
      </c>
      <c r="T319" s="117" t="s">
        <v>208</v>
      </c>
      <c r="U319" s="116">
        <v>312</v>
      </c>
      <c r="V319" s="117" t="s">
        <v>208</v>
      </c>
      <c r="W319" s="116">
        <v>99</v>
      </c>
      <c r="X319" s="117" t="s">
        <v>208</v>
      </c>
      <c r="Y319" s="116">
        <v>180.45454545454547</v>
      </c>
      <c r="Z319" s="117" t="s">
        <v>208</v>
      </c>
      <c r="AA319" s="116">
        <v>4</v>
      </c>
      <c r="AB319" s="117" t="s">
        <v>208</v>
      </c>
      <c r="AC319" s="116">
        <v>29</v>
      </c>
      <c r="AD319" s="117" t="s">
        <v>208</v>
      </c>
      <c r="AE319" s="116">
        <v>148</v>
      </c>
      <c r="AF319" s="117" t="s">
        <v>208</v>
      </c>
      <c r="AG319" s="116">
        <v>270</v>
      </c>
      <c r="AH319" s="117" t="s">
        <v>208</v>
      </c>
      <c r="AI319" s="116">
        <v>219</v>
      </c>
      <c r="AJ319" s="117" t="s">
        <v>208</v>
      </c>
      <c r="AK319" s="116">
        <v>475</v>
      </c>
      <c r="AL319" s="117" t="s">
        <v>208</v>
      </c>
      <c r="AM319" s="116">
        <v>2165.4545454545455</v>
      </c>
    </row>
    <row r="320" spans="1:39" s="100" customFormat="1" ht="46.8" x14ac:dyDescent="0.3">
      <c r="A320" s="97">
        <v>310</v>
      </c>
      <c r="B320" s="98" t="s">
        <v>946</v>
      </c>
      <c r="C320" s="98" t="s">
        <v>2708</v>
      </c>
      <c r="D320" s="98" t="s">
        <v>1902</v>
      </c>
      <c r="E320" s="98" t="s">
        <v>2709</v>
      </c>
      <c r="F320" s="98" t="s">
        <v>49</v>
      </c>
      <c r="G320" s="99" t="s">
        <v>2710</v>
      </c>
      <c r="H320" s="99">
        <v>5</v>
      </c>
      <c r="I320" s="99" t="s">
        <v>2710</v>
      </c>
      <c r="J320" s="99">
        <v>1</v>
      </c>
      <c r="K320" s="98" t="s">
        <v>528</v>
      </c>
      <c r="L320" s="98" t="s">
        <v>528</v>
      </c>
      <c r="M320" s="116">
        <v>3513.6061624002896</v>
      </c>
      <c r="N320" s="116">
        <v>6074.0531276360089</v>
      </c>
      <c r="O320" s="116">
        <v>514</v>
      </c>
      <c r="P320" s="117" t="s">
        <v>208</v>
      </c>
      <c r="Q320" s="116">
        <v>459</v>
      </c>
      <c r="R320" s="117" t="s">
        <v>208</v>
      </c>
      <c r="S320" s="116">
        <v>370</v>
      </c>
      <c r="T320" s="117" t="s">
        <v>208</v>
      </c>
      <c r="U320" s="116">
        <v>603</v>
      </c>
      <c r="V320" s="117" t="s">
        <v>208</v>
      </c>
      <c r="W320" s="116">
        <v>385</v>
      </c>
      <c r="X320" s="117" t="s">
        <v>208</v>
      </c>
      <c r="Y320" s="116">
        <v>427.54545454545456</v>
      </c>
      <c r="Z320" s="117" t="s">
        <v>208</v>
      </c>
      <c r="AA320" s="116">
        <v>557</v>
      </c>
      <c r="AB320" s="117" t="s">
        <v>208</v>
      </c>
      <c r="AC320" s="116">
        <v>134</v>
      </c>
      <c r="AD320" s="117" t="s">
        <v>208</v>
      </c>
      <c r="AE320" s="116">
        <v>493</v>
      </c>
      <c r="AF320" s="117" t="s">
        <v>208</v>
      </c>
      <c r="AG320" s="116">
        <v>321</v>
      </c>
      <c r="AH320" s="117" t="s">
        <v>208</v>
      </c>
      <c r="AI320" s="116">
        <v>373</v>
      </c>
      <c r="AJ320" s="117" t="s">
        <v>208</v>
      </c>
      <c r="AK320" s="116">
        <v>494</v>
      </c>
      <c r="AL320" s="117" t="s">
        <v>208</v>
      </c>
      <c r="AM320" s="116">
        <v>5130.545454545454</v>
      </c>
    </row>
    <row r="321" spans="1:39" s="100" customFormat="1" ht="46.8" x14ac:dyDescent="0.3">
      <c r="A321" s="97">
        <v>311</v>
      </c>
      <c r="B321" s="98" t="s">
        <v>947</v>
      </c>
      <c r="C321" s="98" t="s">
        <v>2708</v>
      </c>
      <c r="D321" s="98" t="s">
        <v>1902</v>
      </c>
      <c r="E321" s="98" t="s">
        <v>2709</v>
      </c>
      <c r="F321" s="98" t="s">
        <v>49</v>
      </c>
      <c r="G321" s="99" t="s">
        <v>2710</v>
      </c>
      <c r="H321" s="99">
        <v>5</v>
      </c>
      <c r="I321" s="99" t="s">
        <v>2710</v>
      </c>
      <c r="J321" s="99">
        <v>1</v>
      </c>
      <c r="K321" s="98" t="s">
        <v>528</v>
      </c>
      <c r="L321" s="98" t="s">
        <v>528</v>
      </c>
      <c r="M321" s="116">
        <v>2541.0989732339162</v>
      </c>
      <c r="N321" s="116">
        <v>4423.6320708982903</v>
      </c>
      <c r="O321" s="116">
        <v>346.18868623326335</v>
      </c>
      <c r="P321" s="117" t="s">
        <v>208</v>
      </c>
      <c r="Q321" s="116">
        <v>234.43324339017281</v>
      </c>
      <c r="R321" s="117" t="s">
        <v>208</v>
      </c>
      <c r="S321" s="116">
        <v>327.31247670838201</v>
      </c>
      <c r="T321" s="117" t="s">
        <v>208</v>
      </c>
      <c r="U321" s="116">
        <v>211.09988977971446</v>
      </c>
      <c r="V321" s="117" t="s">
        <v>208</v>
      </c>
      <c r="W321" s="116">
        <v>216.44998006206654</v>
      </c>
      <c r="X321" s="117" t="s">
        <v>208</v>
      </c>
      <c r="Y321" s="116">
        <v>299.55677583289082</v>
      </c>
      <c r="Z321" s="117" t="s">
        <v>208</v>
      </c>
      <c r="AA321" s="116">
        <v>365.41915312603294</v>
      </c>
      <c r="AB321" s="117" t="s">
        <v>208</v>
      </c>
      <c r="AC321" s="116">
        <v>257.95493022411836</v>
      </c>
      <c r="AD321" s="117" t="s">
        <v>208</v>
      </c>
      <c r="AE321" s="116">
        <v>350.92524284597062</v>
      </c>
      <c r="AF321" s="117" t="s">
        <v>208</v>
      </c>
      <c r="AG321" s="116">
        <v>276.43839937514713</v>
      </c>
      <c r="AH321" s="117" t="s">
        <v>208</v>
      </c>
      <c r="AI321" s="116">
        <v>339.5140283932837</v>
      </c>
      <c r="AJ321" s="117" t="s">
        <v>208</v>
      </c>
      <c r="AK321" s="116">
        <v>369.38850402364739</v>
      </c>
      <c r="AL321" s="117" t="s">
        <v>208</v>
      </c>
      <c r="AM321" s="116">
        <v>3594.6813099946899</v>
      </c>
    </row>
    <row r="322" spans="1:39" s="100" customFormat="1" ht="46.8" x14ac:dyDescent="0.3">
      <c r="A322" s="97">
        <v>312</v>
      </c>
      <c r="B322" s="98" t="s">
        <v>948</v>
      </c>
      <c r="C322" s="98" t="s">
        <v>2708</v>
      </c>
      <c r="D322" s="98" t="s">
        <v>1902</v>
      </c>
      <c r="E322" s="98" t="s">
        <v>2709</v>
      </c>
      <c r="F322" s="98" t="s">
        <v>49</v>
      </c>
      <c r="G322" s="99" t="s">
        <v>2710</v>
      </c>
      <c r="H322" s="99">
        <v>5</v>
      </c>
      <c r="I322" s="99" t="s">
        <v>2710</v>
      </c>
      <c r="J322" s="99">
        <v>1</v>
      </c>
      <c r="K322" s="98" t="s">
        <v>528</v>
      </c>
      <c r="L322" s="98" t="s">
        <v>528</v>
      </c>
      <c r="M322" s="116">
        <v>2054.1250314174154</v>
      </c>
      <c r="N322" s="116">
        <v>3337.2963970097303</v>
      </c>
      <c r="O322" s="116">
        <v>346</v>
      </c>
      <c r="P322" s="117" t="s">
        <v>208</v>
      </c>
      <c r="Q322" s="116">
        <v>206</v>
      </c>
      <c r="R322" s="117" t="s">
        <v>208</v>
      </c>
      <c r="S322" s="116">
        <v>241</v>
      </c>
      <c r="T322" s="117" t="s">
        <v>208</v>
      </c>
      <c r="U322" s="116">
        <v>251</v>
      </c>
      <c r="V322" s="117" t="s">
        <v>208</v>
      </c>
      <c r="W322" s="116">
        <v>112</v>
      </c>
      <c r="X322" s="117" t="s">
        <v>208</v>
      </c>
      <c r="Y322" s="116">
        <v>232</v>
      </c>
      <c r="Z322" s="117" t="s">
        <v>208</v>
      </c>
      <c r="AA322" s="116">
        <v>285</v>
      </c>
      <c r="AB322" s="117" t="s">
        <v>208</v>
      </c>
      <c r="AC322" s="116">
        <v>119</v>
      </c>
      <c r="AD322" s="117" t="s">
        <v>208</v>
      </c>
      <c r="AE322" s="116">
        <v>293</v>
      </c>
      <c r="AF322" s="117" t="s">
        <v>208</v>
      </c>
      <c r="AG322" s="116">
        <v>216</v>
      </c>
      <c r="AH322" s="117" t="s">
        <v>208</v>
      </c>
      <c r="AI322" s="116">
        <v>254</v>
      </c>
      <c r="AJ322" s="117" t="s">
        <v>208</v>
      </c>
      <c r="AK322" s="116">
        <v>229</v>
      </c>
      <c r="AL322" s="117" t="s">
        <v>208</v>
      </c>
      <c r="AM322" s="116">
        <v>2784</v>
      </c>
    </row>
    <row r="323" spans="1:39" s="100" customFormat="1" ht="46.8" x14ac:dyDescent="0.3">
      <c r="A323" s="97">
        <v>313</v>
      </c>
      <c r="B323" s="98" t="s">
        <v>949</v>
      </c>
      <c r="C323" s="98" t="s">
        <v>2708</v>
      </c>
      <c r="D323" s="98" t="s">
        <v>1902</v>
      </c>
      <c r="E323" s="98" t="s">
        <v>2709</v>
      </c>
      <c r="F323" s="98" t="s">
        <v>49</v>
      </c>
      <c r="G323" s="99" t="s">
        <v>2710</v>
      </c>
      <c r="H323" s="99">
        <v>12</v>
      </c>
      <c r="I323" s="99" t="s">
        <v>2710</v>
      </c>
      <c r="J323" s="99">
        <v>2</v>
      </c>
      <c r="K323" s="98" t="s">
        <v>528</v>
      </c>
      <c r="L323" s="98" t="s">
        <v>528</v>
      </c>
      <c r="M323" s="116">
        <v>3486.928598363515</v>
      </c>
      <c r="N323" s="116">
        <v>6049.7221737972659</v>
      </c>
      <c r="O323" s="116">
        <v>493.20000000000005</v>
      </c>
      <c r="P323" s="117" t="s">
        <v>208</v>
      </c>
      <c r="Q323" s="116">
        <v>525.15</v>
      </c>
      <c r="R323" s="117" t="s">
        <v>208</v>
      </c>
      <c r="S323" s="116">
        <v>378.45000000000005</v>
      </c>
      <c r="T323" s="117" t="s">
        <v>208</v>
      </c>
      <c r="U323" s="116">
        <v>477.45000000000005</v>
      </c>
      <c r="V323" s="117" t="s">
        <v>208</v>
      </c>
      <c r="W323" s="116">
        <v>328.05</v>
      </c>
      <c r="X323" s="117" t="s">
        <v>208</v>
      </c>
      <c r="Y323" s="116">
        <v>428.72727272727275</v>
      </c>
      <c r="Z323" s="117" t="s">
        <v>208</v>
      </c>
      <c r="AA323" s="116">
        <v>484.20000000000005</v>
      </c>
      <c r="AB323" s="117" t="s">
        <v>208</v>
      </c>
      <c r="AC323" s="116">
        <v>171</v>
      </c>
      <c r="AD323" s="117" t="s">
        <v>208</v>
      </c>
      <c r="AE323" s="116">
        <v>446.4</v>
      </c>
      <c r="AF323" s="117" t="s">
        <v>208</v>
      </c>
      <c r="AG323" s="116">
        <v>403.65000000000003</v>
      </c>
      <c r="AH323" s="117" t="s">
        <v>208</v>
      </c>
      <c r="AI323" s="116">
        <v>530.54999999999995</v>
      </c>
      <c r="AJ323" s="117" t="s">
        <v>208</v>
      </c>
      <c r="AK323" s="116">
        <v>477.9</v>
      </c>
      <c r="AL323" s="117" t="s">
        <v>208</v>
      </c>
      <c r="AM323" s="116">
        <v>5144.727272727273</v>
      </c>
    </row>
    <row r="324" spans="1:39" s="100" customFormat="1" ht="46.8" x14ac:dyDescent="0.3">
      <c r="A324" s="97">
        <v>314</v>
      </c>
      <c r="B324" s="98" t="s">
        <v>950</v>
      </c>
      <c r="C324" s="98" t="s">
        <v>2708</v>
      </c>
      <c r="D324" s="98" t="s">
        <v>1902</v>
      </c>
      <c r="E324" s="98" t="s">
        <v>2709</v>
      </c>
      <c r="F324" s="98" t="s">
        <v>49</v>
      </c>
      <c r="G324" s="99" t="s">
        <v>2710</v>
      </c>
      <c r="H324" s="99">
        <v>5</v>
      </c>
      <c r="I324" s="99" t="s">
        <v>2710</v>
      </c>
      <c r="J324" s="99">
        <v>1</v>
      </c>
      <c r="K324" s="98" t="s">
        <v>528</v>
      </c>
      <c r="L324" s="98" t="s">
        <v>528</v>
      </c>
      <c r="M324" s="116">
        <v>1427.9413774564873</v>
      </c>
      <c r="N324" s="116">
        <v>2502.4639064425746</v>
      </c>
      <c r="O324" s="116">
        <v>225.65749342649281</v>
      </c>
      <c r="P324" s="117" t="s">
        <v>208</v>
      </c>
      <c r="Q324" s="116">
        <v>165.59105277327504</v>
      </c>
      <c r="R324" s="117" t="s">
        <v>208</v>
      </c>
      <c r="S324" s="116">
        <v>154.33869817290727</v>
      </c>
      <c r="T324" s="117" t="s">
        <v>208</v>
      </c>
      <c r="U324" s="116">
        <v>131.26553253513981</v>
      </c>
      <c r="V324" s="117" t="s">
        <v>208</v>
      </c>
      <c r="W324" s="116">
        <v>206.92009872139539</v>
      </c>
      <c r="X324" s="117" t="s">
        <v>208</v>
      </c>
      <c r="Y324" s="116">
        <v>175.38604256386094</v>
      </c>
      <c r="Z324" s="117" t="s">
        <v>208</v>
      </c>
      <c r="AA324" s="116">
        <v>224.77434102355076</v>
      </c>
      <c r="AB324" s="117" t="s">
        <v>208</v>
      </c>
      <c r="AC324" s="116">
        <v>131.20952939972386</v>
      </c>
      <c r="AD324" s="117" t="s">
        <v>208</v>
      </c>
      <c r="AE324" s="116">
        <v>183.71055837367558</v>
      </c>
      <c r="AF324" s="117" t="s">
        <v>208</v>
      </c>
      <c r="AG324" s="116">
        <v>126.96508116590867</v>
      </c>
      <c r="AH324" s="117" t="s">
        <v>208</v>
      </c>
      <c r="AI324" s="116">
        <v>171.80420741635771</v>
      </c>
      <c r="AJ324" s="117" t="s">
        <v>208</v>
      </c>
      <c r="AK324" s="116">
        <v>207.00987519404356</v>
      </c>
      <c r="AL324" s="117" t="s">
        <v>208</v>
      </c>
      <c r="AM324" s="116">
        <v>2104.6325107663311</v>
      </c>
    </row>
    <row r="325" spans="1:39" s="100" customFormat="1" ht="46.8" x14ac:dyDescent="0.3">
      <c r="A325" s="97">
        <v>315</v>
      </c>
      <c r="B325" s="98" t="s">
        <v>951</v>
      </c>
      <c r="C325" s="98" t="s">
        <v>2708</v>
      </c>
      <c r="D325" s="98" t="s">
        <v>1902</v>
      </c>
      <c r="E325" s="98" t="s">
        <v>2709</v>
      </c>
      <c r="F325" s="98" t="s">
        <v>49</v>
      </c>
      <c r="G325" s="99" t="s">
        <v>2710</v>
      </c>
      <c r="H325" s="99">
        <v>7</v>
      </c>
      <c r="I325" s="99" t="s">
        <v>2710</v>
      </c>
      <c r="J325" s="99">
        <v>1</v>
      </c>
      <c r="K325" s="98" t="s">
        <v>528</v>
      </c>
      <c r="L325" s="98" t="s">
        <v>528</v>
      </c>
      <c r="M325" s="116">
        <v>3355.0018433169662</v>
      </c>
      <c r="N325" s="116">
        <v>5690.5466896069502</v>
      </c>
      <c r="O325" s="116">
        <v>438.4</v>
      </c>
      <c r="P325" s="117" t="s">
        <v>208</v>
      </c>
      <c r="Q325" s="116">
        <v>466.80000000000007</v>
      </c>
      <c r="R325" s="117" t="s">
        <v>208</v>
      </c>
      <c r="S325" s="116">
        <v>336.4</v>
      </c>
      <c r="T325" s="117" t="s">
        <v>208</v>
      </c>
      <c r="U325" s="116">
        <v>424.4</v>
      </c>
      <c r="V325" s="117" t="s">
        <v>208</v>
      </c>
      <c r="W325" s="116">
        <v>291.60000000000002</v>
      </c>
      <c r="X325" s="117" t="s">
        <v>208</v>
      </c>
      <c r="Y325" s="116">
        <v>381.09090909090907</v>
      </c>
      <c r="Z325" s="117" t="s">
        <v>208</v>
      </c>
      <c r="AA325" s="116">
        <v>430.4</v>
      </c>
      <c r="AB325" s="117" t="s">
        <v>208</v>
      </c>
      <c r="AC325" s="116">
        <v>152</v>
      </c>
      <c r="AD325" s="117" t="s">
        <v>208</v>
      </c>
      <c r="AE325" s="116">
        <v>396.8</v>
      </c>
      <c r="AF325" s="117" t="s">
        <v>208</v>
      </c>
      <c r="AG325" s="116">
        <v>358.8</v>
      </c>
      <c r="AH325" s="117" t="s">
        <v>208</v>
      </c>
      <c r="AI325" s="116">
        <v>471.6</v>
      </c>
      <c r="AJ325" s="117" t="s">
        <v>208</v>
      </c>
      <c r="AK325" s="116">
        <v>424.80000000000007</v>
      </c>
      <c r="AL325" s="117" t="s">
        <v>208</v>
      </c>
      <c r="AM325" s="116">
        <v>4573.0909090909099</v>
      </c>
    </row>
    <row r="326" spans="1:39" s="100" customFormat="1" ht="46.8" x14ac:dyDescent="0.3">
      <c r="A326" s="97">
        <v>316</v>
      </c>
      <c r="B326" s="98" t="s">
        <v>952</v>
      </c>
      <c r="C326" s="98" t="s">
        <v>2708</v>
      </c>
      <c r="D326" s="98" t="s">
        <v>1902</v>
      </c>
      <c r="E326" s="98" t="s">
        <v>2709</v>
      </c>
      <c r="F326" s="98" t="s">
        <v>49</v>
      </c>
      <c r="G326" s="99" t="s">
        <v>2710</v>
      </c>
      <c r="H326" s="99">
        <v>5</v>
      </c>
      <c r="I326" s="99" t="s">
        <v>2710</v>
      </c>
      <c r="J326" s="99">
        <v>1</v>
      </c>
      <c r="K326" s="98" t="s">
        <v>528</v>
      </c>
      <c r="L326" s="98" t="s">
        <v>528</v>
      </c>
      <c r="M326" s="116">
        <v>2376.6845026242759</v>
      </c>
      <c r="N326" s="116">
        <v>4133.586912176499</v>
      </c>
      <c r="O326" s="116">
        <v>242.42195478192465</v>
      </c>
      <c r="P326" s="117" t="s">
        <v>208</v>
      </c>
      <c r="Q326" s="116">
        <v>273.26175424304733</v>
      </c>
      <c r="R326" s="117" t="s">
        <v>208</v>
      </c>
      <c r="S326" s="116">
        <v>240.91724144335845</v>
      </c>
      <c r="T326" s="117" t="s">
        <v>208</v>
      </c>
      <c r="U326" s="116">
        <v>210.42888726750891</v>
      </c>
      <c r="V326" s="117" t="s">
        <v>208</v>
      </c>
      <c r="W326" s="116">
        <v>342.18125145481969</v>
      </c>
      <c r="X326" s="117" t="s">
        <v>208</v>
      </c>
      <c r="Y326" s="116">
        <v>292.20295575707809</v>
      </c>
      <c r="Z326" s="117" t="s">
        <v>208</v>
      </c>
      <c r="AA326" s="116">
        <v>343.54486936982858</v>
      </c>
      <c r="AB326" s="117" t="s">
        <v>208</v>
      </c>
      <c r="AC326" s="116">
        <v>281.24486463711321</v>
      </c>
      <c r="AD326" s="117" t="s">
        <v>208</v>
      </c>
      <c r="AE326" s="116">
        <v>292.42709533065187</v>
      </c>
      <c r="AF326" s="117" t="s">
        <v>208</v>
      </c>
      <c r="AG326" s="116">
        <v>317.74337193981586</v>
      </c>
      <c r="AH326" s="117" t="s">
        <v>208</v>
      </c>
      <c r="AI326" s="116">
        <v>340.97098325237613</v>
      </c>
      <c r="AJ326" s="117" t="s">
        <v>208</v>
      </c>
      <c r="AK326" s="116">
        <v>329.09023960741456</v>
      </c>
      <c r="AL326" s="117" t="s">
        <v>208</v>
      </c>
      <c r="AM326" s="116">
        <v>3506.4354690849377</v>
      </c>
    </row>
    <row r="327" spans="1:39" s="100" customFormat="1" ht="46.8" x14ac:dyDescent="0.3">
      <c r="A327" s="97">
        <v>317</v>
      </c>
      <c r="B327" s="98" t="s">
        <v>953</v>
      </c>
      <c r="C327" s="98" t="s">
        <v>2708</v>
      </c>
      <c r="D327" s="98" t="s">
        <v>1902</v>
      </c>
      <c r="E327" s="98" t="s">
        <v>2709</v>
      </c>
      <c r="F327" s="98" t="s">
        <v>49</v>
      </c>
      <c r="G327" s="99" t="s">
        <v>2710</v>
      </c>
      <c r="H327" s="99">
        <v>4</v>
      </c>
      <c r="I327" s="99" t="s">
        <v>2710</v>
      </c>
      <c r="J327" s="99">
        <v>1</v>
      </c>
      <c r="K327" s="98" t="s">
        <v>528</v>
      </c>
      <c r="L327" s="98" t="s">
        <v>528</v>
      </c>
      <c r="M327" s="116">
        <v>1134.0309688832067</v>
      </c>
      <c r="N327" s="116">
        <v>2130.2302182616504</v>
      </c>
      <c r="O327" s="116">
        <v>164.4</v>
      </c>
      <c r="P327" s="117" t="s">
        <v>208</v>
      </c>
      <c r="Q327" s="116">
        <v>175.04999999999998</v>
      </c>
      <c r="R327" s="117" t="s">
        <v>208</v>
      </c>
      <c r="S327" s="116">
        <v>126.14999999999999</v>
      </c>
      <c r="T327" s="117" t="s">
        <v>208</v>
      </c>
      <c r="U327" s="116">
        <v>159.15</v>
      </c>
      <c r="V327" s="117" t="s">
        <v>208</v>
      </c>
      <c r="W327" s="116">
        <v>109.35</v>
      </c>
      <c r="X327" s="117" t="s">
        <v>208</v>
      </c>
      <c r="Y327" s="116">
        <v>142.90909090909088</v>
      </c>
      <c r="Z327" s="117" t="s">
        <v>208</v>
      </c>
      <c r="AA327" s="116">
        <v>161.4</v>
      </c>
      <c r="AB327" s="117" t="s">
        <v>208</v>
      </c>
      <c r="AC327" s="116">
        <v>57</v>
      </c>
      <c r="AD327" s="117" t="s">
        <v>208</v>
      </c>
      <c r="AE327" s="116">
        <v>148.80000000000001</v>
      </c>
      <c r="AF327" s="117" t="s">
        <v>208</v>
      </c>
      <c r="AG327" s="116">
        <v>134.55000000000001</v>
      </c>
      <c r="AH327" s="117" t="s">
        <v>208</v>
      </c>
      <c r="AI327" s="116">
        <v>176.85</v>
      </c>
      <c r="AJ327" s="117" t="s">
        <v>208</v>
      </c>
      <c r="AK327" s="116">
        <v>159.29999999999998</v>
      </c>
      <c r="AL327" s="117" t="s">
        <v>208</v>
      </c>
      <c r="AM327" s="116">
        <v>1714.9090909090908</v>
      </c>
    </row>
    <row r="328" spans="1:39" s="100" customFormat="1" ht="46.8" x14ac:dyDescent="0.3">
      <c r="A328" s="97">
        <v>318</v>
      </c>
      <c r="B328" s="98" t="s">
        <v>954</v>
      </c>
      <c r="C328" s="98" t="s">
        <v>2708</v>
      </c>
      <c r="D328" s="98" t="s">
        <v>1902</v>
      </c>
      <c r="E328" s="98" t="s">
        <v>2709</v>
      </c>
      <c r="F328" s="98" t="s">
        <v>49</v>
      </c>
      <c r="G328" s="99" t="s">
        <v>2710</v>
      </c>
      <c r="H328" s="99">
        <v>16</v>
      </c>
      <c r="I328" s="99" t="s">
        <v>2710</v>
      </c>
      <c r="J328" s="99">
        <v>4</v>
      </c>
      <c r="K328" s="98" t="s">
        <v>528</v>
      </c>
      <c r="L328" s="98" t="s">
        <v>528</v>
      </c>
      <c r="M328" s="116">
        <v>4664.4149776598742</v>
      </c>
      <c r="N328" s="116">
        <v>7788.5751327890694</v>
      </c>
      <c r="O328" s="116">
        <v>698.28</v>
      </c>
      <c r="P328" s="117" t="s">
        <v>208</v>
      </c>
      <c r="Q328" s="116">
        <v>853.59999999999991</v>
      </c>
      <c r="R328" s="117" t="s">
        <v>208</v>
      </c>
      <c r="S328" s="116">
        <v>488.4</v>
      </c>
      <c r="T328" s="117" t="s">
        <v>208</v>
      </c>
      <c r="U328" s="116">
        <v>507.76</v>
      </c>
      <c r="V328" s="117" t="s">
        <v>208</v>
      </c>
      <c r="W328" s="116">
        <v>418.88</v>
      </c>
      <c r="X328" s="117" t="s">
        <v>208</v>
      </c>
      <c r="Y328" s="116">
        <v>537.48</v>
      </c>
      <c r="Z328" s="117" t="s">
        <v>208</v>
      </c>
      <c r="AA328" s="116">
        <v>593.55999999999995</v>
      </c>
      <c r="AB328" s="117" t="s">
        <v>208</v>
      </c>
      <c r="AC328" s="116">
        <v>249.04000000000002</v>
      </c>
      <c r="AD328" s="117" t="s">
        <v>208</v>
      </c>
      <c r="AE328" s="116">
        <v>451</v>
      </c>
      <c r="AF328" s="117" t="s">
        <v>208</v>
      </c>
      <c r="AG328" s="116">
        <v>483.56</v>
      </c>
      <c r="AH328" s="117" t="s">
        <v>208</v>
      </c>
      <c r="AI328" s="116">
        <v>602.36</v>
      </c>
      <c r="AJ328" s="117" t="s">
        <v>208</v>
      </c>
      <c r="AK328" s="116">
        <v>565.83999999999992</v>
      </c>
      <c r="AL328" s="117" t="s">
        <v>208</v>
      </c>
      <c r="AM328" s="116">
        <v>6449.76</v>
      </c>
    </row>
    <row r="329" spans="1:39" s="100" customFormat="1" ht="46.8" x14ac:dyDescent="0.3">
      <c r="A329" s="97">
        <v>319</v>
      </c>
      <c r="B329" s="98" t="s">
        <v>957</v>
      </c>
      <c r="C329" s="98" t="s">
        <v>2708</v>
      </c>
      <c r="D329" s="98" t="s">
        <v>1902</v>
      </c>
      <c r="E329" s="98" t="s">
        <v>2709</v>
      </c>
      <c r="F329" s="98" t="s">
        <v>49</v>
      </c>
      <c r="G329" s="99" t="s">
        <v>2710</v>
      </c>
      <c r="H329" s="99">
        <v>12</v>
      </c>
      <c r="I329" s="99" t="s">
        <v>2710</v>
      </c>
      <c r="J329" s="99">
        <v>3</v>
      </c>
      <c r="K329" s="98" t="s">
        <v>528</v>
      </c>
      <c r="L329" s="98" t="s">
        <v>528</v>
      </c>
      <c r="M329" s="116">
        <v>6090.3768666537626</v>
      </c>
      <c r="N329" s="116">
        <v>9429.6228612312789</v>
      </c>
      <c r="O329" s="116">
        <v>900.90000000000009</v>
      </c>
      <c r="P329" s="117" t="s">
        <v>208</v>
      </c>
      <c r="Q329" s="116">
        <v>807.75</v>
      </c>
      <c r="R329" s="117" t="s">
        <v>208</v>
      </c>
      <c r="S329" s="116">
        <v>606.15</v>
      </c>
      <c r="T329" s="117" t="s">
        <v>208</v>
      </c>
      <c r="U329" s="116">
        <v>650.70000000000005</v>
      </c>
      <c r="V329" s="117" t="s">
        <v>208</v>
      </c>
      <c r="W329" s="116">
        <v>532.35</v>
      </c>
      <c r="X329" s="117" t="s">
        <v>208</v>
      </c>
      <c r="Y329" s="116">
        <v>681.42272727272734</v>
      </c>
      <c r="Z329" s="117" t="s">
        <v>208</v>
      </c>
      <c r="AA329" s="116">
        <v>690.3</v>
      </c>
      <c r="AB329" s="117" t="s">
        <v>208</v>
      </c>
      <c r="AC329" s="116">
        <v>584.1</v>
      </c>
      <c r="AD329" s="117" t="s">
        <v>208</v>
      </c>
      <c r="AE329" s="116">
        <v>674.1</v>
      </c>
      <c r="AF329" s="117" t="s">
        <v>208</v>
      </c>
      <c r="AG329" s="116">
        <v>663.75</v>
      </c>
      <c r="AH329" s="117" t="s">
        <v>208</v>
      </c>
      <c r="AI329" s="116">
        <v>825.30000000000007</v>
      </c>
      <c r="AJ329" s="117" t="s">
        <v>208</v>
      </c>
      <c r="AK329" s="116">
        <v>560.25</v>
      </c>
      <c r="AL329" s="117" t="s">
        <v>208</v>
      </c>
      <c r="AM329" s="116">
        <v>8177.0727272727281</v>
      </c>
    </row>
    <row r="330" spans="1:39" s="100" customFormat="1" ht="46.8" x14ac:dyDescent="0.3">
      <c r="A330" s="97">
        <v>320</v>
      </c>
      <c r="B330" s="98" t="s">
        <v>958</v>
      </c>
      <c r="C330" s="98" t="s">
        <v>2708</v>
      </c>
      <c r="D330" s="98" t="s">
        <v>1902</v>
      </c>
      <c r="E330" s="98" t="s">
        <v>2709</v>
      </c>
      <c r="F330" s="98" t="s">
        <v>49</v>
      </c>
      <c r="G330" s="99" t="s">
        <v>2710</v>
      </c>
      <c r="H330" s="99">
        <v>15</v>
      </c>
      <c r="I330" s="99" t="s">
        <v>2710</v>
      </c>
      <c r="J330" s="99">
        <v>3</v>
      </c>
      <c r="K330" s="98" t="s">
        <v>528</v>
      </c>
      <c r="L330" s="98" t="s">
        <v>528</v>
      </c>
      <c r="M330" s="116">
        <v>10636.767239360757</v>
      </c>
      <c r="N330" s="116">
        <v>17953.505939442352</v>
      </c>
      <c r="O330" s="116">
        <v>1537</v>
      </c>
      <c r="P330" s="117" t="s">
        <v>208</v>
      </c>
      <c r="Q330" s="116">
        <v>1412</v>
      </c>
      <c r="R330" s="117" t="s">
        <v>208</v>
      </c>
      <c r="S330" s="116">
        <v>1101</v>
      </c>
      <c r="T330" s="117" t="s">
        <v>208</v>
      </c>
      <c r="U330" s="116">
        <v>1186</v>
      </c>
      <c r="V330" s="117" t="s">
        <v>208</v>
      </c>
      <c r="W330" s="116">
        <v>1078</v>
      </c>
      <c r="X330" s="117" t="s">
        <v>208</v>
      </c>
      <c r="Y330" s="116">
        <v>1216.3636363636363</v>
      </c>
      <c r="Z330" s="117" t="s">
        <v>208</v>
      </c>
      <c r="AA330" s="116">
        <v>1521</v>
      </c>
      <c r="AB330" s="117" t="s">
        <v>208</v>
      </c>
      <c r="AC330" s="116">
        <v>926</v>
      </c>
      <c r="AD330" s="117" t="s">
        <v>208</v>
      </c>
      <c r="AE330" s="116">
        <v>1326</v>
      </c>
      <c r="AF330" s="117" t="s">
        <v>208</v>
      </c>
      <c r="AG330" s="116">
        <v>899</v>
      </c>
      <c r="AH330" s="117" t="s">
        <v>208</v>
      </c>
      <c r="AI330" s="116">
        <v>1574</v>
      </c>
      <c r="AJ330" s="117" t="s">
        <v>208</v>
      </c>
      <c r="AK330" s="116">
        <v>820</v>
      </c>
      <c r="AL330" s="117" t="s">
        <v>208</v>
      </c>
      <c r="AM330" s="116">
        <v>14596.363636363636</v>
      </c>
    </row>
    <row r="331" spans="1:39" s="100" customFormat="1" ht="46.8" x14ac:dyDescent="0.3">
      <c r="A331" s="97">
        <v>321</v>
      </c>
      <c r="B331" s="98" t="s">
        <v>959</v>
      </c>
      <c r="C331" s="98" t="s">
        <v>2708</v>
      </c>
      <c r="D331" s="98" t="s">
        <v>1902</v>
      </c>
      <c r="E331" s="98" t="s">
        <v>2709</v>
      </c>
      <c r="F331" s="98" t="s">
        <v>49</v>
      </c>
      <c r="G331" s="99" t="s">
        <v>2710</v>
      </c>
      <c r="H331" s="99">
        <v>25</v>
      </c>
      <c r="I331" s="99" t="s">
        <v>2710</v>
      </c>
      <c r="J331" s="99">
        <v>5</v>
      </c>
      <c r="K331" s="98" t="s">
        <v>528</v>
      </c>
      <c r="L331" s="98" t="s">
        <v>528</v>
      </c>
      <c r="M331" s="116">
        <v>8351.1639245611514</v>
      </c>
      <c r="N331" s="116">
        <v>13177.711701733842</v>
      </c>
      <c r="O331" s="116">
        <v>1253</v>
      </c>
      <c r="P331" s="117" t="s">
        <v>208</v>
      </c>
      <c r="Q331" s="116">
        <v>1107</v>
      </c>
      <c r="R331" s="117" t="s">
        <v>208</v>
      </c>
      <c r="S331" s="116">
        <v>1039</v>
      </c>
      <c r="T331" s="117" t="s">
        <v>208</v>
      </c>
      <c r="U331" s="116">
        <v>993</v>
      </c>
      <c r="V331" s="117" t="s">
        <v>208</v>
      </c>
      <c r="W331" s="116">
        <v>763</v>
      </c>
      <c r="X331" s="117" t="s">
        <v>208</v>
      </c>
      <c r="Y331" s="116">
        <v>950.36363636363637</v>
      </c>
      <c r="Z331" s="117" t="s">
        <v>208</v>
      </c>
      <c r="AA331" s="116">
        <v>901</v>
      </c>
      <c r="AB331" s="117" t="s">
        <v>208</v>
      </c>
      <c r="AC331" s="116">
        <v>891</v>
      </c>
      <c r="AD331" s="117" t="s">
        <v>208</v>
      </c>
      <c r="AE331" s="116">
        <v>953</v>
      </c>
      <c r="AF331" s="117" t="s">
        <v>208</v>
      </c>
      <c r="AG331" s="116">
        <v>669</v>
      </c>
      <c r="AH331" s="117" t="s">
        <v>208</v>
      </c>
      <c r="AI331" s="116">
        <v>923</v>
      </c>
      <c r="AJ331" s="117" t="s">
        <v>208</v>
      </c>
      <c r="AK331" s="116">
        <v>962</v>
      </c>
      <c r="AL331" s="117" t="s">
        <v>208</v>
      </c>
      <c r="AM331" s="116">
        <v>11404.363636363636</v>
      </c>
    </row>
    <row r="332" spans="1:39" s="100" customFormat="1" ht="46.8" x14ac:dyDescent="0.3">
      <c r="A332" s="97">
        <v>322</v>
      </c>
      <c r="B332" s="98" t="s">
        <v>960</v>
      </c>
      <c r="C332" s="98" t="s">
        <v>2708</v>
      </c>
      <c r="D332" s="98" t="s">
        <v>1902</v>
      </c>
      <c r="E332" s="98" t="s">
        <v>2709</v>
      </c>
      <c r="F332" s="98" t="s">
        <v>49</v>
      </c>
      <c r="G332" s="99" t="s">
        <v>2710</v>
      </c>
      <c r="H332" s="99">
        <v>4</v>
      </c>
      <c r="I332" s="99" t="s">
        <v>2710</v>
      </c>
      <c r="J332" s="99">
        <v>1</v>
      </c>
      <c r="K332" s="98" t="s">
        <v>528</v>
      </c>
      <c r="L332" s="98" t="s">
        <v>528</v>
      </c>
      <c r="M332" s="116">
        <v>633.22119070634244</v>
      </c>
      <c r="N332" s="116">
        <v>1074.3968548253363</v>
      </c>
      <c r="O332" s="116">
        <v>88.4</v>
      </c>
      <c r="P332" s="117" t="s">
        <v>208</v>
      </c>
      <c r="Q332" s="116">
        <v>85.8</v>
      </c>
      <c r="R332" s="117" t="s">
        <v>208</v>
      </c>
      <c r="S332" s="116">
        <v>79.3</v>
      </c>
      <c r="T332" s="117" t="s">
        <v>208</v>
      </c>
      <c r="U332" s="116">
        <v>82.55</v>
      </c>
      <c r="V332" s="117" t="s">
        <v>208</v>
      </c>
      <c r="W332" s="116">
        <v>64.350000000000009</v>
      </c>
      <c r="X332" s="117" t="s">
        <v>208</v>
      </c>
      <c r="Y332" s="116">
        <v>74.63181818181819</v>
      </c>
      <c r="Z332" s="117" t="s">
        <v>208</v>
      </c>
      <c r="AA332" s="116">
        <v>73.45</v>
      </c>
      <c r="AB332" s="117" t="s">
        <v>208</v>
      </c>
      <c r="AC332" s="116">
        <v>96.2</v>
      </c>
      <c r="AD332" s="117" t="s">
        <v>208</v>
      </c>
      <c r="AE332" s="116">
        <v>128.70000000000002</v>
      </c>
      <c r="AF332" s="117" t="s">
        <v>208</v>
      </c>
      <c r="AG332" s="116">
        <v>5.2</v>
      </c>
      <c r="AH332" s="117" t="s">
        <v>208</v>
      </c>
      <c r="AI332" s="116">
        <v>61.1</v>
      </c>
      <c r="AJ332" s="117" t="s">
        <v>208</v>
      </c>
      <c r="AK332" s="116">
        <v>55.9</v>
      </c>
      <c r="AL332" s="117" t="s">
        <v>208</v>
      </c>
      <c r="AM332" s="116">
        <v>895.58181818181833</v>
      </c>
    </row>
    <row r="333" spans="1:39" s="100" customFormat="1" ht="46.8" x14ac:dyDescent="0.3">
      <c r="A333" s="97">
        <v>323</v>
      </c>
      <c r="B333" s="98" t="s">
        <v>962</v>
      </c>
      <c r="C333" s="98" t="s">
        <v>2708</v>
      </c>
      <c r="D333" s="98" t="s">
        <v>1902</v>
      </c>
      <c r="E333" s="98" t="s">
        <v>2709</v>
      </c>
      <c r="F333" s="98" t="s">
        <v>49</v>
      </c>
      <c r="G333" s="99" t="s">
        <v>2710</v>
      </c>
      <c r="H333" s="99">
        <v>84</v>
      </c>
      <c r="I333" s="99" t="s">
        <v>2710</v>
      </c>
      <c r="J333" s="99">
        <v>12</v>
      </c>
      <c r="K333" s="98" t="s">
        <v>528</v>
      </c>
      <c r="L333" s="98" t="s">
        <v>529</v>
      </c>
      <c r="M333" s="116">
        <v>50247.484086406359</v>
      </c>
      <c r="N333" s="116">
        <v>84846.65338632105</v>
      </c>
      <c r="O333" s="116">
        <v>7310</v>
      </c>
      <c r="P333" s="117" t="s">
        <v>1906</v>
      </c>
      <c r="Q333" s="116">
        <v>7310</v>
      </c>
      <c r="R333" s="117" t="s">
        <v>1906</v>
      </c>
      <c r="S333" s="116">
        <v>7310</v>
      </c>
      <c r="T333" s="117" t="s">
        <v>1906</v>
      </c>
      <c r="U333" s="116">
        <v>7310</v>
      </c>
      <c r="V333" s="117" t="s">
        <v>1906</v>
      </c>
      <c r="W333" s="116">
        <v>7310</v>
      </c>
      <c r="X333" s="117" t="s">
        <v>1906</v>
      </c>
      <c r="Y333" s="116">
        <v>5754.909090909091</v>
      </c>
      <c r="Z333" s="117" t="s">
        <v>1906</v>
      </c>
      <c r="AA333" s="116">
        <v>4459</v>
      </c>
      <c r="AB333" s="117" t="s">
        <v>1906</v>
      </c>
      <c r="AC333" s="116">
        <v>4459</v>
      </c>
      <c r="AD333" s="117" t="s">
        <v>1906</v>
      </c>
      <c r="AE333" s="116">
        <v>4459</v>
      </c>
      <c r="AF333" s="117" t="s">
        <v>1906</v>
      </c>
      <c r="AG333" s="116">
        <v>4459</v>
      </c>
      <c r="AH333" s="117" t="s">
        <v>1906</v>
      </c>
      <c r="AI333" s="116">
        <v>4459</v>
      </c>
      <c r="AJ333" s="117" t="s">
        <v>1906</v>
      </c>
      <c r="AK333" s="116">
        <v>4459</v>
      </c>
      <c r="AL333" s="117" t="s">
        <v>1906</v>
      </c>
      <c r="AM333" s="116">
        <v>69058.909090909088</v>
      </c>
    </row>
    <row r="334" spans="1:39" s="100" customFormat="1" ht="46.8" x14ac:dyDescent="0.3">
      <c r="A334" s="97">
        <v>324</v>
      </c>
      <c r="B334" s="98" t="s">
        <v>964</v>
      </c>
      <c r="C334" s="98" t="s">
        <v>2708</v>
      </c>
      <c r="D334" s="98" t="s">
        <v>1902</v>
      </c>
      <c r="E334" s="98" t="s">
        <v>2709</v>
      </c>
      <c r="F334" s="98" t="s">
        <v>49</v>
      </c>
      <c r="G334" s="99" t="s">
        <v>2710</v>
      </c>
      <c r="H334" s="99">
        <v>10</v>
      </c>
      <c r="I334" s="99" t="s">
        <v>2710</v>
      </c>
      <c r="J334" s="99">
        <v>2</v>
      </c>
      <c r="K334" s="98" t="s">
        <v>528</v>
      </c>
      <c r="L334" s="98" t="s">
        <v>528</v>
      </c>
      <c r="M334" s="116">
        <v>7025.4043610307499</v>
      </c>
      <c r="N334" s="116">
        <v>11854.874739686489</v>
      </c>
      <c r="O334" s="116">
        <v>1029</v>
      </c>
      <c r="P334" s="117" t="s">
        <v>208</v>
      </c>
      <c r="Q334" s="116">
        <v>1168</v>
      </c>
      <c r="R334" s="117" t="s">
        <v>208</v>
      </c>
      <c r="S334" s="116">
        <v>819</v>
      </c>
      <c r="T334" s="117" t="s">
        <v>208</v>
      </c>
      <c r="U334" s="116">
        <v>901</v>
      </c>
      <c r="V334" s="117" t="s">
        <v>208</v>
      </c>
      <c r="W334" s="116">
        <v>483</v>
      </c>
      <c r="X334" s="117" t="s">
        <v>208</v>
      </c>
      <c r="Y334" s="116">
        <v>798.72727272727275</v>
      </c>
      <c r="Z334" s="117" t="s">
        <v>208</v>
      </c>
      <c r="AA334" s="116">
        <v>807</v>
      </c>
      <c r="AB334" s="117" t="s">
        <v>208</v>
      </c>
      <c r="AC334" s="116">
        <v>287</v>
      </c>
      <c r="AD334" s="117" t="s">
        <v>208</v>
      </c>
      <c r="AE334" s="116">
        <v>754</v>
      </c>
      <c r="AF334" s="117" t="s">
        <v>208</v>
      </c>
      <c r="AG334" s="116">
        <v>702</v>
      </c>
      <c r="AH334" s="117" t="s">
        <v>208</v>
      </c>
      <c r="AI334" s="116">
        <v>1000</v>
      </c>
      <c r="AJ334" s="117" t="s">
        <v>208</v>
      </c>
      <c r="AK334" s="116">
        <v>836</v>
      </c>
      <c r="AL334" s="117" t="s">
        <v>208</v>
      </c>
      <c r="AM334" s="116">
        <v>9584.7272727272721</v>
      </c>
    </row>
    <row r="335" spans="1:39" s="100" customFormat="1" ht="46.8" x14ac:dyDescent="0.3">
      <c r="A335" s="97">
        <v>325</v>
      </c>
      <c r="B335" s="98" t="s">
        <v>967</v>
      </c>
      <c r="C335" s="98" t="s">
        <v>2708</v>
      </c>
      <c r="D335" s="98" t="s">
        <v>1902</v>
      </c>
      <c r="E335" s="98" t="s">
        <v>2709</v>
      </c>
      <c r="F335" s="98" t="s">
        <v>49</v>
      </c>
      <c r="G335" s="99" t="s">
        <v>2710</v>
      </c>
      <c r="H335" s="99">
        <v>12</v>
      </c>
      <c r="I335" s="99" t="s">
        <v>2710</v>
      </c>
      <c r="J335" s="99">
        <v>3</v>
      </c>
      <c r="K335" s="98" t="s">
        <v>528</v>
      </c>
      <c r="L335" s="98" t="s">
        <v>528</v>
      </c>
      <c r="M335" s="116">
        <v>2600.9446589936933</v>
      </c>
      <c r="N335" s="116">
        <v>4699.2185455452263</v>
      </c>
      <c r="O335" s="116">
        <v>508</v>
      </c>
      <c r="P335" s="117" t="s">
        <v>208</v>
      </c>
      <c r="Q335" s="116">
        <v>394</v>
      </c>
      <c r="R335" s="117" t="s">
        <v>208</v>
      </c>
      <c r="S335" s="116">
        <v>273</v>
      </c>
      <c r="T335" s="117" t="s">
        <v>208</v>
      </c>
      <c r="U335" s="116">
        <v>237</v>
      </c>
      <c r="V335" s="117" t="s">
        <v>208</v>
      </c>
      <c r="W335" s="116">
        <v>151</v>
      </c>
      <c r="X335" s="117" t="s">
        <v>208</v>
      </c>
      <c r="Y335" s="116">
        <v>313.63636363636363</v>
      </c>
      <c r="Z335" s="117" t="s">
        <v>208</v>
      </c>
      <c r="AA335" s="116">
        <v>283</v>
      </c>
      <c r="AB335" s="117" t="s">
        <v>208</v>
      </c>
      <c r="AC335" s="116">
        <v>146</v>
      </c>
      <c r="AD335" s="117" t="s">
        <v>208</v>
      </c>
      <c r="AE335" s="116">
        <v>341</v>
      </c>
      <c r="AF335" s="117" t="s">
        <v>208</v>
      </c>
      <c r="AG335" s="116">
        <v>295</v>
      </c>
      <c r="AH335" s="117" t="s">
        <v>208</v>
      </c>
      <c r="AI335" s="116">
        <v>323</v>
      </c>
      <c r="AJ335" s="117" t="s">
        <v>208</v>
      </c>
      <c r="AK335" s="116">
        <v>499</v>
      </c>
      <c r="AL335" s="117" t="s">
        <v>208</v>
      </c>
      <c r="AM335" s="116">
        <v>3763.6363636363635</v>
      </c>
    </row>
    <row r="336" spans="1:39" s="100" customFormat="1" ht="46.8" x14ac:dyDescent="0.3">
      <c r="A336" s="97">
        <v>326</v>
      </c>
      <c r="B336" s="98" t="s">
        <v>970</v>
      </c>
      <c r="C336" s="98" t="s">
        <v>2708</v>
      </c>
      <c r="D336" s="98" t="s">
        <v>1902</v>
      </c>
      <c r="E336" s="98" t="s">
        <v>2709</v>
      </c>
      <c r="F336" s="98" t="s">
        <v>49</v>
      </c>
      <c r="G336" s="99" t="s">
        <v>2710</v>
      </c>
      <c r="H336" s="99">
        <v>10</v>
      </c>
      <c r="I336" s="99" t="s">
        <v>2710</v>
      </c>
      <c r="J336" s="99">
        <v>2</v>
      </c>
      <c r="K336" s="98" t="s">
        <v>528</v>
      </c>
      <c r="L336" s="98" t="s">
        <v>528</v>
      </c>
      <c r="M336" s="116">
        <v>2484.1645466976579</v>
      </c>
      <c r="N336" s="116">
        <v>4207.2125205818929</v>
      </c>
      <c r="O336" s="116">
        <v>401</v>
      </c>
      <c r="P336" s="117" t="s">
        <v>208</v>
      </c>
      <c r="Q336" s="116">
        <v>361</v>
      </c>
      <c r="R336" s="117" t="s">
        <v>208</v>
      </c>
      <c r="S336" s="116">
        <v>263</v>
      </c>
      <c r="T336" s="117" t="s">
        <v>208</v>
      </c>
      <c r="U336" s="116">
        <v>249</v>
      </c>
      <c r="V336" s="117" t="s">
        <v>208</v>
      </c>
      <c r="W336" s="116">
        <v>210</v>
      </c>
      <c r="X336" s="117" t="s">
        <v>208</v>
      </c>
      <c r="Y336" s="116">
        <v>284.18181818181819</v>
      </c>
      <c r="Z336" s="117" t="s">
        <v>208</v>
      </c>
      <c r="AA336" s="116">
        <v>264</v>
      </c>
      <c r="AB336" s="117" t="s">
        <v>208</v>
      </c>
      <c r="AC336" s="116">
        <v>112</v>
      </c>
      <c r="AD336" s="117" t="s">
        <v>208</v>
      </c>
      <c r="AE336" s="116">
        <v>311</v>
      </c>
      <c r="AF336" s="117" t="s">
        <v>208</v>
      </c>
      <c r="AG336" s="116">
        <v>304</v>
      </c>
      <c r="AH336" s="117" t="s">
        <v>208</v>
      </c>
      <c r="AI336" s="116">
        <v>346</v>
      </c>
      <c r="AJ336" s="117" t="s">
        <v>208</v>
      </c>
      <c r="AK336" s="116">
        <v>305</v>
      </c>
      <c r="AL336" s="117" t="s">
        <v>208</v>
      </c>
      <c r="AM336" s="116">
        <v>3410.181818181818</v>
      </c>
    </row>
    <row r="337" spans="1:39" s="100" customFormat="1" ht="46.8" x14ac:dyDescent="0.3">
      <c r="A337" s="97">
        <v>327</v>
      </c>
      <c r="B337" s="98" t="s">
        <v>972</v>
      </c>
      <c r="C337" s="98" t="s">
        <v>2708</v>
      </c>
      <c r="D337" s="98" t="s">
        <v>1902</v>
      </c>
      <c r="E337" s="98" t="s">
        <v>2709</v>
      </c>
      <c r="F337" s="98" t="s">
        <v>49</v>
      </c>
      <c r="G337" s="99" t="s">
        <v>2710</v>
      </c>
      <c r="H337" s="99">
        <v>12</v>
      </c>
      <c r="I337" s="99" t="s">
        <v>2710</v>
      </c>
      <c r="J337" s="99">
        <v>3</v>
      </c>
      <c r="K337" s="98" t="s">
        <v>528</v>
      </c>
      <c r="L337" s="98" t="s">
        <v>528</v>
      </c>
      <c r="M337" s="116">
        <v>3453.4567095220473</v>
      </c>
      <c r="N337" s="116">
        <v>5536.0833899533545</v>
      </c>
      <c r="O337" s="116">
        <v>455</v>
      </c>
      <c r="P337" s="117" t="s">
        <v>208</v>
      </c>
      <c r="Q337" s="116">
        <v>489</v>
      </c>
      <c r="R337" s="117" t="s">
        <v>208</v>
      </c>
      <c r="S337" s="116">
        <v>472</v>
      </c>
      <c r="T337" s="117" t="s">
        <v>208</v>
      </c>
      <c r="U337" s="116">
        <v>430</v>
      </c>
      <c r="V337" s="117" t="s">
        <v>208</v>
      </c>
      <c r="W337" s="116">
        <v>323</v>
      </c>
      <c r="X337" s="117" t="s">
        <v>208</v>
      </c>
      <c r="Y337" s="116">
        <v>396.09090909090907</v>
      </c>
      <c r="Z337" s="117" t="s">
        <v>208</v>
      </c>
      <c r="AA337" s="116">
        <v>424</v>
      </c>
      <c r="AB337" s="117" t="s">
        <v>208</v>
      </c>
      <c r="AC337" s="116">
        <v>179</v>
      </c>
      <c r="AD337" s="117" t="s">
        <v>208</v>
      </c>
      <c r="AE337" s="116">
        <v>399</v>
      </c>
      <c r="AF337" s="117" t="s">
        <v>208</v>
      </c>
      <c r="AG337" s="116">
        <v>438</v>
      </c>
      <c r="AH337" s="117" t="s">
        <v>208</v>
      </c>
      <c r="AI337" s="116">
        <v>413</v>
      </c>
      <c r="AJ337" s="117" t="s">
        <v>208</v>
      </c>
      <c r="AK337" s="116">
        <v>335</v>
      </c>
      <c r="AL337" s="117" t="s">
        <v>208</v>
      </c>
      <c r="AM337" s="116">
        <v>4753.090909090909</v>
      </c>
    </row>
    <row r="338" spans="1:39" s="100" customFormat="1" ht="46.8" x14ac:dyDescent="0.3">
      <c r="A338" s="97">
        <v>328</v>
      </c>
      <c r="B338" s="98" t="s">
        <v>973</v>
      </c>
      <c r="C338" s="98" t="s">
        <v>2708</v>
      </c>
      <c r="D338" s="98" t="s">
        <v>1902</v>
      </c>
      <c r="E338" s="98" t="s">
        <v>2709</v>
      </c>
      <c r="F338" s="98" t="s">
        <v>49</v>
      </c>
      <c r="G338" s="99" t="s">
        <v>2710</v>
      </c>
      <c r="H338" s="99">
        <v>24</v>
      </c>
      <c r="I338" s="99" t="s">
        <v>2710</v>
      </c>
      <c r="J338" s="99">
        <v>4</v>
      </c>
      <c r="K338" s="98" t="s">
        <v>528</v>
      </c>
      <c r="L338" s="98" t="s">
        <v>528</v>
      </c>
      <c r="M338" s="116">
        <v>14290.990713031983</v>
      </c>
      <c r="N338" s="116">
        <v>25210.001334151733</v>
      </c>
      <c r="O338" s="116">
        <v>2688</v>
      </c>
      <c r="P338" s="117" t="s">
        <v>208</v>
      </c>
      <c r="Q338" s="116">
        <v>2345</v>
      </c>
      <c r="R338" s="117" t="s">
        <v>208</v>
      </c>
      <c r="S338" s="116">
        <v>1565</v>
      </c>
      <c r="T338" s="117" t="s">
        <v>208</v>
      </c>
      <c r="U338" s="116">
        <v>1473</v>
      </c>
      <c r="V338" s="117" t="s">
        <v>208</v>
      </c>
      <c r="W338" s="116">
        <v>1211</v>
      </c>
      <c r="X338" s="117" t="s">
        <v>208</v>
      </c>
      <c r="Y338" s="116">
        <v>1706.909090909091</v>
      </c>
      <c r="Z338" s="117" t="s">
        <v>208</v>
      </c>
      <c r="AA338" s="116">
        <v>1447</v>
      </c>
      <c r="AB338" s="117" t="s">
        <v>208</v>
      </c>
      <c r="AC338" s="116">
        <v>1030</v>
      </c>
      <c r="AD338" s="117" t="s">
        <v>208</v>
      </c>
      <c r="AE338" s="116">
        <v>1724</v>
      </c>
      <c r="AF338" s="117" t="s">
        <v>208</v>
      </c>
      <c r="AG338" s="116">
        <v>1631</v>
      </c>
      <c r="AH338" s="117" t="s">
        <v>208</v>
      </c>
      <c r="AI338" s="116">
        <v>1710</v>
      </c>
      <c r="AJ338" s="117" t="s">
        <v>208</v>
      </c>
      <c r="AK338" s="116">
        <v>1952</v>
      </c>
      <c r="AL338" s="117" t="s">
        <v>208</v>
      </c>
      <c r="AM338" s="116">
        <v>20482.909090909092</v>
      </c>
    </row>
    <row r="339" spans="1:39" s="100" customFormat="1" ht="46.8" x14ac:dyDescent="0.3">
      <c r="A339" s="97">
        <v>329</v>
      </c>
      <c r="B339" s="98" t="s">
        <v>974</v>
      </c>
      <c r="C339" s="98" t="s">
        <v>2708</v>
      </c>
      <c r="D339" s="98" t="s">
        <v>1902</v>
      </c>
      <c r="E339" s="98" t="s">
        <v>2709</v>
      </c>
      <c r="F339" s="98" t="s">
        <v>49</v>
      </c>
      <c r="G339" s="99" t="s">
        <v>2710</v>
      </c>
      <c r="H339" s="99">
        <v>15</v>
      </c>
      <c r="I339" s="99" t="s">
        <v>2710</v>
      </c>
      <c r="J339" s="99">
        <v>3</v>
      </c>
      <c r="K339" s="98" t="s">
        <v>528</v>
      </c>
      <c r="L339" s="98" t="s">
        <v>528</v>
      </c>
      <c r="M339" s="116">
        <v>6283.5530473157278</v>
      </c>
      <c r="N339" s="116">
        <v>10793.309671837669</v>
      </c>
      <c r="O339" s="116">
        <v>568.28783800025565</v>
      </c>
      <c r="P339" s="117" t="s">
        <v>208</v>
      </c>
      <c r="Q339" s="116">
        <v>713.33820911772204</v>
      </c>
      <c r="R339" s="117" t="s">
        <v>208</v>
      </c>
      <c r="S339" s="116">
        <v>934.10199397680424</v>
      </c>
      <c r="T339" s="117" t="s">
        <v>208</v>
      </c>
      <c r="U339" s="116">
        <v>793.74425007220088</v>
      </c>
      <c r="V339" s="117" t="s">
        <v>208</v>
      </c>
      <c r="W339" s="116">
        <v>595.10933282077895</v>
      </c>
      <c r="X339" s="117" t="s">
        <v>208</v>
      </c>
      <c r="Y339" s="116">
        <v>743.09109675331194</v>
      </c>
      <c r="Z339" s="117" t="s">
        <v>208</v>
      </c>
      <c r="AA339" s="116">
        <v>594.5463825184554</v>
      </c>
      <c r="AB339" s="117" t="s">
        <v>208</v>
      </c>
      <c r="AC339" s="116">
        <v>955.72894989120243</v>
      </c>
      <c r="AD339" s="117" t="s">
        <v>208</v>
      </c>
      <c r="AE339" s="116">
        <v>704.95442698338638</v>
      </c>
      <c r="AF339" s="117" t="s">
        <v>208</v>
      </c>
      <c r="AG339" s="116">
        <v>603.06081704305791</v>
      </c>
      <c r="AH339" s="117" t="s">
        <v>208</v>
      </c>
      <c r="AI339" s="116">
        <v>798.38334598141796</v>
      </c>
      <c r="AJ339" s="117" t="s">
        <v>208</v>
      </c>
      <c r="AK339" s="116">
        <v>912.74651788115068</v>
      </c>
      <c r="AL339" s="117" t="s">
        <v>208</v>
      </c>
      <c r="AM339" s="116">
        <v>8917.0931610397438</v>
      </c>
    </row>
    <row r="340" spans="1:39" s="100" customFormat="1" ht="46.8" x14ac:dyDescent="0.3">
      <c r="A340" s="97">
        <v>330</v>
      </c>
      <c r="B340" s="98" t="s">
        <v>975</v>
      </c>
      <c r="C340" s="98" t="s">
        <v>2708</v>
      </c>
      <c r="D340" s="98" t="s">
        <v>1902</v>
      </c>
      <c r="E340" s="98" t="s">
        <v>2709</v>
      </c>
      <c r="F340" s="98" t="s">
        <v>49</v>
      </c>
      <c r="G340" s="99" t="s">
        <v>2710</v>
      </c>
      <c r="H340" s="99">
        <v>6</v>
      </c>
      <c r="I340" s="99" t="s">
        <v>2710</v>
      </c>
      <c r="J340" s="99">
        <v>2</v>
      </c>
      <c r="K340" s="98" t="s">
        <v>528</v>
      </c>
      <c r="L340" s="98" t="s">
        <v>528</v>
      </c>
      <c r="M340" s="116">
        <v>24132.436140456757</v>
      </c>
      <c r="N340" s="116">
        <v>38357.738814733355</v>
      </c>
      <c r="O340" s="116">
        <v>3353</v>
      </c>
      <c r="P340" s="117" t="s">
        <v>208</v>
      </c>
      <c r="Q340" s="116">
        <v>3132</v>
      </c>
      <c r="R340" s="117" t="s">
        <v>208</v>
      </c>
      <c r="S340" s="116">
        <v>2524</v>
      </c>
      <c r="T340" s="117" t="s">
        <v>208</v>
      </c>
      <c r="U340" s="116">
        <v>2626</v>
      </c>
      <c r="V340" s="117" t="s">
        <v>208</v>
      </c>
      <c r="W340" s="116">
        <v>2334</v>
      </c>
      <c r="X340" s="117" t="s">
        <v>208</v>
      </c>
      <c r="Y340" s="116">
        <v>2735.7272727272725</v>
      </c>
      <c r="Z340" s="117" t="s">
        <v>208</v>
      </c>
      <c r="AA340" s="116">
        <v>3324</v>
      </c>
      <c r="AB340" s="117" t="s">
        <v>208</v>
      </c>
      <c r="AC340" s="116">
        <v>1514</v>
      </c>
      <c r="AD340" s="117" t="s">
        <v>208</v>
      </c>
      <c r="AE340" s="116">
        <v>3113</v>
      </c>
      <c r="AF340" s="117" t="s">
        <v>208</v>
      </c>
      <c r="AG340" s="116">
        <v>2643</v>
      </c>
      <c r="AH340" s="117" t="s">
        <v>208</v>
      </c>
      <c r="AI340" s="116">
        <v>2935</v>
      </c>
      <c r="AJ340" s="117" t="s">
        <v>208</v>
      </c>
      <c r="AK340" s="116">
        <v>2595</v>
      </c>
      <c r="AL340" s="117" t="s">
        <v>208</v>
      </c>
      <c r="AM340" s="116">
        <v>32828.727272727272</v>
      </c>
    </row>
    <row r="341" spans="1:39" s="100" customFormat="1" ht="46.8" x14ac:dyDescent="0.3">
      <c r="A341" s="97">
        <v>331</v>
      </c>
      <c r="B341" s="98" t="s">
        <v>976</v>
      </c>
      <c r="C341" s="98" t="s">
        <v>2708</v>
      </c>
      <c r="D341" s="98" t="s">
        <v>1902</v>
      </c>
      <c r="E341" s="98" t="s">
        <v>2709</v>
      </c>
      <c r="F341" s="98" t="s">
        <v>49</v>
      </c>
      <c r="G341" s="99" t="s">
        <v>2710</v>
      </c>
      <c r="H341" s="99">
        <v>3</v>
      </c>
      <c r="I341" s="99" t="s">
        <v>2710</v>
      </c>
      <c r="J341" s="99">
        <v>1</v>
      </c>
      <c r="K341" s="98" t="s">
        <v>528</v>
      </c>
      <c r="L341" s="98" t="s">
        <v>528</v>
      </c>
      <c r="M341" s="116">
        <v>2459.613828565864</v>
      </c>
      <c r="N341" s="116">
        <v>3837.6539697540152</v>
      </c>
      <c r="O341" s="116">
        <v>318.92765432915343</v>
      </c>
      <c r="P341" s="117" t="s">
        <v>208</v>
      </c>
      <c r="Q341" s="116">
        <v>300.04066785267463</v>
      </c>
      <c r="R341" s="117" t="s">
        <v>208</v>
      </c>
      <c r="S341" s="116">
        <v>218.58945442906446</v>
      </c>
      <c r="T341" s="117" t="s">
        <v>208</v>
      </c>
      <c r="U341" s="116">
        <v>210.15326984754097</v>
      </c>
      <c r="V341" s="117" t="s">
        <v>208</v>
      </c>
      <c r="W341" s="116">
        <v>298.85154962641894</v>
      </c>
      <c r="X341" s="117" t="s">
        <v>208</v>
      </c>
      <c r="Y341" s="116">
        <v>275.40436560778511</v>
      </c>
      <c r="Z341" s="117" t="s">
        <v>208</v>
      </c>
      <c r="AA341" s="116">
        <v>314.75422906920699</v>
      </c>
      <c r="AB341" s="117" t="s">
        <v>208</v>
      </c>
      <c r="AC341" s="116">
        <v>354.9167111763756</v>
      </c>
      <c r="AD341" s="117" t="s">
        <v>208</v>
      </c>
      <c r="AE341" s="116">
        <v>293.13501067832715</v>
      </c>
      <c r="AF341" s="117" t="s">
        <v>208</v>
      </c>
      <c r="AG341" s="116">
        <v>253.14455343357949</v>
      </c>
      <c r="AH341" s="117" t="s">
        <v>208</v>
      </c>
      <c r="AI341" s="116">
        <v>231.63279401486838</v>
      </c>
      <c r="AJ341" s="117" t="s">
        <v>208</v>
      </c>
      <c r="AK341" s="116">
        <v>235.30212722842634</v>
      </c>
      <c r="AL341" s="117" t="s">
        <v>208</v>
      </c>
      <c r="AM341" s="116">
        <v>3304.8523872934215</v>
      </c>
    </row>
    <row r="342" spans="1:39" s="100" customFormat="1" ht="46.8" x14ac:dyDescent="0.3">
      <c r="A342" s="97">
        <v>332</v>
      </c>
      <c r="B342" s="98" t="s">
        <v>977</v>
      </c>
      <c r="C342" s="98" t="s">
        <v>2708</v>
      </c>
      <c r="D342" s="98" t="s">
        <v>1902</v>
      </c>
      <c r="E342" s="98" t="s">
        <v>2709</v>
      </c>
      <c r="F342" s="98" t="s">
        <v>49</v>
      </c>
      <c r="G342" s="99" t="s">
        <v>2710</v>
      </c>
      <c r="H342" s="99">
        <v>3</v>
      </c>
      <c r="I342" s="99" t="s">
        <v>2710</v>
      </c>
      <c r="J342" s="99">
        <v>1</v>
      </c>
      <c r="K342" s="98" t="s">
        <v>528</v>
      </c>
      <c r="L342" s="98" t="s">
        <v>528</v>
      </c>
      <c r="M342" s="116">
        <v>2783.0312815986731</v>
      </c>
      <c r="N342" s="116">
        <v>4404.8388519786085</v>
      </c>
      <c r="O342" s="116">
        <v>240.95820826341293</v>
      </c>
      <c r="P342" s="117" t="s">
        <v>208</v>
      </c>
      <c r="Q342" s="116">
        <v>249.49759165422307</v>
      </c>
      <c r="R342" s="117" t="s">
        <v>208</v>
      </c>
      <c r="S342" s="116">
        <v>272.50652946279831</v>
      </c>
      <c r="T342" s="117" t="s">
        <v>208</v>
      </c>
      <c r="U342" s="116">
        <v>286.13589244780695</v>
      </c>
      <c r="V342" s="117" t="s">
        <v>208</v>
      </c>
      <c r="W342" s="116">
        <v>304.71541549799252</v>
      </c>
      <c r="X342" s="117" t="s">
        <v>208</v>
      </c>
      <c r="Y342" s="116">
        <v>315.01203795511321</v>
      </c>
      <c r="Z342" s="117" t="s">
        <v>208</v>
      </c>
      <c r="AA342" s="116">
        <v>382.08851186006211</v>
      </c>
      <c r="AB342" s="117" t="s">
        <v>208</v>
      </c>
      <c r="AC342" s="116">
        <v>395.13373417097807</v>
      </c>
      <c r="AD342" s="117" t="s">
        <v>208</v>
      </c>
      <c r="AE342" s="116">
        <v>373.50776705038817</v>
      </c>
      <c r="AF342" s="117" t="s">
        <v>208</v>
      </c>
      <c r="AG342" s="116">
        <v>343.65895188763164</v>
      </c>
      <c r="AH342" s="117" t="s">
        <v>208</v>
      </c>
      <c r="AI342" s="116">
        <v>353.64863647854446</v>
      </c>
      <c r="AJ342" s="117" t="s">
        <v>208</v>
      </c>
      <c r="AK342" s="116">
        <v>263.28117873240654</v>
      </c>
      <c r="AL342" s="117" t="s">
        <v>208</v>
      </c>
      <c r="AM342" s="116">
        <v>3780.144455461359</v>
      </c>
    </row>
    <row r="343" spans="1:39" s="100" customFormat="1" ht="46.8" x14ac:dyDescent="0.3">
      <c r="A343" s="97">
        <v>333</v>
      </c>
      <c r="B343" s="98" t="s">
        <v>196</v>
      </c>
      <c r="C343" s="98" t="s">
        <v>2708</v>
      </c>
      <c r="D343" s="98" t="s">
        <v>1902</v>
      </c>
      <c r="E343" s="98" t="s">
        <v>2709</v>
      </c>
      <c r="F343" s="98" t="s">
        <v>49</v>
      </c>
      <c r="G343" s="99" t="s">
        <v>2710</v>
      </c>
      <c r="H343" s="99">
        <v>18</v>
      </c>
      <c r="I343" s="99" t="s">
        <v>2710</v>
      </c>
      <c r="J343" s="99">
        <v>3</v>
      </c>
      <c r="K343" s="98" t="s">
        <v>528</v>
      </c>
      <c r="L343" s="98" t="s">
        <v>528</v>
      </c>
      <c r="M343" s="116">
        <v>9146.3884630658085</v>
      </c>
      <c r="N343" s="116">
        <v>15635.745509731798</v>
      </c>
      <c r="O343" s="116">
        <v>1095</v>
      </c>
      <c r="P343" s="117" t="s">
        <v>208</v>
      </c>
      <c r="Q343" s="116">
        <v>1136</v>
      </c>
      <c r="R343" s="117" t="s">
        <v>208</v>
      </c>
      <c r="S343" s="116">
        <v>1166</v>
      </c>
      <c r="T343" s="117" t="s">
        <v>208</v>
      </c>
      <c r="U343" s="116">
        <v>1185</v>
      </c>
      <c r="V343" s="117" t="s">
        <v>208</v>
      </c>
      <c r="W343" s="116">
        <v>1021</v>
      </c>
      <c r="X343" s="117" t="s">
        <v>208</v>
      </c>
      <c r="Y343" s="116">
        <v>1042.8181818181818</v>
      </c>
      <c r="Z343" s="117" t="s">
        <v>208</v>
      </c>
      <c r="AA343" s="116">
        <v>1280</v>
      </c>
      <c r="AB343" s="117" t="s">
        <v>208</v>
      </c>
      <c r="AC343" s="116">
        <v>619</v>
      </c>
      <c r="AD343" s="117" t="s">
        <v>208</v>
      </c>
      <c r="AE343" s="116">
        <v>1237</v>
      </c>
      <c r="AF343" s="117" t="s">
        <v>208</v>
      </c>
      <c r="AG343" s="116">
        <v>875</v>
      </c>
      <c r="AH343" s="117" t="s">
        <v>208</v>
      </c>
      <c r="AI343" s="116">
        <v>984</v>
      </c>
      <c r="AJ343" s="117" t="s">
        <v>208</v>
      </c>
      <c r="AK343" s="116">
        <v>873</v>
      </c>
      <c r="AL343" s="117" t="s">
        <v>208</v>
      </c>
      <c r="AM343" s="116">
        <v>12513.818181818182</v>
      </c>
    </row>
    <row r="344" spans="1:39" s="100" customFormat="1" ht="46.8" x14ac:dyDescent="0.3">
      <c r="A344" s="97">
        <v>334</v>
      </c>
      <c r="B344" s="98" t="s">
        <v>978</v>
      </c>
      <c r="C344" s="98" t="s">
        <v>2708</v>
      </c>
      <c r="D344" s="98" t="s">
        <v>1902</v>
      </c>
      <c r="E344" s="98" t="s">
        <v>2709</v>
      </c>
      <c r="F344" s="98" t="s">
        <v>49</v>
      </c>
      <c r="G344" s="99" t="s">
        <v>2710</v>
      </c>
      <c r="H344" s="99">
        <v>36</v>
      </c>
      <c r="I344" s="99" t="s">
        <v>2710</v>
      </c>
      <c r="J344" s="99">
        <v>6</v>
      </c>
      <c r="K344" s="98" t="s">
        <v>528</v>
      </c>
      <c r="L344" s="98" t="s">
        <v>528</v>
      </c>
      <c r="M344" s="116">
        <v>12531.004188659903</v>
      </c>
      <c r="N344" s="116">
        <v>21523.653253893757</v>
      </c>
      <c r="O344" s="116">
        <v>1673</v>
      </c>
      <c r="P344" s="117" t="s">
        <v>208</v>
      </c>
      <c r="Q344" s="116">
        <v>1568</v>
      </c>
      <c r="R344" s="117" t="s">
        <v>208</v>
      </c>
      <c r="S344" s="116">
        <v>1545</v>
      </c>
      <c r="T344" s="117" t="s">
        <v>208</v>
      </c>
      <c r="U344" s="116">
        <v>1428</v>
      </c>
      <c r="V344" s="117" t="s">
        <v>208</v>
      </c>
      <c r="W344" s="116">
        <v>1691</v>
      </c>
      <c r="X344" s="117" t="s">
        <v>208</v>
      </c>
      <c r="Y344" s="116">
        <v>1497.909090909091</v>
      </c>
      <c r="Z344" s="117" t="s">
        <v>208</v>
      </c>
      <c r="AA344" s="116">
        <v>2021</v>
      </c>
      <c r="AB344" s="117" t="s">
        <v>208</v>
      </c>
      <c r="AC344" s="116">
        <v>800</v>
      </c>
      <c r="AD344" s="117" t="s">
        <v>208</v>
      </c>
      <c r="AE344" s="116">
        <v>1478</v>
      </c>
      <c r="AF344" s="117" t="s">
        <v>208</v>
      </c>
      <c r="AG344" s="116">
        <v>1443</v>
      </c>
      <c r="AH344" s="117" t="s">
        <v>208</v>
      </c>
      <c r="AI344" s="116">
        <v>1478</v>
      </c>
      <c r="AJ344" s="117" t="s">
        <v>208</v>
      </c>
      <c r="AK344" s="116">
        <v>1352</v>
      </c>
      <c r="AL344" s="117" t="s">
        <v>208</v>
      </c>
      <c r="AM344" s="116">
        <v>17974.909090909092</v>
      </c>
    </row>
    <row r="345" spans="1:39" s="100" customFormat="1" ht="46.8" x14ac:dyDescent="0.3">
      <c r="A345" s="97">
        <v>335</v>
      </c>
      <c r="B345" s="98" t="s">
        <v>979</v>
      </c>
      <c r="C345" s="98" t="s">
        <v>2708</v>
      </c>
      <c r="D345" s="98" t="s">
        <v>1902</v>
      </c>
      <c r="E345" s="98" t="s">
        <v>2709</v>
      </c>
      <c r="F345" s="98" t="s">
        <v>49</v>
      </c>
      <c r="G345" s="99" t="s">
        <v>2710</v>
      </c>
      <c r="H345" s="99">
        <v>5</v>
      </c>
      <c r="I345" s="99" t="s">
        <v>2710</v>
      </c>
      <c r="J345" s="99">
        <v>1</v>
      </c>
      <c r="K345" s="98" t="s">
        <v>528</v>
      </c>
      <c r="L345" s="98" t="s">
        <v>528</v>
      </c>
      <c r="M345" s="116">
        <v>4013.4611440893709</v>
      </c>
      <c r="N345" s="116">
        <v>6879.4413241871453</v>
      </c>
      <c r="O345" s="116">
        <v>512</v>
      </c>
      <c r="P345" s="117" t="s">
        <v>208</v>
      </c>
      <c r="Q345" s="116">
        <v>620</v>
      </c>
      <c r="R345" s="117" t="s">
        <v>208</v>
      </c>
      <c r="S345" s="116">
        <v>451</v>
      </c>
      <c r="T345" s="117" t="s">
        <v>208</v>
      </c>
      <c r="U345" s="116">
        <v>490</v>
      </c>
      <c r="V345" s="117" t="s">
        <v>208</v>
      </c>
      <c r="W345" s="116">
        <v>529</v>
      </c>
      <c r="X345" s="117" t="s">
        <v>208</v>
      </c>
      <c r="Y345" s="116">
        <v>488.81818181818181</v>
      </c>
      <c r="Z345" s="117" t="s">
        <v>208</v>
      </c>
      <c r="AA345" s="116">
        <v>550</v>
      </c>
      <c r="AB345" s="117" t="s">
        <v>208</v>
      </c>
      <c r="AC345" s="116">
        <v>386</v>
      </c>
      <c r="AD345" s="117" t="s">
        <v>208</v>
      </c>
      <c r="AE345" s="116">
        <v>388</v>
      </c>
      <c r="AF345" s="117" t="s">
        <v>208</v>
      </c>
      <c r="AG345" s="116">
        <v>538</v>
      </c>
      <c r="AH345" s="117" t="s">
        <v>208</v>
      </c>
      <c r="AI345" s="116">
        <v>356</v>
      </c>
      <c r="AJ345" s="117" t="s">
        <v>208</v>
      </c>
      <c r="AK345" s="116">
        <v>557</v>
      </c>
      <c r="AL345" s="117" t="s">
        <v>208</v>
      </c>
      <c r="AM345" s="116">
        <v>5865.818181818182</v>
      </c>
    </row>
    <row r="346" spans="1:39" s="100" customFormat="1" ht="46.8" x14ac:dyDescent="0.3">
      <c r="A346" s="97">
        <v>336</v>
      </c>
      <c r="B346" s="98" t="s">
        <v>198</v>
      </c>
      <c r="C346" s="98" t="s">
        <v>2708</v>
      </c>
      <c r="D346" s="98" t="s">
        <v>1902</v>
      </c>
      <c r="E346" s="98" t="s">
        <v>2709</v>
      </c>
      <c r="F346" s="98" t="s">
        <v>49</v>
      </c>
      <c r="G346" s="99" t="s">
        <v>2710</v>
      </c>
      <c r="H346" s="99">
        <v>6</v>
      </c>
      <c r="I346" s="99" t="s">
        <v>2710</v>
      </c>
      <c r="J346" s="99">
        <v>1</v>
      </c>
      <c r="K346" s="98" t="s">
        <v>528</v>
      </c>
      <c r="L346" s="98" t="s">
        <v>528</v>
      </c>
      <c r="M346" s="116">
        <v>4511.5913939987004</v>
      </c>
      <c r="N346" s="116">
        <v>7650.2034232689603</v>
      </c>
      <c r="O346" s="116">
        <v>718.32201501084228</v>
      </c>
      <c r="P346" s="117" t="s">
        <v>208</v>
      </c>
      <c r="Q346" s="116">
        <v>565.79265339754659</v>
      </c>
      <c r="R346" s="117" t="s">
        <v>208</v>
      </c>
      <c r="S346" s="116">
        <v>520.88398812803837</v>
      </c>
      <c r="T346" s="117" t="s">
        <v>208</v>
      </c>
      <c r="U346" s="116">
        <v>673.94891143635004</v>
      </c>
      <c r="V346" s="117" t="s">
        <v>208</v>
      </c>
      <c r="W346" s="116">
        <v>444.07713990188478</v>
      </c>
      <c r="X346" s="117" t="s">
        <v>208</v>
      </c>
      <c r="Y346" s="116">
        <v>548.76642406294582</v>
      </c>
      <c r="Z346" s="117" t="s">
        <v>208</v>
      </c>
      <c r="AA346" s="116">
        <v>408.86712914346384</v>
      </c>
      <c r="AB346" s="117" t="s">
        <v>208</v>
      </c>
      <c r="AC346" s="116">
        <v>613.95837835295151</v>
      </c>
      <c r="AD346" s="117" t="s">
        <v>208</v>
      </c>
      <c r="AE346" s="116">
        <v>401.78108733960744</v>
      </c>
      <c r="AF346" s="117" t="s">
        <v>208</v>
      </c>
      <c r="AG346" s="116">
        <v>431.18337770557713</v>
      </c>
      <c r="AH346" s="117" t="s">
        <v>208</v>
      </c>
      <c r="AI346" s="116">
        <v>628.98463755731916</v>
      </c>
      <c r="AJ346" s="117" t="s">
        <v>208</v>
      </c>
      <c r="AK346" s="116">
        <v>628.63134671882392</v>
      </c>
      <c r="AL346" s="117" t="s">
        <v>208</v>
      </c>
      <c r="AM346" s="116">
        <v>6585.1970887553507</v>
      </c>
    </row>
    <row r="347" spans="1:39" s="100" customFormat="1" ht="46.8" x14ac:dyDescent="0.3">
      <c r="A347" s="97">
        <v>337</v>
      </c>
      <c r="B347" s="98" t="s">
        <v>980</v>
      </c>
      <c r="C347" s="98" t="s">
        <v>2708</v>
      </c>
      <c r="D347" s="98" t="s">
        <v>1902</v>
      </c>
      <c r="E347" s="98" t="s">
        <v>2709</v>
      </c>
      <c r="F347" s="98" t="s">
        <v>49</v>
      </c>
      <c r="G347" s="99" t="s">
        <v>2710</v>
      </c>
      <c r="H347" s="99">
        <v>24</v>
      </c>
      <c r="I347" s="99" t="s">
        <v>2710</v>
      </c>
      <c r="J347" s="99">
        <v>4</v>
      </c>
      <c r="K347" s="98" t="s">
        <v>528</v>
      </c>
      <c r="L347" s="98" t="s">
        <v>528</v>
      </c>
      <c r="M347" s="116">
        <v>11799.185059002841</v>
      </c>
      <c r="N347" s="116">
        <v>19501.072102195121</v>
      </c>
      <c r="O347" s="116">
        <v>1578</v>
      </c>
      <c r="P347" s="117" t="s">
        <v>208</v>
      </c>
      <c r="Q347" s="116">
        <v>1516</v>
      </c>
      <c r="R347" s="117" t="s">
        <v>208</v>
      </c>
      <c r="S347" s="116">
        <v>1344</v>
      </c>
      <c r="T347" s="117" t="s">
        <v>208</v>
      </c>
      <c r="U347" s="116">
        <v>1317</v>
      </c>
      <c r="V347" s="117" t="s">
        <v>208</v>
      </c>
      <c r="W347" s="116">
        <v>1113</v>
      </c>
      <c r="X347" s="117" t="s">
        <v>208</v>
      </c>
      <c r="Y347" s="116">
        <v>1321.4545454545455</v>
      </c>
      <c r="Z347" s="117" t="s">
        <v>208</v>
      </c>
      <c r="AA347" s="116">
        <v>1626</v>
      </c>
      <c r="AB347" s="117" t="s">
        <v>208</v>
      </c>
      <c r="AC347" s="116">
        <v>1269</v>
      </c>
      <c r="AD347" s="117" t="s">
        <v>208</v>
      </c>
      <c r="AE347" s="116">
        <v>1183</v>
      </c>
      <c r="AF347" s="117" t="s">
        <v>208</v>
      </c>
      <c r="AG347" s="116">
        <v>1043</v>
      </c>
      <c r="AH347" s="117" t="s">
        <v>208</v>
      </c>
      <c r="AI347" s="116">
        <v>1118</v>
      </c>
      <c r="AJ347" s="117" t="s">
        <v>208</v>
      </c>
      <c r="AK347" s="116">
        <v>1429</v>
      </c>
      <c r="AL347" s="117" t="s">
        <v>208</v>
      </c>
      <c r="AM347" s="116">
        <v>15857.454545454546</v>
      </c>
    </row>
    <row r="348" spans="1:39" s="100" customFormat="1" ht="46.8" x14ac:dyDescent="0.3">
      <c r="A348" s="97">
        <v>338</v>
      </c>
      <c r="B348" s="98" t="s">
        <v>981</v>
      </c>
      <c r="C348" s="98" t="s">
        <v>2708</v>
      </c>
      <c r="D348" s="98" t="s">
        <v>1902</v>
      </c>
      <c r="E348" s="98" t="s">
        <v>2709</v>
      </c>
      <c r="F348" s="98" t="s">
        <v>49</v>
      </c>
      <c r="G348" s="99" t="s">
        <v>2710</v>
      </c>
      <c r="H348" s="99">
        <v>12</v>
      </c>
      <c r="I348" s="99" t="s">
        <v>2710</v>
      </c>
      <c r="J348" s="99">
        <v>2</v>
      </c>
      <c r="K348" s="98" t="s">
        <v>528</v>
      </c>
      <c r="L348" s="98" t="s">
        <v>528</v>
      </c>
      <c r="M348" s="116">
        <v>2367.78949887419</v>
      </c>
      <c r="N348" s="116">
        <v>4077.9970140182254</v>
      </c>
      <c r="O348" s="116">
        <v>300.04000000000002</v>
      </c>
      <c r="P348" s="117" t="s">
        <v>208</v>
      </c>
      <c r="Q348" s="116">
        <v>323.96000000000004</v>
      </c>
      <c r="R348" s="117" t="s">
        <v>208</v>
      </c>
      <c r="S348" s="116">
        <v>247</v>
      </c>
      <c r="T348" s="117" t="s">
        <v>208</v>
      </c>
      <c r="U348" s="116">
        <v>265.2</v>
      </c>
      <c r="V348" s="117" t="s">
        <v>208</v>
      </c>
      <c r="W348" s="116">
        <v>242.84</v>
      </c>
      <c r="X348" s="117" t="s">
        <v>208</v>
      </c>
      <c r="Y348" s="116">
        <v>274.37090909090904</v>
      </c>
      <c r="Z348" s="117" t="s">
        <v>208</v>
      </c>
      <c r="AA348" s="116">
        <v>301.08000000000004</v>
      </c>
      <c r="AB348" s="117" t="s">
        <v>208</v>
      </c>
      <c r="AC348" s="116">
        <v>192.4</v>
      </c>
      <c r="AD348" s="117" t="s">
        <v>208</v>
      </c>
      <c r="AE348" s="116">
        <v>213.2</v>
      </c>
      <c r="AF348" s="117" t="s">
        <v>208</v>
      </c>
      <c r="AG348" s="116">
        <v>338.52</v>
      </c>
      <c r="AH348" s="117" t="s">
        <v>208</v>
      </c>
      <c r="AI348" s="116">
        <v>251.16</v>
      </c>
      <c r="AJ348" s="117" t="s">
        <v>208</v>
      </c>
      <c r="AK348" s="116">
        <v>342.68</v>
      </c>
      <c r="AL348" s="117" t="s">
        <v>208</v>
      </c>
      <c r="AM348" s="116">
        <v>3292.4509090909087</v>
      </c>
    </row>
    <row r="349" spans="1:39" s="100" customFormat="1" ht="46.8" x14ac:dyDescent="0.3">
      <c r="A349" s="97">
        <v>339</v>
      </c>
      <c r="B349" s="98" t="s">
        <v>982</v>
      </c>
      <c r="C349" s="98" t="s">
        <v>2708</v>
      </c>
      <c r="D349" s="98" t="s">
        <v>1902</v>
      </c>
      <c r="E349" s="98" t="s">
        <v>2709</v>
      </c>
      <c r="F349" s="98" t="s">
        <v>49</v>
      </c>
      <c r="G349" s="99" t="s">
        <v>2710</v>
      </c>
      <c r="H349" s="99">
        <v>16</v>
      </c>
      <c r="I349" s="99" t="s">
        <v>2710</v>
      </c>
      <c r="J349" s="99">
        <v>2</v>
      </c>
      <c r="K349" s="98" t="s">
        <v>528</v>
      </c>
      <c r="L349" s="98" t="s">
        <v>529</v>
      </c>
      <c r="M349" s="116">
        <v>38369.931248635352</v>
      </c>
      <c r="N349" s="116">
        <v>60870.178328313181</v>
      </c>
      <c r="O349" s="116">
        <v>4418</v>
      </c>
      <c r="P349" s="117" t="s">
        <v>1906</v>
      </c>
      <c r="Q349" s="116">
        <v>4418</v>
      </c>
      <c r="R349" s="117" t="s">
        <v>1906</v>
      </c>
      <c r="S349" s="116">
        <v>4418</v>
      </c>
      <c r="T349" s="117" t="s">
        <v>1906</v>
      </c>
      <c r="U349" s="116">
        <v>4418</v>
      </c>
      <c r="V349" s="117" t="s">
        <v>1906</v>
      </c>
      <c r="W349" s="116">
        <v>4418</v>
      </c>
      <c r="X349" s="117" t="s">
        <v>1906</v>
      </c>
      <c r="Y349" s="116">
        <v>4390.727272727273</v>
      </c>
      <c r="Z349" s="117" t="s">
        <v>1906</v>
      </c>
      <c r="AA349" s="116">
        <v>4368</v>
      </c>
      <c r="AB349" s="117" t="s">
        <v>1906</v>
      </c>
      <c r="AC349" s="116">
        <v>4368</v>
      </c>
      <c r="AD349" s="117" t="s">
        <v>1906</v>
      </c>
      <c r="AE349" s="116">
        <v>4368</v>
      </c>
      <c r="AF349" s="117" t="s">
        <v>1906</v>
      </c>
      <c r="AG349" s="116">
        <v>4368</v>
      </c>
      <c r="AH349" s="117" t="s">
        <v>1906</v>
      </c>
      <c r="AI349" s="116">
        <v>4368</v>
      </c>
      <c r="AJ349" s="117" t="s">
        <v>1906</v>
      </c>
      <c r="AK349" s="116">
        <v>4368</v>
      </c>
      <c r="AL349" s="117" t="s">
        <v>1906</v>
      </c>
      <c r="AM349" s="116">
        <v>52688.727272727272</v>
      </c>
    </row>
    <row r="350" spans="1:39" s="100" customFormat="1" ht="46.8" x14ac:dyDescent="0.3">
      <c r="A350" s="97">
        <v>340</v>
      </c>
      <c r="B350" s="98" t="s">
        <v>983</v>
      </c>
      <c r="C350" s="98" t="s">
        <v>2708</v>
      </c>
      <c r="D350" s="98" t="s">
        <v>1902</v>
      </c>
      <c r="E350" s="98" t="s">
        <v>2709</v>
      </c>
      <c r="F350" s="98" t="s">
        <v>49</v>
      </c>
      <c r="G350" s="99" t="s">
        <v>2710</v>
      </c>
      <c r="H350" s="99">
        <v>6</v>
      </c>
      <c r="I350" s="99" t="s">
        <v>2710</v>
      </c>
      <c r="J350" s="99">
        <v>1</v>
      </c>
      <c r="K350" s="98" t="s">
        <v>528</v>
      </c>
      <c r="L350" s="98" t="s">
        <v>528</v>
      </c>
      <c r="M350" s="116">
        <v>2629.5372748536374</v>
      </c>
      <c r="N350" s="116">
        <v>4704.4578433752213</v>
      </c>
      <c r="O350" s="116">
        <v>361</v>
      </c>
      <c r="P350" s="117" t="s">
        <v>208</v>
      </c>
      <c r="Q350" s="116">
        <v>389</v>
      </c>
      <c r="R350" s="117" t="s">
        <v>208</v>
      </c>
      <c r="S350" s="116">
        <v>267</v>
      </c>
      <c r="T350" s="117" t="s">
        <v>208</v>
      </c>
      <c r="U350" s="116">
        <v>255</v>
      </c>
      <c r="V350" s="117" t="s">
        <v>208</v>
      </c>
      <c r="W350" s="116">
        <v>251</v>
      </c>
      <c r="X350" s="117" t="s">
        <v>208</v>
      </c>
      <c r="Y350" s="116">
        <v>318.72727272727275</v>
      </c>
      <c r="Z350" s="117" t="s">
        <v>208</v>
      </c>
      <c r="AA350" s="116">
        <v>391</v>
      </c>
      <c r="AB350" s="117" t="s">
        <v>208</v>
      </c>
      <c r="AC350" s="116">
        <v>243</v>
      </c>
      <c r="AD350" s="117" t="s">
        <v>208</v>
      </c>
      <c r="AE350" s="116">
        <v>307</v>
      </c>
      <c r="AF350" s="117" t="s">
        <v>208</v>
      </c>
      <c r="AG350" s="116">
        <v>463</v>
      </c>
      <c r="AH350" s="117" t="s">
        <v>208</v>
      </c>
      <c r="AI350" s="116">
        <v>192</v>
      </c>
      <c r="AJ350" s="117" t="s">
        <v>208</v>
      </c>
      <c r="AK350" s="116">
        <v>387</v>
      </c>
      <c r="AL350" s="117" t="s">
        <v>208</v>
      </c>
      <c r="AM350" s="116">
        <v>3824.727272727273</v>
      </c>
    </row>
    <row r="351" spans="1:39" s="100" customFormat="1" ht="46.8" x14ac:dyDescent="0.3">
      <c r="A351" s="97">
        <v>341</v>
      </c>
      <c r="B351" s="98" t="s">
        <v>984</v>
      </c>
      <c r="C351" s="98" t="s">
        <v>2708</v>
      </c>
      <c r="D351" s="98" t="s">
        <v>1902</v>
      </c>
      <c r="E351" s="98" t="s">
        <v>2709</v>
      </c>
      <c r="F351" s="98" t="s">
        <v>49</v>
      </c>
      <c r="G351" s="99" t="s">
        <v>2710</v>
      </c>
      <c r="H351" s="99">
        <v>18</v>
      </c>
      <c r="I351" s="99" t="s">
        <v>2710</v>
      </c>
      <c r="J351" s="99">
        <v>3</v>
      </c>
      <c r="K351" s="98" t="s">
        <v>528</v>
      </c>
      <c r="L351" s="98" t="s">
        <v>528</v>
      </c>
      <c r="M351" s="116">
        <v>14814.744964478217</v>
      </c>
      <c r="N351" s="116">
        <v>23312.488505800338</v>
      </c>
      <c r="O351" s="116">
        <v>1703</v>
      </c>
      <c r="P351" s="117" t="s">
        <v>208</v>
      </c>
      <c r="Q351" s="116">
        <v>1529</v>
      </c>
      <c r="R351" s="117" t="s">
        <v>208</v>
      </c>
      <c r="S351" s="116">
        <v>1282</v>
      </c>
      <c r="T351" s="117" t="s">
        <v>208</v>
      </c>
      <c r="U351" s="116">
        <v>1442</v>
      </c>
      <c r="V351" s="117" t="s">
        <v>208</v>
      </c>
      <c r="W351" s="116">
        <v>1325</v>
      </c>
      <c r="X351" s="117" t="s">
        <v>208</v>
      </c>
      <c r="Y351" s="116">
        <v>1652.6363636363637</v>
      </c>
      <c r="Z351" s="117" t="s">
        <v>208</v>
      </c>
      <c r="AA351" s="116">
        <v>2895</v>
      </c>
      <c r="AB351" s="117" t="s">
        <v>208</v>
      </c>
      <c r="AC351" s="116">
        <v>1668</v>
      </c>
      <c r="AD351" s="117" t="s">
        <v>208</v>
      </c>
      <c r="AE351" s="116">
        <v>1514</v>
      </c>
      <c r="AF351" s="117" t="s">
        <v>208</v>
      </c>
      <c r="AG351" s="116">
        <v>1674</v>
      </c>
      <c r="AH351" s="117" t="s">
        <v>208</v>
      </c>
      <c r="AI351" s="116">
        <v>1198</v>
      </c>
      <c r="AJ351" s="117" t="s">
        <v>208</v>
      </c>
      <c r="AK351" s="116">
        <v>1949</v>
      </c>
      <c r="AL351" s="117" t="s">
        <v>208</v>
      </c>
      <c r="AM351" s="116">
        <v>19831.636363636364</v>
      </c>
    </row>
    <row r="352" spans="1:39" s="100" customFormat="1" ht="46.8" x14ac:dyDescent="0.3">
      <c r="A352" s="97">
        <v>342</v>
      </c>
      <c r="B352" s="98" t="s">
        <v>985</v>
      </c>
      <c r="C352" s="98" t="s">
        <v>2708</v>
      </c>
      <c r="D352" s="98" t="s">
        <v>1902</v>
      </c>
      <c r="E352" s="98" t="s">
        <v>2709</v>
      </c>
      <c r="F352" s="98" t="s">
        <v>49</v>
      </c>
      <c r="G352" s="99" t="s">
        <v>2710</v>
      </c>
      <c r="H352" s="99">
        <v>12</v>
      </c>
      <c r="I352" s="99" t="s">
        <v>2710</v>
      </c>
      <c r="J352" s="99">
        <v>2</v>
      </c>
      <c r="K352" s="98" t="s">
        <v>528</v>
      </c>
      <c r="L352" s="98" t="s">
        <v>528</v>
      </c>
      <c r="M352" s="116">
        <v>3542.062283030406</v>
      </c>
      <c r="N352" s="116">
        <v>6335.9153040337469</v>
      </c>
      <c r="O352" s="116">
        <v>642</v>
      </c>
      <c r="P352" s="117" t="s">
        <v>208</v>
      </c>
      <c r="Q352" s="116">
        <v>467</v>
      </c>
      <c r="R352" s="117" t="s">
        <v>208</v>
      </c>
      <c r="S352" s="116">
        <v>304</v>
      </c>
      <c r="T352" s="117" t="s">
        <v>208</v>
      </c>
      <c r="U352" s="116">
        <v>315</v>
      </c>
      <c r="V352" s="117" t="s">
        <v>208</v>
      </c>
      <c r="W352" s="116">
        <v>290</v>
      </c>
      <c r="X352" s="117" t="s">
        <v>208</v>
      </c>
      <c r="Y352" s="116">
        <v>425.81818181818181</v>
      </c>
      <c r="Z352" s="117" t="s">
        <v>208</v>
      </c>
      <c r="AA352" s="116">
        <v>674</v>
      </c>
      <c r="AB352" s="117" t="s">
        <v>208</v>
      </c>
      <c r="AC352" s="116">
        <v>394</v>
      </c>
      <c r="AD352" s="117" t="s">
        <v>208</v>
      </c>
      <c r="AE352" s="116">
        <v>335</v>
      </c>
      <c r="AF352" s="117" t="s">
        <v>208</v>
      </c>
      <c r="AG352" s="116">
        <v>409</v>
      </c>
      <c r="AH352" s="117" t="s">
        <v>208</v>
      </c>
      <c r="AI352" s="116">
        <v>220</v>
      </c>
      <c r="AJ352" s="117" t="s">
        <v>208</v>
      </c>
      <c r="AK352" s="116">
        <v>634</v>
      </c>
      <c r="AL352" s="117" t="s">
        <v>208</v>
      </c>
      <c r="AM352" s="116">
        <v>5109.818181818182</v>
      </c>
    </row>
    <row r="353" spans="1:39" s="100" customFormat="1" ht="46.8" x14ac:dyDescent="0.3">
      <c r="A353" s="97">
        <v>343</v>
      </c>
      <c r="B353" s="98" t="s">
        <v>986</v>
      </c>
      <c r="C353" s="98" t="s">
        <v>2708</v>
      </c>
      <c r="D353" s="98" t="s">
        <v>1902</v>
      </c>
      <c r="E353" s="98" t="s">
        <v>2709</v>
      </c>
      <c r="F353" s="98" t="s">
        <v>49</v>
      </c>
      <c r="G353" s="99" t="s">
        <v>2710</v>
      </c>
      <c r="H353" s="99">
        <v>21</v>
      </c>
      <c r="I353" s="99" t="s">
        <v>2710</v>
      </c>
      <c r="J353" s="99">
        <v>3</v>
      </c>
      <c r="K353" s="98" t="s">
        <v>528</v>
      </c>
      <c r="L353" s="98" t="s">
        <v>528</v>
      </c>
      <c r="M353" s="116">
        <v>10373.033002069218</v>
      </c>
      <c r="N353" s="116">
        <v>18172.462911637089</v>
      </c>
      <c r="O353" s="116">
        <v>1445</v>
      </c>
      <c r="P353" s="117" t="s">
        <v>208</v>
      </c>
      <c r="Q353" s="116">
        <v>1310</v>
      </c>
      <c r="R353" s="117" t="s">
        <v>208</v>
      </c>
      <c r="S353" s="116">
        <v>1073</v>
      </c>
      <c r="T353" s="117" t="s">
        <v>208</v>
      </c>
      <c r="U353" s="116">
        <v>1164</v>
      </c>
      <c r="V353" s="117" t="s">
        <v>208</v>
      </c>
      <c r="W353" s="116">
        <v>1098</v>
      </c>
      <c r="X353" s="117" t="s">
        <v>208</v>
      </c>
      <c r="Y353" s="116">
        <v>1282.909090909091</v>
      </c>
      <c r="Z353" s="117" t="s">
        <v>208</v>
      </c>
      <c r="AA353" s="116">
        <v>1644</v>
      </c>
      <c r="AB353" s="117" t="s">
        <v>208</v>
      </c>
      <c r="AC353" s="116">
        <v>1219</v>
      </c>
      <c r="AD353" s="117" t="s">
        <v>208</v>
      </c>
      <c r="AE353" s="116">
        <v>1300</v>
      </c>
      <c r="AF353" s="117" t="s">
        <v>208</v>
      </c>
      <c r="AG353" s="116">
        <v>1472</v>
      </c>
      <c r="AH353" s="117" t="s">
        <v>208</v>
      </c>
      <c r="AI353" s="116">
        <v>971</v>
      </c>
      <c r="AJ353" s="117" t="s">
        <v>208</v>
      </c>
      <c r="AK353" s="116">
        <v>1416</v>
      </c>
      <c r="AL353" s="117" t="s">
        <v>208</v>
      </c>
      <c r="AM353" s="116">
        <v>15394.909090909092</v>
      </c>
    </row>
    <row r="354" spans="1:39" s="100" customFormat="1" ht="46.8" x14ac:dyDescent="0.3">
      <c r="A354" s="97">
        <v>344</v>
      </c>
      <c r="B354" s="98" t="s">
        <v>987</v>
      </c>
      <c r="C354" s="98" t="s">
        <v>2708</v>
      </c>
      <c r="D354" s="98" t="s">
        <v>1902</v>
      </c>
      <c r="E354" s="98" t="s">
        <v>2709</v>
      </c>
      <c r="F354" s="98" t="s">
        <v>49</v>
      </c>
      <c r="G354" s="99" t="s">
        <v>2710</v>
      </c>
      <c r="H354" s="99">
        <v>3</v>
      </c>
      <c r="I354" s="99" t="s">
        <v>2710</v>
      </c>
      <c r="J354" s="99">
        <v>1</v>
      </c>
      <c r="K354" s="98" t="s">
        <v>528</v>
      </c>
      <c r="L354" s="98" t="s">
        <v>528</v>
      </c>
      <c r="M354" s="116">
        <v>1604.5847359781774</v>
      </c>
      <c r="N354" s="116">
        <v>2851.3474797008935</v>
      </c>
      <c r="O354" s="116">
        <v>156.2368763674786</v>
      </c>
      <c r="P354" s="117" t="s">
        <v>208</v>
      </c>
      <c r="Q354" s="116">
        <v>187.71284928579971</v>
      </c>
      <c r="R354" s="117" t="s">
        <v>208</v>
      </c>
      <c r="S354" s="116">
        <v>241.85887444566799</v>
      </c>
      <c r="T354" s="117" t="s">
        <v>208</v>
      </c>
      <c r="U354" s="116">
        <v>160.15961029042666</v>
      </c>
      <c r="V354" s="117" t="s">
        <v>208</v>
      </c>
      <c r="W354" s="116">
        <v>140.93774935250696</v>
      </c>
      <c r="X354" s="117" t="s">
        <v>208</v>
      </c>
      <c r="Y354" s="116">
        <v>190.10549553294797</v>
      </c>
      <c r="Z354" s="117" t="s">
        <v>208</v>
      </c>
      <c r="AA354" s="116">
        <v>192.34142086465289</v>
      </c>
      <c r="AB354" s="117" t="s">
        <v>208</v>
      </c>
      <c r="AC354" s="116">
        <v>178.63189639788897</v>
      </c>
      <c r="AD354" s="117" t="s">
        <v>208</v>
      </c>
      <c r="AE354" s="116">
        <v>246.7497291046908</v>
      </c>
      <c r="AF354" s="117" t="s">
        <v>208</v>
      </c>
      <c r="AG354" s="116">
        <v>142.80277206039978</v>
      </c>
      <c r="AH354" s="117" t="s">
        <v>208</v>
      </c>
      <c r="AI354" s="116">
        <v>188.24256605725242</v>
      </c>
      <c r="AJ354" s="117" t="s">
        <v>208</v>
      </c>
      <c r="AK354" s="116">
        <v>255.48610663566308</v>
      </c>
      <c r="AL354" s="117" t="s">
        <v>208</v>
      </c>
      <c r="AM354" s="116">
        <v>2281.2659463953755</v>
      </c>
    </row>
    <row r="355" spans="1:39" s="100" customFormat="1" ht="46.8" x14ac:dyDescent="0.3">
      <c r="A355" s="97">
        <v>345</v>
      </c>
      <c r="B355" s="98" t="s">
        <v>989</v>
      </c>
      <c r="C355" s="98" t="s">
        <v>2708</v>
      </c>
      <c r="D355" s="98" t="s">
        <v>1902</v>
      </c>
      <c r="E355" s="98" t="s">
        <v>2709</v>
      </c>
      <c r="F355" s="98" t="s">
        <v>49</v>
      </c>
      <c r="G355" s="99" t="s">
        <v>2710</v>
      </c>
      <c r="H355" s="99">
        <v>6</v>
      </c>
      <c r="I355" s="99" t="s">
        <v>2710</v>
      </c>
      <c r="J355" s="99">
        <v>1</v>
      </c>
      <c r="K355" s="98" t="s">
        <v>528</v>
      </c>
      <c r="L355" s="98" t="s">
        <v>528</v>
      </c>
      <c r="M355" s="116">
        <v>7337.6418799811718</v>
      </c>
      <c r="N355" s="116">
        <v>12975.907788269318</v>
      </c>
      <c r="O355" s="116">
        <v>1057</v>
      </c>
      <c r="P355" s="117" t="s">
        <v>208</v>
      </c>
      <c r="Q355" s="116">
        <v>938</v>
      </c>
      <c r="R355" s="117" t="s">
        <v>208</v>
      </c>
      <c r="S355" s="116">
        <v>841</v>
      </c>
      <c r="T355" s="117" t="s">
        <v>208</v>
      </c>
      <c r="U355" s="116">
        <v>904</v>
      </c>
      <c r="V355" s="117" t="s">
        <v>208</v>
      </c>
      <c r="W355" s="116">
        <v>894</v>
      </c>
      <c r="X355" s="117" t="s">
        <v>208</v>
      </c>
      <c r="Y355" s="116">
        <v>923.09090909090912</v>
      </c>
      <c r="Z355" s="117" t="s">
        <v>208</v>
      </c>
      <c r="AA355" s="116">
        <v>1161</v>
      </c>
      <c r="AB355" s="117" t="s">
        <v>208</v>
      </c>
      <c r="AC355" s="116">
        <v>875</v>
      </c>
      <c r="AD355" s="117" t="s">
        <v>208</v>
      </c>
      <c r="AE355" s="116">
        <v>977</v>
      </c>
      <c r="AF355" s="117" t="s">
        <v>208</v>
      </c>
      <c r="AG355" s="116">
        <v>872</v>
      </c>
      <c r="AH355" s="117" t="s">
        <v>208</v>
      </c>
      <c r="AI355" s="116">
        <v>775</v>
      </c>
      <c r="AJ355" s="117" t="s">
        <v>208</v>
      </c>
      <c r="AK355" s="116">
        <v>860</v>
      </c>
      <c r="AL355" s="117" t="s">
        <v>208</v>
      </c>
      <c r="AM355" s="116">
        <v>11077.090909090908</v>
      </c>
    </row>
    <row r="356" spans="1:39" s="100" customFormat="1" ht="46.8" x14ac:dyDescent="0.3">
      <c r="A356" s="97">
        <v>346</v>
      </c>
      <c r="B356" s="98" t="s">
        <v>990</v>
      </c>
      <c r="C356" s="98" t="s">
        <v>2708</v>
      </c>
      <c r="D356" s="98" t="s">
        <v>1902</v>
      </c>
      <c r="E356" s="98" t="s">
        <v>2709</v>
      </c>
      <c r="F356" s="98" t="s">
        <v>49</v>
      </c>
      <c r="G356" s="99" t="s">
        <v>2710</v>
      </c>
      <c r="H356" s="99">
        <v>15</v>
      </c>
      <c r="I356" s="99" t="s">
        <v>2710</v>
      </c>
      <c r="J356" s="99">
        <v>3</v>
      </c>
      <c r="K356" s="98" t="s">
        <v>528</v>
      </c>
      <c r="L356" s="98" t="s">
        <v>528</v>
      </c>
      <c r="M356" s="116">
        <v>4450.1561810145749</v>
      </c>
      <c r="N356" s="116">
        <v>7535.9433276481022</v>
      </c>
      <c r="O356" s="116">
        <v>438.55024905950791</v>
      </c>
      <c r="P356" s="117" t="s">
        <v>208</v>
      </c>
      <c r="Q356" s="116">
        <v>686.73187675182362</v>
      </c>
      <c r="R356" s="117" t="s">
        <v>208</v>
      </c>
      <c r="S356" s="116">
        <v>638.74964108952429</v>
      </c>
      <c r="T356" s="117" t="s">
        <v>208</v>
      </c>
      <c r="U356" s="116">
        <v>594.40382625361474</v>
      </c>
      <c r="V356" s="117" t="s">
        <v>208</v>
      </c>
      <c r="W356" s="116">
        <v>373.1361937006086</v>
      </c>
      <c r="X356" s="117" t="s">
        <v>208</v>
      </c>
      <c r="Y356" s="116">
        <v>528.53944911496262</v>
      </c>
      <c r="Z356" s="117" t="s">
        <v>208</v>
      </c>
      <c r="AA356" s="116">
        <v>667.92472869147275</v>
      </c>
      <c r="AB356" s="117" t="s">
        <v>208</v>
      </c>
      <c r="AC356" s="116">
        <v>402.56693643333728</v>
      </c>
      <c r="AD356" s="117" t="s">
        <v>208</v>
      </c>
      <c r="AE356" s="116">
        <v>495.27506419317143</v>
      </c>
      <c r="AF356" s="117" t="s">
        <v>208</v>
      </c>
      <c r="AG356" s="116">
        <v>380.53253645226783</v>
      </c>
      <c r="AH356" s="117" t="s">
        <v>208</v>
      </c>
      <c r="AI356" s="116">
        <v>672.44752907984389</v>
      </c>
      <c r="AJ356" s="117" t="s">
        <v>208</v>
      </c>
      <c r="AK356" s="116">
        <v>463.61535855941622</v>
      </c>
      <c r="AL356" s="117" t="s">
        <v>208</v>
      </c>
      <c r="AM356" s="116">
        <v>6342.4733893795519</v>
      </c>
    </row>
    <row r="357" spans="1:39" s="100" customFormat="1" ht="46.8" x14ac:dyDescent="0.3">
      <c r="A357" s="97">
        <v>347</v>
      </c>
      <c r="B357" s="98" t="s">
        <v>992</v>
      </c>
      <c r="C357" s="98" t="s">
        <v>2708</v>
      </c>
      <c r="D357" s="98" t="s">
        <v>1902</v>
      </c>
      <c r="E357" s="98" t="s">
        <v>2709</v>
      </c>
      <c r="F357" s="98" t="s">
        <v>49</v>
      </c>
      <c r="G357" s="99" t="s">
        <v>2710</v>
      </c>
      <c r="H357" s="99">
        <v>30</v>
      </c>
      <c r="I357" s="99" t="s">
        <v>2710</v>
      </c>
      <c r="J357" s="99">
        <v>6</v>
      </c>
      <c r="K357" s="98" t="s">
        <v>528</v>
      </c>
      <c r="L357" s="98" t="s">
        <v>528</v>
      </c>
      <c r="M357" s="116">
        <v>9603.9476418102367</v>
      </c>
      <c r="N357" s="116">
        <v>15286.006910490794</v>
      </c>
      <c r="O357" s="116">
        <v>1020</v>
      </c>
      <c r="P357" s="117" t="s">
        <v>208</v>
      </c>
      <c r="Q357" s="116">
        <v>1030</v>
      </c>
      <c r="R357" s="117" t="s">
        <v>208</v>
      </c>
      <c r="S357" s="116">
        <v>934</v>
      </c>
      <c r="T357" s="117" t="s">
        <v>208</v>
      </c>
      <c r="U357" s="116">
        <v>1015</v>
      </c>
      <c r="V357" s="117" t="s">
        <v>208</v>
      </c>
      <c r="W357" s="116">
        <v>1077</v>
      </c>
      <c r="X357" s="117" t="s">
        <v>208</v>
      </c>
      <c r="Y357" s="116">
        <v>1088.5454545454545</v>
      </c>
      <c r="Z357" s="117" t="s">
        <v>208</v>
      </c>
      <c r="AA357" s="116">
        <v>1086</v>
      </c>
      <c r="AB357" s="117" t="s">
        <v>208</v>
      </c>
      <c r="AC357" s="116">
        <v>1011</v>
      </c>
      <c r="AD357" s="117" t="s">
        <v>208</v>
      </c>
      <c r="AE357" s="116">
        <v>1444</v>
      </c>
      <c r="AF357" s="117" t="s">
        <v>208</v>
      </c>
      <c r="AG357" s="116">
        <v>1290</v>
      </c>
      <c r="AH357" s="117" t="s">
        <v>208</v>
      </c>
      <c r="AI357" s="116">
        <v>1052</v>
      </c>
      <c r="AJ357" s="117" t="s">
        <v>208</v>
      </c>
      <c r="AK357" s="116">
        <v>1015</v>
      </c>
      <c r="AL357" s="117" t="s">
        <v>208</v>
      </c>
      <c r="AM357" s="116">
        <v>13062.545454545454</v>
      </c>
    </row>
    <row r="358" spans="1:39" s="100" customFormat="1" ht="46.8" x14ac:dyDescent="0.3">
      <c r="A358" s="97">
        <v>348</v>
      </c>
      <c r="B358" s="98" t="s">
        <v>994</v>
      </c>
      <c r="C358" s="98" t="s">
        <v>2708</v>
      </c>
      <c r="D358" s="98" t="s">
        <v>1902</v>
      </c>
      <c r="E358" s="98" t="s">
        <v>2709</v>
      </c>
      <c r="F358" s="98" t="s">
        <v>49</v>
      </c>
      <c r="G358" s="99" t="s">
        <v>2710</v>
      </c>
      <c r="H358" s="99">
        <v>10</v>
      </c>
      <c r="I358" s="99" t="s">
        <v>2710</v>
      </c>
      <c r="J358" s="99">
        <v>2</v>
      </c>
      <c r="K358" s="98" t="s">
        <v>528</v>
      </c>
      <c r="L358" s="98" t="s">
        <v>529</v>
      </c>
      <c r="M358" s="116">
        <v>6122.985632676875</v>
      </c>
      <c r="N358" s="116">
        <v>9908.7185982187402</v>
      </c>
      <c r="O358" s="116">
        <v>759</v>
      </c>
      <c r="P358" s="117" t="s">
        <v>1906</v>
      </c>
      <c r="Q358" s="116">
        <v>762</v>
      </c>
      <c r="R358" s="117" t="s">
        <v>1906</v>
      </c>
      <c r="S358" s="116">
        <v>610</v>
      </c>
      <c r="T358" s="117" t="s">
        <v>1906</v>
      </c>
      <c r="U358" s="116">
        <v>591</v>
      </c>
      <c r="V358" s="117" t="s">
        <v>1906</v>
      </c>
      <c r="W358" s="116">
        <v>657</v>
      </c>
      <c r="X358" s="117" t="s">
        <v>1906</v>
      </c>
      <c r="Y358" s="116">
        <v>688.09090909090912</v>
      </c>
      <c r="Z358" s="117" t="s">
        <v>1906</v>
      </c>
      <c r="AA358" s="116">
        <v>683</v>
      </c>
      <c r="AB358" s="117" t="s">
        <v>1906</v>
      </c>
      <c r="AC358" s="116">
        <v>563</v>
      </c>
      <c r="AD358" s="117" t="s">
        <v>1906</v>
      </c>
      <c r="AE358" s="116">
        <v>614</v>
      </c>
      <c r="AF358" s="117" t="s">
        <v>1906</v>
      </c>
      <c r="AG358" s="116">
        <v>834</v>
      </c>
      <c r="AH358" s="117" t="s">
        <v>1906</v>
      </c>
      <c r="AI358" s="116">
        <v>787</v>
      </c>
      <c r="AJ358" s="117" t="s">
        <v>1906</v>
      </c>
      <c r="AK358" s="116">
        <v>709</v>
      </c>
      <c r="AL358" s="117" t="s">
        <v>1906</v>
      </c>
      <c r="AM358" s="116">
        <v>8257.0909090909081</v>
      </c>
    </row>
    <row r="359" spans="1:39" s="100" customFormat="1" ht="46.8" x14ac:dyDescent="0.3">
      <c r="A359" s="97">
        <v>349</v>
      </c>
      <c r="B359" s="98" t="s">
        <v>995</v>
      </c>
      <c r="C359" s="98" t="s">
        <v>2708</v>
      </c>
      <c r="D359" s="98" t="s">
        <v>1902</v>
      </c>
      <c r="E359" s="98" t="s">
        <v>2709</v>
      </c>
      <c r="F359" s="98" t="s">
        <v>49</v>
      </c>
      <c r="G359" s="99" t="s">
        <v>2710</v>
      </c>
      <c r="H359" s="99">
        <v>16</v>
      </c>
      <c r="I359" s="99" t="s">
        <v>2710</v>
      </c>
      <c r="J359" s="99">
        <v>4</v>
      </c>
      <c r="K359" s="98" t="s">
        <v>528</v>
      </c>
      <c r="L359" s="98" t="s">
        <v>528</v>
      </c>
      <c r="M359" s="116">
        <v>1369.3930671647256</v>
      </c>
      <c r="N359" s="116">
        <v>2255.3953082058119</v>
      </c>
      <c r="O359" s="116">
        <v>0</v>
      </c>
      <c r="P359" s="117" t="s">
        <v>208</v>
      </c>
      <c r="Q359" s="116">
        <v>371</v>
      </c>
      <c r="R359" s="117" t="s">
        <v>208</v>
      </c>
      <c r="S359" s="116">
        <v>190</v>
      </c>
      <c r="T359" s="117" t="s">
        <v>208</v>
      </c>
      <c r="U359" s="116">
        <v>243</v>
      </c>
      <c r="V359" s="117" t="s">
        <v>208</v>
      </c>
      <c r="W359" s="116">
        <v>230</v>
      </c>
      <c r="X359" s="117" t="s">
        <v>208</v>
      </c>
      <c r="Y359" s="116">
        <v>155.45454545454547</v>
      </c>
      <c r="Z359" s="117" t="s">
        <v>208</v>
      </c>
      <c r="AA359" s="116">
        <v>171</v>
      </c>
      <c r="AB359" s="117" t="s">
        <v>208</v>
      </c>
      <c r="AC359" s="116">
        <v>13</v>
      </c>
      <c r="AD359" s="117" t="s">
        <v>208</v>
      </c>
      <c r="AE359" s="116">
        <v>91</v>
      </c>
      <c r="AF359" s="117" t="s">
        <v>208</v>
      </c>
      <c r="AG359" s="116">
        <v>219</v>
      </c>
      <c r="AH359" s="117" t="s">
        <v>208</v>
      </c>
      <c r="AI359" s="116">
        <v>182</v>
      </c>
      <c r="AJ359" s="117" t="s">
        <v>208</v>
      </c>
      <c r="AK359" s="116">
        <v>0</v>
      </c>
      <c r="AL359" s="117" t="s">
        <v>208</v>
      </c>
      <c r="AM359" s="116">
        <v>1865.4545454545455</v>
      </c>
    </row>
    <row r="360" spans="1:39" s="100" customFormat="1" ht="46.8" x14ac:dyDescent="0.3">
      <c r="A360" s="97">
        <v>350</v>
      </c>
      <c r="B360" s="98" t="s">
        <v>996</v>
      </c>
      <c r="C360" s="98" t="s">
        <v>2708</v>
      </c>
      <c r="D360" s="98" t="s">
        <v>1902</v>
      </c>
      <c r="E360" s="98" t="s">
        <v>2709</v>
      </c>
      <c r="F360" s="98" t="s">
        <v>49</v>
      </c>
      <c r="G360" s="99" t="s">
        <v>2710</v>
      </c>
      <c r="H360" s="99">
        <v>5</v>
      </c>
      <c r="I360" s="99" t="s">
        <v>2710</v>
      </c>
      <c r="J360" s="99">
        <v>1</v>
      </c>
      <c r="K360" s="98" t="s">
        <v>528</v>
      </c>
      <c r="L360" s="98" t="s">
        <v>528</v>
      </c>
      <c r="M360" s="116">
        <v>1411.5417059839485</v>
      </c>
      <c r="N360" s="116">
        <v>2416.1228983901806</v>
      </c>
      <c r="O360" s="116">
        <v>300</v>
      </c>
      <c r="P360" s="117" t="s">
        <v>208</v>
      </c>
      <c r="Q360" s="116">
        <v>0</v>
      </c>
      <c r="R360" s="117" t="s">
        <v>208</v>
      </c>
      <c r="S360" s="116">
        <v>200</v>
      </c>
      <c r="T360" s="117" t="s">
        <v>208</v>
      </c>
      <c r="U360" s="116">
        <v>300</v>
      </c>
      <c r="V360" s="117" t="s">
        <v>208</v>
      </c>
      <c r="W360" s="116">
        <v>439</v>
      </c>
      <c r="X360" s="117" t="s">
        <v>208</v>
      </c>
      <c r="Y360" s="116">
        <v>167.18181818181819</v>
      </c>
      <c r="Z360" s="117" t="s">
        <v>208</v>
      </c>
      <c r="AA360" s="116">
        <v>0</v>
      </c>
      <c r="AB360" s="117" t="s">
        <v>208</v>
      </c>
      <c r="AC360" s="116">
        <v>0</v>
      </c>
      <c r="AD360" s="117" t="s">
        <v>208</v>
      </c>
      <c r="AE360" s="116">
        <v>0</v>
      </c>
      <c r="AF360" s="117" t="s">
        <v>208</v>
      </c>
      <c r="AG360" s="116">
        <v>0</v>
      </c>
      <c r="AH360" s="117" t="s">
        <v>208</v>
      </c>
      <c r="AI360" s="116">
        <v>300</v>
      </c>
      <c r="AJ360" s="117" t="s">
        <v>208</v>
      </c>
      <c r="AK360" s="116">
        <v>300</v>
      </c>
      <c r="AL360" s="117" t="s">
        <v>208</v>
      </c>
      <c r="AM360" s="116">
        <v>2006.1818181818182</v>
      </c>
    </row>
    <row r="361" spans="1:39" s="100" customFormat="1" ht="46.8" x14ac:dyDescent="0.3">
      <c r="A361" s="97">
        <v>351</v>
      </c>
      <c r="B361" s="98" t="s">
        <v>997</v>
      </c>
      <c r="C361" s="98" t="s">
        <v>2708</v>
      </c>
      <c r="D361" s="98" t="s">
        <v>1902</v>
      </c>
      <c r="E361" s="98" t="s">
        <v>2709</v>
      </c>
      <c r="F361" s="98" t="s">
        <v>49</v>
      </c>
      <c r="G361" s="99" t="s">
        <v>2710</v>
      </c>
      <c r="H361" s="99">
        <v>5</v>
      </c>
      <c r="I361" s="99" t="s">
        <v>2710</v>
      </c>
      <c r="J361" s="99">
        <v>1</v>
      </c>
      <c r="K361" s="98" t="s">
        <v>528</v>
      </c>
      <c r="L361" s="98" t="s">
        <v>528</v>
      </c>
      <c r="M361" s="116">
        <v>2553.0826684385152</v>
      </c>
      <c r="N361" s="116">
        <v>4247.656188685949</v>
      </c>
      <c r="O361" s="116">
        <v>292.4410025621894</v>
      </c>
      <c r="P361" s="117" t="s">
        <v>208</v>
      </c>
      <c r="Q361" s="116">
        <v>315.72773319285056</v>
      </c>
      <c r="R361" s="117" t="s">
        <v>208</v>
      </c>
      <c r="S361" s="116">
        <v>400.09607174786311</v>
      </c>
      <c r="T361" s="117" t="s">
        <v>208</v>
      </c>
      <c r="U361" s="116">
        <v>245.60168314892027</v>
      </c>
      <c r="V361" s="117" t="s">
        <v>208</v>
      </c>
      <c r="W361" s="116">
        <v>230.90036881196755</v>
      </c>
      <c r="X361" s="117" t="s">
        <v>208</v>
      </c>
      <c r="Y361" s="116">
        <v>296.12623141981589</v>
      </c>
      <c r="Z361" s="117" t="s">
        <v>208</v>
      </c>
      <c r="AA361" s="116">
        <v>251.35217292056331</v>
      </c>
      <c r="AB361" s="117" t="s">
        <v>208</v>
      </c>
      <c r="AC361" s="116">
        <v>400.68732680075476</v>
      </c>
      <c r="AD361" s="117" t="s">
        <v>208</v>
      </c>
      <c r="AE361" s="116">
        <v>232.70975258024157</v>
      </c>
      <c r="AF361" s="117" t="s">
        <v>208</v>
      </c>
      <c r="AG361" s="116">
        <v>263.93891910738745</v>
      </c>
      <c r="AH361" s="117" t="s">
        <v>208</v>
      </c>
      <c r="AI361" s="116">
        <v>364.77674124742026</v>
      </c>
      <c r="AJ361" s="117" t="s">
        <v>208</v>
      </c>
      <c r="AK361" s="116">
        <v>259.15677349781618</v>
      </c>
      <c r="AL361" s="117" t="s">
        <v>208</v>
      </c>
      <c r="AM361" s="116">
        <v>3553.5147770377903</v>
      </c>
    </row>
    <row r="362" spans="1:39" s="100" customFormat="1" ht="46.8" x14ac:dyDescent="0.3">
      <c r="A362" s="97">
        <v>352</v>
      </c>
      <c r="B362" s="98" t="s">
        <v>999</v>
      </c>
      <c r="C362" s="98" t="s">
        <v>2708</v>
      </c>
      <c r="D362" s="98" t="s">
        <v>1902</v>
      </c>
      <c r="E362" s="98" t="s">
        <v>2709</v>
      </c>
      <c r="F362" s="98" t="s">
        <v>49</v>
      </c>
      <c r="G362" s="99" t="s">
        <v>2710</v>
      </c>
      <c r="H362" s="99">
        <v>40</v>
      </c>
      <c r="I362" s="99" t="s">
        <v>2710</v>
      </c>
      <c r="J362" s="99">
        <v>5</v>
      </c>
      <c r="K362" s="98" t="s">
        <v>528</v>
      </c>
      <c r="L362" s="98" t="s">
        <v>528</v>
      </c>
      <c r="M362" s="116">
        <v>5103.3200621607457</v>
      </c>
      <c r="N362" s="116">
        <v>8680.5314259810511</v>
      </c>
      <c r="O362" s="116">
        <v>698</v>
      </c>
      <c r="P362" s="117" t="s">
        <v>208</v>
      </c>
      <c r="Q362" s="116">
        <v>585</v>
      </c>
      <c r="R362" s="117" t="s">
        <v>208</v>
      </c>
      <c r="S362" s="116">
        <v>543</v>
      </c>
      <c r="T362" s="117" t="s">
        <v>208</v>
      </c>
      <c r="U362" s="116">
        <v>500</v>
      </c>
      <c r="V362" s="117" t="s">
        <v>208</v>
      </c>
      <c r="W362" s="116">
        <v>598</v>
      </c>
      <c r="X362" s="117" t="s">
        <v>208</v>
      </c>
      <c r="Y362" s="116">
        <v>590</v>
      </c>
      <c r="Z362" s="117" t="s">
        <v>208</v>
      </c>
      <c r="AA362" s="116">
        <v>388</v>
      </c>
      <c r="AB362" s="117" t="s">
        <v>208</v>
      </c>
      <c r="AC362" s="116">
        <v>881</v>
      </c>
      <c r="AD362" s="117" t="s">
        <v>208</v>
      </c>
      <c r="AE362" s="116">
        <v>544</v>
      </c>
      <c r="AF362" s="117" t="s">
        <v>208</v>
      </c>
      <c r="AG362" s="116">
        <v>549</v>
      </c>
      <c r="AH362" s="117" t="s">
        <v>208</v>
      </c>
      <c r="AI362" s="116">
        <v>556</v>
      </c>
      <c r="AJ362" s="117" t="s">
        <v>208</v>
      </c>
      <c r="AK362" s="116">
        <v>648</v>
      </c>
      <c r="AL362" s="117" t="s">
        <v>208</v>
      </c>
      <c r="AM362" s="116">
        <v>7080</v>
      </c>
    </row>
    <row r="363" spans="1:39" s="100" customFormat="1" ht="46.8" x14ac:dyDescent="0.3">
      <c r="A363" s="97">
        <v>353</v>
      </c>
      <c r="B363" s="98" t="s">
        <v>1002</v>
      </c>
      <c r="C363" s="98" t="s">
        <v>2708</v>
      </c>
      <c r="D363" s="98" t="s">
        <v>1902</v>
      </c>
      <c r="E363" s="98" t="s">
        <v>2709</v>
      </c>
      <c r="F363" s="98" t="s">
        <v>49</v>
      </c>
      <c r="G363" s="99" t="s">
        <v>2710</v>
      </c>
      <c r="H363" s="99">
        <v>10</v>
      </c>
      <c r="I363" s="99" t="s">
        <v>2710</v>
      </c>
      <c r="J363" s="99">
        <v>2</v>
      </c>
      <c r="K363" s="98" t="s">
        <v>528</v>
      </c>
      <c r="L363" s="98" t="s">
        <v>528</v>
      </c>
      <c r="M363" s="116">
        <v>2216.9541399386935</v>
      </c>
      <c r="N363" s="116">
        <v>3897.0803427188512</v>
      </c>
      <c r="O363" s="116">
        <v>405</v>
      </c>
      <c r="P363" s="117" t="s">
        <v>208</v>
      </c>
      <c r="Q363" s="116">
        <v>342</v>
      </c>
      <c r="R363" s="117" t="s">
        <v>208</v>
      </c>
      <c r="S363" s="116">
        <v>234</v>
      </c>
      <c r="T363" s="117" t="s">
        <v>208</v>
      </c>
      <c r="U363" s="116">
        <v>235</v>
      </c>
      <c r="V363" s="117" t="s">
        <v>208</v>
      </c>
      <c r="W363" s="116">
        <v>237</v>
      </c>
      <c r="X363" s="117" t="s">
        <v>208</v>
      </c>
      <c r="Y363" s="116">
        <v>267.18181818181819</v>
      </c>
      <c r="Z363" s="117" t="s">
        <v>208</v>
      </c>
      <c r="AA363" s="116">
        <v>258</v>
      </c>
      <c r="AB363" s="117" t="s">
        <v>208</v>
      </c>
      <c r="AC363" s="116">
        <v>261</v>
      </c>
      <c r="AD363" s="117" t="s">
        <v>208</v>
      </c>
      <c r="AE363" s="116">
        <v>248</v>
      </c>
      <c r="AF363" s="117" t="s">
        <v>208</v>
      </c>
      <c r="AG363" s="116">
        <v>201</v>
      </c>
      <c r="AH363" s="117" t="s">
        <v>208</v>
      </c>
      <c r="AI363" s="116">
        <v>376</v>
      </c>
      <c r="AJ363" s="117" t="s">
        <v>208</v>
      </c>
      <c r="AK363" s="116">
        <v>142</v>
      </c>
      <c r="AL363" s="117" t="s">
        <v>208</v>
      </c>
      <c r="AM363" s="116">
        <v>3206.181818181818</v>
      </c>
    </row>
    <row r="364" spans="1:39" s="100" customFormat="1" ht="46.8" x14ac:dyDescent="0.3">
      <c r="A364" s="97">
        <v>354</v>
      </c>
      <c r="B364" s="98" t="s">
        <v>1003</v>
      </c>
      <c r="C364" s="98" t="s">
        <v>2708</v>
      </c>
      <c r="D364" s="98" t="s">
        <v>1902</v>
      </c>
      <c r="E364" s="98" t="s">
        <v>2709</v>
      </c>
      <c r="F364" s="98" t="s">
        <v>49</v>
      </c>
      <c r="G364" s="99" t="s">
        <v>2710</v>
      </c>
      <c r="H364" s="99">
        <v>8</v>
      </c>
      <c r="I364" s="99" t="s">
        <v>2710</v>
      </c>
      <c r="J364" s="99">
        <v>2</v>
      </c>
      <c r="K364" s="98" t="s">
        <v>528</v>
      </c>
      <c r="L364" s="98" t="s">
        <v>528</v>
      </c>
      <c r="M364" s="116">
        <v>3985.0888746475598</v>
      </c>
      <c r="N364" s="116">
        <v>7057.8913306999166</v>
      </c>
      <c r="O364" s="116">
        <v>614</v>
      </c>
      <c r="P364" s="117" t="s">
        <v>208</v>
      </c>
      <c r="Q364" s="116">
        <v>670</v>
      </c>
      <c r="R364" s="117" t="s">
        <v>208</v>
      </c>
      <c r="S364" s="116">
        <v>577</v>
      </c>
      <c r="T364" s="117" t="s">
        <v>208</v>
      </c>
      <c r="U364" s="116">
        <v>614</v>
      </c>
      <c r="V364" s="117" t="s">
        <v>208</v>
      </c>
      <c r="W364" s="116">
        <v>575</v>
      </c>
      <c r="X364" s="117" t="s">
        <v>208</v>
      </c>
      <c r="Y364" s="116">
        <v>492.45454545454544</v>
      </c>
      <c r="Z364" s="117" t="s">
        <v>208</v>
      </c>
      <c r="AA364" s="116">
        <v>416</v>
      </c>
      <c r="AB364" s="117" t="s">
        <v>208</v>
      </c>
      <c r="AC364" s="116">
        <v>425</v>
      </c>
      <c r="AD364" s="117" t="s">
        <v>208</v>
      </c>
      <c r="AE364" s="116">
        <v>429</v>
      </c>
      <c r="AF364" s="117" t="s">
        <v>208</v>
      </c>
      <c r="AG364" s="116">
        <v>323</v>
      </c>
      <c r="AH364" s="117" t="s">
        <v>208</v>
      </c>
      <c r="AI364" s="116">
        <v>525</v>
      </c>
      <c r="AJ364" s="117" t="s">
        <v>208</v>
      </c>
      <c r="AK364" s="116">
        <v>249</v>
      </c>
      <c r="AL364" s="117" t="s">
        <v>208</v>
      </c>
      <c r="AM364" s="116">
        <v>5909.454545454546</v>
      </c>
    </row>
    <row r="365" spans="1:39" s="100" customFormat="1" ht="46.8" x14ac:dyDescent="0.3">
      <c r="A365" s="97">
        <v>355</v>
      </c>
      <c r="B365" s="98" t="s">
        <v>1004</v>
      </c>
      <c r="C365" s="98" t="s">
        <v>2708</v>
      </c>
      <c r="D365" s="98" t="s">
        <v>1902</v>
      </c>
      <c r="E365" s="98" t="s">
        <v>2709</v>
      </c>
      <c r="F365" s="98" t="s">
        <v>49</v>
      </c>
      <c r="G365" s="99" t="s">
        <v>2710</v>
      </c>
      <c r="H365" s="99">
        <v>12</v>
      </c>
      <c r="I365" s="99" t="s">
        <v>2710</v>
      </c>
      <c r="J365" s="99">
        <v>3</v>
      </c>
      <c r="K365" s="98" t="s">
        <v>528</v>
      </c>
      <c r="L365" s="98" t="s">
        <v>528</v>
      </c>
      <c r="M365" s="116">
        <v>5986.7434625444439</v>
      </c>
      <c r="N365" s="116">
        <v>10456.975507317022</v>
      </c>
      <c r="O365" s="116">
        <v>906</v>
      </c>
      <c r="P365" s="117" t="s">
        <v>208</v>
      </c>
      <c r="Q365" s="116">
        <v>893</v>
      </c>
      <c r="R365" s="117" t="s">
        <v>208</v>
      </c>
      <c r="S365" s="116">
        <v>670</v>
      </c>
      <c r="T365" s="117" t="s">
        <v>208</v>
      </c>
      <c r="U365" s="116">
        <v>761</v>
      </c>
      <c r="V365" s="117" t="s">
        <v>208</v>
      </c>
      <c r="W365" s="116">
        <v>594</v>
      </c>
      <c r="X365" s="117" t="s">
        <v>208</v>
      </c>
      <c r="Y365" s="116">
        <v>733.27272727272725</v>
      </c>
      <c r="Z365" s="117" t="s">
        <v>208</v>
      </c>
      <c r="AA365" s="116">
        <v>763</v>
      </c>
      <c r="AB365" s="117" t="s">
        <v>208</v>
      </c>
      <c r="AC365" s="116">
        <v>513</v>
      </c>
      <c r="AD365" s="117" t="s">
        <v>208</v>
      </c>
      <c r="AE365" s="116">
        <v>808</v>
      </c>
      <c r="AF365" s="117" t="s">
        <v>208</v>
      </c>
      <c r="AG365" s="116">
        <v>636</v>
      </c>
      <c r="AH365" s="117" t="s">
        <v>208</v>
      </c>
      <c r="AI365" s="116">
        <v>932</v>
      </c>
      <c r="AJ365" s="117" t="s">
        <v>208</v>
      </c>
      <c r="AK365" s="116">
        <v>590</v>
      </c>
      <c r="AL365" s="117" t="s">
        <v>208</v>
      </c>
      <c r="AM365" s="116">
        <v>8799.2727272727279</v>
      </c>
    </row>
    <row r="366" spans="1:39" s="100" customFormat="1" ht="46.8" x14ac:dyDescent="0.3">
      <c r="A366" s="97">
        <v>356</v>
      </c>
      <c r="B366" s="98" t="s">
        <v>1005</v>
      </c>
      <c r="C366" s="98" t="s">
        <v>2708</v>
      </c>
      <c r="D366" s="98" t="s">
        <v>1902</v>
      </c>
      <c r="E366" s="98" t="s">
        <v>2709</v>
      </c>
      <c r="F366" s="98" t="s">
        <v>49</v>
      </c>
      <c r="G366" s="99" t="s">
        <v>2710</v>
      </c>
      <c r="H366" s="99">
        <v>6</v>
      </c>
      <c r="I366" s="99" t="s">
        <v>2710</v>
      </c>
      <c r="J366" s="99">
        <v>1</v>
      </c>
      <c r="K366" s="98" t="s">
        <v>528</v>
      </c>
      <c r="L366" s="98" t="s">
        <v>528</v>
      </c>
      <c r="M366" s="116">
        <v>4611.6231186114237</v>
      </c>
      <c r="N366" s="116">
        <v>7920.9737839485251</v>
      </c>
      <c r="O366" s="116">
        <v>639</v>
      </c>
      <c r="P366" s="117" t="s">
        <v>208</v>
      </c>
      <c r="Q366" s="116">
        <v>628</v>
      </c>
      <c r="R366" s="117" t="s">
        <v>208</v>
      </c>
      <c r="S366" s="116">
        <v>455</v>
      </c>
      <c r="T366" s="117" t="s">
        <v>208</v>
      </c>
      <c r="U366" s="116">
        <v>519</v>
      </c>
      <c r="V366" s="117" t="s">
        <v>208</v>
      </c>
      <c r="W366" s="116">
        <v>531</v>
      </c>
      <c r="X366" s="117" t="s">
        <v>208</v>
      </c>
      <c r="Y366" s="116">
        <v>562.18181818181813</v>
      </c>
      <c r="Z366" s="117" t="s">
        <v>208</v>
      </c>
      <c r="AA366" s="116">
        <v>975</v>
      </c>
      <c r="AB366" s="117" t="s">
        <v>208</v>
      </c>
      <c r="AC366" s="116">
        <v>422</v>
      </c>
      <c r="AD366" s="117" t="s">
        <v>208</v>
      </c>
      <c r="AE366" s="116">
        <v>614</v>
      </c>
      <c r="AF366" s="117" t="s">
        <v>208</v>
      </c>
      <c r="AG366" s="116">
        <v>419</v>
      </c>
      <c r="AH366" s="117" t="s">
        <v>208</v>
      </c>
      <c r="AI366" s="116">
        <v>574</v>
      </c>
      <c r="AJ366" s="117" t="s">
        <v>208</v>
      </c>
      <c r="AK366" s="116">
        <v>408</v>
      </c>
      <c r="AL366" s="117" t="s">
        <v>208</v>
      </c>
      <c r="AM366" s="116">
        <v>6746.181818181818</v>
      </c>
    </row>
    <row r="367" spans="1:39" s="100" customFormat="1" ht="46.8" x14ac:dyDescent="0.3">
      <c r="A367" s="97">
        <v>357</v>
      </c>
      <c r="B367" s="98" t="s">
        <v>1006</v>
      </c>
      <c r="C367" s="98" t="s">
        <v>2708</v>
      </c>
      <c r="D367" s="98" t="s">
        <v>1902</v>
      </c>
      <c r="E367" s="98" t="s">
        <v>2709</v>
      </c>
      <c r="F367" s="98" t="s">
        <v>49</v>
      </c>
      <c r="G367" s="99" t="s">
        <v>2710</v>
      </c>
      <c r="H367" s="99">
        <v>5</v>
      </c>
      <c r="I367" s="99" t="s">
        <v>2710</v>
      </c>
      <c r="J367" s="99">
        <v>1</v>
      </c>
      <c r="K367" s="98" t="s">
        <v>528</v>
      </c>
      <c r="L367" s="98" t="s">
        <v>528</v>
      </c>
      <c r="M367" s="116">
        <v>4186.6712080827356</v>
      </c>
      <c r="N367" s="116">
        <v>7105.3518170690704</v>
      </c>
      <c r="O367" s="116">
        <v>381.23122844264014</v>
      </c>
      <c r="P367" s="117" t="s">
        <v>208</v>
      </c>
      <c r="Q367" s="116">
        <v>557.04893018361611</v>
      </c>
      <c r="R367" s="117" t="s">
        <v>208</v>
      </c>
      <c r="S367" s="116">
        <v>429.54426665508061</v>
      </c>
      <c r="T367" s="117" t="s">
        <v>208</v>
      </c>
      <c r="U367" s="116">
        <v>656.99719869532203</v>
      </c>
      <c r="V367" s="117" t="s">
        <v>208</v>
      </c>
      <c r="W367" s="116">
        <v>638.29948127355215</v>
      </c>
      <c r="X367" s="117" t="s">
        <v>208</v>
      </c>
      <c r="Y367" s="116">
        <v>506.90086890623667</v>
      </c>
      <c r="Z367" s="117" t="s">
        <v>208</v>
      </c>
      <c r="AA367" s="116">
        <v>401.55783958600591</v>
      </c>
      <c r="AB367" s="117" t="s">
        <v>208</v>
      </c>
      <c r="AC367" s="116">
        <v>413.17086680909421</v>
      </c>
      <c r="AD367" s="117" t="s">
        <v>208</v>
      </c>
      <c r="AE367" s="116">
        <v>623.37883676610511</v>
      </c>
      <c r="AF367" s="117" t="s">
        <v>208</v>
      </c>
      <c r="AG367" s="116">
        <v>436.60382127776472</v>
      </c>
      <c r="AH367" s="117" t="s">
        <v>208</v>
      </c>
      <c r="AI367" s="116">
        <v>552.22370922171251</v>
      </c>
      <c r="AJ367" s="117" t="s">
        <v>208</v>
      </c>
      <c r="AK367" s="116">
        <v>485.85337905770984</v>
      </c>
      <c r="AL367" s="117" t="s">
        <v>208</v>
      </c>
      <c r="AM367" s="116">
        <v>6082.8104268748411</v>
      </c>
    </row>
    <row r="368" spans="1:39" s="100" customFormat="1" ht="46.8" x14ac:dyDescent="0.3">
      <c r="A368" s="97">
        <v>358</v>
      </c>
      <c r="B368" s="98" t="s">
        <v>1007</v>
      </c>
      <c r="C368" s="98" t="s">
        <v>2708</v>
      </c>
      <c r="D368" s="98" t="s">
        <v>1902</v>
      </c>
      <c r="E368" s="98" t="s">
        <v>2709</v>
      </c>
      <c r="F368" s="98" t="s">
        <v>49</v>
      </c>
      <c r="G368" s="99" t="s">
        <v>2710</v>
      </c>
      <c r="H368" s="99">
        <v>4</v>
      </c>
      <c r="I368" s="99" t="s">
        <v>2710</v>
      </c>
      <c r="J368" s="99">
        <v>1</v>
      </c>
      <c r="K368" s="98" t="s">
        <v>528</v>
      </c>
      <c r="L368" s="98" t="s">
        <v>528</v>
      </c>
      <c r="M368" s="116">
        <v>4458.8418048952117</v>
      </c>
      <c r="N368" s="116">
        <v>7391.6661205707387</v>
      </c>
      <c r="O368" s="116">
        <v>843</v>
      </c>
      <c r="P368" s="117" t="s">
        <v>208</v>
      </c>
      <c r="Q368" s="116">
        <v>738</v>
      </c>
      <c r="R368" s="117" t="s">
        <v>208</v>
      </c>
      <c r="S368" s="116">
        <v>496</v>
      </c>
      <c r="T368" s="117" t="s">
        <v>208</v>
      </c>
      <c r="U368" s="116">
        <v>391</v>
      </c>
      <c r="V368" s="117" t="s">
        <v>208</v>
      </c>
      <c r="W368" s="116">
        <v>305</v>
      </c>
      <c r="X368" s="117" t="s">
        <v>208</v>
      </c>
      <c r="Y368" s="116">
        <v>501.72727272727275</v>
      </c>
      <c r="Z368" s="117" t="s">
        <v>208</v>
      </c>
      <c r="AA368" s="116">
        <v>317</v>
      </c>
      <c r="AB368" s="117" t="s">
        <v>208</v>
      </c>
      <c r="AC368" s="116">
        <v>273</v>
      </c>
      <c r="AD368" s="117" t="s">
        <v>208</v>
      </c>
      <c r="AE368" s="116">
        <v>587</v>
      </c>
      <c r="AF368" s="117" t="s">
        <v>208</v>
      </c>
      <c r="AG368" s="116">
        <v>449</v>
      </c>
      <c r="AH368" s="117" t="s">
        <v>208</v>
      </c>
      <c r="AI368" s="116">
        <v>608</v>
      </c>
      <c r="AJ368" s="117" t="s">
        <v>208</v>
      </c>
      <c r="AK368" s="116">
        <v>512</v>
      </c>
      <c r="AL368" s="117" t="s">
        <v>208</v>
      </c>
      <c r="AM368" s="116">
        <v>6020.727272727273</v>
      </c>
    </row>
    <row r="369" spans="1:39" s="100" customFormat="1" ht="46.8" x14ac:dyDescent="0.3">
      <c r="A369" s="97">
        <v>359</v>
      </c>
      <c r="B369" s="98" t="s">
        <v>1008</v>
      </c>
      <c r="C369" s="98" t="s">
        <v>2708</v>
      </c>
      <c r="D369" s="98" t="s">
        <v>1902</v>
      </c>
      <c r="E369" s="98" t="s">
        <v>2709</v>
      </c>
      <c r="F369" s="98" t="s">
        <v>49</v>
      </c>
      <c r="G369" s="99" t="s">
        <v>2710</v>
      </c>
      <c r="H369" s="99">
        <v>5</v>
      </c>
      <c r="I369" s="99" t="s">
        <v>2710</v>
      </c>
      <c r="J369" s="99">
        <v>1</v>
      </c>
      <c r="K369" s="98" t="s">
        <v>528</v>
      </c>
      <c r="L369" s="98" t="s">
        <v>528</v>
      </c>
      <c r="M369" s="116">
        <v>2273.3132832402948</v>
      </c>
      <c r="N369" s="116">
        <v>4072.16390517436</v>
      </c>
      <c r="O369" s="116">
        <v>278.83381190407511</v>
      </c>
      <c r="P369" s="117" t="s">
        <v>208</v>
      </c>
      <c r="Q369" s="116">
        <v>258.17362341441657</v>
      </c>
      <c r="R369" s="117" t="s">
        <v>208</v>
      </c>
      <c r="S369" s="116">
        <v>270.65056151616631</v>
      </c>
      <c r="T369" s="117" t="s">
        <v>208</v>
      </c>
      <c r="U369" s="116">
        <v>273.01819280463718</v>
      </c>
      <c r="V369" s="117" t="s">
        <v>208</v>
      </c>
      <c r="W369" s="116">
        <v>313.48140225096324</v>
      </c>
      <c r="X369" s="117" t="s">
        <v>208</v>
      </c>
      <c r="Y369" s="116">
        <v>289.17646776975101</v>
      </c>
      <c r="Z369" s="117" t="s">
        <v>208</v>
      </c>
      <c r="AA369" s="116">
        <v>417.98711906110435</v>
      </c>
      <c r="AB369" s="117" t="s">
        <v>208</v>
      </c>
      <c r="AC369" s="116">
        <v>338.27121165693205</v>
      </c>
      <c r="AD369" s="117" t="s">
        <v>208</v>
      </c>
      <c r="AE369" s="116">
        <v>248.33314691025495</v>
      </c>
      <c r="AF369" s="117" t="s">
        <v>208</v>
      </c>
      <c r="AG369" s="116">
        <v>305.87851799405166</v>
      </c>
      <c r="AH369" s="117" t="s">
        <v>208</v>
      </c>
      <c r="AI369" s="116">
        <v>234.30596415780531</v>
      </c>
      <c r="AJ369" s="117" t="s">
        <v>208</v>
      </c>
      <c r="AK369" s="116">
        <v>242.00759379685445</v>
      </c>
      <c r="AL369" s="117" t="s">
        <v>208</v>
      </c>
      <c r="AM369" s="116">
        <v>3470.1176132370119</v>
      </c>
    </row>
    <row r="370" spans="1:39" s="100" customFormat="1" ht="46.8" x14ac:dyDescent="0.3">
      <c r="A370" s="97">
        <v>360</v>
      </c>
      <c r="B370" s="98" t="s">
        <v>1009</v>
      </c>
      <c r="C370" s="98" t="s">
        <v>2708</v>
      </c>
      <c r="D370" s="98" t="s">
        <v>1902</v>
      </c>
      <c r="E370" s="98" t="s">
        <v>2709</v>
      </c>
      <c r="F370" s="98" t="s">
        <v>49</v>
      </c>
      <c r="G370" s="99" t="s">
        <v>2710</v>
      </c>
      <c r="H370" s="99">
        <v>8</v>
      </c>
      <c r="I370" s="99" t="s">
        <v>2710</v>
      </c>
      <c r="J370" s="99">
        <v>2</v>
      </c>
      <c r="K370" s="98" t="s">
        <v>528</v>
      </c>
      <c r="L370" s="98" t="s">
        <v>528</v>
      </c>
      <c r="M370" s="116">
        <v>1677.8493371335687</v>
      </c>
      <c r="N370" s="116">
        <v>3023.14450505286</v>
      </c>
      <c r="O370" s="116">
        <v>386</v>
      </c>
      <c r="P370" s="117" t="s">
        <v>208</v>
      </c>
      <c r="Q370" s="116">
        <v>289</v>
      </c>
      <c r="R370" s="117" t="s">
        <v>208</v>
      </c>
      <c r="S370" s="116">
        <v>221</v>
      </c>
      <c r="T370" s="117" t="s">
        <v>208</v>
      </c>
      <c r="U370" s="116">
        <v>127</v>
      </c>
      <c r="V370" s="117" t="s">
        <v>208</v>
      </c>
      <c r="W370" s="116">
        <v>160</v>
      </c>
      <c r="X370" s="117" t="s">
        <v>208</v>
      </c>
      <c r="Y370" s="116">
        <v>202.81818181818181</v>
      </c>
      <c r="Z370" s="117" t="s">
        <v>208</v>
      </c>
      <c r="AA370" s="116">
        <v>137</v>
      </c>
      <c r="AB370" s="117" t="s">
        <v>208</v>
      </c>
      <c r="AC370" s="116">
        <v>79</v>
      </c>
      <c r="AD370" s="117" t="s">
        <v>208</v>
      </c>
      <c r="AE370" s="116">
        <v>223</v>
      </c>
      <c r="AF370" s="117" t="s">
        <v>208</v>
      </c>
      <c r="AG370" s="116">
        <v>153</v>
      </c>
      <c r="AH370" s="117" t="s">
        <v>208</v>
      </c>
      <c r="AI370" s="116">
        <v>248</v>
      </c>
      <c r="AJ370" s="117" t="s">
        <v>208</v>
      </c>
      <c r="AK370" s="116">
        <v>208</v>
      </c>
      <c r="AL370" s="117" t="s">
        <v>208</v>
      </c>
      <c r="AM370" s="116">
        <v>2433.818181818182</v>
      </c>
    </row>
    <row r="371" spans="1:39" s="100" customFormat="1" ht="46.8" x14ac:dyDescent="0.3">
      <c r="A371" s="97">
        <v>361</v>
      </c>
      <c r="B371" s="98" t="s">
        <v>1010</v>
      </c>
      <c r="C371" s="98" t="s">
        <v>2708</v>
      </c>
      <c r="D371" s="98" t="s">
        <v>1902</v>
      </c>
      <c r="E371" s="98" t="s">
        <v>2709</v>
      </c>
      <c r="F371" s="98" t="s">
        <v>49</v>
      </c>
      <c r="G371" s="99" t="s">
        <v>2710</v>
      </c>
      <c r="H371" s="99">
        <v>18</v>
      </c>
      <c r="I371" s="99" t="s">
        <v>2710</v>
      </c>
      <c r="J371" s="99">
        <v>3</v>
      </c>
      <c r="K371" s="98" t="s">
        <v>528</v>
      </c>
      <c r="L371" s="98" t="s">
        <v>528</v>
      </c>
      <c r="M371" s="116">
        <v>4141.2233411875059</v>
      </c>
      <c r="N371" s="116">
        <v>7045.4669140717506</v>
      </c>
      <c r="O371" s="116">
        <v>522</v>
      </c>
      <c r="P371" s="117" t="s">
        <v>208</v>
      </c>
      <c r="Q371" s="116">
        <v>484</v>
      </c>
      <c r="R371" s="117" t="s">
        <v>208</v>
      </c>
      <c r="S371" s="116">
        <v>470</v>
      </c>
      <c r="T371" s="117" t="s">
        <v>208</v>
      </c>
      <c r="U371" s="116">
        <v>1115</v>
      </c>
      <c r="V371" s="117" t="s">
        <v>208</v>
      </c>
      <c r="W371" s="116">
        <v>762</v>
      </c>
      <c r="X371" s="117" t="s">
        <v>208</v>
      </c>
      <c r="Y371" s="116">
        <v>491.81818181818181</v>
      </c>
      <c r="Z371" s="117" t="s">
        <v>208</v>
      </c>
      <c r="AA371" s="116">
        <v>313</v>
      </c>
      <c r="AB371" s="117" t="s">
        <v>208</v>
      </c>
      <c r="AC371" s="116">
        <v>235</v>
      </c>
      <c r="AD371" s="117" t="s">
        <v>208</v>
      </c>
      <c r="AE371" s="116">
        <v>335</v>
      </c>
      <c r="AF371" s="117" t="s">
        <v>208</v>
      </c>
      <c r="AG371" s="116">
        <v>313</v>
      </c>
      <c r="AH371" s="117" t="s">
        <v>208</v>
      </c>
      <c r="AI371" s="116">
        <v>531</v>
      </c>
      <c r="AJ371" s="117" t="s">
        <v>208</v>
      </c>
      <c r="AK371" s="116">
        <v>330</v>
      </c>
      <c r="AL371" s="117" t="s">
        <v>208</v>
      </c>
      <c r="AM371" s="116">
        <v>5901.818181818182</v>
      </c>
    </row>
    <row r="372" spans="1:39" s="100" customFormat="1" ht="46.8" x14ac:dyDescent="0.3">
      <c r="A372" s="97">
        <v>362</v>
      </c>
      <c r="B372" s="98" t="s">
        <v>1011</v>
      </c>
      <c r="C372" s="98" t="s">
        <v>2708</v>
      </c>
      <c r="D372" s="98" t="s">
        <v>1902</v>
      </c>
      <c r="E372" s="98" t="s">
        <v>2709</v>
      </c>
      <c r="F372" s="98" t="s">
        <v>49</v>
      </c>
      <c r="G372" s="99" t="s">
        <v>2710</v>
      </c>
      <c r="H372" s="99">
        <v>18</v>
      </c>
      <c r="I372" s="99" t="s">
        <v>2710</v>
      </c>
      <c r="J372" s="99">
        <v>3</v>
      </c>
      <c r="K372" s="98" t="s">
        <v>528</v>
      </c>
      <c r="L372" s="98" t="s">
        <v>528</v>
      </c>
      <c r="M372" s="116">
        <v>11595.635382965731</v>
      </c>
      <c r="N372" s="116">
        <v>18918.68584247453</v>
      </c>
      <c r="O372" s="116">
        <v>1692</v>
      </c>
      <c r="P372" s="117" t="s">
        <v>208</v>
      </c>
      <c r="Q372" s="116">
        <v>1620</v>
      </c>
      <c r="R372" s="117" t="s">
        <v>208</v>
      </c>
      <c r="S372" s="116">
        <v>1235</v>
      </c>
      <c r="T372" s="117" t="s">
        <v>208</v>
      </c>
      <c r="U372" s="116">
        <v>1510</v>
      </c>
      <c r="V372" s="117" t="s">
        <v>208</v>
      </c>
      <c r="W372" s="116">
        <v>1282</v>
      </c>
      <c r="X372" s="117" t="s">
        <v>208</v>
      </c>
      <c r="Y372" s="116">
        <v>1364.7272727272727</v>
      </c>
      <c r="Z372" s="117" t="s">
        <v>208</v>
      </c>
      <c r="AA372" s="116">
        <v>865</v>
      </c>
      <c r="AB372" s="117" t="s">
        <v>208</v>
      </c>
      <c r="AC372" s="116">
        <v>1641</v>
      </c>
      <c r="AD372" s="117" t="s">
        <v>208</v>
      </c>
      <c r="AE372" s="116">
        <v>1879</v>
      </c>
      <c r="AF372" s="117" t="s">
        <v>208</v>
      </c>
      <c r="AG372" s="116">
        <v>819</v>
      </c>
      <c r="AH372" s="117" t="s">
        <v>208</v>
      </c>
      <c r="AI372" s="116">
        <v>1378</v>
      </c>
      <c r="AJ372" s="117" t="s">
        <v>208</v>
      </c>
      <c r="AK372" s="116">
        <v>1091</v>
      </c>
      <c r="AL372" s="117" t="s">
        <v>208</v>
      </c>
      <c r="AM372" s="116">
        <v>16376.727272727272</v>
      </c>
    </row>
    <row r="373" spans="1:39" s="100" customFormat="1" ht="46.8" x14ac:dyDescent="0.3">
      <c r="A373" s="97">
        <v>363</v>
      </c>
      <c r="B373" s="98" t="s">
        <v>1012</v>
      </c>
      <c r="C373" s="98" t="s">
        <v>2708</v>
      </c>
      <c r="D373" s="98" t="s">
        <v>1902</v>
      </c>
      <c r="E373" s="98" t="s">
        <v>2709</v>
      </c>
      <c r="F373" s="98" t="s">
        <v>49</v>
      </c>
      <c r="G373" s="99" t="s">
        <v>2710</v>
      </c>
      <c r="H373" s="99">
        <v>18</v>
      </c>
      <c r="I373" s="99" t="s">
        <v>2710</v>
      </c>
      <c r="J373" s="99">
        <v>3</v>
      </c>
      <c r="K373" s="98" t="s">
        <v>528</v>
      </c>
      <c r="L373" s="98" t="s">
        <v>528</v>
      </c>
      <c r="M373" s="116">
        <v>13334.31634166583</v>
      </c>
      <c r="N373" s="116">
        <v>22241.597673421657</v>
      </c>
      <c r="O373" s="116">
        <v>1810</v>
      </c>
      <c r="P373" s="117" t="s">
        <v>208</v>
      </c>
      <c r="Q373" s="116">
        <v>1853</v>
      </c>
      <c r="R373" s="117" t="s">
        <v>208</v>
      </c>
      <c r="S373" s="116">
        <v>1368</v>
      </c>
      <c r="T373" s="117" t="s">
        <v>208</v>
      </c>
      <c r="U373" s="116">
        <v>1161</v>
      </c>
      <c r="V373" s="117" t="s">
        <v>208</v>
      </c>
      <c r="W373" s="116">
        <v>1193</v>
      </c>
      <c r="X373" s="117" t="s">
        <v>208</v>
      </c>
      <c r="Y373" s="116">
        <v>1538.909090909091</v>
      </c>
      <c r="Z373" s="117" t="s">
        <v>208</v>
      </c>
      <c r="AA373" s="116">
        <v>1350</v>
      </c>
      <c r="AB373" s="117" t="s">
        <v>208</v>
      </c>
      <c r="AC373" s="116">
        <v>1468</v>
      </c>
      <c r="AD373" s="117" t="s">
        <v>208</v>
      </c>
      <c r="AE373" s="116">
        <v>1446</v>
      </c>
      <c r="AF373" s="117" t="s">
        <v>208</v>
      </c>
      <c r="AG373" s="116">
        <v>1878</v>
      </c>
      <c r="AH373" s="117" t="s">
        <v>208</v>
      </c>
      <c r="AI373" s="116">
        <v>1823</v>
      </c>
      <c r="AJ373" s="117" t="s">
        <v>208</v>
      </c>
      <c r="AK373" s="116">
        <v>1578</v>
      </c>
      <c r="AL373" s="117" t="s">
        <v>208</v>
      </c>
      <c r="AM373" s="116">
        <v>18466.909090909092</v>
      </c>
    </row>
    <row r="374" spans="1:39" s="100" customFormat="1" ht="46.8" x14ac:dyDescent="0.3">
      <c r="A374" s="97">
        <v>364</v>
      </c>
      <c r="B374" s="98" t="s">
        <v>1013</v>
      </c>
      <c r="C374" s="98" t="s">
        <v>2708</v>
      </c>
      <c r="D374" s="98" t="s">
        <v>1902</v>
      </c>
      <c r="E374" s="98" t="s">
        <v>2709</v>
      </c>
      <c r="F374" s="98" t="s">
        <v>49</v>
      </c>
      <c r="G374" s="99" t="s">
        <v>2710</v>
      </c>
      <c r="H374" s="99">
        <v>25</v>
      </c>
      <c r="I374" s="99" t="s">
        <v>2710</v>
      </c>
      <c r="J374" s="99">
        <v>5</v>
      </c>
      <c r="K374" s="98" t="s">
        <v>528</v>
      </c>
      <c r="L374" s="98" t="s">
        <v>528</v>
      </c>
      <c r="M374" s="116">
        <v>19205.873843016394</v>
      </c>
      <c r="N374" s="116">
        <v>33600.617450551086</v>
      </c>
      <c r="O374" s="116">
        <v>2533</v>
      </c>
      <c r="P374" s="117" t="s">
        <v>208</v>
      </c>
      <c r="Q374" s="116">
        <v>3062</v>
      </c>
      <c r="R374" s="117" t="s">
        <v>208</v>
      </c>
      <c r="S374" s="116">
        <v>2068</v>
      </c>
      <c r="T374" s="117" t="s">
        <v>208</v>
      </c>
      <c r="U374" s="116">
        <v>2048</v>
      </c>
      <c r="V374" s="117" t="s">
        <v>208</v>
      </c>
      <c r="W374" s="116">
        <v>1940</v>
      </c>
      <c r="X374" s="117" t="s">
        <v>208</v>
      </c>
      <c r="Y374" s="116">
        <v>2336.5454545454545</v>
      </c>
      <c r="Z374" s="117" t="s">
        <v>208</v>
      </c>
      <c r="AA374" s="116">
        <v>2048</v>
      </c>
      <c r="AB374" s="117" t="s">
        <v>208</v>
      </c>
      <c r="AC374" s="116">
        <v>1639</v>
      </c>
      <c r="AD374" s="117" t="s">
        <v>208</v>
      </c>
      <c r="AE374" s="116">
        <v>1874</v>
      </c>
      <c r="AF374" s="117" t="s">
        <v>208</v>
      </c>
      <c r="AG374" s="116">
        <v>3618</v>
      </c>
      <c r="AH374" s="117" t="s">
        <v>208</v>
      </c>
      <c r="AI374" s="116">
        <v>2682</v>
      </c>
      <c r="AJ374" s="117" t="s">
        <v>208</v>
      </c>
      <c r="AK374" s="116">
        <v>2190</v>
      </c>
      <c r="AL374" s="117" t="s">
        <v>208</v>
      </c>
      <c r="AM374" s="116">
        <v>28038.545454545456</v>
      </c>
    </row>
    <row r="375" spans="1:39" s="100" customFormat="1" ht="46.8" x14ac:dyDescent="0.3">
      <c r="A375" s="97">
        <v>365</v>
      </c>
      <c r="B375" s="98" t="s">
        <v>1014</v>
      </c>
      <c r="C375" s="98" t="s">
        <v>2708</v>
      </c>
      <c r="D375" s="98" t="s">
        <v>1902</v>
      </c>
      <c r="E375" s="98" t="s">
        <v>2709</v>
      </c>
      <c r="F375" s="98" t="s">
        <v>49</v>
      </c>
      <c r="G375" s="99" t="s">
        <v>2710</v>
      </c>
      <c r="H375" s="99">
        <v>42</v>
      </c>
      <c r="I375" s="99" t="s">
        <v>2710</v>
      </c>
      <c r="J375" s="99">
        <v>7</v>
      </c>
      <c r="K375" s="98" t="s">
        <v>528</v>
      </c>
      <c r="L375" s="98" t="s">
        <v>528</v>
      </c>
      <c r="M375" s="116">
        <v>23575.416689630274</v>
      </c>
      <c r="N375" s="116">
        <v>41849.749132770579</v>
      </c>
      <c r="O375" s="116">
        <v>3481</v>
      </c>
      <c r="P375" s="117" t="s">
        <v>208</v>
      </c>
      <c r="Q375" s="116">
        <v>3700</v>
      </c>
      <c r="R375" s="117" t="s">
        <v>208</v>
      </c>
      <c r="S375" s="116">
        <v>3111</v>
      </c>
      <c r="T375" s="117" t="s">
        <v>208</v>
      </c>
      <c r="U375" s="116">
        <v>2987</v>
      </c>
      <c r="V375" s="117" t="s">
        <v>208</v>
      </c>
      <c r="W375" s="116">
        <v>3371</v>
      </c>
      <c r="X375" s="117" t="s">
        <v>208</v>
      </c>
      <c r="Y375" s="116">
        <v>2977.181818181818</v>
      </c>
      <c r="Z375" s="117" t="s">
        <v>208</v>
      </c>
      <c r="AA375" s="116">
        <v>1385</v>
      </c>
      <c r="AB375" s="117" t="s">
        <v>208</v>
      </c>
      <c r="AC375" s="116">
        <v>2220</v>
      </c>
      <c r="AD375" s="117" t="s">
        <v>208</v>
      </c>
      <c r="AE375" s="116">
        <v>4261</v>
      </c>
      <c r="AF375" s="117" t="s">
        <v>208</v>
      </c>
      <c r="AG375" s="116">
        <v>2193</v>
      </c>
      <c r="AH375" s="117" t="s">
        <v>208</v>
      </c>
      <c r="AI375" s="116">
        <v>3268</v>
      </c>
      <c r="AJ375" s="117" t="s">
        <v>208</v>
      </c>
      <c r="AK375" s="116">
        <v>2772</v>
      </c>
      <c r="AL375" s="117" t="s">
        <v>208</v>
      </c>
      <c r="AM375" s="116">
        <v>35726.181818181816</v>
      </c>
    </row>
    <row r="376" spans="1:39" s="100" customFormat="1" ht="46.8" x14ac:dyDescent="0.3">
      <c r="A376" s="97">
        <v>366</v>
      </c>
      <c r="B376" s="98" t="s">
        <v>1015</v>
      </c>
      <c r="C376" s="98" t="s">
        <v>2708</v>
      </c>
      <c r="D376" s="98" t="s">
        <v>1902</v>
      </c>
      <c r="E376" s="98" t="s">
        <v>2709</v>
      </c>
      <c r="F376" s="98" t="s">
        <v>49</v>
      </c>
      <c r="G376" s="99" t="s">
        <v>2710</v>
      </c>
      <c r="H376" s="99">
        <v>56</v>
      </c>
      <c r="I376" s="99" t="s">
        <v>2710</v>
      </c>
      <c r="J376" s="99">
        <v>7</v>
      </c>
      <c r="K376" s="98" t="s">
        <v>528</v>
      </c>
      <c r="L376" s="98" t="s">
        <v>528</v>
      </c>
      <c r="M376" s="116">
        <v>26320.922960629283</v>
      </c>
      <c r="N376" s="116">
        <v>45474.195429817744</v>
      </c>
      <c r="O376" s="116">
        <v>4122.0591276003934</v>
      </c>
      <c r="P376" s="117" t="s">
        <v>208</v>
      </c>
      <c r="Q376" s="116">
        <v>2989.0009389373049</v>
      </c>
      <c r="R376" s="117" t="s">
        <v>208</v>
      </c>
      <c r="S376" s="116">
        <v>2853.6927768094611</v>
      </c>
      <c r="T376" s="117" t="s">
        <v>208</v>
      </c>
      <c r="U376" s="116">
        <v>2565.9114362799287</v>
      </c>
      <c r="V376" s="117" t="s">
        <v>208</v>
      </c>
      <c r="W376" s="116">
        <v>2917.9822135021482</v>
      </c>
      <c r="X376" s="117" t="s">
        <v>208</v>
      </c>
      <c r="Y376" s="116">
        <v>3275.4417230321878</v>
      </c>
      <c r="Z376" s="117" t="s">
        <v>208</v>
      </c>
      <c r="AA376" s="116">
        <v>3904.2650650136879</v>
      </c>
      <c r="AB376" s="117" t="s">
        <v>208</v>
      </c>
      <c r="AC376" s="116">
        <v>3413.9496508516954</v>
      </c>
      <c r="AD376" s="117" t="s">
        <v>208</v>
      </c>
      <c r="AE376" s="116">
        <v>3115.6697086328654</v>
      </c>
      <c r="AF376" s="117" t="s">
        <v>208</v>
      </c>
      <c r="AG376" s="116">
        <v>3719.5207545966273</v>
      </c>
      <c r="AH376" s="117" t="s">
        <v>208</v>
      </c>
      <c r="AI376" s="116">
        <v>3884.2267131784029</v>
      </c>
      <c r="AJ376" s="117" t="s">
        <v>208</v>
      </c>
      <c r="AK376" s="116">
        <v>2543.5805679515456</v>
      </c>
      <c r="AL376" s="117" t="s">
        <v>208</v>
      </c>
      <c r="AM376" s="116">
        <v>39305.30067638625</v>
      </c>
    </row>
    <row r="377" spans="1:39" s="100" customFormat="1" ht="46.8" x14ac:dyDescent="0.3">
      <c r="A377" s="97">
        <v>367</v>
      </c>
      <c r="B377" s="98" t="s">
        <v>1018</v>
      </c>
      <c r="C377" s="98" t="s">
        <v>2708</v>
      </c>
      <c r="D377" s="98" t="s">
        <v>1902</v>
      </c>
      <c r="E377" s="98" t="s">
        <v>2709</v>
      </c>
      <c r="F377" s="98" t="s">
        <v>49</v>
      </c>
      <c r="G377" s="99" t="s">
        <v>2710</v>
      </c>
      <c r="H377" s="99">
        <v>21</v>
      </c>
      <c r="I377" s="99" t="s">
        <v>2710</v>
      </c>
      <c r="J377" s="99">
        <v>3</v>
      </c>
      <c r="K377" s="98" t="s">
        <v>528</v>
      </c>
      <c r="L377" s="98" t="s">
        <v>528</v>
      </c>
      <c r="M377" s="116">
        <v>5589.9431919721756</v>
      </c>
      <c r="N377" s="116">
        <v>9302.4898143732225</v>
      </c>
      <c r="O377" s="116">
        <v>700</v>
      </c>
      <c r="P377" s="117" t="s">
        <v>208</v>
      </c>
      <c r="Q377" s="116">
        <v>703</v>
      </c>
      <c r="R377" s="117" t="s">
        <v>208</v>
      </c>
      <c r="S377" s="116">
        <v>570</v>
      </c>
      <c r="T377" s="117" t="s">
        <v>208</v>
      </c>
      <c r="U377" s="116">
        <v>628</v>
      </c>
      <c r="V377" s="117" t="s">
        <v>208</v>
      </c>
      <c r="W377" s="116">
        <v>614</v>
      </c>
      <c r="X377" s="117" t="s">
        <v>208</v>
      </c>
      <c r="Y377" s="116">
        <v>648.09090909090912</v>
      </c>
      <c r="Z377" s="117" t="s">
        <v>208</v>
      </c>
      <c r="AA377" s="116">
        <v>924</v>
      </c>
      <c r="AB377" s="117" t="s">
        <v>208</v>
      </c>
      <c r="AC377" s="116">
        <v>462</v>
      </c>
      <c r="AD377" s="117" t="s">
        <v>208</v>
      </c>
      <c r="AE377" s="116">
        <v>608</v>
      </c>
      <c r="AF377" s="117" t="s">
        <v>208</v>
      </c>
      <c r="AG377" s="116">
        <v>677</v>
      </c>
      <c r="AH377" s="117" t="s">
        <v>208</v>
      </c>
      <c r="AI377" s="116">
        <v>602</v>
      </c>
      <c r="AJ377" s="117" t="s">
        <v>208</v>
      </c>
      <c r="AK377" s="116">
        <v>641</v>
      </c>
      <c r="AL377" s="117" t="s">
        <v>208</v>
      </c>
      <c r="AM377" s="116">
        <v>7777.090909090909</v>
      </c>
    </row>
    <row r="378" spans="1:39" s="100" customFormat="1" ht="46.8" x14ac:dyDescent="0.3">
      <c r="A378" s="97">
        <v>368</v>
      </c>
      <c r="B378" s="98" t="s">
        <v>1021</v>
      </c>
      <c r="C378" s="98" t="s">
        <v>2708</v>
      </c>
      <c r="D378" s="98" t="s">
        <v>1902</v>
      </c>
      <c r="E378" s="98" t="s">
        <v>2709</v>
      </c>
      <c r="F378" s="98" t="s">
        <v>49</v>
      </c>
      <c r="G378" s="99" t="s">
        <v>2710</v>
      </c>
      <c r="H378" s="99">
        <v>20</v>
      </c>
      <c r="I378" s="99" t="s">
        <v>2710</v>
      </c>
      <c r="J378" s="99">
        <v>4</v>
      </c>
      <c r="K378" s="98" t="s">
        <v>528</v>
      </c>
      <c r="L378" s="98" t="s">
        <v>528</v>
      </c>
      <c r="M378" s="116">
        <v>10522.337263033773</v>
      </c>
      <c r="N378" s="116">
        <v>17730.236063111075</v>
      </c>
      <c r="O378" s="116">
        <v>1417</v>
      </c>
      <c r="P378" s="117" t="s">
        <v>208</v>
      </c>
      <c r="Q378" s="116">
        <v>1359</v>
      </c>
      <c r="R378" s="117" t="s">
        <v>208</v>
      </c>
      <c r="S378" s="116">
        <v>1094</v>
      </c>
      <c r="T378" s="117" t="s">
        <v>208</v>
      </c>
      <c r="U378" s="116">
        <v>1098</v>
      </c>
      <c r="V378" s="117" t="s">
        <v>208</v>
      </c>
      <c r="W378" s="116">
        <v>973</v>
      </c>
      <c r="X378" s="117" t="s">
        <v>208</v>
      </c>
      <c r="Y378" s="116">
        <v>1215.5454545454545</v>
      </c>
      <c r="Z378" s="117" t="s">
        <v>208</v>
      </c>
      <c r="AA378" s="116">
        <v>1403</v>
      </c>
      <c r="AB378" s="117" t="s">
        <v>208</v>
      </c>
      <c r="AC378" s="116">
        <v>983</v>
      </c>
      <c r="AD378" s="117" t="s">
        <v>208</v>
      </c>
      <c r="AE378" s="116">
        <v>1084</v>
      </c>
      <c r="AF378" s="117" t="s">
        <v>208</v>
      </c>
      <c r="AG378" s="116">
        <v>1734</v>
      </c>
      <c r="AH378" s="117" t="s">
        <v>208</v>
      </c>
      <c r="AI378" s="116">
        <v>955</v>
      </c>
      <c r="AJ378" s="117" t="s">
        <v>208</v>
      </c>
      <c r="AK378" s="116">
        <v>1271</v>
      </c>
      <c r="AL378" s="117" t="s">
        <v>208</v>
      </c>
      <c r="AM378" s="116">
        <v>14586.545454545454</v>
      </c>
    </row>
    <row r="379" spans="1:39" s="100" customFormat="1" ht="46.8" x14ac:dyDescent="0.3">
      <c r="A379" s="97">
        <v>369</v>
      </c>
      <c r="B379" s="98" t="s">
        <v>1023</v>
      </c>
      <c r="C379" s="98" t="s">
        <v>2708</v>
      </c>
      <c r="D379" s="98" t="s">
        <v>1902</v>
      </c>
      <c r="E379" s="98" t="s">
        <v>2709</v>
      </c>
      <c r="F379" s="98" t="s">
        <v>49</v>
      </c>
      <c r="G379" s="99" t="s">
        <v>2710</v>
      </c>
      <c r="H379" s="99">
        <v>15</v>
      </c>
      <c r="I379" s="99" t="s">
        <v>2710</v>
      </c>
      <c r="J379" s="99">
        <v>3</v>
      </c>
      <c r="K379" s="98" t="s">
        <v>528</v>
      </c>
      <c r="L379" s="98" t="s">
        <v>528</v>
      </c>
      <c r="M379" s="116">
        <v>4684.6796745489592</v>
      </c>
      <c r="N379" s="116">
        <v>7729.2738665471343</v>
      </c>
      <c r="O379" s="116">
        <v>596.4399637100048</v>
      </c>
      <c r="P379" s="117" t="s">
        <v>208</v>
      </c>
      <c r="Q379" s="116">
        <v>373.56475783184379</v>
      </c>
      <c r="R379" s="117" t="s">
        <v>208</v>
      </c>
      <c r="S379" s="116">
        <v>468.93925257920085</v>
      </c>
      <c r="T379" s="117" t="s">
        <v>208</v>
      </c>
      <c r="U379" s="116">
        <v>595.71786453951688</v>
      </c>
      <c r="V379" s="117" t="s">
        <v>208</v>
      </c>
      <c r="W379" s="116">
        <v>668.07276820061588</v>
      </c>
      <c r="X379" s="117" t="s">
        <v>208</v>
      </c>
      <c r="Y379" s="116">
        <v>549.72585279979694</v>
      </c>
      <c r="Z379" s="117" t="s">
        <v>208</v>
      </c>
      <c r="AA379" s="116">
        <v>456.91123144024056</v>
      </c>
      <c r="AB379" s="117" t="s">
        <v>208</v>
      </c>
      <c r="AC379" s="116">
        <v>374.63732130442355</v>
      </c>
      <c r="AD379" s="117" t="s">
        <v>208</v>
      </c>
      <c r="AE379" s="116">
        <v>634.27005096612072</v>
      </c>
      <c r="AF379" s="117" t="s">
        <v>208</v>
      </c>
      <c r="AG379" s="116">
        <v>583.97864682043189</v>
      </c>
      <c r="AH379" s="117" t="s">
        <v>208</v>
      </c>
      <c r="AI379" s="116">
        <v>641.05003770418375</v>
      </c>
      <c r="AJ379" s="117" t="s">
        <v>208</v>
      </c>
      <c r="AK379" s="116">
        <v>653.4024857011849</v>
      </c>
      <c r="AL379" s="117" t="s">
        <v>208</v>
      </c>
      <c r="AM379" s="116">
        <v>6596.7102335975642</v>
      </c>
    </row>
    <row r="380" spans="1:39" s="100" customFormat="1" ht="46.8" x14ac:dyDescent="0.3">
      <c r="A380" s="97">
        <v>370</v>
      </c>
      <c r="B380" s="98" t="s">
        <v>1025</v>
      </c>
      <c r="C380" s="98" t="s">
        <v>2708</v>
      </c>
      <c r="D380" s="98" t="s">
        <v>1902</v>
      </c>
      <c r="E380" s="98" t="s">
        <v>2709</v>
      </c>
      <c r="F380" s="98" t="s">
        <v>49</v>
      </c>
      <c r="G380" s="99" t="s">
        <v>2710</v>
      </c>
      <c r="H380" s="99">
        <v>42</v>
      </c>
      <c r="I380" s="99" t="s">
        <v>2710</v>
      </c>
      <c r="J380" s="99">
        <v>6</v>
      </c>
      <c r="K380" s="98" t="s">
        <v>528</v>
      </c>
      <c r="L380" s="98" t="s">
        <v>528</v>
      </c>
      <c r="M380" s="116">
        <v>13251.940576396948</v>
      </c>
      <c r="N380" s="116">
        <v>23062.927985410002</v>
      </c>
      <c r="O380" s="116">
        <v>2030</v>
      </c>
      <c r="P380" s="117" t="s">
        <v>208</v>
      </c>
      <c r="Q380" s="116">
        <v>2095</v>
      </c>
      <c r="R380" s="117" t="s">
        <v>208</v>
      </c>
      <c r="S380" s="116">
        <v>1545</v>
      </c>
      <c r="T380" s="117" t="s">
        <v>208</v>
      </c>
      <c r="U380" s="116">
        <v>1471</v>
      </c>
      <c r="V380" s="117" t="s">
        <v>208</v>
      </c>
      <c r="W380" s="116">
        <v>1430</v>
      </c>
      <c r="X380" s="117" t="s">
        <v>208</v>
      </c>
      <c r="Y380" s="116">
        <v>1562</v>
      </c>
      <c r="Z380" s="117" t="s">
        <v>208</v>
      </c>
      <c r="AA380" s="116">
        <v>1304</v>
      </c>
      <c r="AB380" s="117" t="s">
        <v>208</v>
      </c>
      <c r="AC380" s="116">
        <v>1174</v>
      </c>
      <c r="AD380" s="117" t="s">
        <v>208</v>
      </c>
      <c r="AE380" s="116">
        <v>1486</v>
      </c>
      <c r="AF380" s="117" t="s">
        <v>208</v>
      </c>
      <c r="AG380" s="116">
        <v>687</v>
      </c>
      <c r="AH380" s="117" t="s">
        <v>208</v>
      </c>
      <c r="AI380" s="116">
        <v>2766</v>
      </c>
      <c r="AJ380" s="117" t="s">
        <v>208</v>
      </c>
      <c r="AK380" s="116">
        <v>1194</v>
      </c>
      <c r="AL380" s="117" t="s">
        <v>208</v>
      </c>
      <c r="AM380" s="116">
        <v>18744</v>
      </c>
    </row>
    <row r="381" spans="1:39" s="100" customFormat="1" ht="46.8" x14ac:dyDescent="0.3">
      <c r="A381" s="97">
        <v>371</v>
      </c>
      <c r="B381" s="98" t="s">
        <v>1026</v>
      </c>
      <c r="C381" s="98" t="s">
        <v>2708</v>
      </c>
      <c r="D381" s="98" t="s">
        <v>1902</v>
      </c>
      <c r="E381" s="98" t="s">
        <v>2709</v>
      </c>
      <c r="F381" s="98" t="s">
        <v>49</v>
      </c>
      <c r="G381" s="99" t="s">
        <v>2710</v>
      </c>
      <c r="H381" s="99">
        <v>56</v>
      </c>
      <c r="I381" s="99" t="s">
        <v>2710</v>
      </c>
      <c r="J381" s="99">
        <v>8</v>
      </c>
      <c r="K381" s="98" t="s">
        <v>528</v>
      </c>
      <c r="L381" s="98" t="s">
        <v>528</v>
      </c>
      <c r="M381" s="116">
        <v>24369.841819213631</v>
      </c>
      <c r="N381" s="116">
        <v>40138.455695665769</v>
      </c>
      <c r="O381" s="116">
        <v>3081</v>
      </c>
      <c r="P381" s="117" t="s">
        <v>208</v>
      </c>
      <c r="Q381" s="116">
        <v>2935</v>
      </c>
      <c r="R381" s="117" t="s">
        <v>208</v>
      </c>
      <c r="S381" s="116">
        <v>2188</v>
      </c>
      <c r="T381" s="117" t="s">
        <v>208</v>
      </c>
      <c r="U381" s="116">
        <v>2752</v>
      </c>
      <c r="V381" s="117" t="s">
        <v>208</v>
      </c>
      <c r="W381" s="116">
        <v>1673</v>
      </c>
      <c r="X381" s="117" t="s">
        <v>208</v>
      </c>
      <c r="Y381" s="116">
        <v>2736.3636363636365</v>
      </c>
      <c r="Z381" s="117" t="s">
        <v>208</v>
      </c>
      <c r="AA381" s="116">
        <v>3242</v>
      </c>
      <c r="AB381" s="117" t="s">
        <v>208</v>
      </c>
      <c r="AC381" s="116">
        <v>2281</v>
      </c>
      <c r="AD381" s="117" t="s">
        <v>208</v>
      </c>
      <c r="AE381" s="116">
        <v>2431</v>
      </c>
      <c r="AF381" s="117" t="s">
        <v>208</v>
      </c>
      <c r="AG381" s="116">
        <v>3661</v>
      </c>
      <c r="AH381" s="117" t="s">
        <v>208</v>
      </c>
      <c r="AI381" s="116">
        <v>3920</v>
      </c>
      <c r="AJ381" s="117" t="s">
        <v>208</v>
      </c>
      <c r="AK381" s="116">
        <v>1936</v>
      </c>
      <c r="AL381" s="117" t="s">
        <v>208</v>
      </c>
      <c r="AM381" s="116">
        <v>32836.363636363632</v>
      </c>
    </row>
    <row r="382" spans="1:39" s="100" customFormat="1" ht="46.8" x14ac:dyDescent="0.3">
      <c r="A382" s="97">
        <v>372</v>
      </c>
      <c r="B382" s="98" t="s">
        <v>1028</v>
      </c>
      <c r="C382" s="98" t="s">
        <v>2708</v>
      </c>
      <c r="D382" s="98" t="s">
        <v>1902</v>
      </c>
      <c r="E382" s="98" t="s">
        <v>2709</v>
      </c>
      <c r="F382" s="98" t="s">
        <v>49</v>
      </c>
      <c r="G382" s="99" t="s">
        <v>2710</v>
      </c>
      <c r="H382" s="99">
        <v>8</v>
      </c>
      <c r="I382" s="99" t="s">
        <v>2710</v>
      </c>
      <c r="J382" s="99">
        <v>2</v>
      </c>
      <c r="K382" s="98" t="s">
        <v>528</v>
      </c>
      <c r="L382" s="98" t="s">
        <v>528</v>
      </c>
      <c r="M382" s="116">
        <v>2110.9878810369601</v>
      </c>
      <c r="N382" s="116">
        <v>3537.3317210770906</v>
      </c>
      <c r="O382" s="116">
        <v>420</v>
      </c>
      <c r="P382" s="117" t="s">
        <v>208</v>
      </c>
      <c r="Q382" s="116">
        <v>279</v>
      </c>
      <c r="R382" s="117" t="s">
        <v>208</v>
      </c>
      <c r="S382" s="116">
        <v>171</v>
      </c>
      <c r="T382" s="117" t="s">
        <v>208</v>
      </c>
      <c r="U382" s="116">
        <v>170</v>
      </c>
      <c r="V382" s="117" t="s">
        <v>208</v>
      </c>
      <c r="W382" s="116">
        <v>211</v>
      </c>
      <c r="X382" s="117" t="s">
        <v>208</v>
      </c>
      <c r="Y382" s="116">
        <v>240.27272727272728</v>
      </c>
      <c r="Z382" s="117" t="s">
        <v>208</v>
      </c>
      <c r="AA382" s="116">
        <v>261</v>
      </c>
      <c r="AB382" s="117" t="s">
        <v>208</v>
      </c>
      <c r="AC382" s="116">
        <v>161</v>
      </c>
      <c r="AD382" s="117" t="s">
        <v>208</v>
      </c>
      <c r="AE382" s="116">
        <v>261</v>
      </c>
      <c r="AF382" s="117" t="s">
        <v>208</v>
      </c>
      <c r="AG382" s="116">
        <v>202</v>
      </c>
      <c r="AH382" s="117" t="s">
        <v>208</v>
      </c>
      <c r="AI382" s="116">
        <v>308</v>
      </c>
      <c r="AJ382" s="117" t="s">
        <v>208</v>
      </c>
      <c r="AK382" s="116">
        <v>199</v>
      </c>
      <c r="AL382" s="117" t="s">
        <v>208</v>
      </c>
      <c r="AM382" s="116">
        <v>2883.272727272727</v>
      </c>
    </row>
    <row r="383" spans="1:39" s="100" customFormat="1" ht="46.8" x14ac:dyDescent="0.3">
      <c r="A383" s="97">
        <v>373</v>
      </c>
      <c r="B383" s="98" t="s">
        <v>1029</v>
      </c>
      <c r="C383" s="98" t="s">
        <v>2708</v>
      </c>
      <c r="D383" s="98" t="s">
        <v>1902</v>
      </c>
      <c r="E383" s="98" t="s">
        <v>2709</v>
      </c>
      <c r="F383" s="98" t="s">
        <v>49</v>
      </c>
      <c r="G383" s="99" t="s">
        <v>2710</v>
      </c>
      <c r="H383" s="99">
        <v>4</v>
      </c>
      <c r="I383" s="99" t="s">
        <v>2710</v>
      </c>
      <c r="J383" s="99">
        <v>1</v>
      </c>
      <c r="K383" s="98" t="s">
        <v>528</v>
      </c>
      <c r="L383" s="98" t="s">
        <v>529</v>
      </c>
      <c r="M383" s="116">
        <v>2522.7189704491107</v>
      </c>
      <c r="N383" s="116">
        <v>4288.0515438584716</v>
      </c>
      <c r="O383" s="116">
        <v>388.29</v>
      </c>
      <c r="P383" s="117" t="s">
        <v>1906</v>
      </c>
      <c r="Q383" s="116">
        <v>388.29</v>
      </c>
      <c r="R383" s="117" t="s">
        <v>1906</v>
      </c>
      <c r="S383" s="116">
        <v>388.29</v>
      </c>
      <c r="T383" s="117" t="s">
        <v>1906</v>
      </c>
      <c r="U383" s="116">
        <v>388.29</v>
      </c>
      <c r="V383" s="117" t="s">
        <v>1906</v>
      </c>
      <c r="W383" s="116">
        <v>388.29</v>
      </c>
      <c r="X383" s="117" t="s">
        <v>1906</v>
      </c>
      <c r="Y383" s="116">
        <v>286.2627272727272</v>
      </c>
      <c r="Z383" s="117" t="s">
        <v>1906</v>
      </c>
      <c r="AA383" s="116">
        <v>201.24</v>
      </c>
      <c r="AB383" s="117" t="s">
        <v>1906</v>
      </c>
      <c r="AC383" s="116">
        <v>201.24</v>
      </c>
      <c r="AD383" s="117" t="s">
        <v>1906</v>
      </c>
      <c r="AE383" s="116">
        <v>201.24</v>
      </c>
      <c r="AF383" s="117" t="s">
        <v>1906</v>
      </c>
      <c r="AG383" s="116">
        <v>201.24</v>
      </c>
      <c r="AH383" s="117" t="s">
        <v>1906</v>
      </c>
      <c r="AI383" s="116">
        <v>201.24</v>
      </c>
      <c r="AJ383" s="117" t="s">
        <v>1906</v>
      </c>
      <c r="AK383" s="116">
        <v>201.24</v>
      </c>
      <c r="AL383" s="117" t="s">
        <v>1906</v>
      </c>
      <c r="AM383" s="116">
        <v>3435.1527272727262</v>
      </c>
    </row>
    <row r="384" spans="1:39" s="100" customFormat="1" ht="46.8" x14ac:dyDescent="0.3">
      <c r="A384" s="97">
        <v>374</v>
      </c>
      <c r="B384" s="98" t="s">
        <v>1030</v>
      </c>
      <c r="C384" s="98" t="s">
        <v>2708</v>
      </c>
      <c r="D384" s="98" t="s">
        <v>1902</v>
      </c>
      <c r="E384" s="98" t="s">
        <v>2709</v>
      </c>
      <c r="F384" s="98" t="s">
        <v>49</v>
      </c>
      <c r="G384" s="99" t="s">
        <v>2710</v>
      </c>
      <c r="H384" s="99">
        <v>6</v>
      </c>
      <c r="I384" s="99" t="s">
        <v>2710</v>
      </c>
      <c r="J384" s="99">
        <v>2</v>
      </c>
      <c r="K384" s="98" t="s">
        <v>528</v>
      </c>
      <c r="L384" s="98" t="s">
        <v>528</v>
      </c>
      <c r="M384" s="116">
        <v>484.42035278290399</v>
      </c>
      <c r="N384" s="116">
        <v>860.09259557327198</v>
      </c>
      <c r="O384" s="116">
        <v>100.80000000000001</v>
      </c>
      <c r="P384" s="117" t="s">
        <v>208</v>
      </c>
      <c r="Q384" s="116">
        <v>68.320000000000007</v>
      </c>
      <c r="R384" s="117" t="s">
        <v>208</v>
      </c>
      <c r="S384" s="116">
        <v>29.120000000000005</v>
      </c>
      <c r="T384" s="117" t="s">
        <v>208</v>
      </c>
      <c r="U384" s="116">
        <v>30.240000000000002</v>
      </c>
      <c r="V384" s="117" t="s">
        <v>208</v>
      </c>
      <c r="W384" s="116">
        <v>46.480000000000004</v>
      </c>
      <c r="X384" s="117" t="s">
        <v>208</v>
      </c>
      <c r="Y384" s="116">
        <v>59.461818181818188</v>
      </c>
      <c r="Z384" s="117" t="s">
        <v>208</v>
      </c>
      <c r="AA384" s="116">
        <v>53.760000000000005</v>
      </c>
      <c r="AB384" s="117" t="s">
        <v>208</v>
      </c>
      <c r="AC384" s="116">
        <v>0</v>
      </c>
      <c r="AD384" s="117" t="s">
        <v>208</v>
      </c>
      <c r="AE384" s="116">
        <v>87.360000000000014</v>
      </c>
      <c r="AF384" s="117" t="s">
        <v>208</v>
      </c>
      <c r="AG384" s="116">
        <v>85.68</v>
      </c>
      <c r="AH384" s="117" t="s">
        <v>208</v>
      </c>
      <c r="AI384" s="116">
        <v>104.72000000000001</v>
      </c>
      <c r="AJ384" s="117" t="s">
        <v>208</v>
      </c>
      <c r="AK384" s="116">
        <v>47.6</v>
      </c>
      <c r="AL384" s="117" t="s">
        <v>208</v>
      </c>
      <c r="AM384" s="116">
        <v>713.54181818181826</v>
      </c>
    </row>
    <row r="385" spans="1:39" s="100" customFormat="1" ht="46.8" x14ac:dyDescent="0.3">
      <c r="A385" s="97">
        <v>375</v>
      </c>
      <c r="B385" s="98" t="s">
        <v>1031</v>
      </c>
      <c r="C385" s="98" t="s">
        <v>2708</v>
      </c>
      <c r="D385" s="98" t="s">
        <v>1902</v>
      </c>
      <c r="E385" s="98" t="s">
        <v>2709</v>
      </c>
      <c r="F385" s="98" t="s">
        <v>49</v>
      </c>
      <c r="G385" s="99" t="s">
        <v>2710</v>
      </c>
      <c r="H385" s="99">
        <v>4</v>
      </c>
      <c r="I385" s="99" t="s">
        <v>2710</v>
      </c>
      <c r="J385" s="99">
        <v>1</v>
      </c>
      <c r="K385" s="98" t="s">
        <v>528</v>
      </c>
      <c r="L385" s="98" t="s">
        <v>528</v>
      </c>
      <c r="M385" s="116">
        <v>2165.7228529185559</v>
      </c>
      <c r="N385" s="116">
        <v>3823.6996301789945</v>
      </c>
      <c r="O385" s="116">
        <v>193.82260514781223</v>
      </c>
      <c r="P385" s="117" t="s">
        <v>208</v>
      </c>
      <c r="Q385" s="116">
        <v>317.15534382589374</v>
      </c>
      <c r="R385" s="117" t="s">
        <v>208</v>
      </c>
      <c r="S385" s="116">
        <v>294.62587178825123</v>
      </c>
      <c r="T385" s="117" t="s">
        <v>208</v>
      </c>
      <c r="U385" s="116">
        <v>321.58470696233655</v>
      </c>
      <c r="V385" s="117" t="s">
        <v>208</v>
      </c>
      <c r="W385" s="116">
        <v>293.1123986783777</v>
      </c>
      <c r="X385" s="117" t="s">
        <v>208</v>
      </c>
      <c r="Y385" s="116">
        <v>268.78342281316975</v>
      </c>
      <c r="Z385" s="117" t="s">
        <v>208</v>
      </c>
      <c r="AA385" s="116">
        <v>296.60305011598768</v>
      </c>
      <c r="AB385" s="117" t="s">
        <v>208</v>
      </c>
      <c r="AC385" s="116">
        <v>237.55901577698774</v>
      </c>
      <c r="AD385" s="117" t="s">
        <v>208</v>
      </c>
      <c r="AE385" s="116">
        <v>216.31443348490467</v>
      </c>
      <c r="AF385" s="117" t="s">
        <v>208</v>
      </c>
      <c r="AG385" s="116">
        <v>262.07526301744326</v>
      </c>
      <c r="AH385" s="117" t="s">
        <v>208</v>
      </c>
      <c r="AI385" s="116">
        <v>226.85613040045348</v>
      </c>
      <c r="AJ385" s="117" t="s">
        <v>208</v>
      </c>
      <c r="AK385" s="116">
        <v>296.90883174641925</v>
      </c>
      <c r="AL385" s="117" t="s">
        <v>208</v>
      </c>
      <c r="AM385" s="116">
        <v>3225.401073758037</v>
      </c>
    </row>
    <row r="386" spans="1:39" s="100" customFormat="1" ht="46.8" x14ac:dyDescent="0.3">
      <c r="A386" s="97">
        <v>376</v>
      </c>
      <c r="B386" s="98" t="s">
        <v>1032</v>
      </c>
      <c r="C386" s="98" t="s">
        <v>2708</v>
      </c>
      <c r="D386" s="98" t="s">
        <v>1902</v>
      </c>
      <c r="E386" s="98" t="s">
        <v>2709</v>
      </c>
      <c r="F386" s="98" t="s">
        <v>49</v>
      </c>
      <c r="G386" s="99" t="s">
        <v>2710</v>
      </c>
      <c r="H386" s="99">
        <v>3</v>
      </c>
      <c r="I386" s="99" t="s">
        <v>2710</v>
      </c>
      <c r="J386" s="99">
        <v>1</v>
      </c>
      <c r="K386" s="98" t="s">
        <v>528</v>
      </c>
      <c r="L386" s="98" t="s">
        <v>528</v>
      </c>
      <c r="M386" s="116">
        <v>168.37141021814756</v>
      </c>
      <c r="N386" s="116">
        <v>295.15485107178256</v>
      </c>
      <c r="O386" s="116">
        <v>34.200000000000003</v>
      </c>
      <c r="P386" s="117" t="s">
        <v>208</v>
      </c>
      <c r="Q386" s="116">
        <v>23.18</v>
      </c>
      <c r="R386" s="117" t="s">
        <v>208</v>
      </c>
      <c r="S386" s="116">
        <v>9.8800000000000008</v>
      </c>
      <c r="T386" s="117" t="s">
        <v>208</v>
      </c>
      <c r="U386" s="116">
        <v>10.26</v>
      </c>
      <c r="V386" s="117" t="s">
        <v>208</v>
      </c>
      <c r="W386" s="116">
        <v>15.77</v>
      </c>
      <c r="X386" s="117" t="s">
        <v>208</v>
      </c>
      <c r="Y386" s="116">
        <v>20.174545454545456</v>
      </c>
      <c r="Z386" s="117" t="s">
        <v>208</v>
      </c>
      <c r="AA386" s="116">
        <v>18.240000000000002</v>
      </c>
      <c r="AB386" s="117" t="s">
        <v>208</v>
      </c>
      <c r="AC386" s="116">
        <v>0</v>
      </c>
      <c r="AD386" s="117" t="s">
        <v>208</v>
      </c>
      <c r="AE386" s="116">
        <v>29.64</v>
      </c>
      <c r="AF386" s="117" t="s">
        <v>208</v>
      </c>
      <c r="AG386" s="116">
        <v>29.07</v>
      </c>
      <c r="AH386" s="117" t="s">
        <v>208</v>
      </c>
      <c r="AI386" s="116">
        <v>35.53</v>
      </c>
      <c r="AJ386" s="117" t="s">
        <v>208</v>
      </c>
      <c r="AK386" s="116">
        <v>16.149999999999999</v>
      </c>
      <c r="AL386" s="117" t="s">
        <v>208</v>
      </c>
      <c r="AM386" s="116">
        <v>242.09454545454548</v>
      </c>
    </row>
    <row r="387" spans="1:39" s="100" customFormat="1" ht="46.8" x14ac:dyDescent="0.3">
      <c r="A387" s="97">
        <v>377</v>
      </c>
      <c r="B387" s="98" t="s">
        <v>1033</v>
      </c>
      <c r="C387" s="98" t="s">
        <v>2708</v>
      </c>
      <c r="D387" s="98" t="s">
        <v>1902</v>
      </c>
      <c r="E387" s="98" t="s">
        <v>2709</v>
      </c>
      <c r="F387" s="98" t="s">
        <v>49</v>
      </c>
      <c r="G387" s="99" t="s">
        <v>2710</v>
      </c>
      <c r="H387" s="99">
        <v>12</v>
      </c>
      <c r="I387" s="99" t="s">
        <v>2710</v>
      </c>
      <c r="J387" s="99">
        <v>2</v>
      </c>
      <c r="K387" s="98" t="s">
        <v>528</v>
      </c>
      <c r="L387" s="98" t="s">
        <v>528</v>
      </c>
      <c r="M387" s="116">
        <v>7485.3085479053725</v>
      </c>
      <c r="N387" s="116">
        <v>12000.247425016463</v>
      </c>
      <c r="O387" s="116">
        <v>1031</v>
      </c>
      <c r="P387" s="117" t="s">
        <v>208</v>
      </c>
      <c r="Q387" s="116">
        <v>961</v>
      </c>
      <c r="R387" s="117" t="s">
        <v>208</v>
      </c>
      <c r="S387" s="116">
        <v>687</v>
      </c>
      <c r="T387" s="117" t="s">
        <v>208</v>
      </c>
      <c r="U387" s="116">
        <v>718</v>
      </c>
      <c r="V387" s="117" t="s">
        <v>208</v>
      </c>
      <c r="W387" s="116">
        <v>626</v>
      </c>
      <c r="X387" s="117" t="s">
        <v>208</v>
      </c>
      <c r="Y387" s="116">
        <v>832.81818181818187</v>
      </c>
      <c r="Z387" s="117" t="s">
        <v>208</v>
      </c>
      <c r="AA387" s="116">
        <v>952</v>
      </c>
      <c r="AB387" s="117" t="s">
        <v>208</v>
      </c>
      <c r="AC387" s="116">
        <v>781</v>
      </c>
      <c r="AD387" s="117" t="s">
        <v>208</v>
      </c>
      <c r="AE387" s="116">
        <v>981</v>
      </c>
      <c r="AF387" s="117" t="s">
        <v>208</v>
      </c>
      <c r="AG387" s="116">
        <v>653</v>
      </c>
      <c r="AH387" s="117" t="s">
        <v>208</v>
      </c>
      <c r="AI387" s="116">
        <v>1020</v>
      </c>
      <c r="AJ387" s="117" t="s">
        <v>208</v>
      </c>
      <c r="AK387" s="116">
        <v>751</v>
      </c>
      <c r="AL387" s="117" t="s">
        <v>208</v>
      </c>
      <c r="AM387" s="116">
        <v>9993.818181818182</v>
      </c>
    </row>
    <row r="388" spans="1:39" s="100" customFormat="1" ht="46.8" x14ac:dyDescent="0.3">
      <c r="A388" s="97">
        <v>378</v>
      </c>
      <c r="B388" s="98" t="s">
        <v>1034</v>
      </c>
      <c r="C388" s="98" t="s">
        <v>2708</v>
      </c>
      <c r="D388" s="98" t="s">
        <v>1902</v>
      </c>
      <c r="E388" s="98" t="s">
        <v>2709</v>
      </c>
      <c r="F388" s="98" t="s">
        <v>49</v>
      </c>
      <c r="G388" s="99" t="s">
        <v>2710</v>
      </c>
      <c r="H388" s="99">
        <v>15</v>
      </c>
      <c r="I388" s="99" t="s">
        <v>2710</v>
      </c>
      <c r="J388" s="99">
        <v>3</v>
      </c>
      <c r="K388" s="98" t="s">
        <v>528</v>
      </c>
      <c r="L388" s="98" t="s">
        <v>528</v>
      </c>
      <c r="M388" s="116">
        <v>5014.6554455220958</v>
      </c>
      <c r="N388" s="116">
        <v>8388.9154726446013</v>
      </c>
      <c r="O388" s="116">
        <v>699</v>
      </c>
      <c r="P388" s="117" t="s">
        <v>208</v>
      </c>
      <c r="Q388" s="116">
        <v>577</v>
      </c>
      <c r="R388" s="117" t="s">
        <v>208</v>
      </c>
      <c r="S388" s="116">
        <v>479</v>
      </c>
      <c r="T388" s="117" t="s">
        <v>208</v>
      </c>
      <c r="U388" s="116">
        <v>498</v>
      </c>
      <c r="V388" s="117" t="s">
        <v>208</v>
      </c>
      <c r="W388" s="116">
        <v>438</v>
      </c>
      <c r="X388" s="117" t="s">
        <v>208</v>
      </c>
      <c r="Y388" s="116">
        <v>561.36363636363637</v>
      </c>
      <c r="Z388" s="117" t="s">
        <v>208</v>
      </c>
      <c r="AA388" s="116">
        <v>922</v>
      </c>
      <c r="AB388" s="117" t="s">
        <v>208</v>
      </c>
      <c r="AC388" s="116">
        <v>486</v>
      </c>
      <c r="AD388" s="117" t="s">
        <v>208</v>
      </c>
      <c r="AE388" s="116">
        <v>586</v>
      </c>
      <c r="AF388" s="117" t="s">
        <v>208</v>
      </c>
      <c r="AG388" s="116">
        <v>348</v>
      </c>
      <c r="AH388" s="117" t="s">
        <v>208</v>
      </c>
      <c r="AI388" s="116">
        <v>662</v>
      </c>
      <c r="AJ388" s="117" t="s">
        <v>208</v>
      </c>
      <c r="AK388" s="116">
        <v>480</v>
      </c>
      <c r="AL388" s="117" t="s">
        <v>208</v>
      </c>
      <c r="AM388" s="116">
        <v>6736.363636363636</v>
      </c>
    </row>
    <row r="389" spans="1:39" s="100" customFormat="1" ht="46.8" x14ac:dyDescent="0.3">
      <c r="A389" s="97">
        <v>379</v>
      </c>
      <c r="B389" s="98" t="s">
        <v>1035</v>
      </c>
      <c r="C389" s="98" t="s">
        <v>2708</v>
      </c>
      <c r="D389" s="98" t="s">
        <v>1902</v>
      </c>
      <c r="E389" s="98" t="s">
        <v>2709</v>
      </c>
      <c r="F389" s="98" t="s">
        <v>49</v>
      </c>
      <c r="G389" s="99" t="s">
        <v>2710</v>
      </c>
      <c r="H389" s="99">
        <v>4</v>
      </c>
      <c r="I389" s="99" t="s">
        <v>2710</v>
      </c>
      <c r="J389" s="99">
        <v>1</v>
      </c>
      <c r="K389" s="98" t="s">
        <v>528</v>
      </c>
      <c r="L389" s="98" t="s">
        <v>528</v>
      </c>
      <c r="M389" s="116">
        <v>1037.2658758146003</v>
      </c>
      <c r="N389" s="116">
        <v>1810.1270223446338</v>
      </c>
      <c r="O389" s="116">
        <v>243</v>
      </c>
      <c r="P389" s="117" t="s">
        <v>208</v>
      </c>
      <c r="Q389" s="116">
        <v>221</v>
      </c>
      <c r="R389" s="117" t="s">
        <v>208</v>
      </c>
      <c r="S389" s="116">
        <v>159</v>
      </c>
      <c r="T389" s="117" t="s">
        <v>208</v>
      </c>
      <c r="U389" s="116">
        <v>216</v>
      </c>
      <c r="V389" s="117" t="s">
        <v>208</v>
      </c>
      <c r="W389" s="116">
        <v>153</v>
      </c>
      <c r="X389" s="117" t="s">
        <v>208</v>
      </c>
      <c r="Y389" s="116">
        <v>128</v>
      </c>
      <c r="Z389" s="117" t="s">
        <v>208</v>
      </c>
      <c r="AA389" s="116">
        <v>54</v>
      </c>
      <c r="AB389" s="117" t="s">
        <v>208</v>
      </c>
      <c r="AC389" s="116">
        <v>21</v>
      </c>
      <c r="AD389" s="117" t="s">
        <v>208</v>
      </c>
      <c r="AE389" s="116">
        <v>71</v>
      </c>
      <c r="AF389" s="117" t="s">
        <v>208</v>
      </c>
      <c r="AG389" s="116">
        <v>39</v>
      </c>
      <c r="AH389" s="117" t="s">
        <v>208</v>
      </c>
      <c r="AI389" s="116">
        <v>117</v>
      </c>
      <c r="AJ389" s="117" t="s">
        <v>208</v>
      </c>
      <c r="AK389" s="116">
        <v>114</v>
      </c>
      <c r="AL389" s="117" t="s">
        <v>208</v>
      </c>
      <c r="AM389" s="116">
        <v>1536</v>
      </c>
    </row>
    <row r="390" spans="1:39" s="100" customFormat="1" ht="46.8" x14ac:dyDescent="0.3">
      <c r="A390" s="97">
        <v>380</v>
      </c>
      <c r="B390" s="98" t="s">
        <v>1037</v>
      </c>
      <c r="C390" s="98" t="s">
        <v>2708</v>
      </c>
      <c r="D390" s="98" t="s">
        <v>1902</v>
      </c>
      <c r="E390" s="98" t="s">
        <v>2709</v>
      </c>
      <c r="F390" s="98" t="s">
        <v>49</v>
      </c>
      <c r="G390" s="99" t="s">
        <v>2710</v>
      </c>
      <c r="H390" s="99">
        <v>10</v>
      </c>
      <c r="I390" s="99" t="s">
        <v>2710</v>
      </c>
      <c r="J390" s="99">
        <v>2</v>
      </c>
      <c r="K390" s="98" t="s">
        <v>528</v>
      </c>
      <c r="L390" s="98" t="s">
        <v>528</v>
      </c>
      <c r="M390" s="116">
        <v>1814.0137581487209</v>
      </c>
      <c r="N390" s="116">
        <v>3033.9107447577267</v>
      </c>
      <c r="O390" s="116">
        <v>223.5</v>
      </c>
      <c r="P390" s="117" t="s">
        <v>208</v>
      </c>
      <c r="Q390" s="116">
        <v>292.5</v>
      </c>
      <c r="R390" s="117" t="s">
        <v>208</v>
      </c>
      <c r="S390" s="116">
        <v>243.5</v>
      </c>
      <c r="T390" s="117" t="s">
        <v>208</v>
      </c>
      <c r="U390" s="116">
        <v>246.5</v>
      </c>
      <c r="V390" s="117" t="s">
        <v>208</v>
      </c>
      <c r="W390" s="116">
        <v>407</v>
      </c>
      <c r="X390" s="117" t="s">
        <v>208</v>
      </c>
      <c r="Y390" s="116">
        <v>210.31818181818181</v>
      </c>
      <c r="Z390" s="117" t="s">
        <v>208</v>
      </c>
      <c r="AA390" s="116">
        <v>133</v>
      </c>
      <c r="AB390" s="117" t="s">
        <v>208</v>
      </c>
      <c r="AC390" s="116">
        <v>95.5</v>
      </c>
      <c r="AD390" s="117" t="s">
        <v>208</v>
      </c>
      <c r="AE390" s="116">
        <v>83</v>
      </c>
      <c r="AF390" s="117" t="s">
        <v>208</v>
      </c>
      <c r="AG390" s="116">
        <v>132.5</v>
      </c>
      <c r="AH390" s="117" t="s">
        <v>208</v>
      </c>
      <c r="AI390" s="116">
        <v>212.5</v>
      </c>
      <c r="AJ390" s="117" t="s">
        <v>208</v>
      </c>
      <c r="AK390" s="116">
        <v>244</v>
      </c>
      <c r="AL390" s="117" t="s">
        <v>208</v>
      </c>
      <c r="AM390" s="116">
        <v>2523.818181818182</v>
      </c>
    </row>
    <row r="391" spans="1:39" s="100" customFormat="1" ht="46.8" x14ac:dyDescent="0.3">
      <c r="A391" s="97">
        <v>381</v>
      </c>
      <c r="B391" s="98" t="s">
        <v>1038</v>
      </c>
      <c r="C391" s="98" t="s">
        <v>2708</v>
      </c>
      <c r="D391" s="98" t="s">
        <v>1902</v>
      </c>
      <c r="E391" s="98" t="s">
        <v>2709</v>
      </c>
      <c r="F391" s="98" t="s">
        <v>49</v>
      </c>
      <c r="G391" s="99" t="s">
        <v>2710</v>
      </c>
      <c r="H391" s="99">
        <v>6</v>
      </c>
      <c r="I391" s="99" t="s">
        <v>2710</v>
      </c>
      <c r="J391" s="99">
        <v>1</v>
      </c>
      <c r="K391" s="98" t="s">
        <v>528</v>
      </c>
      <c r="L391" s="98" t="s">
        <v>528</v>
      </c>
      <c r="M391" s="116">
        <v>1958.3569334416577</v>
      </c>
      <c r="N391" s="116">
        <v>3674.5104616511285</v>
      </c>
      <c r="O391" s="116">
        <v>308</v>
      </c>
      <c r="P391" s="117" t="s">
        <v>208</v>
      </c>
      <c r="Q391" s="116">
        <v>276</v>
      </c>
      <c r="R391" s="117" t="s">
        <v>208</v>
      </c>
      <c r="S391" s="116">
        <v>228</v>
      </c>
      <c r="T391" s="117" t="s">
        <v>208</v>
      </c>
      <c r="U391" s="116">
        <v>215</v>
      </c>
      <c r="V391" s="117" t="s">
        <v>208</v>
      </c>
      <c r="W391" s="116">
        <v>214</v>
      </c>
      <c r="X391" s="117" t="s">
        <v>208</v>
      </c>
      <c r="Y391" s="116">
        <v>250</v>
      </c>
      <c r="Z391" s="117" t="s">
        <v>208</v>
      </c>
      <c r="AA391" s="116">
        <v>348</v>
      </c>
      <c r="AB391" s="117" t="s">
        <v>208</v>
      </c>
      <c r="AC391" s="116">
        <v>171</v>
      </c>
      <c r="AD391" s="117" t="s">
        <v>208</v>
      </c>
      <c r="AE391" s="116">
        <v>271</v>
      </c>
      <c r="AF391" s="117" t="s">
        <v>208</v>
      </c>
      <c r="AG391" s="116">
        <v>289</v>
      </c>
      <c r="AH391" s="117" t="s">
        <v>208</v>
      </c>
      <c r="AI391" s="116">
        <v>249</v>
      </c>
      <c r="AJ391" s="117" t="s">
        <v>208</v>
      </c>
      <c r="AK391" s="116">
        <v>181</v>
      </c>
      <c r="AL391" s="117" t="s">
        <v>208</v>
      </c>
      <c r="AM391" s="116">
        <v>3000</v>
      </c>
    </row>
    <row r="392" spans="1:39" s="100" customFormat="1" ht="46.8" x14ac:dyDescent="0.3">
      <c r="A392" s="97">
        <v>382</v>
      </c>
      <c r="B392" s="98" t="s">
        <v>1039</v>
      </c>
      <c r="C392" s="98" t="s">
        <v>2708</v>
      </c>
      <c r="D392" s="98" t="s">
        <v>1902</v>
      </c>
      <c r="E392" s="98" t="s">
        <v>2709</v>
      </c>
      <c r="F392" s="98" t="s">
        <v>49</v>
      </c>
      <c r="G392" s="99" t="s">
        <v>2710</v>
      </c>
      <c r="H392" s="99">
        <v>4</v>
      </c>
      <c r="I392" s="99" t="s">
        <v>2710</v>
      </c>
      <c r="J392" s="99">
        <v>1</v>
      </c>
      <c r="K392" s="98" t="s">
        <v>528</v>
      </c>
      <c r="L392" s="98" t="s">
        <v>528</v>
      </c>
      <c r="M392" s="116">
        <v>898.75743470812063</v>
      </c>
      <c r="N392" s="116">
        <v>1571.8982235093988</v>
      </c>
      <c r="O392" s="116">
        <v>156.20000000000002</v>
      </c>
      <c r="P392" s="117" t="s">
        <v>208</v>
      </c>
      <c r="Q392" s="116">
        <v>118.7</v>
      </c>
      <c r="R392" s="117" t="s">
        <v>208</v>
      </c>
      <c r="S392" s="116">
        <v>90</v>
      </c>
      <c r="T392" s="117" t="s">
        <v>208</v>
      </c>
      <c r="U392" s="116">
        <v>98.4</v>
      </c>
      <c r="V392" s="117" t="s">
        <v>208</v>
      </c>
      <c r="W392" s="116">
        <v>89.9</v>
      </c>
      <c r="X392" s="117" t="s">
        <v>208</v>
      </c>
      <c r="Y392" s="116">
        <v>109.66363636363636</v>
      </c>
      <c r="Z392" s="117" t="s">
        <v>208</v>
      </c>
      <c r="AA392" s="116">
        <v>82.5</v>
      </c>
      <c r="AB392" s="117" t="s">
        <v>208</v>
      </c>
      <c r="AC392" s="116">
        <v>105.9</v>
      </c>
      <c r="AD392" s="117" t="s">
        <v>208</v>
      </c>
      <c r="AE392" s="116">
        <v>110.9</v>
      </c>
      <c r="AF392" s="117" t="s">
        <v>208</v>
      </c>
      <c r="AG392" s="116">
        <v>129</v>
      </c>
      <c r="AH392" s="117" t="s">
        <v>208</v>
      </c>
      <c r="AI392" s="116">
        <v>121.7</v>
      </c>
      <c r="AJ392" s="117" t="s">
        <v>208</v>
      </c>
      <c r="AK392" s="116">
        <v>103.10000000000001</v>
      </c>
      <c r="AL392" s="117" t="s">
        <v>208</v>
      </c>
      <c r="AM392" s="116">
        <v>1315.9636363636362</v>
      </c>
    </row>
    <row r="393" spans="1:39" s="100" customFormat="1" ht="46.8" x14ac:dyDescent="0.3">
      <c r="A393" s="97">
        <v>383</v>
      </c>
      <c r="B393" s="98" t="s">
        <v>1040</v>
      </c>
      <c r="C393" s="98" t="s">
        <v>2708</v>
      </c>
      <c r="D393" s="98" t="s">
        <v>1902</v>
      </c>
      <c r="E393" s="98" t="s">
        <v>2709</v>
      </c>
      <c r="F393" s="98" t="s">
        <v>49</v>
      </c>
      <c r="G393" s="99" t="s">
        <v>2710</v>
      </c>
      <c r="H393" s="99">
        <v>4</v>
      </c>
      <c r="I393" s="99" t="s">
        <v>2710</v>
      </c>
      <c r="J393" s="99">
        <v>1</v>
      </c>
      <c r="K393" s="98" t="s">
        <v>528</v>
      </c>
      <c r="L393" s="98" t="s">
        <v>528</v>
      </c>
      <c r="M393" s="116">
        <v>753.24631905819876</v>
      </c>
      <c r="N393" s="116">
        <v>1255.9292808573678</v>
      </c>
      <c r="O393" s="116">
        <v>108.14999999999999</v>
      </c>
      <c r="P393" s="117" t="s">
        <v>208</v>
      </c>
      <c r="Q393" s="116">
        <v>152.69999999999999</v>
      </c>
      <c r="R393" s="117" t="s">
        <v>208</v>
      </c>
      <c r="S393" s="116">
        <v>106.5</v>
      </c>
      <c r="T393" s="117" t="s">
        <v>208</v>
      </c>
      <c r="U393" s="116">
        <v>117</v>
      </c>
      <c r="V393" s="117" t="s">
        <v>208</v>
      </c>
      <c r="W393" s="116">
        <v>112.95</v>
      </c>
      <c r="X393" s="117" t="s">
        <v>208</v>
      </c>
      <c r="Y393" s="116">
        <v>89.11363636363636</v>
      </c>
      <c r="Z393" s="117" t="s">
        <v>208</v>
      </c>
      <c r="AA393" s="116">
        <v>59.55</v>
      </c>
      <c r="AB393" s="117" t="s">
        <v>208</v>
      </c>
      <c r="AC393" s="116">
        <v>60.75</v>
      </c>
      <c r="AD393" s="117" t="s">
        <v>208</v>
      </c>
      <c r="AE393" s="116">
        <v>68.25</v>
      </c>
      <c r="AF393" s="117" t="s">
        <v>208</v>
      </c>
      <c r="AG393" s="116">
        <v>31.049999999999997</v>
      </c>
      <c r="AH393" s="117" t="s">
        <v>208</v>
      </c>
      <c r="AI393" s="116">
        <v>94.2</v>
      </c>
      <c r="AJ393" s="117" t="s">
        <v>208</v>
      </c>
      <c r="AK393" s="116">
        <v>69.149999999999991</v>
      </c>
      <c r="AL393" s="117" t="s">
        <v>208</v>
      </c>
      <c r="AM393" s="116">
        <v>1069.3636363636363</v>
      </c>
    </row>
    <row r="394" spans="1:39" s="100" customFormat="1" ht="46.8" x14ac:dyDescent="0.3">
      <c r="A394" s="97">
        <v>384</v>
      </c>
      <c r="B394" s="98" t="s">
        <v>1041</v>
      </c>
      <c r="C394" s="98" t="s">
        <v>2708</v>
      </c>
      <c r="D394" s="98" t="s">
        <v>1902</v>
      </c>
      <c r="E394" s="98" t="s">
        <v>2709</v>
      </c>
      <c r="F394" s="98" t="s">
        <v>49</v>
      </c>
      <c r="G394" s="99" t="s">
        <v>2710</v>
      </c>
      <c r="H394" s="99">
        <v>8</v>
      </c>
      <c r="I394" s="99" t="s">
        <v>2710</v>
      </c>
      <c r="J394" s="99">
        <v>2</v>
      </c>
      <c r="K394" s="98" t="s">
        <v>528</v>
      </c>
      <c r="L394" s="98" t="s">
        <v>528</v>
      </c>
      <c r="M394" s="116">
        <v>909.2836126986308</v>
      </c>
      <c r="N394" s="116">
        <v>1548.9537301458649</v>
      </c>
      <c r="O394" s="116">
        <v>140.4</v>
      </c>
      <c r="P394" s="117" t="s">
        <v>208</v>
      </c>
      <c r="Q394" s="116">
        <v>138.32</v>
      </c>
      <c r="R394" s="117" t="s">
        <v>208</v>
      </c>
      <c r="S394" s="116">
        <v>116.48</v>
      </c>
      <c r="T394" s="117" t="s">
        <v>208</v>
      </c>
      <c r="U394" s="116">
        <v>113.36000000000001</v>
      </c>
      <c r="V394" s="117" t="s">
        <v>208</v>
      </c>
      <c r="W394" s="116">
        <v>83.72</v>
      </c>
      <c r="X394" s="117" t="s">
        <v>208</v>
      </c>
      <c r="Y394" s="116">
        <v>109.2</v>
      </c>
      <c r="Z394" s="117" t="s">
        <v>208</v>
      </c>
      <c r="AA394" s="116">
        <v>111.8</v>
      </c>
      <c r="AB394" s="117" t="s">
        <v>208</v>
      </c>
      <c r="AC394" s="116">
        <v>64.48</v>
      </c>
      <c r="AD394" s="117" t="s">
        <v>208</v>
      </c>
      <c r="AE394" s="116">
        <v>116.48</v>
      </c>
      <c r="AF394" s="117" t="s">
        <v>208</v>
      </c>
      <c r="AG394" s="116">
        <v>84.240000000000009</v>
      </c>
      <c r="AH394" s="117" t="s">
        <v>208</v>
      </c>
      <c r="AI394" s="116">
        <v>136.76</v>
      </c>
      <c r="AJ394" s="117" t="s">
        <v>208</v>
      </c>
      <c r="AK394" s="116">
        <v>95.16</v>
      </c>
      <c r="AL394" s="117" t="s">
        <v>208</v>
      </c>
      <c r="AM394" s="116">
        <v>1310.4000000000001</v>
      </c>
    </row>
    <row r="395" spans="1:39" s="100" customFormat="1" ht="46.8" x14ac:dyDescent="0.3">
      <c r="A395" s="97">
        <v>385</v>
      </c>
      <c r="B395" s="98" t="s">
        <v>1043</v>
      </c>
      <c r="C395" s="98" t="s">
        <v>2708</v>
      </c>
      <c r="D395" s="98" t="s">
        <v>1902</v>
      </c>
      <c r="E395" s="98" t="s">
        <v>2709</v>
      </c>
      <c r="F395" s="98" t="s">
        <v>49</v>
      </c>
      <c r="G395" s="99" t="s">
        <v>2710</v>
      </c>
      <c r="H395" s="99">
        <v>18</v>
      </c>
      <c r="I395" s="99" t="s">
        <v>2710</v>
      </c>
      <c r="J395" s="99">
        <v>6</v>
      </c>
      <c r="K395" s="98" t="s">
        <v>528</v>
      </c>
      <c r="L395" s="98" t="s">
        <v>528</v>
      </c>
      <c r="M395" s="116">
        <v>2614.9669925450685</v>
      </c>
      <c r="N395" s="116">
        <v>4329.5734147256753</v>
      </c>
      <c r="O395" s="116">
        <v>353.29</v>
      </c>
      <c r="P395" s="117" t="s">
        <v>208</v>
      </c>
      <c r="Q395" s="116">
        <v>498.82</v>
      </c>
      <c r="R395" s="117" t="s">
        <v>208</v>
      </c>
      <c r="S395" s="116">
        <v>347.9</v>
      </c>
      <c r="T395" s="117" t="s">
        <v>208</v>
      </c>
      <c r="U395" s="116">
        <v>382.2</v>
      </c>
      <c r="V395" s="117" t="s">
        <v>208</v>
      </c>
      <c r="W395" s="116">
        <v>368.96999999999997</v>
      </c>
      <c r="X395" s="117" t="s">
        <v>208</v>
      </c>
      <c r="Y395" s="116">
        <v>291.10454545454536</v>
      </c>
      <c r="Z395" s="117" t="s">
        <v>208</v>
      </c>
      <c r="AA395" s="116">
        <v>194.53</v>
      </c>
      <c r="AB395" s="117" t="s">
        <v>208</v>
      </c>
      <c r="AC395" s="116">
        <v>198.45</v>
      </c>
      <c r="AD395" s="117" t="s">
        <v>208</v>
      </c>
      <c r="AE395" s="116">
        <v>222.95</v>
      </c>
      <c r="AF395" s="117" t="s">
        <v>208</v>
      </c>
      <c r="AG395" s="116">
        <v>101.42999999999999</v>
      </c>
      <c r="AH395" s="117" t="s">
        <v>208</v>
      </c>
      <c r="AI395" s="116">
        <v>307.71999999999997</v>
      </c>
      <c r="AJ395" s="117" t="s">
        <v>208</v>
      </c>
      <c r="AK395" s="116">
        <v>225.89</v>
      </c>
      <c r="AL395" s="117" t="s">
        <v>208</v>
      </c>
      <c r="AM395" s="116">
        <v>3493.2545454545448</v>
      </c>
    </row>
    <row r="396" spans="1:39" s="100" customFormat="1" ht="46.8" x14ac:dyDescent="0.3">
      <c r="A396" s="97">
        <v>386</v>
      </c>
      <c r="B396" s="98" t="s">
        <v>1044</v>
      </c>
      <c r="C396" s="98" t="s">
        <v>2708</v>
      </c>
      <c r="D396" s="98" t="s">
        <v>1902</v>
      </c>
      <c r="E396" s="98" t="s">
        <v>2709</v>
      </c>
      <c r="F396" s="98" t="s">
        <v>49</v>
      </c>
      <c r="G396" s="99" t="s">
        <v>2710</v>
      </c>
      <c r="H396" s="99">
        <v>4</v>
      </c>
      <c r="I396" s="99" t="s">
        <v>2710</v>
      </c>
      <c r="J396" s="99">
        <v>1</v>
      </c>
      <c r="K396" s="98" t="s">
        <v>528</v>
      </c>
      <c r="L396" s="98" t="s">
        <v>528</v>
      </c>
      <c r="M396" s="116">
        <v>811.41011190250845</v>
      </c>
      <c r="N396" s="116">
        <v>1408.279526210177</v>
      </c>
      <c r="O396" s="116">
        <v>129.6</v>
      </c>
      <c r="P396" s="117" t="s">
        <v>208</v>
      </c>
      <c r="Q396" s="116">
        <v>127.68</v>
      </c>
      <c r="R396" s="117" t="s">
        <v>208</v>
      </c>
      <c r="S396" s="116">
        <v>107.52</v>
      </c>
      <c r="T396" s="117" t="s">
        <v>208</v>
      </c>
      <c r="U396" s="116">
        <v>104.63999999999999</v>
      </c>
      <c r="V396" s="117" t="s">
        <v>208</v>
      </c>
      <c r="W396" s="116">
        <v>77.28</v>
      </c>
      <c r="X396" s="117" t="s">
        <v>208</v>
      </c>
      <c r="Y396" s="116">
        <v>100.79999999999997</v>
      </c>
      <c r="Z396" s="117" t="s">
        <v>208</v>
      </c>
      <c r="AA396" s="116">
        <v>103.19999999999999</v>
      </c>
      <c r="AB396" s="117" t="s">
        <v>208</v>
      </c>
      <c r="AC396" s="116">
        <v>59.519999999999996</v>
      </c>
      <c r="AD396" s="117" t="s">
        <v>208</v>
      </c>
      <c r="AE396" s="116">
        <v>107.52</v>
      </c>
      <c r="AF396" s="117" t="s">
        <v>208</v>
      </c>
      <c r="AG396" s="116">
        <v>77.759999999999991</v>
      </c>
      <c r="AH396" s="117" t="s">
        <v>208</v>
      </c>
      <c r="AI396" s="116">
        <v>126.24</v>
      </c>
      <c r="AJ396" s="117" t="s">
        <v>208</v>
      </c>
      <c r="AK396" s="116">
        <v>87.84</v>
      </c>
      <c r="AL396" s="117" t="s">
        <v>208</v>
      </c>
      <c r="AM396" s="116">
        <v>1209.5999999999997</v>
      </c>
    </row>
    <row r="397" spans="1:39" s="100" customFormat="1" ht="46.8" x14ac:dyDescent="0.3">
      <c r="A397" s="97">
        <v>387</v>
      </c>
      <c r="B397" s="98" t="s">
        <v>1045</v>
      </c>
      <c r="C397" s="98" t="s">
        <v>2708</v>
      </c>
      <c r="D397" s="98" t="s">
        <v>1902</v>
      </c>
      <c r="E397" s="98" t="s">
        <v>2709</v>
      </c>
      <c r="F397" s="98" t="s">
        <v>49</v>
      </c>
      <c r="G397" s="99" t="s">
        <v>2710</v>
      </c>
      <c r="H397" s="99">
        <v>4</v>
      </c>
      <c r="I397" s="99" t="s">
        <v>2710</v>
      </c>
      <c r="J397" s="99">
        <v>1</v>
      </c>
      <c r="K397" s="98" t="s">
        <v>528</v>
      </c>
      <c r="L397" s="98" t="s">
        <v>528</v>
      </c>
      <c r="M397" s="116">
        <v>1812.6884530377913</v>
      </c>
      <c r="N397" s="116">
        <v>3273.7653396832088</v>
      </c>
      <c r="O397" s="116">
        <v>297</v>
      </c>
      <c r="P397" s="117" t="s">
        <v>208</v>
      </c>
      <c r="Q397" s="116">
        <v>244.35</v>
      </c>
      <c r="R397" s="117" t="s">
        <v>208</v>
      </c>
      <c r="S397" s="116">
        <v>231.3</v>
      </c>
      <c r="T397" s="117" t="s">
        <v>208</v>
      </c>
      <c r="U397" s="116">
        <v>267.3</v>
      </c>
      <c r="V397" s="117" t="s">
        <v>208</v>
      </c>
      <c r="W397" s="116">
        <v>243.45</v>
      </c>
      <c r="X397" s="117" t="s">
        <v>208</v>
      </c>
      <c r="Y397" s="116">
        <v>219.96818181818188</v>
      </c>
      <c r="Z397" s="117" t="s">
        <v>208</v>
      </c>
      <c r="AA397" s="116">
        <v>206.55</v>
      </c>
      <c r="AB397" s="117" t="s">
        <v>208</v>
      </c>
      <c r="AC397" s="116">
        <v>226.35000000000002</v>
      </c>
      <c r="AD397" s="117" t="s">
        <v>208</v>
      </c>
      <c r="AE397" s="116">
        <v>321.75</v>
      </c>
      <c r="AF397" s="117" t="s">
        <v>208</v>
      </c>
      <c r="AG397" s="116">
        <v>124.65</v>
      </c>
      <c r="AH397" s="117" t="s">
        <v>208</v>
      </c>
      <c r="AI397" s="116">
        <v>136.80000000000001</v>
      </c>
      <c r="AJ397" s="117" t="s">
        <v>208</v>
      </c>
      <c r="AK397" s="116">
        <v>120.15</v>
      </c>
      <c r="AL397" s="117" t="s">
        <v>208</v>
      </c>
      <c r="AM397" s="116">
        <v>2639.6181818181822</v>
      </c>
    </row>
    <row r="398" spans="1:39" s="100" customFormat="1" ht="46.8" x14ac:dyDescent="0.3">
      <c r="A398" s="97">
        <v>388</v>
      </c>
      <c r="B398" s="98" t="s">
        <v>1046</v>
      </c>
      <c r="C398" s="98" t="s">
        <v>2708</v>
      </c>
      <c r="D398" s="98" t="s">
        <v>1902</v>
      </c>
      <c r="E398" s="98" t="s">
        <v>2709</v>
      </c>
      <c r="F398" s="98" t="s">
        <v>49</v>
      </c>
      <c r="G398" s="99" t="s">
        <v>2710</v>
      </c>
      <c r="H398" s="99">
        <v>4</v>
      </c>
      <c r="I398" s="99" t="s">
        <v>2710</v>
      </c>
      <c r="J398" s="99">
        <v>1</v>
      </c>
      <c r="K398" s="98" t="s">
        <v>528</v>
      </c>
      <c r="L398" s="98" t="s">
        <v>528</v>
      </c>
      <c r="M398" s="116">
        <v>873.29734712638947</v>
      </c>
      <c r="N398" s="116">
        <v>1527.436372306918</v>
      </c>
      <c r="O398" s="116">
        <v>188.72000000000003</v>
      </c>
      <c r="P398" s="117" t="s">
        <v>208</v>
      </c>
      <c r="Q398" s="116">
        <v>136.08000000000001</v>
      </c>
      <c r="R398" s="117" t="s">
        <v>208</v>
      </c>
      <c r="S398" s="116">
        <v>89.04000000000002</v>
      </c>
      <c r="T398" s="117" t="s">
        <v>208</v>
      </c>
      <c r="U398" s="116">
        <v>81.2</v>
      </c>
      <c r="V398" s="117" t="s">
        <v>208</v>
      </c>
      <c r="W398" s="116">
        <v>71.12</v>
      </c>
      <c r="X398" s="117" t="s">
        <v>208</v>
      </c>
      <c r="Y398" s="116">
        <v>105.68727272727274</v>
      </c>
      <c r="Z398" s="117" t="s">
        <v>208</v>
      </c>
      <c r="AA398" s="116">
        <v>24.360000000000003</v>
      </c>
      <c r="AB398" s="117" t="s">
        <v>208</v>
      </c>
      <c r="AC398" s="116">
        <v>117.32000000000002</v>
      </c>
      <c r="AD398" s="117" t="s">
        <v>208</v>
      </c>
      <c r="AE398" s="116">
        <v>145.32000000000002</v>
      </c>
      <c r="AF398" s="117" t="s">
        <v>208</v>
      </c>
      <c r="AG398" s="116">
        <v>47.320000000000007</v>
      </c>
      <c r="AH398" s="117" t="s">
        <v>208</v>
      </c>
      <c r="AI398" s="116">
        <v>154</v>
      </c>
      <c r="AJ398" s="117" t="s">
        <v>208</v>
      </c>
      <c r="AK398" s="116">
        <v>108.08000000000001</v>
      </c>
      <c r="AL398" s="117" t="s">
        <v>208</v>
      </c>
      <c r="AM398" s="116">
        <v>1268.247272727273</v>
      </c>
    </row>
    <row r="399" spans="1:39" s="100" customFormat="1" ht="46.8" x14ac:dyDescent="0.3">
      <c r="A399" s="97">
        <v>389</v>
      </c>
      <c r="B399" s="98" t="s">
        <v>1047</v>
      </c>
      <c r="C399" s="98" t="s">
        <v>2708</v>
      </c>
      <c r="D399" s="98" t="s">
        <v>1902</v>
      </c>
      <c r="E399" s="98" t="s">
        <v>2709</v>
      </c>
      <c r="F399" s="98" t="s">
        <v>49</v>
      </c>
      <c r="G399" s="99" t="s">
        <v>2710</v>
      </c>
      <c r="H399" s="99">
        <v>5</v>
      </c>
      <c r="I399" s="99" t="s">
        <v>2710</v>
      </c>
      <c r="J399" s="99">
        <v>1</v>
      </c>
      <c r="K399" s="98" t="s">
        <v>528</v>
      </c>
      <c r="L399" s="98" t="s">
        <v>528</v>
      </c>
      <c r="M399" s="116">
        <v>1310.1100773721023</v>
      </c>
      <c r="N399" s="116">
        <v>2205.07529679049</v>
      </c>
      <c r="O399" s="116">
        <v>262.86</v>
      </c>
      <c r="P399" s="117" t="s">
        <v>208</v>
      </c>
      <c r="Q399" s="116">
        <v>189.54000000000002</v>
      </c>
      <c r="R399" s="117" t="s">
        <v>208</v>
      </c>
      <c r="S399" s="116">
        <v>124.02000000000001</v>
      </c>
      <c r="T399" s="117" t="s">
        <v>208</v>
      </c>
      <c r="U399" s="116">
        <v>113.1</v>
      </c>
      <c r="V399" s="117" t="s">
        <v>208</v>
      </c>
      <c r="W399" s="116">
        <v>99.06</v>
      </c>
      <c r="X399" s="117" t="s">
        <v>208</v>
      </c>
      <c r="Y399" s="116">
        <v>147.20727272727277</v>
      </c>
      <c r="Z399" s="117" t="s">
        <v>208</v>
      </c>
      <c r="AA399" s="116">
        <v>33.930000000000007</v>
      </c>
      <c r="AB399" s="117" t="s">
        <v>208</v>
      </c>
      <c r="AC399" s="116">
        <v>163.41000000000003</v>
      </c>
      <c r="AD399" s="117" t="s">
        <v>208</v>
      </c>
      <c r="AE399" s="116">
        <v>202.41000000000003</v>
      </c>
      <c r="AF399" s="117" t="s">
        <v>208</v>
      </c>
      <c r="AG399" s="116">
        <v>65.91</v>
      </c>
      <c r="AH399" s="117" t="s">
        <v>208</v>
      </c>
      <c r="AI399" s="116">
        <v>214.5</v>
      </c>
      <c r="AJ399" s="117" t="s">
        <v>208</v>
      </c>
      <c r="AK399" s="116">
        <v>150.54</v>
      </c>
      <c r="AL399" s="117" t="s">
        <v>208</v>
      </c>
      <c r="AM399" s="116">
        <v>1766.4872727272732</v>
      </c>
    </row>
    <row r="400" spans="1:39" s="100" customFormat="1" ht="46.8" x14ac:dyDescent="0.3">
      <c r="A400" s="97">
        <v>390</v>
      </c>
      <c r="B400" s="98" t="s">
        <v>1048</v>
      </c>
      <c r="C400" s="98" t="s">
        <v>2708</v>
      </c>
      <c r="D400" s="98" t="s">
        <v>1902</v>
      </c>
      <c r="E400" s="98" t="s">
        <v>2709</v>
      </c>
      <c r="F400" s="98" t="s">
        <v>49</v>
      </c>
      <c r="G400" s="99" t="s">
        <v>2710</v>
      </c>
      <c r="H400" s="99">
        <v>15</v>
      </c>
      <c r="I400" s="99" t="s">
        <v>2710</v>
      </c>
      <c r="J400" s="99">
        <v>3</v>
      </c>
      <c r="K400" s="98" t="s">
        <v>528</v>
      </c>
      <c r="L400" s="98" t="s">
        <v>528</v>
      </c>
      <c r="M400" s="116">
        <v>5532.3241391951196</v>
      </c>
      <c r="N400" s="116">
        <v>9699.8690499048025</v>
      </c>
      <c r="O400" s="116">
        <v>967</v>
      </c>
      <c r="P400" s="117" t="s">
        <v>208</v>
      </c>
      <c r="Q400" s="116">
        <v>842</v>
      </c>
      <c r="R400" s="117" t="s">
        <v>208</v>
      </c>
      <c r="S400" s="116">
        <v>569</v>
      </c>
      <c r="T400" s="117" t="s">
        <v>208</v>
      </c>
      <c r="U400" s="116">
        <v>535</v>
      </c>
      <c r="V400" s="117" t="s">
        <v>208</v>
      </c>
      <c r="W400" s="116">
        <v>617</v>
      </c>
      <c r="X400" s="117" t="s">
        <v>208</v>
      </c>
      <c r="Y400" s="116">
        <v>681.5454545454545</v>
      </c>
      <c r="Z400" s="117" t="s">
        <v>208</v>
      </c>
      <c r="AA400" s="116">
        <v>750</v>
      </c>
      <c r="AB400" s="117" t="s">
        <v>208</v>
      </c>
      <c r="AC400" s="116">
        <v>765</v>
      </c>
      <c r="AD400" s="117" t="s">
        <v>208</v>
      </c>
      <c r="AE400" s="116">
        <v>865</v>
      </c>
      <c r="AF400" s="117" t="s">
        <v>208</v>
      </c>
      <c r="AG400" s="116">
        <v>244</v>
      </c>
      <c r="AH400" s="117" t="s">
        <v>208</v>
      </c>
      <c r="AI400" s="116">
        <v>826</v>
      </c>
      <c r="AJ400" s="117" t="s">
        <v>208</v>
      </c>
      <c r="AK400" s="116">
        <v>517</v>
      </c>
      <c r="AL400" s="117" t="s">
        <v>208</v>
      </c>
      <c r="AM400" s="116">
        <v>8178.545454545454</v>
      </c>
    </row>
    <row r="401" spans="1:39" s="100" customFormat="1" ht="46.8" x14ac:dyDescent="0.3">
      <c r="A401" s="97">
        <v>391</v>
      </c>
      <c r="B401" s="98" t="s">
        <v>1050</v>
      </c>
      <c r="C401" s="98" t="s">
        <v>2708</v>
      </c>
      <c r="D401" s="98" t="s">
        <v>1902</v>
      </c>
      <c r="E401" s="98" t="s">
        <v>2709</v>
      </c>
      <c r="F401" s="98" t="s">
        <v>49</v>
      </c>
      <c r="G401" s="99" t="s">
        <v>2710</v>
      </c>
      <c r="H401" s="99">
        <v>5</v>
      </c>
      <c r="I401" s="99" t="s">
        <v>2710</v>
      </c>
      <c r="J401" s="99">
        <v>1</v>
      </c>
      <c r="K401" s="98" t="s">
        <v>528</v>
      </c>
      <c r="L401" s="98" t="s">
        <v>528</v>
      </c>
      <c r="M401" s="116">
        <v>1019.5405326078331</v>
      </c>
      <c r="N401" s="116">
        <v>1948.2973234205563</v>
      </c>
      <c r="O401" s="116">
        <v>163.07999999999998</v>
      </c>
      <c r="P401" s="117" t="s">
        <v>208</v>
      </c>
      <c r="Q401" s="116">
        <v>163.44</v>
      </c>
      <c r="R401" s="117" t="s">
        <v>208</v>
      </c>
      <c r="S401" s="116">
        <v>130.32</v>
      </c>
      <c r="T401" s="117" t="s">
        <v>208</v>
      </c>
      <c r="U401" s="116">
        <v>133.56</v>
      </c>
      <c r="V401" s="117" t="s">
        <v>208</v>
      </c>
      <c r="W401" s="116">
        <v>126.72</v>
      </c>
      <c r="X401" s="117" t="s">
        <v>208</v>
      </c>
      <c r="Y401" s="116">
        <v>130.35272727272724</v>
      </c>
      <c r="Z401" s="117" t="s">
        <v>208</v>
      </c>
      <c r="AA401" s="116">
        <v>139.68</v>
      </c>
      <c r="AB401" s="117" t="s">
        <v>208</v>
      </c>
      <c r="AC401" s="116">
        <v>143.63999999999999</v>
      </c>
      <c r="AD401" s="117" t="s">
        <v>208</v>
      </c>
      <c r="AE401" s="116">
        <v>179.64</v>
      </c>
      <c r="AF401" s="117" t="s">
        <v>208</v>
      </c>
      <c r="AG401" s="116">
        <v>14.04</v>
      </c>
      <c r="AH401" s="117" t="s">
        <v>208</v>
      </c>
      <c r="AI401" s="116">
        <v>141.12</v>
      </c>
      <c r="AJ401" s="117" t="s">
        <v>208</v>
      </c>
      <c r="AK401" s="116">
        <v>98.639999999999986</v>
      </c>
      <c r="AL401" s="117" t="s">
        <v>208</v>
      </c>
      <c r="AM401" s="116">
        <v>1564.2327272727271</v>
      </c>
    </row>
    <row r="402" spans="1:39" s="100" customFormat="1" ht="46.8" x14ac:dyDescent="0.3">
      <c r="A402" s="97">
        <v>392</v>
      </c>
      <c r="B402" s="98" t="s">
        <v>1051</v>
      </c>
      <c r="C402" s="98" t="s">
        <v>2708</v>
      </c>
      <c r="D402" s="98" t="s">
        <v>1902</v>
      </c>
      <c r="E402" s="98" t="s">
        <v>2709</v>
      </c>
      <c r="F402" s="98" t="s">
        <v>49</v>
      </c>
      <c r="G402" s="99" t="s">
        <v>2710</v>
      </c>
      <c r="H402" s="99">
        <v>4</v>
      </c>
      <c r="I402" s="99" t="s">
        <v>2710</v>
      </c>
      <c r="J402" s="99">
        <v>1</v>
      </c>
      <c r="K402" s="98" t="s">
        <v>528</v>
      </c>
      <c r="L402" s="98" t="s">
        <v>528</v>
      </c>
      <c r="M402" s="116">
        <v>398.87268342237451</v>
      </c>
      <c r="N402" s="116">
        <v>715.27541113211362</v>
      </c>
      <c r="O402" s="116">
        <v>63.42</v>
      </c>
      <c r="P402" s="117" t="s">
        <v>208</v>
      </c>
      <c r="Q402" s="116">
        <v>63.560000000000009</v>
      </c>
      <c r="R402" s="117" t="s">
        <v>208</v>
      </c>
      <c r="S402" s="116">
        <v>50.680000000000007</v>
      </c>
      <c r="T402" s="117" t="s">
        <v>208</v>
      </c>
      <c r="U402" s="116">
        <v>51.940000000000005</v>
      </c>
      <c r="V402" s="117" t="s">
        <v>208</v>
      </c>
      <c r="W402" s="116">
        <v>49.28</v>
      </c>
      <c r="X402" s="117" t="s">
        <v>208</v>
      </c>
      <c r="Y402" s="116">
        <v>50.692727272727275</v>
      </c>
      <c r="Z402" s="117" t="s">
        <v>208</v>
      </c>
      <c r="AA402" s="116">
        <v>54.320000000000007</v>
      </c>
      <c r="AB402" s="117" t="s">
        <v>208</v>
      </c>
      <c r="AC402" s="116">
        <v>55.860000000000007</v>
      </c>
      <c r="AD402" s="117" t="s">
        <v>208</v>
      </c>
      <c r="AE402" s="116">
        <v>69.860000000000014</v>
      </c>
      <c r="AF402" s="117" t="s">
        <v>208</v>
      </c>
      <c r="AG402" s="116">
        <v>5.4600000000000009</v>
      </c>
      <c r="AH402" s="117" t="s">
        <v>208</v>
      </c>
      <c r="AI402" s="116">
        <v>54.88</v>
      </c>
      <c r="AJ402" s="117" t="s">
        <v>208</v>
      </c>
      <c r="AK402" s="116">
        <v>38.36</v>
      </c>
      <c r="AL402" s="117" t="s">
        <v>208</v>
      </c>
      <c r="AM402" s="116">
        <v>608.31272727272733</v>
      </c>
    </row>
    <row r="403" spans="1:39" s="100" customFormat="1" ht="46.8" x14ac:dyDescent="0.3">
      <c r="A403" s="97">
        <v>393</v>
      </c>
      <c r="B403" s="98" t="s">
        <v>1053</v>
      </c>
      <c r="C403" s="98" t="s">
        <v>2708</v>
      </c>
      <c r="D403" s="98" t="s">
        <v>1902</v>
      </c>
      <c r="E403" s="98" t="s">
        <v>2709</v>
      </c>
      <c r="F403" s="98" t="s">
        <v>49</v>
      </c>
      <c r="G403" s="99" t="s">
        <v>2710</v>
      </c>
      <c r="H403" s="99">
        <v>4</v>
      </c>
      <c r="I403" s="99" t="s">
        <v>2710</v>
      </c>
      <c r="J403" s="99">
        <v>1</v>
      </c>
      <c r="K403" s="98" t="s">
        <v>528</v>
      </c>
      <c r="L403" s="98" t="s">
        <v>528</v>
      </c>
      <c r="M403" s="116">
        <v>1577.3260168551965</v>
      </c>
      <c r="N403" s="116">
        <v>2502.2379085669104</v>
      </c>
      <c r="O403" s="116">
        <v>225</v>
      </c>
      <c r="P403" s="117" t="s">
        <v>208</v>
      </c>
      <c r="Q403" s="116">
        <v>189</v>
      </c>
      <c r="R403" s="117" t="s">
        <v>208</v>
      </c>
      <c r="S403" s="116">
        <v>160</v>
      </c>
      <c r="T403" s="117" t="s">
        <v>208</v>
      </c>
      <c r="U403" s="116">
        <v>125</v>
      </c>
      <c r="V403" s="117" t="s">
        <v>208</v>
      </c>
      <c r="W403" s="116">
        <v>128</v>
      </c>
      <c r="X403" s="117" t="s">
        <v>208</v>
      </c>
      <c r="Y403" s="116">
        <v>178.45454545454547</v>
      </c>
      <c r="Z403" s="117" t="s">
        <v>208</v>
      </c>
      <c r="AA403" s="116">
        <v>257</v>
      </c>
      <c r="AB403" s="117" t="s">
        <v>208</v>
      </c>
      <c r="AC403" s="116">
        <v>241</v>
      </c>
      <c r="AD403" s="117" t="s">
        <v>208</v>
      </c>
      <c r="AE403" s="116">
        <v>289</v>
      </c>
      <c r="AF403" s="117" t="s">
        <v>208</v>
      </c>
      <c r="AG403" s="116">
        <v>96</v>
      </c>
      <c r="AH403" s="117" t="s">
        <v>208</v>
      </c>
      <c r="AI403" s="116">
        <v>130</v>
      </c>
      <c r="AJ403" s="117" t="s">
        <v>208</v>
      </c>
      <c r="AK403" s="116">
        <v>123</v>
      </c>
      <c r="AL403" s="117" t="s">
        <v>208</v>
      </c>
      <c r="AM403" s="116">
        <v>2141.4545454545455</v>
      </c>
    </row>
    <row r="404" spans="1:39" s="100" customFormat="1" ht="46.8" x14ac:dyDescent="0.3">
      <c r="A404" s="97">
        <v>394</v>
      </c>
      <c r="B404" s="98" t="s">
        <v>1055</v>
      </c>
      <c r="C404" s="98" t="s">
        <v>2708</v>
      </c>
      <c r="D404" s="98" t="s">
        <v>1902</v>
      </c>
      <c r="E404" s="98" t="s">
        <v>2709</v>
      </c>
      <c r="F404" s="98" t="s">
        <v>49</v>
      </c>
      <c r="G404" s="99" t="s">
        <v>2710</v>
      </c>
      <c r="H404" s="99">
        <v>4</v>
      </c>
      <c r="I404" s="99" t="s">
        <v>2710</v>
      </c>
      <c r="J404" s="99">
        <v>1</v>
      </c>
      <c r="K404" s="98" t="s">
        <v>528</v>
      </c>
      <c r="L404" s="98" t="s">
        <v>528</v>
      </c>
      <c r="M404" s="116">
        <v>1869.5444020437976</v>
      </c>
      <c r="N404" s="116">
        <v>3113.9062812071575</v>
      </c>
      <c r="O404" s="116">
        <v>354</v>
      </c>
      <c r="P404" s="117" t="s">
        <v>208</v>
      </c>
      <c r="Q404" s="116">
        <v>264</v>
      </c>
      <c r="R404" s="117" t="s">
        <v>208</v>
      </c>
      <c r="S404" s="116">
        <v>182</v>
      </c>
      <c r="T404" s="117" t="s">
        <v>208</v>
      </c>
      <c r="U404" s="116">
        <v>209</v>
      </c>
      <c r="V404" s="117" t="s">
        <v>208</v>
      </c>
      <c r="W404" s="116">
        <v>226</v>
      </c>
      <c r="X404" s="117" t="s">
        <v>208</v>
      </c>
      <c r="Y404" s="116">
        <v>224.09090909090909</v>
      </c>
      <c r="Z404" s="117" t="s">
        <v>208</v>
      </c>
      <c r="AA404" s="116">
        <v>157</v>
      </c>
      <c r="AB404" s="117" t="s">
        <v>208</v>
      </c>
      <c r="AC404" s="116">
        <v>102</v>
      </c>
      <c r="AD404" s="117" t="s">
        <v>208</v>
      </c>
      <c r="AE404" s="116">
        <v>210</v>
      </c>
      <c r="AF404" s="117" t="s">
        <v>208</v>
      </c>
      <c r="AG404" s="116">
        <v>252</v>
      </c>
      <c r="AH404" s="117" t="s">
        <v>208</v>
      </c>
      <c r="AI404" s="116">
        <v>334</v>
      </c>
      <c r="AJ404" s="117" t="s">
        <v>208</v>
      </c>
      <c r="AK404" s="116">
        <v>175</v>
      </c>
      <c r="AL404" s="117" t="s">
        <v>208</v>
      </c>
      <c r="AM404" s="116">
        <v>2689.090909090909</v>
      </c>
    </row>
    <row r="405" spans="1:39" s="100" customFormat="1" ht="46.8" x14ac:dyDescent="0.3">
      <c r="A405" s="97">
        <v>395</v>
      </c>
      <c r="B405" s="98" t="s">
        <v>1056</v>
      </c>
      <c r="C405" s="98" t="s">
        <v>2708</v>
      </c>
      <c r="D405" s="98" t="s">
        <v>1902</v>
      </c>
      <c r="E405" s="98" t="s">
        <v>2709</v>
      </c>
      <c r="F405" s="98" t="s">
        <v>49</v>
      </c>
      <c r="G405" s="99" t="s">
        <v>2710</v>
      </c>
      <c r="H405" s="99">
        <v>12</v>
      </c>
      <c r="I405" s="99" t="s">
        <v>2710</v>
      </c>
      <c r="J405" s="99">
        <v>2</v>
      </c>
      <c r="K405" s="98" t="s">
        <v>528</v>
      </c>
      <c r="L405" s="98" t="s">
        <v>528</v>
      </c>
      <c r="M405" s="116">
        <v>5546.4944931201599</v>
      </c>
      <c r="N405" s="116">
        <v>9099.3329383671935</v>
      </c>
      <c r="O405" s="116">
        <v>1047.21</v>
      </c>
      <c r="P405" s="117" t="s">
        <v>208</v>
      </c>
      <c r="Q405" s="116">
        <v>907.18000000000006</v>
      </c>
      <c r="R405" s="117" t="s">
        <v>208</v>
      </c>
      <c r="S405" s="116">
        <v>682.06000000000006</v>
      </c>
      <c r="T405" s="117" t="s">
        <v>208</v>
      </c>
      <c r="U405" s="116">
        <v>525.95000000000005</v>
      </c>
      <c r="V405" s="117" t="s">
        <v>208</v>
      </c>
      <c r="W405" s="116">
        <v>513.22</v>
      </c>
      <c r="X405" s="117" t="s">
        <v>208</v>
      </c>
      <c r="Y405" s="116">
        <v>653.31090909090915</v>
      </c>
      <c r="Z405" s="117" t="s">
        <v>208</v>
      </c>
      <c r="AA405" s="116">
        <v>499.82000000000005</v>
      </c>
      <c r="AB405" s="117" t="s">
        <v>208</v>
      </c>
      <c r="AC405" s="116">
        <v>470.34000000000003</v>
      </c>
      <c r="AD405" s="117" t="s">
        <v>208</v>
      </c>
      <c r="AE405" s="116">
        <v>570.84</v>
      </c>
      <c r="AF405" s="117" t="s">
        <v>208</v>
      </c>
      <c r="AG405" s="116">
        <v>587.59</v>
      </c>
      <c r="AH405" s="117" t="s">
        <v>208</v>
      </c>
      <c r="AI405" s="116">
        <v>667.32</v>
      </c>
      <c r="AJ405" s="117" t="s">
        <v>208</v>
      </c>
      <c r="AK405" s="116">
        <v>714.8900000000001</v>
      </c>
      <c r="AL405" s="117" t="s">
        <v>208</v>
      </c>
      <c r="AM405" s="116">
        <v>7839.7309090909102</v>
      </c>
    </row>
    <row r="406" spans="1:39" s="100" customFormat="1" ht="46.8" x14ac:dyDescent="0.3">
      <c r="A406" s="97">
        <v>396</v>
      </c>
      <c r="B406" s="98" t="s">
        <v>1057</v>
      </c>
      <c r="C406" s="98" t="s">
        <v>2708</v>
      </c>
      <c r="D406" s="98" t="s">
        <v>1902</v>
      </c>
      <c r="E406" s="98" t="s">
        <v>2709</v>
      </c>
      <c r="F406" s="98" t="s">
        <v>49</v>
      </c>
      <c r="G406" s="99" t="s">
        <v>2710</v>
      </c>
      <c r="H406" s="99">
        <v>5</v>
      </c>
      <c r="I406" s="99" t="s">
        <v>2710</v>
      </c>
      <c r="J406" s="99">
        <v>1</v>
      </c>
      <c r="K406" s="98" t="s">
        <v>528</v>
      </c>
      <c r="L406" s="98" t="s">
        <v>528</v>
      </c>
      <c r="M406" s="116">
        <v>1899.6595104759799</v>
      </c>
      <c r="N406" s="116">
        <v>3037.8832094376162</v>
      </c>
      <c r="O406" s="116">
        <v>259.56</v>
      </c>
      <c r="P406" s="117" t="s">
        <v>208</v>
      </c>
      <c r="Q406" s="116">
        <v>366.47999999999996</v>
      </c>
      <c r="R406" s="117" t="s">
        <v>208</v>
      </c>
      <c r="S406" s="116">
        <v>255.6</v>
      </c>
      <c r="T406" s="117" t="s">
        <v>208</v>
      </c>
      <c r="U406" s="116">
        <v>280.8</v>
      </c>
      <c r="V406" s="117" t="s">
        <v>208</v>
      </c>
      <c r="W406" s="116">
        <v>271.08</v>
      </c>
      <c r="X406" s="117" t="s">
        <v>208</v>
      </c>
      <c r="Y406" s="116">
        <v>213.87272727272727</v>
      </c>
      <c r="Z406" s="117" t="s">
        <v>208</v>
      </c>
      <c r="AA406" s="116">
        <v>142.91999999999999</v>
      </c>
      <c r="AB406" s="117" t="s">
        <v>208</v>
      </c>
      <c r="AC406" s="116">
        <v>145.79999999999998</v>
      </c>
      <c r="AD406" s="117" t="s">
        <v>208</v>
      </c>
      <c r="AE406" s="116">
        <v>163.79999999999998</v>
      </c>
      <c r="AF406" s="117" t="s">
        <v>208</v>
      </c>
      <c r="AG406" s="116">
        <v>74.52</v>
      </c>
      <c r="AH406" s="117" t="s">
        <v>208</v>
      </c>
      <c r="AI406" s="116">
        <v>226.07999999999998</v>
      </c>
      <c r="AJ406" s="117" t="s">
        <v>208</v>
      </c>
      <c r="AK406" s="116">
        <v>165.96</v>
      </c>
      <c r="AL406" s="117" t="s">
        <v>208</v>
      </c>
      <c r="AM406" s="116">
        <v>2566.4727272727273</v>
      </c>
    </row>
    <row r="407" spans="1:39" s="100" customFormat="1" ht="46.8" x14ac:dyDescent="0.3">
      <c r="A407" s="97">
        <v>397</v>
      </c>
      <c r="B407" s="98" t="s">
        <v>1058</v>
      </c>
      <c r="C407" s="98" t="s">
        <v>2708</v>
      </c>
      <c r="D407" s="98" t="s">
        <v>1902</v>
      </c>
      <c r="E407" s="98" t="s">
        <v>2709</v>
      </c>
      <c r="F407" s="98" t="s">
        <v>49</v>
      </c>
      <c r="G407" s="99" t="s">
        <v>2710</v>
      </c>
      <c r="H407" s="99">
        <v>5</v>
      </c>
      <c r="I407" s="99" t="s">
        <v>2710</v>
      </c>
      <c r="J407" s="99">
        <v>1</v>
      </c>
      <c r="K407" s="98" t="s">
        <v>528</v>
      </c>
      <c r="L407" s="98" t="s">
        <v>528</v>
      </c>
      <c r="M407" s="116">
        <v>2519.4918971300053</v>
      </c>
      <c r="N407" s="116">
        <v>4508.3602282283928</v>
      </c>
      <c r="O407" s="116">
        <v>515.79000000000008</v>
      </c>
      <c r="P407" s="117" t="s">
        <v>208</v>
      </c>
      <c r="Q407" s="116">
        <v>446.82000000000005</v>
      </c>
      <c r="R407" s="117" t="s">
        <v>208</v>
      </c>
      <c r="S407" s="116">
        <v>335.94000000000005</v>
      </c>
      <c r="T407" s="117" t="s">
        <v>208</v>
      </c>
      <c r="U407" s="116">
        <v>259.05</v>
      </c>
      <c r="V407" s="117" t="s">
        <v>208</v>
      </c>
      <c r="W407" s="116">
        <v>252.78</v>
      </c>
      <c r="X407" s="117" t="s">
        <v>208</v>
      </c>
      <c r="Y407" s="116">
        <v>321.77999999999997</v>
      </c>
      <c r="Z407" s="117" t="s">
        <v>208</v>
      </c>
      <c r="AA407" s="116">
        <v>246.18</v>
      </c>
      <c r="AB407" s="117" t="s">
        <v>208</v>
      </c>
      <c r="AC407" s="116">
        <v>231.66000000000003</v>
      </c>
      <c r="AD407" s="117" t="s">
        <v>208</v>
      </c>
      <c r="AE407" s="116">
        <v>281.15999999999997</v>
      </c>
      <c r="AF407" s="117" t="s">
        <v>208</v>
      </c>
      <c r="AG407" s="116">
        <v>289.41000000000003</v>
      </c>
      <c r="AH407" s="117" t="s">
        <v>208</v>
      </c>
      <c r="AI407" s="116">
        <v>328.68</v>
      </c>
      <c r="AJ407" s="117" t="s">
        <v>208</v>
      </c>
      <c r="AK407" s="116">
        <v>352.11</v>
      </c>
      <c r="AL407" s="117" t="s">
        <v>208</v>
      </c>
      <c r="AM407" s="116">
        <v>3861.3599999999992</v>
      </c>
    </row>
    <row r="408" spans="1:39" s="100" customFormat="1" ht="46.8" x14ac:dyDescent="0.3">
      <c r="A408" s="97">
        <v>398</v>
      </c>
      <c r="B408" s="98" t="s">
        <v>1059</v>
      </c>
      <c r="C408" s="98" t="s">
        <v>2708</v>
      </c>
      <c r="D408" s="98" t="s">
        <v>1902</v>
      </c>
      <c r="E408" s="98" t="s">
        <v>2709</v>
      </c>
      <c r="F408" s="98" t="s">
        <v>49</v>
      </c>
      <c r="G408" s="99" t="s">
        <v>2710</v>
      </c>
      <c r="H408" s="99">
        <v>18</v>
      </c>
      <c r="I408" s="99" t="s">
        <v>2710</v>
      </c>
      <c r="J408" s="99">
        <v>3</v>
      </c>
      <c r="K408" s="98" t="s">
        <v>528</v>
      </c>
      <c r="L408" s="98" t="s">
        <v>528</v>
      </c>
      <c r="M408" s="116">
        <v>2219.8135147878565</v>
      </c>
      <c r="N408" s="116">
        <v>3962.1890778870438</v>
      </c>
      <c r="O408" s="116">
        <v>363</v>
      </c>
      <c r="P408" s="117" t="s">
        <v>208</v>
      </c>
      <c r="Q408" s="116">
        <v>298.65000000000003</v>
      </c>
      <c r="R408" s="117" t="s">
        <v>208</v>
      </c>
      <c r="S408" s="116">
        <v>282.70000000000005</v>
      </c>
      <c r="T408" s="117" t="s">
        <v>208</v>
      </c>
      <c r="U408" s="116">
        <v>326.70000000000005</v>
      </c>
      <c r="V408" s="117" t="s">
        <v>208</v>
      </c>
      <c r="W408" s="116">
        <v>297.55</v>
      </c>
      <c r="X408" s="117" t="s">
        <v>208</v>
      </c>
      <c r="Y408" s="116">
        <v>268.84999999999997</v>
      </c>
      <c r="Z408" s="117" t="s">
        <v>208</v>
      </c>
      <c r="AA408" s="116">
        <v>252.45000000000005</v>
      </c>
      <c r="AB408" s="117" t="s">
        <v>208</v>
      </c>
      <c r="AC408" s="116">
        <v>276.65000000000003</v>
      </c>
      <c r="AD408" s="117" t="s">
        <v>208</v>
      </c>
      <c r="AE408" s="116">
        <v>393.25</v>
      </c>
      <c r="AF408" s="117" t="s">
        <v>208</v>
      </c>
      <c r="AG408" s="116">
        <v>152.35000000000002</v>
      </c>
      <c r="AH408" s="117" t="s">
        <v>208</v>
      </c>
      <c r="AI408" s="116">
        <v>167.20000000000002</v>
      </c>
      <c r="AJ408" s="117" t="s">
        <v>208</v>
      </c>
      <c r="AK408" s="116">
        <v>146.85000000000002</v>
      </c>
      <c r="AL408" s="117" t="s">
        <v>208</v>
      </c>
      <c r="AM408" s="116">
        <v>3226.2</v>
      </c>
    </row>
    <row r="409" spans="1:39" s="100" customFormat="1" ht="46.8" x14ac:dyDescent="0.3">
      <c r="A409" s="97">
        <v>399</v>
      </c>
      <c r="B409" s="98" t="s">
        <v>1060</v>
      </c>
      <c r="C409" s="98" t="s">
        <v>2708</v>
      </c>
      <c r="D409" s="98" t="s">
        <v>1902</v>
      </c>
      <c r="E409" s="98" t="s">
        <v>2709</v>
      </c>
      <c r="F409" s="98" t="s">
        <v>49</v>
      </c>
      <c r="G409" s="99" t="s">
        <v>2710</v>
      </c>
      <c r="H409" s="99">
        <v>5</v>
      </c>
      <c r="I409" s="99" t="s">
        <v>2710</v>
      </c>
      <c r="J409" s="99">
        <v>1</v>
      </c>
      <c r="K409" s="98" t="s">
        <v>528</v>
      </c>
      <c r="L409" s="98" t="s">
        <v>528</v>
      </c>
      <c r="M409" s="116">
        <v>4283.2043003780927</v>
      </c>
      <c r="N409" s="116">
        <v>7837.3004688158881</v>
      </c>
      <c r="O409" s="116">
        <v>479.93984673738538</v>
      </c>
      <c r="P409" s="117" t="s">
        <v>208</v>
      </c>
      <c r="Q409" s="116">
        <v>689.49978427021767</v>
      </c>
      <c r="R409" s="117" t="s">
        <v>208</v>
      </c>
      <c r="S409" s="116">
        <v>538.47085629971855</v>
      </c>
      <c r="T409" s="117" t="s">
        <v>208</v>
      </c>
      <c r="U409" s="116">
        <v>662.7809786947571</v>
      </c>
      <c r="V409" s="117" t="s">
        <v>208</v>
      </c>
      <c r="W409" s="116">
        <v>426.49042466196954</v>
      </c>
      <c r="X409" s="117" t="s">
        <v>208</v>
      </c>
      <c r="Y409" s="116">
        <v>544.44475987123985</v>
      </c>
      <c r="Z409" s="117" t="s">
        <v>208</v>
      </c>
      <c r="AA409" s="116">
        <v>631.80765172413101</v>
      </c>
      <c r="AB409" s="117" t="s">
        <v>208</v>
      </c>
      <c r="AC409" s="116">
        <v>638.06985094029403</v>
      </c>
      <c r="AD409" s="117" t="s">
        <v>208</v>
      </c>
      <c r="AE409" s="116">
        <v>443.28181890271594</v>
      </c>
      <c r="AF409" s="117" t="s">
        <v>208</v>
      </c>
      <c r="AG409" s="116">
        <v>541.89106623486737</v>
      </c>
      <c r="AH409" s="117" t="s">
        <v>208</v>
      </c>
      <c r="AI409" s="116">
        <v>486.60258433734111</v>
      </c>
      <c r="AJ409" s="117" t="s">
        <v>208</v>
      </c>
      <c r="AK409" s="116">
        <v>450.05749578024063</v>
      </c>
      <c r="AL409" s="117" t="s">
        <v>208</v>
      </c>
      <c r="AM409" s="116">
        <v>6533.3371184548778</v>
      </c>
    </row>
    <row r="410" spans="1:39" s="100" customFormat="1" ht="46.8" x14ac:dyDescent="0.3">
      <c r="A410" s="97">
        <v>400</v>
      </c>
      <c r="B410" s="98" t="s">
        <v>1062</v>
      </c>
      <c r="C410" s="98" t="s">
        <v>2708</v>
      </c>
      <c r="D410" s="98" t="s">
        <v>1902</v>
      </c>
      <c r="E410" s="98" t="s">
        <v>2709</v>
      </c>
      <c r="F410" s="98" t="s">
        <v>49</v>
      </c>
      <c r="G410" s="99" t="s">
        <v>2710</v>
      </c>
      <c r="H410" s="99">
        <v>5</v>
      </c>
      <c r="I410" s="99" t="s">
        <v>2710</v>
      </c>
      <c r="J410" s="99">
        <v>1</v>
      </c>
      <c r="K410" s="98" t="s">
        <v>528</v>
      </c>
      <c r="L410" s="98" t="s">
        <v>528</v>
      </c>
      <c r="M410" s="116">
        <v>6412.9609920229495</v>
      </c>
      <c r="N410" s="116">
        <v>10916.414417125785</v>
      </c>
      <c r="O410" s="116">
        <v>883.80255350989955</v>
      </c>
      <c r="P410" s="117" t="s">
        <v>208</v>
      </c>
      <c r="Q410" s="116">
        <v>579.32499719622126</v>
      </c>
      <c r="R410" s="117" t="s">
        <v>208</v>
      </c>
      <c r="S410" s="116">
        <v>561.85333893286315</v>
      </c>
      <c r="T410" s="117" t="s">
        <v>208</v>
      </c>
      <c r="U410" s="116">
        <v>942.40696808898724</v>
      </c>
      <c r="V410" s="117" t="s">
        <v>208</v>
      </c>
      <c r="W410" s="116">
        <v>963.31959773783308</v>
      </c>
      <c r="X410" s="117" t="s">
        <v>208</v>
      </c>
      <c r="Y410" s="116">
        <v>778.90703802161522</v>
      </c>
      <c r="Z410" s="117" t="s">
        <v>208</v>
      </c>
      <c r="AA410" s="116">
        <v>675.5662874793594</v>
      </c>
      <c r="AB410" s="117" t="s">
        <v>208</v>
      </c>
      <c r="AC410" s="116">
        <v>885.23832210868363</v>
      </c>
      <c r="AD410" s="117" t="s">
        <v>208</v>
      </c>
      <c r="AE410" s="116">
        <v>866.26078034767386</v>
      </c>
      <c r="AF410" s="117" t="s">
        <v>208</v>
      </c>
      <c r="AG410" s="116">
        <v>715.48831171895608</v>
      </c>
      <c r="AH410" s="117" t="s">
        <v>208</v>
      </c>
      <c r="AI410" s="116">
        <v>868.22790609322226</v>
      </c>
      <c r="AJ410" s="117" t="s">
        <v>208</v>
      </c>
      <c r="AK410" s="116">
        <v>626.48835502406689</v>
      </c>
      <c r="AL410" s="117" t="s">
        <v>208</v>
      </c>
      <c r="AM410" s="116">
        <v>9346.8844562593804</v>
      </c>
    </row>
    <row r="411" spans="1:39" s="100" customFormat="1" ht="46.8" x14ac:dyDescent="0.3">
      <c r="A411" s="97">
        <v>401</v>
      </c>
      <c r="B411" s="98" t="s">
        <v>1064</v>
      </c>
      <c r="C411" s="98" t="s">
        <v>2708</v>
      </c>
      <c r="D411" s="98" t="s">
        <v>1902</v>
      </c>
      <c r="E411" s="98" t="s">
        <v>2709</v>
      </c>
      <c r="F411" s="98" t="s">
        <v>49</v>
      </c>
      <c r="G411" s="99" t="s">
        <v>2710</v>
      </c>
      <c r="H411" s="99">
        <v>5</v>
      </c>
      <c r="I411" s="99" t="s">
        <v>2710</v>
      </c>
      <c r="J411" s="99">
        <v>1</v>
      </c>
      <c r="K411" s="98" t="s">
        <v>528</v>
      </c>
      <c r="L411" s="98" t="s">
        <v>528</v>
      </c>
      <c r="M411" s="116">
        <v>1518.9078465526807</v>
      </c>
      <c r="N411" s="116">
        <v>2634.7138470040263</v>
      </c>
      <c r="O411" s="116">
        <v>226.5</v>
      </c>
      <c r="P411" s="117" t="s">
        <v>208</v>
      </c>
      <c r="Q411" s="116">
        <v>227</v>
      </c>
      <c r="R411" s="117" t="s">
        <v>208</v>
      </c>
      <c r="S411" s="116">
        <v>181</v>
      </c>
      <c r="T411" s="117" t="s">
        <v>208</v>
      </c>
      <c r="U411" s="116">
        <v>185.5</v>
      </c>
      <c r="V411" s="117" t="s">
        <v>208</v>
      </c>
      <c r="W411" s="116">
        <v>176</v>
      </c>
      <c r="X411" s="117" t="s">
        <v>208</v>
      </c>
      <c r="Y411" s="116">
        <v>181.04545454545453</v>
      </c>
      <c r="Z411" s="117" t="s">
        <v>208</v>
      </c>
      <c r="AA411" s="116">
        <v>194</v>
      </c>
      <c r="AB411" s="117" t="s">
        <v>208</v>
      </c>
      <c r="AC411" s="116">
        <v>199.5</v>
      </c>
      <c r="AD411" s="117" t="s">
        <v>208</v>
      </c>
      <c r="AE411" s="116">
        <v>249.5</v>
      </c>
      <c r="AF411" s="117" t="s">
        <v>208</v>
      </c>
      <c r="AG411" s="116">
        <v>19.5</v>
      </c>
      <c r="AH411" s="117" t="s">
        <v>208</v>
      </c>
      <c r="AI411" s="116">
        <v>196</v>
      </c>
      <c r="AJ411" s="117" t="s">
        <v>208</v>
      </c>
      <c r="AK411" s="116">
        <v>137</v>
      </c>
      <c r="AL411" s="117" t="s">
        <v>208</v>
      </c>
      <c r="AM411" s="116">
        <v>2172.5454545454545</v>
      </c>
    </row>
    <row r="412" spans="1:39" s="100" customFormat="1" ht="46.8" x14ac:dyDescent="0.3">
      <c r="A412" s="97">
        <v>402</v>
      </c>
      <c r="B412" s="98" t="s">
        <v>1065</v>
      </c>
      <c r="C412" s="98" t="s">
        <v>2708</v>
      </c>
      <c r="D412" s="98" t="s">
        <v>1902</v>
      </c>
      <c r="E412" s="98" t="s">
        <v>2709</v>
      </c>
      <c r="F412" s="98" t="s">
        <v>49</v>
      </c>
      <c r="G412" s="99" t="s">
        <v>2710</v>
      </c>
      <c r="H412" s="99">
        <v>15</v>
      </c>
      <c r="I412" s="99" t="s">
        <v>2710</v>
      </c>
      <c r="J412" s="99">
        <v>3</v>
      </c>
      <c r="K412" s="98" t="s">
        <v>528</v>
      </c>
      <c r="L412" s="98" t="s">
        <v>528</v>
      </c>
      <c r="M412" s="116">
        <v>1371.8883237251339</v>
      </c>
      <c r="N412" s="116">
        <v>2292.4525806141505</v>
      </c>
      <c r="O412" s="116">
        <v>184</v>
      </c>
      <c r="P412" s="117" t="s">
        <v>208</v>
      </c>
      <c r="Q412" s="116">
        <v>244</v>
      </c>
      <c r="R412" s="117" t="s">
        <v>208</v>
      </c>
      <c r="S412" s="116">
        <v>209</v>
      </c>
      <c r="T412" s="117" t="s">
        <v>208</v>
      </c>
      <c r="U412" s="116">
        <v>135</v>
      </c>
      <c r="V412" s="117" t="s">
        <v>208</v>
      </c>
      <c r="W412" s="116">
        <v>170</v>
      </c>
      <c r="X412" s="117" t="s">
        <v>208</v>
      </c>
      <c r="Y412" s="116">
        <v>164.54545454545453</v>
      </c>
      <c r="Z412" s="117" t="s">
        <v>208</v>
      </c>
      <c r="AA412" s="116">
        <v>94</v>
      </c>
      <c r="AB412" s="117" t="s">
        <v>208</v>
      </c>
      <c r="AC412" s="116">
        <v>105</v>
      </c>
      <c r="AD412" s="117" t="s">
        <v>208</v>
      </c>
      <c r="AE412" s="116">
        <v>155</v>
      </c>
      <c r="AF412" s="117" t="s">
        <v>208</v>
      </c>
      <c r="AG412" s="116">
        <v>200</v>
      </c>
      <c r="AH412" s="117" t="s">
        <v>208</v>
      </c>
      <c r="AI412" s="116">
        <v>175</v>
      </c>
      <c r="AJ412" s="117" t="s">
        <v>208</v>
      </c>
      <c r="AK412" s="116">
        <v>139</v>
      </c>
      <c r="AL412" s="117" t="s">
        <v>208</v>
      </c>
      <c r="AM412" s="116">
        <v>1974.5454545454545</v>
      </c>
    </row>
    <row r="413" spans="1:39" s="100" customFormat="1" ht="46.8" x14ac:dyDescent="0.3">
      <c r="A413" s="97">
        <v>403</v>
      </c>
      <c r="B413" s="98" t="s">
        <v>1066</v>
      </c>
      <c r="C413" s="98" t="s">
        <v>2708</v>
      </c>
      <c r="D413" s="98" t="s">
        <v>1902</v>
      </c>
      <c r="E413" s="98" t="s">
        <v>2709</v>
      </c>
      <c r="F413" s="98" t="s">
        <v>49</v>
      </c>
      <c r="G413" s="99" t="s">
        <v>2710</v>
      </c>
      <c r="H413" s="99">
        <v>4</v>
      </c>
      <c r="I413" s="99" t="s">
        <v>2710</v>
      </c>
      <c r="J413" s="99">
        <v>1</v>
      </c>
      <c r="K413" s="98" t="s">
        <v>528</v>
      </c>
      <c r="L413" s="98" t="s">
        <v>528</v>
      </c>
      <c r="M413" s="116">
        <v>5232.1003088105826</v>
      </c>
      <c r="N413" s="116">
        <v>9121.8815282875839</v>
      </c>
      <c r="O413" s="116">
        <v>2233</v>
      </c>
      <c r="P413" s="117" t="s">
        <v>208</v>
      </c>
      <c r="Q413" s="116">
        <v>3811</v>
      </c>
      <c r="R413" s="117" t="s">
        <v>208</v>
      </c>
      <c r="S413" s="116">
        <v>125</v>
      </c>
      <c r="T413" s="117" t="s">
        <v>208</v>
      </c>
      <c r="U413" s="116">
        <v>203</v>
      </c>
      <c r="V413" s="117" t="s">
        <v>208</v>
      </c>
      <c r="W413" s="116">
        <v>215</v>
      </c>
      <c r="X413" s="117" t="s">
        <v>208</v>
      </c>
      <c r="Y413" s="116">
        <v>635.18181818181813</v>
      </c>
      <c r="Z413" s="117" t="s">
        <v>208</v>
      </c>
      <c r="AA413" s="116">
        <v>0</v>
      </c>
      <c r="AB413" s="117" t="s">
        <v>208</v>
      </c>
      <c r="AC413" s="116">
        <v>0</v>
      </c>
      <c r="AD413" s="117" t="s">
        <v>208</v>
      </c>
      <c r="AE413" s="116">
        <v>0</v>
      </c>
      <c r="AF413" s="117" t="s">
        <v>208</v>
      </c>
      <c r="AG413" s="116">
        <v>0</v>
      </c>
      <c r="AH413" s="117" t="s">
        <v>208</v>
      </c>
      <c r="AI413" s="116">
        <v>200</v>
      </c>
      <c r="AJ413" s="117" t="s">
        <v>208</v>
      </c>
      <c r="AK413" s="116">
        <v>200</v>
      </c>
      <c r="AL413" s="117" t="s">
        <v>208</v>
      </c>
      <c r="AM413" s="116">
        <v>7622.181818181818</v>
      </c>
    </row>
    <row r="414" spans="1:39" s="100" customFormat="1" ht="46.8" x14ac:dyDescent="0.3">
      <c r="A414" s="97">
        <v>404</v>
      </c>
      <c r="B414" s="98" t="s">
        <v>1068</v>
      </c>
      <c r="C414" s="98" t="s">
        <v>2708</v>
      </c>
      <c r="D414" s="98" t="s">
        <v>1902</v>
      </c>
      <c r="E414" s="98" t="s">
        <v>2709</v>
      </c>
      <c r="F414" s="98" t="s">
        <v>49</v>
      </c>
      <c r="G414" s="99" t="s">
        <v>2710</v>
      </c>
      <c r="H414" s="99">
        <v>5</v>
      </c>
      <c r="I414" s="99" t="s">
        <v>2710</v>
      </c>
      <c r="J414" s="99">
        <v>1</v>
      </c>
      <c r="K414" s="98" t="s">
        <v>528</v>
      </c>
      <c r="L414" s="98" t="s">
        <v>528</v>
      </c>
      <c r="M414" s="116">
        <v>3002.8637453503925</v>
      </c>
      <c r="N414" s="116">
        <v>4922.8176035373926</v>
      </c>
      <c r="O414" s="116">
        <v>500</v>
      </c>
      <c r="P414" s="117" t="s">
        <v>208</v>
      </c>
      <c r="Q414" s="116">
        <v>370</v>
      </c>
      <c r="R414" s="117" t="s">
        <v>208</v>
      </c>
      <c r="S414" s="116">
        <v>296</v>
      </c>
      <c r="T414" s="117" t="s">
        <v>208</v>
      </c>
      <c r="U414" s="116">
        <v>266</v>
      </c>
      <c r="V414" s="117" t="s">
        <v>208</v>
      </c>
      <c r="W414" s="116">
        <v>234</v>
      </c>
      <c r="X414" s="117" t="s">
        <v>208</v>
      </c>
      <c r="Y414" s="116">
        <v>353.54545454545456</v>
      </c>
      <c r="Z414" s="117" t="s">
        <v>208</v>
      </c>
      <c r="AA414" s="116">
        <v>388</v>
      </c>
      <c r="AB414" s="117" t="s">
        <v>208</v>
      </c>
      <c r="AC414" s="116">
        <v>288</v>
      </c>
      <c r="AD414" s="117" t="s">
        <v>208</v>
      </c>
      <c r="AE414" s="116">
        <v>488</v>
      </c>
      <c r="AF414" s="117" t="s">
        <v>208</v>
      </c>
      <c r="AG414" s="116">
        <v>240</v>
      </c>
      <c r="AH414" s="117" t="s">
        <v>208</v>
      </c>
      <c r="AI414" s="116">
        <v>426</v>
      </c>
      <c r="AJ414" s="117" t="s">
        <v>208</v>
      </c>
      <c r="AK414" s="116">
        <v>393</v>
      </c>
      <c r="AL414" s="117" t="s">
        <v>208</v>
      </c>
      <c r="AM414" s="116">
        <v>4242.545454545454</v>
      </c>
    </row>
    <row r="415" spans="1:39" s="100" customFormat="1" ht="46.8" x14ac:dyDescent="0.3">
      <c r="A415" s="97">
        <v>405</v>
      </c>
      <c r="B415" s="98" t="s">
        <v>1069</v>
      </c>
      <c r="C415" s="98" t="s">
        <v>2708</v>
      </c>
      <c r="D415" s="98" t="s">
        <v>1902</v>
      </c>
      <c r="E415" s="98" t="s">
        <v>2709</v>
      </c>
      <c r="F415" s="98" t="s">
        <v>49</v>
      </c>
      <c r="G415" s="99" t="s">
        <v>2710</v>
      </c>
      <c r="H415" s="99">
        <v>5</v>
      </c>
      <c r="I415" s="99" t="s">
        <v>2710</v>
      </c>
      <c r="J415" s="99">
        <v>1</v>
      </c>
      <c r="K415" s="98" t="s">
        <v>528</v>
      </c>
      <c r="L415" s="98" t="s">
        <v>528</v>
      </c>
      <c r="M415" s="116">
        <v>5401.7466159832647</v>
      </c>
      <c r="N415" s="116">
        <v>9073.5791625140573</v>
      </c>
      <c r="O415" s="116">
        <v>418.73625919317982</v>
      </c>
      <c r="P415" s="117" t="s">
        <v>208</v>
      </c>
      <c r="Q415" s="116">
        <v>663.74506523359025</v>
      </c>
      <c r="R415" s="117" t="s">
        <v>208</v>
      </c>
      <c r="S415" s="116">
        <v>540.04644374052475</v>
      </c>
      <c r="T415" s="117" t="s">
        <v>208</v>
      </c>
      <c r="U415" s="116">
        <v>706.71328786631295</v>
      </c>
      <c r="V415" s="117" t="s">
        <v>208</v>
      </c>
      <c r="W415" s="116">
        <v>674.50075126315778</v>
      </c>
      <c r="X415" s="117" t="s">
        <v>208</v>
      </c>
      <c r="Y415" s="116">
        <v>626.75899216800008</v>
      </c>
      <c r="Z415" s="117" t="s">
        <v>208</v>
      </c>
      <c r="AA415" s="116">
        <v>628.29071984515861</v>
      </c>
      <c r="AB415" s="117" t="s">
        <v>208</v>
      </c>
      <c r="AC415" s="116">
        <v>638.49900742612601</v>
      </c>
      <c r="AD415" s="117" t="s">
        <v>208</v>
      </c>
      <c r="AE415" s="116">
        <v>735.10626449898609</v>
      </c>
      <c r="AF415" s="117" t="s">
        <v>208</v>
      </c>
      <c r="AG415" s="116">
        <v>430.98913572763206</v>
      </c>
      <c r="AH415" s="117" t="s">
        <v>208</v>
      </c>
      <c r="AI415" s="116">
        <v>693.76699096073651</v>
      </c>
      <c r="AJ415" s="117" t="s">
        <v>208</v>
      </c>
      <c r="AK415" s="116">
        <v>763.95498809259618</v>
      </c>
      <c r="AL415" s="117" t="s">
        <v>208</v>
      </c>
      <c r="AM415" s="116">
        <v>7521.1079060160009</v>
      </c>
    </row>
    <row r="416" spans="1:39" s="100" customFormat="1" ht="46.8" x14ac:dyDescent="0.3">
      <c r="A416" s="97">
        <v>406</v>
      </c>
      <c r="B416" s="98" t="s">
        <v>1071</v>
      </c>
      <c r="C416" s="98" t="s">
        <v>2708</v>
      </c>
      <c r="D416" s="98" t="s">
        <v>1902</v>
      </c>
      <c r="E416" s="98" t="s">
        <v>2709</v>
      </c>
      <c r="F416" s="98" t="s">
        <v>49</v>
      </c>
      <c r="G416" s="99" t="s">
        <v>2710</v>
      </c>
      <c r="H416" s="99">
        <v>15</v>
      </c>
      <c r="I416" s="99" t="s">
        <v>2710</v>
      </c>
      <c r="J416" s="99">
        <v>3</v>
      </c>
      <c r="K416" s="98" t="s">
        <v>528</v>
      </c>
      <c r="L416" s="98" t="s">
        <v>528</v>
      </c>
      <c r="M416" s="116">
        <v>4217.024497438676</v>
      </c>
      <c r="N416" s="116">
        <v>7674.7494340938474</v>
      </c>
      <c r="O416" s="116">
        <v>765.38</v>
      </c>
      <c r="P416" s="117" t="s">
        <v>208</v>
      </c>
      <c r="Q416" s="116">
        <v>581.63</v>
      </c>
      <c r="R416" s="117" t="s">
        <v>208</v>
      </c>
      <c r="S416" s="116">
        <v>441</v>
      </c>
      <c r="T416" s="117" t="s">
        <v>208</v>
      </c>
      <c r="U416" s="116">
        <v>482.15999999999997</v>
      </c>
      <c r="V416" s="117" t="s">
        <v>208</v>
      </c>
      <c r="W416" s="116">
        <v>440.51</v>
      </c>
      <c r="X416" s="117" t="s">
        <v>208</v>
      </c>
      <c r="Y416" s="116">
        <v>537.3518181818182</v>
      </c>
      <c r="Z416" s="117" t="s">
        <v>208</v>
      </c>
      <c r="AA416" s="116">
        <v>404.25</v>
      </c>
      <c r="AB416" s="117" t="s">
        <v>208</v>
      </c>
      <c r="AC416" s="116">
        <v>518.91</v>
      </c>
      <c r="AD416" s="117" t="s">
        <v>208</v>
      </c>
      <c r="AE416" s="116">
        <v>543.41</v>
      </c>
      <c r="AF416" s="117" t="s">
        <v>208</v>
      </c>
      <c r="AG416" s="116">
        <v>632.1</v>
      </c>
      <c r="AH416" s="117" t="s">
        <v>208</v>
      </c>
      <c r="AI416" s="116">
        <v>596.33000000000004</v>
      </c>
      <c r="AJ416" s="117" t="s">
        <v>208</v>
      </c>
      <c r="AK416" s="116">
        <v>505.19</v>
      </c>
      <c r="AL416" s="117" t="s">
        <v>208</v>
      </c>
      <c r="AM416" s="116">
        <v>6448.221818181818</v>
      </c>
    </row>
    <row r="417" spans="1:39" s="100" customFormat="1" ht="46.8" x14ac:dyDescent="0.3">
      <c r="A417" s="97">
        <v>407</v>
      </c>
      <c r="B417" s="98" t="s">
        <v>1072</v>
      </c>
      <c r="C417" s="98" t="s">
        <v>2708</v>
      </c>
      <c r="D417" s="98" t="s">
        <v>1902</v>
      </c>
      <c r="E417" s="98" t="s">
        <v>2709</v>
      </c>
      <c r="F417" s="98" t="s">
        <v>49</v>
      </c>
      <c r="G417" s="99" t="s">
        <v>2710</v>
      </c>
      <c r="H417" s="99">
        <v>10</v>
      </c>
      <c r="I417" s="99" t="s">
        <v>2710</v>
      </c>
      <c r="J417" s="99">
        <v>2</v>
      </c>
      <c r="K417" s="98" t="s">
        <v>528</v>
      </c>
      <c r="L417" s="98" t="s">
        <v>528</v>
      </c>
      <c r="M417" s="116">
        <v>2190.6786707913657</v>
      </c>
      <c r="N417" s="116">
        <v>3867.349154360651</v>
      </c>
      <c r="O417" s="116">
        <v>405.53999999999996</v>
      </c>
      <c r="P417" s="117" t="s">
        <v>208</v>
      </c>
      <c r="Q417" s="116">
        <v>158.76000000000002</v>
      </c>
      <c r="R417" s="117" t="s">
        <v>208</v>
      </c>
      <c r="S417" s="116">
        <v>190.08</v>
      </c>
      <c r="T417" s="117" t="s">
        <v>208</v>
      </c>
      <c r="U417" s="116">
        <v>271.62</v>
      </c>
      <c r="V417" s="117" t="s">
        <v>208</v>
      </c>
      <c r="W417" s="116">
        <v>157.13999999999999</v>
      </c>
      <c r="X417" s="117" t="s">
        <v>208</v>
      </c>
      <c r="Y417" s="116">
        <v>262.44</v>
      </c>
      <c r="Z417" s="117" t="s">
        <v>208</v>
      </c>
      <c r="AA417" s="116">
        <v>470.88</v>
      </c>
      <c r="AB417" s="117" t="s">
        <v>208</v>
      </c>
      <c r="AC417" s="116">
        <v>163.62</v>
      </c>
      <c r="AD417" s="117" t="s">
        <v>208</v>
      </c>
      <c r="AE417" s="116">
        <v>224.10000000000002</v>
      </c>
      <c r="AF417" s="117" t="s">
        <v>208</v>
      </c>
      <c r="AG417" s="116">
        <v>304.56000000000006</v>
      </c>
      <c r="AH417" s="117" t="s">
        <v>208</v>
      </c>
      <c r="AI417" s="116">
        <v>294.84000000000003</v>
      </c>
      <c r="AJ417" s="117" t="s">
        <v>208</v>
      </c>
      <c r="AK417" s="116">
        <v>245.70000000000005</v>
      </c>
      <c r="AL417" s="117" t="s">
        <v>208</v>
      </c>
      <c r="AM417" s="116">
        <v>3149.2799999999997</v>
      </c>
    </row>
    <row r="418" spans="1:39" s="100" customFormat="1" ht="46.8" x14ac:dyDescent="0.3">
      <c r="A418" s="97">
        <v>408</v>
      </c>
      <c r="B418" s="98" t="s">
        <v>1073</v>
      </c>
      <c r="C418" s="98" t="s">
        <v>2708</v>
      </c>
      <c r="D418" s="98" t="s">
        <v>1902</v>
      </c>
      <c r="E418" s="98" t="s">
        <v>2709</v>
      </c>
      <c r="F418" s="98" t="s">
        <v>49</v>
      </c>
      <c r="G418" s="99" t="s">
        <v>2710</v>
      </c>
      <c r="H418" s="99">
        <v>5</v>
      </c>
      <c r="I418" s="99" t="s">
        <v>2710</v>
      </c>
      <c r="J418" s="99">
        <v>1</v>
      </c>
      <c r="K418" s="98" t="s">
        <v>528</v>
      </c>
      <c r="L418" s="98" t="s">
        <v>528</v>
      </c>
      <c r="M418" s="116">
        <v>1709.8937078333834</v>
      </c>
      <c r="N418" s="116">
        <v>2938.1705103513341</v>
      </c>
      <c r="O418" s="116">
        <v>296.78000000000003</v>
      </c>
      <c r="P418" s="117" t="s">
        <v>208</v>
      </c>
      <c r="Q418" s="116">
        <v>225.53</v>
      </c>
      <c r="R418" s="117" t="s">
        <v>208</v>
      </c>
      <c r="S418" s="116">
        <v>171</v>
      </c>
      <c r="T418" s="117" t="s">
        <v>208</v>
      </c>
      <c r="U418" s="116">
        <v>186.96</v>
      </c>
      <c r="V418" s="117" t="s">
        <v>208</v>
      </c>
      <c r="W418" s="116">
        <v>170.81</v>
      </c>
      <c r="X418" s="117" t="s">
        <v>208</v>
      </c>
      <c r="Y418" s="116">
        <v>208.36090909090908</v>
      </c>
      <c r="Z418" s="117" t="s">
        <v>208</v>
      </c>
      <c r="AA418" s="116">
        <v>156.75</v>
      </c>
      <c r="AB418" s="117" t="s">
        <v>208</v>
      </c>
      <c r="AC418" s="116">
        <v>201.21</v>
      </c>
      <c r="AD418" s="117" t="s">
        <v>208</v>
      </c>
      <c r="AE418" s="116">
        <v>210.71</v>
      </c>
      <c r="AF418" s="117" t="s">
        <v>208</v>
      </c>
      <c r="AG418" s="116">
        <v>245.1</v>
      </c>
      <c r="AH418" s="117" t="s">
        <v>208</v>
      </c>
      <c r="AI418" s="116">
        <v>231.23</v>
      </c>
      <c r="AJ418" s="117" t="s">
        <v>208</v>
      </c>
      <c r="AK418" s="116">
        <v>195.89000000000001</v>
      </c>
      <c r="AL418" s="117" t="s">
        <v>208</v>
      </c>
      <c r="AM418" s="116">
        <v>2500.3309090909092</v>
      </c>
    </row>
    <row r="419" spans="1:39" s="100" customFormat="1" ht="46.8" x14ac:dyDescent="0.3">
      <c r="A419" s="97">
        <v>409</v>
      </c>
      <c r="B419" s="98" t="s">
        <v>1074</v>
      </c>
      <c r="C419" s="98" t="s">
        <v>2708</v>
      </c>
      <c r="D419" s="98" t="s">
        <v>1902</v>
      </c>
      <c r="E419" s="98" t="s">
        <v>2709</v>
      </c>
      <c r="F419" s="98" t="s">
        <v>49</v>
      </c>
      <c r="G419" s="99" t="s">
        <v>2710</v>
      </c>
      <c r="H419" s="99">
        <v>0</v>
      </c>
      <c r="I419" s="99" t="s">
        <v>2710</v>
      </c>
      <c r="J419" s="99">
        <v>0</v>
      </c>
      <c r="K419" s="98" t="s">
        <v>528</v>
      </c>
      <c r="L419" s="98" t="s">
        <v>528</v>
      </c>
      <c r="M419" s="116">
        <v>0</v>
      </c>
      <c r="N419" s="116">
        <v>0</v>
      </c>
      <c r="O419" s="116">
        <v>0</v>
      </c>
      <c r="P419" s="116">
        <v>0</v>
      </c>
      <c r="Q419" s="116">
        <v>0</v>
      </c>
      <c r="R419" s="116">
        <v>0</v>
      </c>
      <c r="S419" s="116">
        <v>0</v>
      </c>
      <c r="T419" s="116">
        <v>0</v>
      </c>
      <c r="U419" s="116">
        <v>0</v>
      </c>
      <c r="V419" s="116">
        <v>0</v>
      </c>
      <c r="W419" s="116">
        <v>0</v>
      </c>
      <c r="X419" s="116">
        <v>0</v>
      </c>
      <c r="Y419" s="116">
        <v>0</v>
      </c>
      <c r="Z419" s="116">
        <v>0</v>
      </c>
      <c r="AA419" s="116">
        <v>0</v>
      </c>
      <c r="AB419" s="116">
        <v>0</v>
      </c>
      <c r="AC419" s="116">
        <v>0</v>
      </c>
      <c r="AD419" s="116">
        <v>0</v>
      </c>
      <c r="AE419" s="116">
        <v>0</v>
      </c>
      <c r="AF419" s="116">
        <v>0</v>
      </c>
      <c r="AG419" s="116">
        <v>0</v>
      </c>
      <c r="AH419" s="116">
        <v>0</v>
      </c>
      <c r="AI419" s="116">
        <v>0</v>
      </c>
      <c r="AJ419" s="116">
        <v>0</v>
      </c>
      <c r="AK419" s="116">
        <v>0</v>
      </c>
      <c r="AL419" s="116">
        <v>0</v>
      </c>
      <c r="AM419" s="116">
        <v>0</v>
      </c>
    </row>
    <row r="420" spans="1:39" s="100" customFormat="1" ht="46.8" x14ac:dyDescent="0.3">
      <c r="A420" s="97">
        <v>410</v>
      </c>
      <c r="B420" s="98" t="s">
        <v>1076</v>
      </c>
      <c r="C420" s="98" t="s">
        <v>2708</v>
      </c>
      <c r="D420" s="98" t="s">
        <v>1902</v>
      </c>
      <c r="E420" s="98" t="s">
        <v>2709</v>
      </c>
      <c r="F420" s="98" t="s">
        <v>49</v>
      </c>
      <c r="G420" s="99" t="s">
        <v>2710</v>
      </c>
      <c r="H420" s="99">
        <v>24</v>
      </c>
      <c r="I420" s="99" t="s">
        <v>2710</v>
      </c>
      <c r="J420" s="99">
        <v>4</v>
      </c>
      <c r="K420" s="98" t="s">
        <v>528</v>
      </c>
      <c r="L420" s="98" t="s">
        <v>528</v>
      </c>
      <c r="M420" s="116">
        <v>3744.5017886602382</v>
      </c>
      <c r="N420" s="116">
        <v>6035.3237575689609</v>
      </c>
      <c r="O420" s="116">
        <v>408.64</v>
      </c>
      <c r="P420" s="117" t="s">
        <v>208</v>
      </c>
      <c r="Q420" s="116">
        <v>493.44000000000005</v>
      </c>
      <c r="R420" s="117" t="s">
        <v>208</v>
      </c>
      <c r="S420" s="116">
        <v>412.16</v>
      </c>
      <c r="T420" s="117" t="s">
        <v>208</v>
      </c>
      <c r="U420" s="116">
        <v>458.24</v>
      </c>
      <c r="V420" s="117" t="s">
        <v>208</v>
      </c>
      <c r="W420" s="116">
        <v>364.80000000000007</v>
      </c>
      <c r="X420" s="117" t="s">
        <v>208</v>
      </c>
      <c r="Y420" s="116">
        <v>424.78545454545457</v>
      </c>
      <c r="Z420" s="117" t="s">
        <v>208</v>
      </c>
      <c r="AA420" s="116">
        <v>729.28</v>
      </c>
      <c r="AB420" s="117" t="s">
        <v>208</v>
      </c>
      <c r="AC420" s="116">
        <v>282.24</v>
      </c>
      <c r="AD420" s="117" t="s">
        <v>208</v>
      </c>
      <c r="AE420" s="116">
        <v>381.44</v>
      </c>
      <c r="AF420" s="117" t="s">
        <v>208</v>
      </c>
      <c r="AG420" s="116">
        <v>512</v>
      </c>
      <c r="AH420" s="117" t="s">
        <v>208</v>
      </c>
      <c r="AI420" s="116">
        <v>441.28000000000009</v>
      </c>
      <c r="AJ420" s="117" t="s">
        <v>208</v>
      </c>
      <c r="AK420" s="116">
        <v>189.12</v>
      </c>
      <c r="AL420" s="117" t="s">
        <v>208</v>
      </c>
      <c r="AM420" s="116">
        <v>5097.4254545454551</v>
      </c>
    </row>
    <row r="421" spans="1:39" s="100" customFormat="1" ht="46.8" x14ac:dyDescent="0.3">
      <c r="A421" s="97">
        <v>411</v>
      </c>
      <c r="B421" s="98" t="s">
        <v>1077</v>
      </c>
      <c r="C421" s="98" t="s">
        <v>2708</v>
      </c>
      <c r="D421" s="98" t="s">
        <v>1902</v>
      </c>
      <c r="E421" s="98" t="s">
        <v>2709</v>
      </c>
      <c r="F421" s="98" t="s">
        <v>49</v>
      </c>
      <c r="G421" s="99" t="s">
        <v>2710</v>
      </c>
      <c r="H421" s="99">
        <v>5</v>
      </c>
      <c r="I421" s="99" t="s">
        <v>2710</v>
      </c>
      <c r="J421" s="99">
        <v>1</v>
      </c>
      <c r="K421" s="98" t="s">
        <v>528</v>
      </c>
      <c r="L421" s="98" t="s">
        <v>528</v>
      </c>
      <c r="M421" s="116">
        <v>2108.4856246621503</v>
      </c>
      <c r="N421" s="116">
        <v>3372.2065632859849</v>
      </c>
      <c r="O421" s="116">
        <v>343.64</v>
      </c>
      <c r="P421" s="117" t="s">
        <v>208</v>
      </c>
      <c r="Q421" s="116">
        <v>261.14</v>
      </c>
      <c r="R421" s="117" t="s">
        <v>208</v>
      </c>
      <c r="S421" s="116">
        <v>198</v>
      </c>
      <c r="T421" s="117" t="s">
        <v>208</v>
      </c>
      <c r="U421" s="116">
        <v>216.48</v>
      </c>
      <c r="V421" s="117" t="s">
        <v>208</v>
      </c>
      <c r="W421" s="116">
        <v>197.78</v>
      </c>
      <c r="X421" s="117" t="s">
        <v>208</v>
      </c>
      <c r="Y421" s="116">
        <v>241.26000000000002</v>
      </c>
      <c r="Z421" s="117" t="s">
        <v>208</v>
      </c>
      <c r="AA421" s="116">
        <v>181.5</v>
      </c>
      <c r="AB421" s="117" t="s">
        <v>208</v>
      </c>
      <c r="AC421" s="116">
        <v>232.98</v>
      </c>
      <c r="AD421" s="117" t="s">
        <v>208</v>
      </c>
      <c r="AE421" s="116">
        <v>243.98</v>
      </c>
      <c r="AF421" s="117" t="s">
        <v>208</v>
      </c>
      <c r="AG421" s="116">
        <v>283.8</v>
      </c>
      <c r="AH421" s="117" t="s">
        <v>208</v>
      </c>
      <c r="AI421" s="116">
        <v>267.74</v>
      </c>
      <c r="AJ421" s="117" t="s">
        <v>208</v>
      </c>
      <c r="AK421" s="116">
        <v>226.82</v>
      </c>
      <c r="AL421" s="117" t="s">
        <v>208</v>
      </c>
      <c r="AM421" s="116">
        <v>2895.1200000000003</v>
      </c>
    </row>
    <row r="422" spans="1:39" s="100" customFormat="1" ht="46.8" x14ac:dyDescent="0.3">
      <c r="A422" s="97">
        <v>412</v>
      </c>
      <c r="B422" s="98" t="s">
        <v>1078</v>
      </c>
      <c r="C422" s="98" t="s">
        <v>2708</v>
      </c>
      <c r="D422" s="98" t="s">
        <v>1902</v>
      </c>
      <c r="E422" s="98" t="s">
        <v>2709</v>
      </c>
      <c r="F422" s="98" t="s">
        <v>49</v>
      </c>
      <c r="G422" s="99" t="s">
        <v>2710</v>
      </c>
      <c r="H422" s="99">
        <v>4</v>
      </c>
      <c r="I422" s="99" t="s">
        <v>2710</v>
      </c>
      <c r="J422" s="99">
        <v>1</v>
      </c>
      <c r="K422" s="98" t="s">
        <v>528</v>
      </c>
      <c r="L422" s="98" t="s">
        <v>528</v>
      </c>
      <c r="M422" s="116">
        <v>798.0810223611287</v>
      </c>
      <c r="N422" s="116">
        <v>1372.0238075545558</v>
      </c>
      <c r="O422" s="116">
        <v>89.390000000000015</v>
      </c>
      <c r="P422" s="117" t="s">
        <v>208</v>
      </c>
      <c r="Q422" s="116">
        <v>107.94000000000001</v>
      </c>
      <c r="R422" s="117" t="s">
        <v>208</v>
      </c>
      <c r="S422" s="116">
        <v>90.160000000000011</v>
      </c>
      <c r="T422" s="117" t="s">
        <v>208</v>
      </c>
      <c r="U422" s="116">
        <v>100.24000000000001</v>
      </c>
      <c r="V422" s="117" t="s">
        <v>208</v>
      </c>
      <c r="W422" s="116">
        <v>79.800000000000011</v>
      </c>
      <c r="X422" s="117" t="s">
        <v>208</v>
      </c>
      <c r="Y422" s="116">
        <v>92.921818181818196</v>
      </c>
      <c r="Z422" s="117" t="s">
        <v>208</v>
      </c>
      <c r="AA422" s="116">
        <v>159.53000000000003</v>
      </c>
      <c r="AB422" s="117" t="s">
        <v>208</v>
      </c>
      <c r="AC422" s="116">
        <v>61.740000000000009</v>
      </c>
      <c r="AD422" s="117" t="s">
        <v>208</v>
      </c>
      <c r="AE422" s="116">
        <v>83.44</v>
      </c>
      <c r="AF422" s="117" t="s">
        <v>208</v>
      </c>
      <c r="AG422" s="116">
        <v>112.00000000000001</v>
      </c>
      <c r="AH422" s="117" t="s">
        <v>208</v>
      </c>
      <c r="AI422" s="116">
        <v>96.53</v>
      </c>
      <c r="AJ422" s="117" t="s">
        <v>208</v>
      </c>
      <c r="AK422" s="116">
        <v>41.370000000000005</v>
      </c>
      <c r="AL422" s="117" t="s">
        <v>208</v>
      </c>
      <c r="AM422" s="116">
        <v>1115.0618181818181</v>
      </c>
    </row>
    <row r="423" spans="1:39" s="100" customFormat="1" ht="46.8" x14ac:dyDescent="0.3">
      <c r="A423" s="97">
        <v>413</v>
      </c>
      <c r="B423" s="98" t="s">
        <v>1079</v>
      </c>
      <c r="C423" s="98" t="s">
        <v>2708</v>
      </c>
      <c r="D423" s="98" t="s">
        <v>1902</v>
      </c>
      <c r="E423" s="98" t="s">
        <v>2709</v>
      </c>
      <c r="F423" s="98" t="s">
        <v>49</v>
      </c>
      <c r="G423" s="99" t="s">
        <v>2710</v>
      </c>
      <c r="H423" s="99">
        <v>5</v>
      </c>
      <c r="I423" s="99" t="s">
        <v>2710</v>
      </c>
      <c r="J423" s="99">
        <v>1</v>
      </c>
      <c r="K423" s="98" t="s">
        <v>528</v>
      </c>
      <c r="L423" s="98" t="s">
        <v>528</v>
      </c>
      <c r="M423" s="116">
        <v>3929.5292463076366</v>
      </c>
      <c r="N423" s="116">
        <v>6467.2157966647937</v>
      </c>
      <c r="O423" s="116">
        <v>421.40999999999997</v>
      </c>
      <c r="P423" s="117" t="s">
        <v>208</v>
      </c>
      <c r="Q423" s="116">
        <v>508.86</v>
      </c>
      <c r="R423" s="117" t="s">
        <v>208</v>
      </c>
      <c r="S423" s="116">
        <v>425.04</v>
      </c>
      <c r="T423" s="117" t="s">
        <v>208</v>
      </c>
      <c r="U423" s="116">
        <v>472.56</v>
      </c>
      <c r="V423" s="117" t="s">
        <v>208</v>
      </c>
      <c r="W423" s="116">
        <v>376.20000000000005</v>
      </c>
      <c r="X423" s="117" t="s">
        <v>208</v>
      </c>
      <c r="Y423" s="116">
        <v>438.05999999999989</v>
      </c>
      <c r="Z423" s="117" t="s">
        <v>208</v>
      </c>
      <c r="AA423" s="116">
        <v>752.07</v>
      </c>
      <c r="AB423" s="117" t="s">
        <v>208</v>
      </c>
      <c r="AC423" s="116">
        <v>291.06</v>
      </c>
      <c r="AD423" s="117" t="s">
        <v>208</v>
      </c>
      <c r="AE423" s="116">
        <v>393.36</v>
      </c>
      <c r="AF423" s="117" t="s">
        <v>208</v>
      </c>
      <c r="AG423" s="116">
        <v>528</v>
      </c>
      <c r="AH423" s="117" t="s">
        <v>208</v>
      </c>
      <c r="AI423" s="116">
        <v>455.07000000000005</v>
      </c>
      <c r="AJ423" s="117" t="s">
        <v>208</v>
      </c>
      <c r="AK423" s="116">
        <v>195.03000000000003</v>
      </c>
      <c r="AL423" s="117" t="s">
        <v>208</v>
      </c>
      <c r="AM423" s="116">
        <v>5256.7199999999993</v>
      </c>
    </row>
    <row r="424" spans="1:39" s="100" customFormat="1" ht="46.8" x14ac:dyDescent="0.3">
      <c r="A424" s="97">
        <v>414</v>
      </c>
      <c r="B424" s="98" t="s">
        <v>1080</v>
      </c>
      <c r="C424" s="98" t="s">
        <v>2708</v>
      </c>
      <c r="D424" s="98" t="s">
        <v>1902</v>
      </c>
      <c r="E424" s="98" t="s">
        <v>2709</v>
      </c>
      <c r="F424" s="98" t="s">
        <v>49</v>
      </c>
      <c r="G424" s="99" t="s">
        <v>2710</v>
      </c>
      <c r="H424" s="99">
        <v>10</v>
      </c>
      <c r="I424" s="99" t="s">
        <v>2710</v>
      </c>
      <c r="J424" s="99">
        <v>2</v>
      </c>
      <c r="K424" s="98" t="s">
        <v>528</v>
      </c>
      <c r="L424" s="98" t="s">
        <v>528</v>
      </c>
      <c r="M424" s="116">
        <v>3060.310415709097</v>
      </c>
      <c r="N424" s="116">
        <v>5515.1985939471351</v>
      </c>
      <c r="O424" s="116">
        <v>478.08</v>
      </c>
      <c r="P424" s="117" t="s">
        <v>208</v>
      </c>
      <c r="Q424" s="116">
        <v>568.31999999999994</v>
      </c>
      <c r="R424" s="117" t="s">
        <v>208</v>
      </c>
      <c r="S424" s="116">
        <v>454.56</v>
      </c>
      <c r="T424" s="117" t="s">
        <v>208</v>
      </c>
      <c r="U424" s="116">
        <v>447.84000000000003</v>
      </c>
      <c r="V424" s="117" t="s">
        <v>208</v>
      </c>
      <c r="W424" s="116">
        <v>299.03999999999996</v>
      </c>
      <c r="X424" s="117" t="s">
        <v>208</v>
      </c>
      <c r="Y424" s="116">
        <v>380.46545454545446</v>
      </c>
      <c r="Z424" s="117" t="s">
        <v>208</v>
      </c>
      <c r="AA424" s="116">
        <v>241.91999999999996</v>
      </c>
      <c r="AB424" s="117" t="s">
        <v>208</v>
      </c>
      <c r="AC424" s="116">
        <v>382.55999999999995</v>
      </c>
      <c r="AD424" s="117" t="s">
        <v>208</v>
      </c>
      <c r="AE424" s="116">
        <v>430.55999999999995</v>
      </c>
      <c r="AF424" s="117" t="s">
        <v>208</v>
      </c>
      <c r="AG424" s="116">
        <v>137.76</v>
      </c>
      <c r="AH424" s="117" t="s">
        <v>208</v>
      </c>
      <c r="AI424" s="116">
        <v>402.23999999999995</v>
      </c>
      <c r="AJ424" s="117" t="s">
        <v>208</v>
      </c>
      <c r="AK424" s="116">
        <v>342.24</v>
      </c>
      <c r="AL424" s="117" t="s">
        <v>208</v>
      </c>
      <c r="AM424" s="116">
        <v>4565.585454545454</v>
      </c>
    </row>
    <row r="425" spans="1:39" s="100" customFormat="1" ht="46.8" x14ac:dyDescent="0.3">
      <c r="A425" s="97">
        <v>415</v>
      </c>
      <c r="B425" s="98" t="s">
        <v>1081</v>
      </c>
      <c r="C425" s="98" t="s">
        <v>2708</v>
      </c>
      <c r="D425" s="98" t="s">
        <v>1902</v>
      </c>
      <c r="E425" s="98" t="s">
        <v>2709</v>
      </c>
      <c r="F425" s="98" t="s">
        <v>49</v>
      </c>
      <c r="G425" s="99" t="s">
        <v>2710</v>
      </c>
      <c r="H425" s="99">
        <v>5</v>
      </c>
      <c r="I425" s="99" t="s">
        <v>2710</v>
      </c>
      <c r="J425" s="99">
        <v>1</v>
      </c>
      <c r="K425" s="98" t="s">
        <v>528</v>
      </c>
      <c r="L425" s="98" t="s">
        <v>529</v>
      </c>
      <c r="M425" s="116">
        <v>2664.2102247478147</v>
      </c>
      <c r="N425" s="116">
        <v>4796.2439926213701</v>
      </c>
      <c r="O425" s="116">
        <v>547.80000000000007</v>
      </c>
      <c r="P425" s="117" t="s">
        <v>1906</v>
      </c>
      <c r="Q425" s="116">
        <v>547.80000000000007</v>
      </c>
      <c r="R425" s="117" t="s">
        <v>1906</v>
      </c>
      <c r="S425" s="116">
        <v>547.80000000000007</v>
      </c>
      <c r="T425" s="117" t="s">
        <v>1906</v>
      </c>
      <c r="U425" s="116">
        <v>547.80000000000007</v>
      </c>
      <c r="V425" s="117" t="s">
        <v>1906</v>
      </c>
      <c r="W425" s="116">
        <v>547.80000000000007</v>
      </c>
      <c r="X425" s="117" t="s">
        <v>1906</v>
      </c>
      <c r="Y425" s="116">
        <v>322.80000000000013</v>
      </c>
      <c r="Z425" s="117" t="s">
        <v>1906</v>
      </c>
      <c r="AA425" s="116">
        <v>135.30000000000001</v>
      </c>
      <c r="AB425" s="117" t="s">
        <v>1906</v>
      </c>
      <c r="AC425" s="116">
        <v>135.30000000000001</v>
      </c>
      <c r="AD425" s="117" t="s">
        <v>1906</v>
      </c>
      <c r="AE425" s="116">
        <v>135.30000000000001</v>
      </c>
      <c r="AF425" s="117" t="s">
        <v>1906</v>
      </c>
      <c r="AG425" s="116">
        <v>135.30000000000001</v>
      </c>
      <c r="AH425" s="117" t="s">
        <v>1906</v>
      </c>
      <c r="AI425" s="116">
        <v>135.30000000000001</v>
      </c>
      <c r="AJ425" s="117" t="s">
        <v>1906</v>
      </c>
      <c r="AK425" s="116">
        <v>135.30000000000001</v>
      </c>
      <c r="AL425" s="117" t="s">
        <v>1906</v>
      </c>
      <c r="AM425" s="116">
        <v>3873.6000000000017</v>
      </c>
    </row>
    <row r="426" spans="1:39" s="100" customFormat="1" ht="46.8" x14ac:dyDescent="0.3">
      <c r="A426" s="97">
        <v>416</v>
      </c>
      <c r="B426" s="98" t="s">
        <v>1083</v>
      </c>
      <c r="C426" s="98" t="s">
        <v>2708</v>
      </c>
      <c r="D426" s="98" t="s">
        <v>1902</v>
      </c>
      <c r="E426" s="98" t="s">
        <v>2709</v>
      </c>
      <c r="F426" s="98" t="s">
        <v>49</v>
      </c>
      <c r="G426" s="99" t="s">
        <v>2710</v>
      </c>
      <c r="H426" s="99">
        <v>10</v>
      </c>
      <c r="I426" s="99" t="s">
        <v>2710</v>
      </c>
      <c r="J426" s="99">
        <v>2</v>
      </c>
      <c r="K426" s="98" t="s">
        <v>528</v>
      </c>
      <c r="L426" s="98" t="s">
        <v>528</v>
      </c>
      <c r="M426" s="116">
        <v>3333.1844141139386</v>
      </c>
      <c r="N426" s="116">
        <v>6078.4661609798741</v>
      </c>
      <c r="O426" s="116">
        <v>517.92000000000007</v>
      </c>
      <c r="P426" s="117" t="s">
        <v>208</v>
      </c>
      <c r="Q426" s="116">
        <v>615.68000000000006</v>
      </c>
      <c r="R426" s="117" t="s">
        <v>208</v>
      </c>
      <c r="S426" s="116">
        <v>492.44</v>
      </c>
      <c r="T426" s="117" t="s">
        <v>208</v>
      </c>
      <c r="U426" s="116">
        <v>485.15999999999997</v>
      </c>
      <c r="V426" s="117" t="s">
        <v>208</v>
      </c>
      <c r="W426" s="116">
        <v>323.96000000000004</v>
      </c>
      <c r="X426" s="117" t="s">
        <v>208</v>
      </c>
      <c r="Y426" s="116">
        <v>412.17090909090916</v>
      </c>
      <c r="Z426" s="117" t="s">
        <v>208</v>
      </c>
      <c r="AA426" s="116">
        <v>262.08000000000004</v>
      </c>
      <c r="AB426" s="117" t="s">
        <v>208</v>
      </c>
      <c r="AC426" s="116">
        <v>414.44000000000005</v>
      </c>
      <c r="AD426" s="117" t="s">
        <v>208</v>
      </c>
      <c r="AE426" s="116">
        <v>466.44000000000005</v>
      </c>
      <c r="AF426" s="117" t="s">
        <v>208</v>
      </c>
      <c r="AG426" s="116">
        <v>149.24</v>
      </c>
      <c r="AH426" s="117" t="s">
        <v>208</v>
      </c>
      <c r="AI426" s="116">
        <v>435.76000000000005</v>
      </c>
      <c r="AJ426" s="117" t="s">
        <v>208</v>
      </c>
      <c r="AK426" s="116">
        <v>370.76</v>
      </c>
      <c r="AL426" s="117" t="s">
        <v>208</v>
      </c>
      <c r="AM426" s="116">
        <v>4946.05090909091</v>
      </c>
    </row>
    <row r="427" spans="1:39" s="100" customFormat="1" ht="46.8" x14ac:dyDescent="0.3">
      <c r="A427" s="97">
        <v>417</v>
      </c>
      <c r="B427" s="98" t="s">
        <v>1084</v>
      </c>
      <c r="C427" s="98" t="s">
        <v>2708</v>
      </c>
      <c r="D427" s="98" t="s">
        <v>1902</v>
      </c>
      <c r="E427" s="98" t="s">
        <v>2709</v>
      </c>
      <c r="F427" s="98" t="s">
        <v>49</v>
      </c>
      <c r="G427" s="99" t="s">
        <v>2710</v>
      </c>
      <c r="H427" s="99">
        <v>8</v>
      </c>
      <c r="I427" s="99" t="s">
        <v>2710</v>
      </c>
      <c r="J427" s="99">
        <v>2</v>
      </c>
      <c r="K427" s="98" t="s">
        <v>528</v>
      </c>
      <c r="L427" s="98" t="s">
        <v>529</v>
      </c>
      <c r="M427" s="116">
        <v>2126.0217405682411</v>
      </c>
      <c r="N427" s="116">
        <v>3699.6990587288988</v>
      </c>
      <c r="O427" s="116">
        <v>448.20000000000005</v>
      </c>
      <c r="P427" s="117" t="s">
        <v>1906</v>
      </c>
      <c r="Q427" s="116">
        <v>448.20000000000005</v>
      </c>
      <c r="R427" s="117" t="s">
        <v>1906</v>
      </c>
      <c r="S427" s="116">
        <v>448.20000000000005</v>
      </c>
      <c r="T427" s="117" t="s">
        <v>1906</v>
      </c>
      <c r="U427" s="116">
        <v>448.20000000000005</v>
      </c>
      <c r="V427" s="117" t="s">
        <v>1906</v>
      </c>
      <c r="W427" s="116">
        <v>448.20000000000005</v>
      </c>
      <c r="X427" s="117" t="s">
        <v>1906</v>
      </c>
      <c r="Y427" s="116">
        <v>264.10909090909081</v>
      </c>
      <c r="Z427" s="117" t="s">
        <v>1906</v>
      </c>
      <c r="AA427" s="116">
        <v>110.7</v>
      </c>
      <c r="AB427" s="117" t="s">
        <v>1906</v>
      </c>
      <c r="AC427" s="116">
        <v>110.7</v>
      </c>
      <c r="AD427" s="117" t="s">
        <v>1906</v>
      </c>
      <c r="AE427" s="116">
        <v>110.7</v>
      </c>
      <c r="AF427" s="117" t="s">
        <v>1906</v>
      </c>
      <c r="AG427" s="116">
        <v>110.7</v>
      </c>
      <c r="AH427" s="117" t="s">
        <v>1906</v>
      </c>
      <c r="AI427" s="116">
        <v>110.7</v>
      </c>
      <c r="AJ427" s="117" t="s">
        <v>1906</v>
      </c>
      <c r="AK427" s="116">
        <v>110.7</v>
      </c>
      <c r="AL427" s="117" t="s">
        <v>1906</v>
      </c>
      <c r="AM427" s="116">
        <v>3169.3090909090897</v>
      </c>
    </row>
    <row r="428" spans="1:39" s="100" customFormat="1" ht="46.8" x14ac:dyDescent="0.3">
      <c r="A428" s="97">
        <v>418</v>
      </c>
      <c r="B428" s="98" t="s">
        <v>1085</v>
      </c>
      <c r="C428" s="98" t="s">
        <v>2708</v>
      </c>
      <c r="D428" s="98" t="s">
        <v>1902</v>
      </c>
      <c r="E428" s="98" t="s">
        <v>2709</v>
      </c>
      <c r="F428" s="98" t="s">
        <v>49</v>
      </c>
      <c r="G428" s="99" t="s">
        <v>2710</v>
      </c>
      <c r="H428" s="99">
        <v>5</v>
      </c>
      <c r="I428" s="99" t="s">
        <v>2710</v>
      </c>
      <c r="J428" s="99">
        <v>1</v>
      </c>
      <c r="K428" s="98" t="s">
        <v>528</v>
      </c>
      <c r="L428" s="98" t="s">
        <v>528</v>
      </c>
      <c r="M428" s="116">
        <v>1035.3550948537165</v>
      </c>
      <c r="N428" s="116">
        <v>1756.3614536270968</v>
      </c>
      <c r="O428" s="116">
        <v>222.42000000000002</v>
      </c>
      <c r="P428" s="117" t="s">
        <v>208</v>
      </c>
      <c r="Q428" s="116">
        <v>160.38000000000002</v>
      </c>
      <c r="R428" s="117" t="s">
        <v>208</v>
      </c>
      <c r="S428" s="116">
        <v>104.94</v>
      </c>
      <c r="T428" s="117" t="s">
        <v>208</v>
      </c>
      <c r="U428" s="116">
        <v>95.700000000000017</v>
      </c>
      <c r="V428" s="117" t="s">
        <v>208</v>
      </c>
      <c r="W428" s="116">
        <v>83.820000000000007</v>
      </c>
      <c r="X428" s="117" t="s">
        <v>208</v>
      </c>
      <c r="Y428" s="116">
        <v>124.56000000000003</v>
      </c>
      <c r="Z428" s="117" t="s">
        <v>208</v>
      </c>
      <c r="AA428" s="116">
        <v>28.71</v>
      </c>
      <c r="AB428" s="117" t="s">
        <v>208</v>
      </c>
      <c r="AC428" s="116">
        <v>138.27000000000001</v>
      </c>
      <c r="AD428" s="117" t="s">
        <v>208</v>
      </c>
      <c r="AE428" s="116">
        <v>171.26999999999998</v>
      </c>
      <c r="AF428" s="117" t="s">
        <v>208</v>
      </c>
      <c r="AG428" s="116">
        <v>55.769999999999996</v>
      </c>
      <c r="AH428" s="117" t="s">
        <v>208</v>
      </c>
      <c r="AI428" s="116">
        <v>181.5</v>
      </c>
      <c r="AJ428" s="117" t="s">
        <v>208</v>
      </c>
      <c r="AK428" s="116">
        <v>127.38</v>
      </c>
      <c r="AL428" s="117" t="s">
        <v>208</v>
      </c>
      <c r="AM428" s="116">
        <v>1494.7200000000003</v>
      </c>
    </row>
    <row r="429" spans="1:39" s="100" customFormat="1" ht="46.8" x14ac:dyDescent="0.3">
      <c r="A429" s="97">
        <v>419</v>
      </c>
      <c r="B429" s="98" t="s">
        <v>1087</v>
      </c>
      <c r="C429" s="98" t="s">
        <v>2708</v>
      </c>
      <c r="D429" s="98" t="s">
        <v>1902</v>
      </c>
      <c r="E429" s="98" t="s">
        <v>2709</v>
      </c>
      <c r="F429" s="98" t="s">
        <v>49</v>
      </c>
      <c r="G429" s="99" t="s">
        <v>2710</v>
      </c>
      <c r="H429" s="99">
        <v>8</v>
      </c>
      <c r="I429" s="99" t="s">
        <v>2710</v>
      </c>
      <c r="J429" s="99">
        <v>2</v>
      </c>
      <c r="K429" s="98" t="s">
        <v>528</v>
      </c>
      <c r="L429" s="98" t="s">
        <v>528</v>
      </c>
      <c r="M429" s="116">
        <v>2281.4259982789295</v>
      </c>
      <c r="N429" s="116">
        <v>4016.4700095497847</v>
      </c>
      <c r="O429" s="116">
        <v>310</v>
      </c>
      <c r="P429" s="117" t="s">
        <v>208</v>
      </c>
      <c r="Q429" s="116">
        <v>295</v>
      </c>
      <c r="R429" s="117" t="s">
        <v>208</v>
      </c>
      <c r="S429" s="116">
        <v>226</v>
      </c>
      <c r="T429" s="117" t="s">
        <v>208</v>
      </c>
      <c r="U429" s="116">
        <v>218</v>
      </c>
      <c r="V429" s="117" t="s">
        <v>208</v>
      </c>
      <c r="W429" s="116">
        <v>212</v>
      </c>
      <c r="X429" s="117" t="s">
        <v>208</v>
      </c>
      <c r="Y429" s="116">
        <v>275.54545454545456</v>
      </c>
      <c r="Z429" s="117" t="s">
        <v>208</v>
      </c>
      <c r="AA429" s="116">
        <v>294</v>
      </c>
      <c r="AB429" s="117" t="s">
        <v>208</v>
      </c>
      <c r="AC429" s="116">
        <v>390</v>
      </c>
      <c r="AD429" s="117" t="s">
        <v>208</v>
      </c>
      <c r="AE429" s="116">
        <v>490</v>
      </c>
      <c r="AF429" s="117" t="s">
        <v>208</v>
      </c>
      <c r="AG429" s="116">
        <v>118</v>
      </c>
      <c r="AH429" s="117" t="s">
        <v>208</v>
      </c>
      <c r="AI429" s="116">
        <v>280</v>
      </c>
      <c r="AJ429" s="117" t="s">
        <v>208</v>
      </c>
      <c r="AK429" s="116">
        <v>198</v>
      </c>
      <c r="AL429" s="117" t="s">
        <v>208</v>
      </c>
      <c r="AM429" s="116">
        <v>3306.5454545454545</v>
      </c>
    </row>
    <row r="430" spans="1:39" s="100" customFormat="1" ht="46.8" x14ac:dyDescent="0.3">
      <c r="A430" s="97">
        <v>420</v>
      </c>
      <c r="B430" s="98" t="s">
        <v>1088</v>
      </c>
      <c r="C430" s="98" t="s">
        <v>2708</v>
      </c>
      <c r="D430" s="98" t="s">
        <v>1902</v>
      </c>
      <c r="E430" s="98" t="s">
        <v>2709</v>
      </c>
      <c r="F430" s="98" t="s">
        <v>49</v>
      </c>
      <c r="G430" s="99" t="s">
        <v>2710</v>
      </c>
      <c r="H430" s="99">
        <v>5</v>
      </c>
      <c r="I430" s="99" t="s">
        <v>2710</v>
      </c>
      <c r="J430" s="99">
        <v>1</v>
      </c>
      <c r="K430" s="98" t="s">
        <v>528</v>
      </c>
      <c r="L430" s="98" t="s">
        <v>528</v>
      </c>
      <c r="M430" s="116">
        <v>1585.0982888231204</v>
      </c>
      <c r="N430" s="116">
        <v>2639.1316024370426</v>
      </c>
      <c r="O430" s="116">
        <v>295</v>
      </c>
      <c r="P430" s="117" t="s">
        <v>208</v>
      </c>
      <c r="Q430" s="116">
        <v>257</v>
      </c>
      <c r="R430" s="117" t="s">
        <v>208</v>
      </c>
      <c r="S430" s="116">
        <v>170</v>
      </c>
      <c r="T430" s="117" t="s">
        <v>208</v>
      </c>
      <c r="U430" s="116">
        <v>195</v>
      </c>
      <c r="V430" s="117" t="s">
        <v>208</v>
      </c>
      <c r="W430" s="116">
        <v>123</v>
      </c>
      <c r="X430" s="117" t="s">
        <v>208</v>
      </c>
      <c r="Y430" s="116">
        <v>189.72727272727272</v>
      </c>
      <c r="Z430" s="117" t="s">
        <v>208</v>
      </c>
      <c r="AA430" s="116">
        <v>137</v>
      </c>
      <c r="AB430" s="117" t="s">
        <v>208</v>
      </c>
      <c r="AC430" s="116">
        <v>201</v>
      </c>
      <c r="AD430" s="117" t="s">
        <v>208</v>
      </c>
      <c r="AE430" s="116">
        <v>251</v>
      </c>
      <c r="AF430" s="117" t="s">
        <v>208</v>
      </c>
      <c r="AG430" s="116">
        <v>105</v>
      </c>
      <c r="AH430" s="117" t="s">
        <v>208</v>
      </c>
      <c r="AI430" s="116">
        <v>170</v>
      </c>
      <c r="AJ430" s="117" t="s">
        <v>208</v>
      </c>
      <c r="AK430" s="116">
        <v>183</v>
      </c>
      <c r="AL430" s="117" t="s">
        <v>208</v>
      </c>
      <c r="AM430" s="116">
        <v>2276.727272727273</v>
      </c>
    </row>
    <row r="431" spans="1:39" s="100" customFormat="1" ht="46.8" x14ac:dyDescent="0.3">
      <c r="A431" s="97">
        <v>421</v>
      </c>
      <c r="B431" s="98" t="s">
        <v>1090</v>
      </c>
      <c r="C431" s="98" t="s">
        <v>2708</v>
      </c>
      <c r="D431" s="98" t="s">
        <v>1902</v>
      </c>
      <c r="E431" s="98" t="s">
        <v>2709</v>
      </c>
      <c r="F431" s="98" t="s">
        <v>49</v>
      </c>
      <c r="G431" s="99" t="s">
        <v>2710</v>
      </c>
      <c r="H431" s="99">
        <v>12</v>
      </c>
      <c r="I431" s="99" t="s">
        <v>2710</v>
      </c>
      <c r="J431" s="99">
        <v>2</v>
      </c>
      <c r="K431" s="98" t="s">
        <v>528</v>
      </c>
      <c r="L431" s="98" t="s">
        <v>528</v>
      </c>
      <c r="M431" s="116">
        <v>5449.6052124923553</v>
      </c>
      <c r="N431" s="116">
        <v>9168.9312109009261</v>
      </c>
      <c r="O431" s="116">
        <v>1401</v>
      </c>
      <c r="P431" s="117" t="s">
        <v>208</v>
      </c>
      <c r="Q431" s="116">
        <v>1069</v>
      </c>
      <c r="R431" s="117" t="s">
        <v>208</v>
      </c>
      <c r="S431" s="116">
        <v>52</v>
      </c>
      <c r="T431" s="117" t="s">
        <v>208</v>
      </c>
      <c r="U431" s="116">
        <v>66</v>
      </c>
      <c r="V431" s="117" t="s">
        <v>208</v>
      </c>
      <c r="W431" s="116">
        <v>51</v>
      </c>
      <c r="X431" s="117" t="s">
        <v>208</v>
      </c>
      <c r="Y431" s="116">
        <v>664.18181818181813</v>
      </c>
      <c r="Z431" s="117" t="s">
        <v>208</v>
      </c>
      <c r="AA431" s="116">
        <v>0</v>
      </c>
      <c r="AB431" s="117" t="s">
        <v>208</v>
      </c>
      <c r="AC431" s="116">
        <v>587</v>
      </c>
      <c r="AD431" s="117" t="s">
        <v>208</v>
      </c>
      <c r="AE431" s="116">
        <v>716</v>
      </c>
      <c r="AF431" s="117" t="s">
        <v>208</v>
      </c>
      <c r="AG431" s="116">
        <v>791</v>
      </c>
      <c r="AH431" s="117" t="s">
        <v>208</v>
      </c>
      <c r="AI431" s="116">
        <v>1703</v>
      </c>
      <c r="AJ431" s="117" t="s">
        <v>208</v>
      </c>
      <c r="AK431" s="116">
        <v>870</v>
      </c>
      <c r="AL431" s="117" t="s">
        <v>208</v>
      </c>
      <c r="AM431" s="116">
        <v>7970.181818181818</v>
      </c>
    </row>
    <row r="432" spans="1:39" s="100" customFormat="1" ht="46.8" x14ac:dyDescent="0.3">
      <c r="A432" s="97">
        <v>422</v>
      </c>
      <c r="B432" s="98" t="s">
        <v>1091</v>
      </c>
      <c r="C432" s="98" t="s">
        <v>2708</v>
      </c>
      <c r="D432" s="98" t="s">
        <v>1902</v>
      </c>
      <c r="E432" s="98" t="s">
        <v>2709</v>
      </c>
      <c r="F432" s="98" t="s">
        <v>49</v>
      </c>
      <c r="G432" s="99" t="s">
        <v>2710</v>
      </c>
      <c r="H432" s="99">
        <v>2</v>
      </c>
      <c r="I432" s="99" t="s">
        <v>2710</v>
      </c>
      <c r="J432" s="99">
        <v>1</v>
      </c>
      <c r="K432" s="98" t="s">
        <v>528</v>
      </c>
      <c r="L432" s="98" t="s">
        <v>528</v>
      </c>
      <c r="M432" s="116">
        <v>2096.2304134058013</v>
      </c>
      <c r="N432" s="116">
        <v>3366.3875372481566</v>
      </c>
      <c r="O432" s="116">
        <v>215.2541567350678</v>
      </c>
      <c r="P432" s="117" t="s">
        <v>208</v>
      </c>
      <c r="Q432" s="116">
        <v>194.53941295541418</v>
      </c>
      <c r="R432" s="117" t="s">
        <v>208</v>
      </c>
      <c r="S432" s="116">
        <v>232.63785241171175</v>
      </c>
      <c r="T432" s="117" t="s">
        <v>208</v>
      </c>
      <c r="U432" s="116">
        <v>179.54349486002548</v>
      </c>
      <c r="V432" s="117" t="s">
        <v>208</v>
      </c>
      <c r="W432" s="116">
        <v>219.38317754769793</v>
      </c>
      <c r="X432" s="117" t="s">
        <v>208</v>
      </c>
      <c r="Y432" s="116">
        <v>243.45661625546398</v>
      </c>
      <c r="Z432" s="117" t="s">
        <v>208</v>
      </c>
      <c r="AA432" s="116">
        <v>289.36561094952782</v>
      </c>
      <c r="AB432" s="117" t="s">
        <v>208</v>
      </c>
      <c r="AC432" s="116">
        <v>279.24244847754704</v>
      </c>
      <c r="AD432" s="117" t="s">
        <v>208</v>
      </c>
      <c r="AE432" s="116">
        <v>293.27686009393443</v>
      </c>
      <c r="AF432" s="117" t="s">
        <v>208</v>
      </c>
      <c r="AG432" s="116">
        <v>246.11903593190317</v>
      </c>
      <c r="AH432" s="117" t="s">
        <v>208</v>
      </c>
      <c r="AI432" s="116">
        <v>266.81515592135406</v>
      </c>
      <c r="AJ432" s="117" t="s">
        <v>208</v>
      </c>
      <c r="AK432" s="116">
        <v>261.84557292592024</v>
      </c>
      <c r="AL432" s="117" t="s">
        <v>208</v>
      </c>
      <c r="AM432" s="116">
        <v>2921.4793950655676</v>
      </c>
    </row>
    <row r="433" spans="1:39" s="100" customFormat="1" ht="46.8" x14ac:dyDescent="0.3">
      <c r="A433" s="97">
        <v>423</v>
      </c>
      <c r="B433" s="98" t="s">
        <v>1093</v>
      </c>
      <c r="C433" s="98" t="s">
        <v>2708</v>
      </c>
      <c r="D433" s="98" t="s">
        <v>1902</v>
      </c>
      <c r="E433" s="98" t="s">
        <v>2709</v>
      </c>
      <c r="F433" s="98" t="s">
        <v>49</v>
      </c>
      <c r="G433" s="99" t="s">
        <v>2710</v>
      </c>
      <c r="H433" s="99">
        <v>30</v>
      </c>
      <c r="I433" s="99" t="s">
        <v>2710</v>
      </c>
      <c r="J433" s="99">
        <v>5</v>
      </c>
      <c r="K433" s="98" t="s">
        <v>528</v>
      </c>
      <c r="L433" s="98" t="s">
        <v>528</v>
      </c>
      <c r="M433" s="116">
        <v>18253.774291279537</v>
      </c>
      <c r="N433" s="116">
        <v>29793.422232180328</v>
      </c>
      <c r="O433" s="116">
        <v>2774</v>
      </c>
      <c r="P433" s="117" t="s">
        <v>208</v>
      </c>
      <c r="Q433" s="116">
        <v>2516</v>
      </c>
      <c r="R433" s="117" t="s">
        <v>208</v>
      </c>
      <c r="S433" s="116">
        <v>1878</v>
      </c>
      <c r="T433" s="117" t="s">
        <v>208</v>
      </c>
      <c r="U433" s="116">
        <v>1959</v>
      </c>
      <c r="V433" s="117" t="s">
        <v>208</v>
      </c>
      <c r="W433" s="116">
        <v>1728</v>
      </c>
      <c r="X433" s="117" t="s">
        <v>208</v>
      </c>
      <c r="Y433" s="116">
        <v>2088.090909090909</v>
      </c>
      <c r="Z433" s="117" t="s">
        <v>208</v>
      </c>
      <c r="AA433" s="116">
        <v>1378</v>
      </c>
      <c r="AB433" s="117" t="s">
        <v>208</v>
      </c>
      <c r="AC433" s="116">
        <v>1378</v>
      </c>
      <c r="AD433" s="117" t="s">
        <v>208</v>
      </c>
      <c r="AE433" s="116">
        <v>1827</v>
      </c>
      <c r="AF433" s="117" t="s">
        <v>208</v>
      </c>
      <c r="AG433" s="116">
        <v>2579</v>
      </c>
      <c r="AH433" s="117" t="s">
        <v>208</v>
      </c>
      <c r="AI433" s="116">
        <v>1944</v>
      </c>
      <c r="AJ433" s="117" t="s">
        <v>208</v>
      </c>
      <c r="AK433" s="116">
        <v>3008</v>
      </c>
      <c r="AL433" s="117" t="s">
        <v>208</v>
      </c>
      <c r="AM433" s="116">
        <v>25057.090909090908</v>
      </c>
    </row>
    <row r="434" spans="1:39" s="100" customFormat="1" ht="46.8" x14ac:dyDescent="0.3">
      <c r="A434" s="97">
        <v>424</v>
      </c>
      <c r="B434" s="98" t="s">
        <v>1094</v>
      </c>
      <c r="C434" s="98" t="s">
        <v>2708</v>
      </c>
      <c r="D434" s="98" t="s">
        <v>1902</v>
      </c>
      <c r="E434" s="98" t="s">
        <v>2709</v>
      </c>
      <c r="F434" s="98" t="s">
        <v>49</v>
      </c>
      <c r="G434" s="99" t="s">
        <v>2710</v>
      </c>
      <c r="H434" s="99">
        <v>18</v>
      </c>
      <c r="I434" s="99" t="s">
        <v>2710</v>
      </c>
      <c r="J434" s="99">
        <v>3</v>
      </c>
      <c r="K434" s="98" t="s">
        <v>528</v>
      </c>
      <c r="L434" s="98" t="s">
        <v>528</v>
      </c>
      <c r="M434" s="116">
        <v>18412.70675127643</v>
      </c>
      <c r="N434" s="116">
        <v>31942.900730389458</v>
      </c>
      <c r="O434" s="116">
        <v>2451</v>
      </c>
      <c r="P434" s="117" t="s">
        <v>208</v>
      </c>
      <c r="Q434" s="116">
        <v>2441</v>
      </c>
      <c r="R434" s="117" t="s">
        <v>208</v>
      </c>
      <c r="S434" s="116">
        <v>2388</v>
      </c>
      <c r="T434" s="117" t="s">
        <v>208</v>
      </c>
      <c r="U434" s="116">
        <v>2424</v>
      </c>
      <c r="V434" s="117" t="s">
        <v>208</v>
      </c>
      <c r="W434" s="116">
        <v>2401</v>
      </c>
      <c r="X434" s="117" t="s">
        <v>208</v>
      </c>
      <c r="Y434" s="116">
        <v>2280.2727272727275</v>
      </c>
      <c r="Z434" s="117" t="s">
        <v>208</v>
      </c>
      <c r="AA434" s="116">
        <v>2144</v>
      </c>
      <c r="AB434" s="117" t="s">
        <v>208</v>
      </c>
      <c r="AC434" s="116">
        <v>2147</v>
      </c>
      <c r="AD434" s="117" t="s">
        <v>208</v>
      </c>
      <c r="AE434" s="116">
        <v>2143</v>
      </c>
      <c r="AF434" s="117" t="s">
        <v>208</v>
      </c>
      <c r="AG434" s="116">
        <v>2216</v>
      </c>
      <c r="AH434" s="117" t="s">
        <v>208</v>
      </c>
      <c r="AI434" s="116">
        <v>2123</v>
      </c>
      <c r="AJ434" s="117" t="s">
        <v>208</v>
      </c>
      <c r="AK434" s="116">
        <v>2205</v>
      </c>
      <c r="AL434" s="117" t="s">
        <v>208</v>
      </c>
      <c r="AM434" s="116">
        <v>27363.272727272728</v>
      </c>
    </row>
    <row r="435" spans="1:39" s="100" customFormat="1" ht="46.8" x14ac:dyDescent="0.3">
      <c r="A435" s="97">
        <v>425</v>
      </c>
      <c r="B435" s="98" t="s">
        <v>1095</v>
      </c>
      <c r="C435" s="98" t="s">
        <v>2708</v>
      </c>
      <c r="D435" s="98" t="s">
        <v>1902</v>
      </c>
      <c r="E435" s="98" t="s">
        <v>2709</v>
      </c>
      <c r="F435" s="98" t="s">
        <v>49</v>
      </c>
      <c r="G435" s="99" t="s">
        <v>2710</v>
      </c>
      <c r="H435" s="99">
        <v>12</v>
      </c>
      <c r="I435" s="99" t="s">
        <v>2710</v>
      </c>
      <c r="J435" s="99">
        <v>2</v>
      </c>
      <c r="K435" s="98" t="s">
        <v>528</v>
      </c>
      <c r="L435" s="98" t="s">
        <v>528</v>
      </c>
      <c r="M435" s="116">
        <v>5688.1231415916218</v>
      </c>
      <c r="N435" s="116">
        <v>9988.0732197629713</v>
      </c>
      <c r="O435" s="116">
        <v>824</v>
      </c>
      <c r="P435" s="117" t="s">
        <v>208</v>
      </c>
      <c r="Q435" s="116">
        <v>803</v>
      </c>
      <c r="R435" s="117" t="s">
        <v>208</v>
      </c>
      <c r="S435" s="116">
        <v>619</v>
      </c>
      <c r="T435" s="117" t="s">
        <v>208</v>
      </c>
      <c r="U435" s="116">
        <v>670</v>
      </c>
      <c r="V435" s="117" t="s">
        <v>208</v>
      </c>
      <c r="W435" s="116">
        <v>585</v>
      </c>
      <c r="X435" s="117" t="s">
        <v>208</v>
      </c>
      <c r="Y435" s="116">
        <v>703.09090909090912</v>
      </c>
      <c r="Z435" s="117" t="s">
        <v>208</v>
      </c>
      <c r="AA435" s="116">
        <v>732</v>
      </c>
      <c r="AB435" s="117" t="s">
        <v>208</v>
      </c>
      <c r="AC435" s="116">
        <v>610</v>
      </c>
      <c r="AD435" s="117" t="s">
        <v>208</v>
      </c>
      <c r="AE435" s="116">
        <v>595</v>
      </c>
      <c r="AF435" s="117" t="s">
        <v>208</v>
      </c>
      <c r="AG435" s="116">
        <v>930</v>
      </c>
      <c r="AH435" s="117" t="s">
        <v>208</v>
      </c>
      <c r="AI435" s="116">
        <v>553</v>
      </c>
      <c r="AJ435" s="117" t="s">
        <v>208</v>
      </c>
      <c r="AK435" s="116">
        <v>813</v>
      </c>
      <c r="AL435" s="117" t="s">
        <v>208</v>
      </c>
      <c r="AM435" s="116">
        <v>8437.0909090909081</v>
      </c>
    </row>
    <row r="436" spans="1:39" s="100" customFormat="1" ht="46.8" x14ac:dyDescent="0.3">
      <c r="A436" s="97">
        <v>426</v>
      </c>
      <c r="B436" s="98" t="s">
        <v>1096</v>
      </c>
      <c r="C436" s="98" t="s">
        <v>2708</v>
      </c>
      <c r="D436" s="98" t="s">
        <v>1902</v>
      </c>
      <c r="E436" s="98" t="s">
        <v>2709</v>
      </c>
      <c r="F436" s="98" t="s">
        <v>49</v>
      </c>
      <c r="G436" s="99" t="s">
        <v>2710</v>
      </c>
      <c r="H436" s="99">
        <v>5</v>
      </c>
      <c r="I436" s="99" t="s">
        <v>2710</v>
      </c>
      <c r="J436" s="99">
        <v>1</v>
      </c>
      <c r="K436" s="98" t="s">
        <v>528</v>
      </c>
      <c r="L436" s="98" t="s">
        <v>528</v>
      </c>
      <c r="M436" s="116">
        <v>3790.2642624798941</v>
      </c>
      <c r="N436" s="116">
        <v>6640.3230961042482</v>
      </c>
      <c r="O436" s="116">
        <v>572</v>
      </c>
      <c r="P436" s="117" t="s">
        <v>208</v>
      </c>
      <c r="Q436" s="116">
        <v>525</v>
      </c>
      <c r="R436" s="117" t="s">
        <v>208</v>
      </c>
      <c r="S436" s="116">
        <v>507</v>
      </c>
      <c r="T436" s="117" t="s">
        <v>208</v>
      </c>
      <c r="U436" s="116">
        <v>462</v>
      </c>
      <c r="V436" s="117" t="s">
        <v>208</v>
      </c>
      <c r="W436" s="116">
        <v>420</v>
      </c>
      <c r="X436" s="117" t="s">
        <v>208</v>
      </c>
      <c r="Y436" s="116">
        <v>452.81818181818181</v>
      </c>
      <c r="Z436" s="117" t="s">
        <v>208</v>
      </c>
      <c r="AA436" s="116">
        <v>385</v>
      </c>
      <c r="AB436" s="117" t="s">
        <v>208</v>
      </c>
      <c r="AC436" s="116">
        <v>338</v>
      </c>
      <c r="AD436" s="117" t="s">
        <v>208</v>
      </c>
      <c r="AE436" s="116">
        <v>347</v>
      </c>
      <c r="AF436" s="117" t="s">
        <v>208</v>
      </c>
      <c r="AG436" s="116">
        <v>502</v>
      </c>
      <c r="AH436" s="117" t="s">
        <v>208</v>
      </c>
      <c r="AI436" s="116">
        <v>334</v>
      </c>
      <c r="AJ436" s="117" t="s">
        <v>208</v>
      </c>
      <c r="AK436" s="116">
        <v>589</v>
      </c>
      <c r="AL436" s="117" t="s">
        <v>208</v>
      </c>
      <c r="AM436" s="116">
        <v>5433.818181818182</v>
      </c>
    </row>
    <row r="437" spans="1:39" s="100" customFormat="1" ht="46.8" x14ac:dyDescent="0.3">
      <c r="A437" s="97">
        <v>427</v>
      </c>
      <c r="B437" s="98" t="s">
        <v>1097</v>
      </c>
      <c r="C437" s="98" t="s">
        <v>2708</v>
      </c>
      <c r="D437" s="98" t="s">
        <v>1902</v>
      </c>
      <c r="E437" s="98" t="s">
        <v>2709</v>
      </c>
      <c r="F437" s="98" t="s">
        <v>49</v>
      </c>
      <c r="G437" s="99" t="s">
        <v>2710</v>
      </c>
      <c r="H437" s="99">
        <v>5</v>
      </c>
      <c r="I437" s="99" t="s">
        <v>2710</v>
      </c>
      <c r="J437" s="99">
        <v>1</v>
      </c>
      <c r="K437" s="98" t="s">
        <v>528</v>
      </c>
      <c r="L437" s="98" t="s">
        <v>528</v>
      </c>
      <c r="M437" s="116">
        <v>3843.1975856101308</v>
      </c>
      <c r="N437" s="116">
        <v>6761.8833236773244</v>
      </c>
      <c r="O437" s="116">
        <v>449.75558177816401</v>
      </c>
      <c r="P437" s="117" t="s">
        <v>208</v>
      </c>
      <c r="Q437" s="116">
        <v>528.65951470639504</v>
      </c>
      <c r="R437" s="117" t="s">
        <v>208</v>
      </c>
      <c r="S437" s="116">
        <v>452.2863274252411</v>
      </c>
      <c r="T437" s="117" t="s">
        <v>208</v>
      </c>
      <c r="U437" s="116">
        <v>490.17717429547764</v>
      </c>
      <c r="V437" s="117" t="s">
        <v>208</v>
      </c>
      <c r="W437" s="116">
        <v>397.07956538101365</v>
      </c>
      <c r="X437" s="117" t="s">
        <v>208</v>
      </c>
      <c r="Y437" s="116">
        <v>474.52518331293936</v>
      </c>
      <c r="Z437" s="117" t="s">
        <v>208</v>
      </c>
      <c r="AA437" s="116">
        <v>370.27541922344335</v>
      </c>
      <c r="AB437" s="117" t="s">
        <v>208</v>
      </c>
      <c r="AC437" s="116">
        <v>467.46027821222759</v>
      </c>
      <c r="AD437" s="117" t="s">
        <v>208</v>
      </c>
      <c r="AE437" s="116">
        <v>564.99624715797404</v>
      </c>
      <c r="AF437" s="117" t="s">
        <v>208</v>
      </c>
      <c r="AG437" s="116">
        <v>501.06508009576135</v>
      </c>
      <c r="AH437" s="117" t="s">
        <v>208</v>
      </c>
      <c r="AI437" s="116">
        <v>443.40382974987381</v>
      </c>
      <c r="AJ437" s="117" t="s">
        <v>208</v>
      </c>
      <c r="AK437" s="116">
        <v>554.61799841676248</v>
      </c>
      <c r="AL437" s="117" t="s">
        <v>208</v>
      </c>
      <c r="AM437" s="116">
        <v>5694.3021997552733</v>
      </c>
    </row>
    <row r="438" spans="1:39" s="100" customFormat="1" ht="46.8" x14ac:dyDescent="0.3">
      <c r="A438" s="97">
        <v>428</v>
      </c>
      <c r="B438" s="98" t="s">
        <v>1099</v>
      </c>
      <c r="C438" s="98" t="s">
        <v>2708</v>
      </c>
      <c r="D438" s="98" t="s">
        <v>1902</v>
      </c>
      <c r="E438" s="98" t="s">
        <v>2709</v>
      </c>
      <c r="F438" s="98" t="s">
        <v>49</v>
      </c>
      <c r="G438" s="99" t="s">
        <v>2710</v>
      </c>
      <c r="H438" s="99">
        <v>35</v>
      </c>
      <c r="I438" s="99" t="s">
        <v>2710</v>
      </c>
      <c r="J438" s="99">
        <v>7</v>
      </c>
      <c r="K438" s="98" t="s">
        <v>528</v>
      </c>
      <c r="L438" s="98" t="s">
        <v>528</v>
      </c>
      <c r="M438" s="116">
        <v>5868.2973484311678</v>
      </c>
      <c r="N438" s="116">
        <v>9997.5657934437095</v>
      </c>
      <c r="O438" s="116">
        <v>917</v>
      </c>
      <c r="P438" s="117" t="s">
        <v>208</v>
      </c>
      <c r="Q438" s="116">
        <v>846</v>
      </c>
      <c r="R438" s="117" t="s">
        <v>208</v>
      </c>
      <c r="S438" s="116">
        <v>615</v>
      </c>
      <c r="T438" s="117" t="s">
        <v>208</v>
      </c>
      <c r="U438" s="116">
        <v>571</v>
      </c>
      <c r="V438" s="117" t="s">
        <v>208</v>
      </c>
      <c r="W438" s="116">
        <v>763</v>
      </c>
      <c r="X438" s="117" t="s">
        <v>208</v>
      </c>
      <c r="Y438" s="116">
        <v>673.4545454545455</v>
      </c>
      <c r="Z438" s="117" t="s">
        <v>208</v>
      </c>
      <c r="AA438" s="116">
        <v>440</v>
      </c>
      <c r="AB438" s="117" t="s">
        <v>208</v>
      </c>
      <c r="AC438" s="116">
        <v>338</v>
      </c>
      <c r="AD438" s="117" t="s">
        <v>208</v>
      </c>
      <c r="AE438" s="116">
        <v>611</v>
      </c>
      <c r="AF438" s="117" t="s">
        <v>208</v>
      </c>
      <c r="AG438" s="116">
        <v>677</v>
      </c>
      <c r="AH438" s="117" t="s">
        <v>208</v>
      </c>
      <c r="AI438" s="116">
        <v>709</v>
      </c>
      <c r="AJ438" s="117" t="s">
        <v>208</v>
      </c>
      <c r="AK438" s="116">
        <v>921</v>
      </c>
      <c r="AL438" s="117" t="s">
        <v>208</v>
      </c>
      <c r="AM438" s="116">
        <v>8081.454545454546</v>
      </c>
    </row>
    <row r="439" spans="1:39" s="100" customFormat="1" ht="46.8" x14ac:dyDescent="0.3">
      <c r="A439" s="97">
        <v>429</v>
      </c>
      <c r="B439" s="98" t="s">
        <v>1100</v>
      </c>
      <c r="C439" s="98" t="s">
        <v>2708</v>
      </c>
      <c r="D439" s="98" t="s">
        <v>1902</v>
      </c>
      <c r="E439" s="98" t="s">
        <v>2709</v>
      </c>
      <c r="F439" s="98" t="s">
        <v>49</v>
      </c>
      <c r="G439" s="99" t="s">
        <v>2710</v>
      </c>
      <c r="H439" s="99">
        <v>2</v>
      </c>
      <c r="I439" s="99" t="s">
        <v>2710</v>
      </c>
      <c r="J439" s="99">
        <v>1</v>
      </c>
      <c r="K439" s="98" t="s">
        <v>528</v>
      </c>
      <c r="L439" s="98" t="s">
        <v>528</v>
      </c>
      <c r="M439" s="116">
        <v>8757.0624152304026</v>
      </c>
      <c r="N439" s="116">
        <v>13691.11474270597</v>
      </c>
      <c r="O439" s="116">
        <v>1547</v>
      </c>
      <c r="P439" s="117" t="s">
        <v>208</v>
      </c>
      <c r="Q439" s="116">
        <v>1349</v>
      </c>
      <c r="R439" s="117" t="s">
        <v>208</v>
      </c>
      <c r="S439" s="116">
        <v>909</v>
      </c>
      <c r="T439" s="117" t="s">
        <v>208</v>
      </c>
      <c r="U439" s="116">
        <v>546</v>
      </c>
      <c r="V439" s="117" t="s">
        <v>208</v>
      </c>
      <c r="W439" s="116">
        <v>883</v>
      </c>
      <c r="X439" s="117" t="s">
        <v>208</v>
      </c>
      <c r="Y439" s="116">
        <v>978.09090909090912</v>
      </c>
      <c r="Z439" s="117" t="s">
        <v>208</v>
      </c>
      <c r="AA439" s="116">
        <v>760</v>
      </c>
      <c r="AB439" s="117" t="s">
        <v>208</v>
      </c>
      <c r="AC439" s="116">
        <v>556</v>
      </c>
      <c r="AD439" s="117" t="s">
        <v>208</v>
      </c>
      <c r="AE439" s="116">
        <v>695</v>
      </c>
      <c r="AF439" s="117" t="s">
        <v>208</v>
      </c>
      <c r="AG439" s="116">
        <v>1049</v>
      </c>
      <c r="AH439" s="117" t="s">
        <v>208</v>
      </c>
      <c r="AI439" s="116">
        <v>952</v>
      </c>
      <c r="AJ439" s="117" t="s">
        <v>208</v>
      </c>
      <c r="AK439" s="116">
        <v>1513</v>
      </c>
      <c r="AL439" s="117" t="s">
        <v>208</v>
      </c>
      <c r="AM439" s="116">
        <v>11737.090909090908</v>
      </c>
    </row>
    <row r="440" spans="1:39" s="100" customFormat="1" ht="46.8" x14ac:dyDescent="0.3">
      <c r="A440" s="97">
        <v>430</v>
      </c>
      <c r="B440" s="98" t="s">
        <v>1102</v>
      </c>
      <c r="C440" s="98" t="s">
        <v>2708</v>
      </c>
      <c r="D440" s="98" t="s">
        <v>1902</v>
      </c>
      <c r="E440" s="98" t="s">
        <v>2709</v>
      </c>
      <c r="F440" s="98" t="s">
        <v>49</v>
      </c>
      <c r="G440" s="99" t="s">
        <v>2710</v>
      </c>
      <c r="H440" s="99">
        <v>40</v>
      </c>
      <c r="I440" s="99" t="s">
        <v>2710</v>
      </c>
      <c r="J440" s="99">
        <v>8</v>
      </c>
      <c r="K440" s="98" t="s">
        <v>528</v>
      </c>
      <c r="L440" s="98" t="s">
        <v>528</v>
      </c>
      <c r="M440" s="116">
        <v>8533.7728230575049</v>
      </c>
      <c r="N440" s="116">
        <v>13704.4327927345</v>
      </c>
      <c r="O440" s="116">
        <v>1346</v>
      </c>
      <c r="P440" s="117" t="s">
        <v>208</v>
      </c>
      <c r="Q440" s="116">
        <v>1110</v>
      </c>
      <c r="R440" s="117" t="s">
        <v>208</v>
      </c>
      <c r="S440" s="116">
        <v>865</v>
      </c>
      <c r="T440" s="117" t="s">
        <v>208</v>
      </c>
      <c r="U440" s="116">
        <v>1153</v>
      </c>
      <c r="V440" s="117" t="s">
        <v>208</v>
      </c>
      <c r="W440" s="116">
        <v>777</v>
      </c>
      <c r="X440" s="117" t="s">
        <v>208</v>
      </c>
      <c r="Y440" s="116">
        <v>974</v>
      </c>
      <c r="Z440" s="117" t="s">
        <v>208</v>
      </c>
      <c r="AA440" s="116">
        <v>1061</v>
      </c>
      <c r="AB440" s="117" t="s">
        <v>208</v>
      </c>
      <c r="AC440" s="116">
        <v>454</v>
      </c>
      <c r="AD440" s="117" t="s">
        <v>208</v>
      </c>
      <c r="AE440" s="116">
        <v>1032</v>
      </c>
      <c r="AF440" s="117" t="s">
        <v>208</v>
      </c>
      <c r="AG440" s="116">
        <v>886</v>
      </c>
      <c r="AH440" s="117" t="s">
        <v>208</v>
      </c>
      <c r="AI440" s="116">
        <v>1091</v>
      </c>
      <c r="AJ440" s="117" t="s">
        <v>208</v>
      </c>
      <c r="AK440" s="116">
        <v>939</v>
      </c>
      <c r="AL440" s="117" t="s">
        <v>208</v>
      </c>
      <c r="AM440" s="116">
        <v>11688</v>
      </c>
    </row>
    <row r="441" spans="1:39" s="100" customFormat="1" ht="46.8" x14ac:dyDescent="0.3">
      <c r="A441" s="97">
        <v>431</v>
      </c>
      <c r="B441" s="98" t="s">
        <v>1103</v>
      </c>
      <c r="C441" s="98" t="s">
        <v>2708</v>
      </c>
      <c r="D441" s="98" t="s">
        <v>1902</v>
      </c>
      <c r="E441" s="98" t="s">
        <v>2709</v>
      </c>
      <c r="F441" s="98" t="s">
        <v>49</v>
      </c>
      <c r="G441" s="99" t="s">
        <v>2710</v>
      </c>
      <c r="H441" s="99">
        <v>10</v>
      </c>
      <c r="I441" s="99" t="s">
        <v>2710</v>
      </c>
      <c r="J441" s="99">
        <v>2</v>
      </c>
      <c r="K441" s="98" t="s">
        <v>528</v>
      </c>
      <c r="L441" s="98" t="s">
        <v>528</v>
      </c>
      <c r="M441" s="116">
        <v>2532.2808348053982</v>
      </c>
      <c r="N441" s="116">
        <v>4156.5921541676635</v>
      </c>
      <c r="O441" s="116">
        <v>364</v>
      </c>
      <c r="P441" s="117" t="s">
        <v>208</v>
      </c>
      <c r="Q441" s="116">
        <v>375</v>
      </c>
      <c r="R441" s="117" t="s">
        <v>208</v>
      </c>
      <c r="S441" s="116">
        <v>362</v>
      </c>
      <c r="T441" s="117" t="s">
        <v>208</v>
      </c>
      <c r="U441" s="116">
        <v>306</v>
      </c>
      <c r="V441" s="117" t="s">
        <v>208</v>
      </c>
      <c r="W441" s="116">
        <v>170</v>
      </c>
      <c r="X441" s="117" t="s">
        <v>208</v>
      </c>
      <c r="Y441" s="116">
        <v>284.72727272727275</v>
      </c>
      <c r="Z441" s="117" t="s">
        <v>208</v>
      </c>
      <c r="AA441" s="116">
        <v>203</v>
      </c>
      <c r="AB441" s="117" t="s">
        <v>208</v>
      </c>
      <c r="AC441" s="116">
        <v>88</v>
      </c>
      <c r="AD441" s="117" t="s">
        <v>208</v>
      </c>
      <c r="AE441" s="116">
        <v>285</v>
      </c>
      <c r="AF441" s="117" t="s">
        <v>208</v>
      </c>
      <c r="AG441" s="116">
        <v>266</v>
      </c>
      <c r="AH441" s="117" t="s">
        <v>208</v>
      </c>
      <c r="AI441" s="116">
        <v>348</v>
      </c>
      <c r="AJ441" s="117" t="s">
        <v>208</v>
      </c>
      <c r="AK441" s="116">
        <v>365</v>
      </c>
      <c r="AL441" s="117" t="s">
        <v>208</v>
      </c>
      <c r="AM441" s="116">
        <v>3416.727272727273</v>
      </c>
    </row>
    <row r="442" spans="1:39" s="100" customFormat="1" ht="46.8" x14ac:dyDescent="0.3">
      <c r="A442" s="97">
        <v>432</v>
      </c>
      <c r="B442" s="98" t="s">
        <v>1105</v>
      </c>
      <c r="C442" s="98" t="s">
        <v>2708</v>
      </c>
      <c r="D442" s="98" t="s">
        <v>1902</v>
      </c>
      <c r="E442" s="98" t="s">
        <v>2709</v>
      </c>
      <c r="F442" s="98" t="s">
        <v>49</v>
      </c>
      <c r="G442" s="99" t="s">
        <v>2710</v>
      </c>
      <c r="H442" s="99">
        <v>8</v>
      </c>
      <c r="I442" s="99" t="s">
        <v>2710</v>
      </c>
      <c r="J442" s="99">
        <v>2</v>
      </c>
      <c r="K442" s="98" t="s">
        <v>528</v>
      </c>
      <c r="L442" s="98" t="s">
        <v>528</v>
      </c>
      <c r="M442" s="116">
        <v>3099.6938271681674</v>
      </c>
      <c r="N442" s="116">
        <v>5172.2382214837744</v>
      </c>
      <c r="O442" s="116">
        <v>383</v>
      </c>
      <c r="P442" s="117" t="s">
        <v>208</v>
      </c>
      <c r="Q442" s="116">
        <v>825</v>
      </c>
      <c r="R442" s="117" t="s">
        <v>208</v>
      </c>
      <c r="S442" s="116">
        <v>250</v>
      </c>
      <c r="T442" s="117" t="s">
        <v>208</v>
      </c>
      <c r="U442" s="116">
        <v>247</v>
      </c>
      <c r="V442" s="117" t="s">
        <v>208</v>
      </c>
      <c r="W442" s="116">
        <v>193</v>
      </c>
      <c r="X442" s="117" t="s">
        <v>208</v>
      </c>
      <c r="Y442" s="116">
        <v>369.27272727272725</v>
      </c>
      <c r="Z442" s="117" t="s">
        <v>208</v>
      </c>
      <c r="AA442" s="116">
        <v>507</v>
      </c>
      <c r="AB442" s="117" t="s">
        <v>208</v>
      </c>
      <c r="AC442" s="116">
        <v>108</v>
      </c>
      <c r="AD442" s="117" t="s">
        <v>208</v>
      </c>
      <c r="AE442" s="116">
        <v>350</v>
      </c>
      <c r="AF442" s="117" t="s">
        <v>208</v>
      </c>
      <c r="AG442" s="116">
        <v>197</v>
      </c>
      <c r="AH442" s="117" t="s">
        <v>208</v>
      </c>
      <c r="AI442" s="116">
        <v>369</v>
      </c>
      <c r="AJ442" s="117" t="s">
        <v>208</v>
      </c>
      <c r="AK442" s="116">
        <v>633</v>
      </c>
      <c r="AL442" s="117" t="s">
        <v>208</v>
      </c>
      <c r="AM442" s="116">
        <v>4431.272727272727</v>
      </c>
    </row>
    <row r="443" spans="1:39" s="100" customFormat="1" ht="46.8" x14ac:dyDescent="0.3">
      <c r="A443" s="97">
        <v>433</v>
      </c>
      <c r="B443" s="98" t="s">
        <v>1107</v>
      </c>
      <c r="C443" s="98" t="s">
        <v>2708</v>
      </c>
      <c r="D443" s="98" t="s">
        <v>1902</v>
      </c>
      <c r="E443" s="98" t="s">
        <v>2709</v>
      </c>
      <c r="F443" s="98" t="s">
        <v>49</v>
      </c>
      <c r="G443" s="99" t="s">
        <v>2710</v>
      </c>
      <c r="H443" s="99">
        <v>10</v>
      </c>
      <c r="I443" s="99" t="s">
        <v>2710</v>
      </c>
      <c r="J443" s="99">
        <v>2</v>
      </c>
      <c r="K443" s="98" t="s">
        <v>528</v>
      </c>
      <c r="L443" s="98" t="s">
        <v>528</v>
      </c>
      <c r="M443" s="116">
        <v>7986.905974215274</v>
      </c>
      <c r="N443" s="116">
        <v>13225.006398325702</v>
      </c>
      <c r="O443" s="116">
        <v>1587</v>
      </c>
      <c r="P443" s="117" t="s">
        <v>208</v>
      </c>
      <c r="Q443" s="116">
        <v>1116</v>
      </c>
      <c r="R443" s="117" t="s">
        <v>208</v>
      </c>
      <c r="S443" s="116">
        <v>664</v>
      </c>
      <c r="T443" s="117" t="s">
        <v>208</v>
      </c>
      <c r="U443" s="116">
        <v>698</v>
      </c>
      <c r="V443" s="117" t="s">
        <v>208</v>
      </c>
      <c r="W443" s="116">
        <v>615</v>
      </c>
      <c r="X443" s="117" t="s">
        <v>208</v>
      </c>
      <c r="Y443" s="116">
        <v>905.4545454545455</v>
      </c>
      <c r="Z443" s="117" t="s">
        <v>208</v>
      </c>
      <c r="AA443" s="116">
        <v>1181</v>
      </c>
      <c r="AB443" s="117" t="s">
        <v>208</v>
      </c>
      <c r="AC443" s="116">
        <v>349</v>
      </c>
      <c r="AD443" s="117" t="s">
        <v>208</v>
      </c>
      <c r="AE443" s="116">
        <v>1128</v>
      </c>
      <c r="AF443" s="117" t="s">
        <v>208</v>
      </c>
      <c r="AG443" s="116">
        <v>587</v>
      </c>
      <c r="AH443" s="117" t="s">
        <v>208</v>
      </c>
      <c r="AI443" s="116">
        <v>756</v>
      </c>
      <c r="AJ443" s="117" t="s">
        <v>208</v>
      </c>
      <c r="AK443" s="116">
        <v>1279</v>
      </c>
      <c r="AL443" s="117" t="s">
        <v>208</v>
      </c>
      <c r="AM443" s="116">
        <v>10865.454545454546</v>
      </c>
    </row>
    <row r="444" spans="1:39" s="100" customFormat="1" ht="46.8" x14ac:dyDescent="0.3">
      <c r="A444" s="97">
        <v>434</v>
      </c>
      <c r="B444" s="98" t="s">
        <v>1108</v>
      </c>
      <c r="C444" s="98" t="s">
        <v>2708</v>
      </c>
      <c r="D444" s="98" t="s">
        <v>1902</v>
      </c>
      <c r="E444" s="98" t="s">
        <v>2709</v>
      </c>
      <c r="F444" s="98" t="s">
        <v>49</v>
      </c>
      <c r="G444" s="99" t="s">
        <v>2710</v>
      </c>
      <c r="H444" s="99">
        <v>8</v>
      </c>
      <c r="I444" s="99" t="s">
        <v>2710</v>
      </c>
      <c r="J444" s="99">
        <v>2</v>
      </c>
      <c r="K444" s="98" t="s">
        <v>528</v>
      </c>
      <c r="L444" s="98" t="s">
        <v>528</v>
      </c>
      <c r="M444" s="116">
        <v>5171.9383485795815</v>
      </c>
      <c r="N444" s="116">
        <v>8186.3599457409318</v>
      </c>
      <c r="O444" s="116">
        <v>587.90789888258541</v>
      </c>
      <c r="P444" s="117" t="s">
        <v>208</v>
      </c>
      <c r="Q444" s="116">
        <v>680.81753412266266</v>
      </c>
      <c r="R444" s="117" t="s">
        <v>208</v>
      </c>
      <c r="S444" s="116">
        <v>543.43423963153111</v>
      </c>
      <c r="T444" s="117" t="s">
        <v>208</v>
      </c>
      <c r="U444" s="116">
        <v>523.07399013124336</v>
      </c>
      <c r="V444" s="117" t="s">
        <v>208</v>
      </c>
      <c r="W444" s="116">
        <v>450.71554310679193</v>
      </c>
      <c r="X444" s="117" t="s">
        <v>208</v>
      </c>
      <c r="Y444" s="116">
        <v>579.76550111014831</v>
      </c>
      <c r="Z444" s="117" t="s">
        <v>208</v>
      </c>
      <c r="AA444" s="116">
        <v>712.61900263621146</v>
      </c>
      <c r="AB444" s="117" t="s">
        <v>208</v>
      </c>
      <c r="AC444" s="116">
        <v>506.666735915262</v>
      </c>
      <c r="AD444" s="117" t="s">
        <v>208</v>
      </c>
      <c r="AE444" s="116">
        <v>677.21621031828397</v>
      </c>
      <c r="AF444" s="117" t="s">
        <v>208</v>
      </c>
      <c r="AG444" s="116">
        <v>490.10801341615183</v>
      </c>
      <c r="AH444" s="117" t="s">
        <v>208</v>
      </c>
      <c r="AI444" s="116">
        <v>564.64101877974031</v>
      </c>
      <c r="AJ444" s="117" t="s">
        <v>208</v>
      </c>
      <c r="AK444" s="116">
        <v>640.22032527116664</v>
      </c>
      <c r="AL444" s="117" t="s">
        <v>208</v>
      </c>
      <c r="AM444" s="116">
        <v>6957.1860133217788</v>
      </c>
    </row>
    <row r="445" spans="1:39" s="100" customFormat="1" ht="46.8" x14ac:dyDescent="0.3">
      <c r="A445" s="97">
        <v>435</v>
      </c>
      <c r="B445" s="98" t="s">
        <v>1109</v>
      </c>
      <c r="C445" s="98" t="s">
        <v>2708</v>
      </c>
      <c r="D445" s="98" t="s">
        <v>1902</v>
      </c>
      <c r="E445" s="98" t="s">
        <v>2709</v>
      </c>
      <c r="F445" s="98" t="s">
        <v>49</v>
      </c>
      <c r="G445" s="99" t="s">
        <v>2710</v>
      </c>
      <c r="H445" s="99">
        <v>10</v>
      </c>
      <c r="I445" s="99" t="s">
        <v>2710</v>
      </c>
      <c r="J445" s="99">
        <v>2</v>
      </c>
      <c r="K445" s="98" t="s">
        <v>528</v>
      </c>
      <c r="L445" s="98" t="s">
        <v>528</v>
      </c>
      <c r="M445" s="116">
        <v>3184.7171075036995</v>
      </c>
      <c r="N445" s="116">
        <v>5626.0343798420399</v>
      </c>
      <c r="O445" s="116">
        <v>569</v>
      </c>
      <c r="P445" s="117" t="s">
        <v>208</v>
      </c>
      <c r="Q445" s="116">
        <v>569</v>
      </c>
      <c r="R445" s="117" t="s">
        <v>208</v>
      </c>
      <c r="S445" s="116">
        <v>569</v>
      </c>
      <c r="T445" s="117" t="s">
        <v>208</v>
      </c>
      <c r="U445" s="116">
        <v>569</v>
      </c>
      <c r="V445" s="117" t="s">
        <v>208</v>
      </c>
      <c r="W445" s="116">
        <v>569</v>
      </c>
      <c r="X445" s="117" t="s">
        <v>208</v>
      </c>
      <c r="Y445" s="116">
        <v>402.18181818181819</v>
      </c>
      <c r="Z445" s="117" t="s">
        <v>208</v>
      </c>
      <c r="AA445" s="116">
        <v>244</v>
      </c>
      <c r="AB445" s="117" t="s">
        <v>208</v>
      </c>
      <c r="AC445" s="116">
        <v>135</v>
      </c>
      <c r="AD445" s="117" t="s">
        <v>208</v>
      </c>
      <c r="AE445" s="116">
        <v>468</v>
      </c>
      <c r="AF445" s="117" t="s">
        <v>208</v>
      </c>
      <c r="AG445" s="116">
        <v>244</v>
      </c>
      <c r="AH445" s="117" t="s">
        <v>208</v>
      </c>
      <c r="AI445" s="116">
        <v>244</v>
      </c>
      <c r="AJ445" s="117" t="s">
        <v>208</v>
      </c>
      <c r="AK445" s="116">
        <v>244</v>
      </c>
      <c r="AL445" s="117" t="s">
        <v>208</v>
      </c>
      <c r="AM445" s="116">
        <v>4826.181818181818</v>
      </c>
    </row>
    <row r="446" spans="1:39" s="100" customFormat="1" ht="46.8" x14ac:dyDescent="0.3">
      <c r="A446" s="97">
        <v>436</v>
      </c>
      <c r="B446" s="98" t="s">
        <v>1110</v>
      </c>
      <c r="C446" s="98" t="s">
        <v>2708</v>
      </c>
      <c r="D446" s="98" t="s">
        <v>1902</v>
      </c>
      <c r="E446" s="98" t="s">
        <v>2709</v>
      </c>
      <c r="F446" s="98" t="s">
        <v>49</v>
      </c>
      <c r="G446" s="99" t="s">
        <v>2710</v>
      </c>
      <c r="H446" s="99">
        <v>20</v>
      </c>
      <c r="I446" s="99" t="s">
        <v>2710</v>
      </c>
      <c r="J446" s="99">
        <v>4</v>
      </c>
      <c r="K446" s="98" t="s">
        <v>528</v>
      </c>
      <c r="L446" s="98" t="s">
        <v>528</v>
      </c>
      <c r="M446" s="116">
        <v>3549.6098411530102</v>
      </c>
      <c r="N446" s="116">
        <v>6011.2917175147368</v>
      </c>
      <c r="O446" s="116">
        <v>889</v>
      </c>
      <c r="P446" s="117" t="s">
        <v>208</v>
      </c>
      <c r="Q446" s="116">
        <v>889</v>
      </c>
      <c r="R446" s="117" t="s">
        <v>208</v>
      </c>
      <c r="S446" s="116">
        <v>889</v>
      </c>
      <c r="T446" s="117" t="s">
        <v>208</v>
      </c>
      <c r="U446" s="116">
        <v>889</v>
      </c>
      <c r="V446" s="117" t="s">
        <v>208</v>
      </c>
      <c r="W446" s="116">
        <v>889</v>
      </c>
      <c r="X446" s="117" t="s">
        <v>208</v>
      </c>
      <c r="Y446" s="116">
        <v>430.81818181818181</v>
      </c>
      <c r="Z446" s="117" t="s">
        <v>208</v>
      </c>
      <c r="AA446" s="116">
        <v>49</v>
      </c>
      <c r="AB446" s="117" t="s">
        <v>208</v>
      </c>
      <c r="AC446" s="116">
        <v>49</v>
      </c>
      <c r="AD446" s="117" t="s">
        <v>208</v>
      </c>
      <c r="AE446" s="116">
        <v>49</v>
      </c>
      <c r="AF446" s="117" t="s">
        <v>208</v>
      </c>
      <c r="AG446" s="116">
        <v>49</v>
      </c>
      <c r="AH446" s="117" t="s">
        <v>208</v>
      </c>
      <c r="AI446" s="116">
        <v>49</v>
      </c>
      <c r="AJ446" s="117" t="s">
        <v>208</v>
      </c>
      <c r="AK446" s="116">
        <v>49</v>
      </c>
      <c r="AL446" s="117" t="s">
        <v>208</v>
      </c>
      <c r="AM446" s="116">
        <v>5169.818181818182</v>
      </c>
    </row>
    <row r="447" spans="1:39" s="100" customFormat="1" ht="46.8" x14ac:dyDescent="0.3">
      <c r="A447" s="97">
        <v>437</v>
      </c>
      <c r="B447" s="98" t="s">
        <v>1111</v>
      </c>
      <c r="C447" s="98" t="s">
        <v>2708</v>
      </c>
      <c r="D447" s="98" t="s">
        <v>1902</v>
      </c>
      <c r="E447" s="98" t="s">
        <v>2709</v>
      </c>
      <c r="F447" s="98" t="s">
        <v>49</v>
      </c>
      <c r="G447" s="99" t="s">
        <v>2710</v>
      </c>
      <c r="H447" s="99">
        <v>24</v>
      </c>
      <c r="I447" s="99" t="s">
        <v>2710</v>
      </c>
      <c r="J447" s="99">
        <v>4</v>
      </c>
      <c r="K447" s="98" t="s">
        <v>528</v>
      </c>
      <c r="L447" s="98" t="s">
        <v>528</v>
      </c>
      <c r="M447" s="116">
        <v>5397.0823506835213</v>
      </c>
      <c r="N447" s="116">
        <v>9522.7511698803701</v>
      </c>
      <c r="O447" s="116">
        <v>706</v>
      </c>
      <c r="P447" s="117" t="s">
        <v>208</v>
      </c>
      <c r="Q447" s="116">
        <v>585</v>
      </c>
      <c r="R447" s="117" t="s">
        <v>208</v>
      </c>
      <c r="S447" s="116">
        <v>444</v>
      </c>
      <c r="T447" s="117" t="s">
        <v>208</v>
      </c>
      <c r="U447" s="116">
        <v>563</v>
      </c>
      <c r="V447" s="117" t="s">
        <v>208</v>
      </c>
      <c r="W447" s="116">
        <v>496</v>
      </c>
      <c r="X447" s="117" t="s">
        <v>208</v>
      </c>
      <c r="Y447" s="116">
        <v>639.18181818181813</v>
      </c>
      <c r="Z447" s="117" t="s">
        <v>208</v>
      </c>
      <c r="AA447" s="116">
        <v>904</v>
      </c>
      <c r="AB447" s="117" t="s">
        <v>208</v>
      </c>
      <c r="AC447" s="116">
        <v>278</v>
      </c>
      <c r="AD447" s="117" t="s">
        <v>208</v>
      </c>
      <c r="AE447" s="116">
        <v>1165</v>
      </c>
      <c r="AF447" s="117" t="s">
        <v>208</v>
      </c>
      <c r="AG447" s="116">
        <v>614</v>
      </c>
      <c r="AH447" s="117" t="s">
        <v>208</v>
      </c>
      <c r="AI447" s="116">
        <v>715</v>
      </c>
      <c r="AJ447" s="117" t="s">
        <v>208</v>
      </c>
      <c r="AK447" s="116">
        <v>561</v>
      </c>
      <c r="AL447" s="117" t="s">
        <v>208</v>
      </c>
      <c r="AM447" s="116">
        <v>7670.181818181818</v>
      </c>
    </row>
    <row r="448" spans="1:39" s="100" customFormat="1" ht="46.8" x14ac:dyDescent="0.3">
      <c r="A448" s="97">
        <v>438</v>
      </c>
      <c r="B448" s="98" t="s">
        <v>1113</v>
      </c>
      <c r="C448" s="98" t="s">
        <v>2708</v>
      </c>
      <c r="D448" s="98" t="s">
        <v>1902</v>
      </c>
      <c r="E448" s="98" t="s">
        <v>2709</v>
      </c>
      <c r="F448" s="98" t="s">
        <v>49</v>
      </c>
      <c r="G448" s="99" t="s">
        <v>2710</v>
      </c>
      <c r="H448" s="99">
        <v>72</v>
      </c>
      <c r="I448" s="99" t="s">
        <v>2710</v>
      </c>
      <c r="J448" s="99">
        <v>9</v>
      </c>
      <c r="K448" s="98" t="s">
        <v>528</v>
      </c>
      <c r="L448" s="98" t="s">
        <v>528</v>
      </c>
      <c r="M448" s="116">
        <v>36944.183156659237</v>
      </c>
      <c r="N448" s="116">
        <v>59555.677777728284</v>
      </c>
      <c r="O448" s="116">
        <v>4810</v>
      </c>
      <c r="P448" s="117" t="s">
        <v>208</v>
      </c>
      <c r="Q448" s="116">
        <v>5187</v>
      </c>
      <c r="R448" s="117" t="s">
        <v>208</v>
      </c>
      <c r="S448" s="116">
        <v>3778</v>
      </c>
      <c r="T448" s="117" t="s">
        <v>208</v>
      </c>
      <c r="U448" s="116">
        <v>3816</v>
      </c>
      <c r="V448" s="117" t="s">
        <v>208</v>
      </c>
      <c r="W448" s="116">
        <v>3873</v>
      </c>
      <c r="X448" s="117" t="s">
        <v>208</v>
      </c>
      <c r="Y448" s="116">
        <v>4117.909090909091</v>
      </c>
      <c r="Z448" s="117" t="s">
        <v>208</v>
      </c>
      <c r="AA448" s="116">
        <v>3496</v>
      </c>
      <c r="AB448" s="117" t="s">
        <v>208</v>
      </c>
      <c r="AC448" s="116">
        <v>2697</v>
      </c>
      <c r="AD448" s="117" t="s">
        <v>208</v>
      </c>
      <c r="AE448" s="116">
        <v>3282</v>
      </c>
      <c r="AF448" s="117" t="s">
        <v>208</v>
      </c>
      <c r="AG448" s="116">
        <v>3221</v>
      </c>
      <c r="AH448" s="117" t="s">
        <v>208</v>
      </c>
      <c r="AI448" s="116">
        <v>6381</v>
      </c>
      <c r="AJ448" s="117" t="s">
        <v>208</v>
      </c>
      <c r="AK448" s="116">
        <v>4756</v>
      </c>
      <c r="AL448" s="117" t="s">
        <v>208</v>
      </c>
      <c r="AM448" s="116">
        <v>49414.909090909088</v>
      </c>
    </row>
    <row r="449" spans="1:40" s="100" customFormat="1" ht="46.8" x14ac:dyDescent="0.3">
      <c r="A449" s="97">
        <v>439</v>
      </c>
      <c r="B449" s="98" t="s">
        <v>1115</v>
      </c>
      <c r="C449" s="98" t="s">
        <v>2708</v>
      </c>
      <c r="D449" s="98" t="s">
        <v>1902</v>
      </c>
      <c r="E449" s="98" t="s">
        <v>2709</v>
      </c>
      <c r="F449" s="98" t="s">
        <v>49</v>
      </c>
      <c r="G449" s="99" t="s">
        <v>2710</v>
      </c>
      <c r="H449" s="99">
        <v>42</v>
      </c>
      <c r="I449" s="99" t="s">
        <v>2710</v>
      </c>
      <c r="J449" s="99">
        <v>6</v>
      </c>
      <c r="K449" s="98" t="s">
        <v>528</v>
      </c>
      <c r="L449" s="98" t="s">
        <v>528</v>
      </c>
      <c r="M449" s="116">
        <v>24408.908958417454</v>
      </c>
      <c r="N449" s="116">
        <v>41765.216686330998</v>
      </c>
      <c r="O449" s="116">
        <v>3243.22</v>
      </c>
      <c r="P449" s="117" t="s">
        <v>208</v>
      </c>
      <c r="Q449" s="116">
        <v>3008.24</v>
      </c>
      <c r="R449" s="117" t="s">
        <v>208</v>
      </c>
      <c r="S449" s="116">
        <v>2711.88</v>
      </c>
      <c r="T449" s="117" t="s">
        <v>208</v>
      </c>
      <c r="U449" s="116">
        <v>2973.52</v>
      </c>
      <c r="V449" s="117" t="s">
        <v>208</v>
      </c>
      <c r="W449" s="116">
        <v>2801.16</v>
      </c>
      <c r="X449" s="117" t="s">
        <v>208</v>
      </c>
      <c r="Y449" s="116">
        <v>2959.429090909091</v>
      </c>
      <c r="Z449" s="117" t="s">
        <v>208</v>
      </c>
      <c r="AA449" s="116">
        <v>3588.5600000000004</v>
      </c>
      <c r="AB449" s="117" t="s">
        <v>208</v>
      </c>
      <c r="AC449" s="116">
        <v>2710.02</v>
      </c>
      <c r="AD449" s="117" t="s">
        <v>208</v>
      </c>
      <c r="AE449" s="116">
        <v>2907.8</v>
      </c>
      <c r="AF449" s="117" t="s">
        <v>208</v>
      </c>
      <c r="AG449" s="116">
        <v>3132.8599999999997</v>
      </c>
      <c r="AH449" s="117" t="s">
        <v>208</v>
      </c>
      <c r="AI449" s="116">
        <v>2755.28</v>
      </c>
      <c r="AJ449" s="117" t="s">
        <v>208</v>
      </c>
      <c r="AK449" s="116">
        <v>2721.18</v>
      </c>
      <c r="AL449" s="117" t="s">
        <v>208</v>
      </c>
      <c r="AM449" s="116">
        <v>35513.149090909094</v>
      </c>
    </row>
    <row r="450" spans="1:40" s="100" customFormat="1" ht="46.8" x14ac:dyDescent="0.3">
      <c r="A450" s="97">
        <v>440</v>
      </c>
      <c r="B450" s="98" t="s">
        <v>1117</v>
      </c>
      <c r="C450" s="98" t="s">
        <v>2708</v>
      </c>
      <c r="D450" s="98" t="s">
        <v>1902</v>
      </c>
      <c r="E450" s="98" t="s">
        <v>2709</v>
      </c>
      <c r="F450" s="98" t="s">
        <v>49</v>
      </c>
      <c r="G450" s="99" t="s">
        <v>2710</v>
      </c>
      <c r="H450" s="99">
        <v>96</v>
      </c>
      <c r="I450" s="99" t="s">
        <v>2710</v>
      </c>
      <c r="J450" s="99">
        <v>16</v>
      </c>
      <c r="K450" s="98" t="s">
        <v>528</v>
      </c>
      <c r="L450" s="98" t="s">
        <v>528</v>
      </c>
      <c r="M450" s="116">
        <v>21537.548646953626</v>
      </c>
      <c r="N450" s="116">
        <v>39444.895119621578</v>
      </c>
      <c r="O450" s="116">
        <v>3220</v>
      </c>
      <c r="P450" s="117" t="s">
        <v>208</v>
      </c>
      <c r="Q450" s="116">
        <v>2990</v>
      </c>
      <c r="R450" s="117" t="s">
        <v>208</v>
      </c>
      <c r="S450" s="116">
        <v>2409</v>
      </c>
      <c r="T450" s="117" t="s">
        <v>208</v>
      </c>
      <c r="U450" s="116">
        <v>2683</v>
      </c>
      <c r="V450" s="117" t="s">
        <v>208</v>
      </c>
      <c r="W450" s="116">
        <v>2300</v>
      </c>
      <c r="X450" s="117" t="s">
        <v>208</v>
      </c>
      <c r="Y450" s="116">
        <v>2652.4545454545455</v>
      </c>
      <c r="Z450" s="117" t="s">
        <v>208</v>
      </c>
      <c r="AA450" s="116">
        <v>1966</v>
      </c>
      <c r="AB450" s="117" t="s">
        <v>208</v>
      </c>
      <c r="AC450" s="116">
        <v>2167</v>
      </c>
      <c r="AD450" s="117" t="s">
        <v>208</v>
      </c>
      <c r="AE450" s="116">
        <v>2646</v>
      </c>
      <c r="AF450" s="117" t="s">
        <v>208</v>
      </c>
      <c r="AG450" s="116">
        <v>3230</v>
      </c>
      <c r="AH450" s="117" t="s">
        <v>208</v>
      </c>
      <c r="AI450" s="116">
        <v>2304</v>
      </c>
      <c r="AJ450" s="117" t="s">
        <v>208</v>
      </c>
      <c r="AK450" s="116">
        <v>3262</v>
      </c>
      <c r="AL450" s="117" t="s">
        <v>208</v>
      </c>
      <c r="AM450" s="116">
        <v>31829.454545454544</v>
      </c>
    </row>
    <row r="451" spans="1:40" s="100" customFormat="1" ht="46.8" x14ac:dyDescent="0.3">
      <c r="A451" s="97">
        <v>441</v>
      </c>
      <c r="B451" s="98" t="s">
        <v>1118</v>
      </c>
      <c r="C451" s="98" t="s">
        <v>2708</v>
      </c>
      <c r="D451" s="98" t="s">
        <v>1902</v>
      </c>
      <c r="E451" s="98" t="s">
        <v>2709</v>
      </c>
      <c r="F451" s="98" t="s">
        <v>49</v>
      </c>
      <c r="G451" s="99" t="s">
        <v>2710</v>
      </c>
      <c r="H451" s="99">
        <v>4</v>
      </c>
      <c r="I451" s="99" t="s">
        <v>2710</v>
      </c>
      <c r="J451" s="99">
        <v>1</v>
      </c>
      <c r="K451" s="98" t="s">
        <v>528</v>
      </c>
      <c r="L451" s="98" t="s">
        <v>528</v>
      </c>
      <c r="M451" s="116">
        <v>9700.2844243590025</v>
      </c>
      <c r="N451" s="116">
        <v>16036.641161960813</v>
      </c>
      <c r="O451" s="116">
        <v>1763</v>
      </c>
      <c r="P451" s="117" t="s">
        <v>208</v>
      </c>
      <c r="Q451" s="116">
        <v>1185</v>
      </c>
      <c r="R451" s="117" t="s">
        <v>208</v>
      </c>
      <c r="S451" s="116">
        <v>950</v>
      </c>
      <c r="T451" s="117" t="s">
        <v>208</v>
      </c>
      <c r="U451" s="116">
        <v>1005</v>
      </c>
      <c r="V451" s="117" t="s">
        <v>208</v>
      </c>
      <c r="W451" s="116">
        <v>915</v>
      </c>
      <c r="X451" s="117" t="s">
        <v>208</v>
      </c>
      <c r="Y451" s="116">
        <v>1095.6363636363637</v>
      </c>
      <c r="Z451" s="117" t="s">
        <v>208</v>
      </c>
      <c r="AA451" s="116">
        <v>838</v>
      </c>
      <c r="AB451" s="117" t="s">
        <v>208</v>
      </c>
      <c r="AC451" s="116">
        <v>659</v>
      </c>
      <c r="AD451" s="117" t="s">
        <v>208</v>
      </c>
      <c r="AE451" s="116">
        <v>804</v>
      </c>
      <c r="AF451" s="117" t="s">
        <v>208</v>
      </c>
      <c r="AG451" s="116">
        <v>1175</v>
      </c>
      <c r="AH451" s="117" t="s">
        <v>208</v>
      </c>
      <c r="AI451" s="116">
        <v>715</v>
      </c>
      <c r="AJ451" s="117" t="s">
        <v>208</v>
      </c>
      <c r="AK451" s="116">
        <v>2043</v>
      </c>
      <c r="AL451" s="117" t="s">
        <v>208</v>
      </c>
      <c r="AM451" s="116">
        <v>13147.636363636364</v>
      </c>
    </row>
    <row r="452" spans="1:40" s="100" customFormat="1" ht="46.8" x14ac:dyDescent="0.3">
      <c r="A452" s="97">
        <v>442</v>
      </c>
      <c r="B452" s="98" t="s">
        <v>1119</v>
      </c>
      <c r="C452" s="98" t="s">
        <v>2708</v>
      </c>
      <c r="D452" s="98" t="s">
        <v>1902</v>
      </c>
      <c r="E452" s="98" t="s">
        <v>2709</v>
      </c>
      <c r="F452" s="98" t="s">
        <v>49</v>
      </c>
      <c r="G452" s="99" t="s">
        <v>2710</v>
      </c>
      <c r="H452" s="99">
        <v>10</v>
      </c>
      <c r="I452" s="99" t="s">
        <v>2710</v>
      </c>
      <c r="J452" s="99">
        <v>2</v>
      </c>
      <c r="K452" s="98" t="s">
        <v>528</v>
      </c>
      <c r="L452" s="98" t="s">
        <v>528</v>
      </c>
      <c r="M452" s="116">
        <v>4139.794296781145</v>
      </c>
      <c r="N452" s="116">
        <v>7064.737746739499</v>
      </c>
      <c r="O452" s="116">
        <v>566.81206257106385</v>
      </c>
      <c r="P452" s="117" t="s">
        <v>208</v>
      </c>
      <c r="Q452" s="116">
        <v>456.32447065911322</v>
      </c>
      <c r="R452" s="117" t="s">
        <v>208</v>
      </c>
      <c r="S452" s="116">
        <v>495.81528206852454</v>
      </c>
      <c r="T452" s="117" t="s">
        <v>208</v>
      </c>
      <c r="U452" s="116">
        <v>458.26373743120882</v>
      </c>
      <c r="V452" s="117" t="s">
        <v>208</v>
      </c>
      <c r="W452" s="116">
        <v>613.85752655598515</v>
      </c>
      <c r="X452" s="117" t="s">
        <v>208</v>
      </c>
      <c r="Y452" s="116">
        <v>488.133134183165</v>
      </c>
      <c r="Z452" s="117" t="s">
        <v>208</v>
      </c>
      <c r="AA452" s="116">
        <v>448.75417548259151</v>
      </c>
      <c r="AB452" s="117" t="s">
        <v>208</v>
      </c>
      <c r="AC452" s="116">
        <v>470.97887000386856</v>
      </c>
      <c r="AD452" s="117" t="s">
        <v>208</v>
      </c>
      <c r="AE452" s="116">
        <v>361.68919585973021</v>
      </c>
      <c r="AF452" s="117" t="s">
        <v>208</v>
      </c>
      <c r="AG452" s="116">
        <v>662.74281502467863</v>
      </c>
      <c r="AH452" s="117" t="s">
        <v>208</v>
      </c>
      <c r="AI452" s="116">
        <v>377.93149745920692</v>
      </c>
      <c r="AJ452" s="117" t="s">
        <v>208</v>
      </c>
      <c r="AK452" s="116">
        <v>456.29484289884272</v>
      </c>
      <c r="AL452" s="117" t="s">
        <v>208</v>
      </c>
      <c r="AM452" s="116">
        <v>5857.5976101979795</v>
      </c>
    </row>
    <row r="453" spans="1:40" s="100" customFormat="1" ht="46.8" x14ac:dyDescent="0.3">
      <c r="A453" s="97">
        <v>443</v>
      </c>
      <c r="B453" s="98" t="s">
        <v>1120</v>
      </c>
      <c r="C453" s="98" t="s">
        <v>2708</v>
      </c>
      <c r="D453" s="98" t="s">
        <v>1902</v>
      </c>
      <c r="E453" s="98" t="s">
        <v>2709</v>
      </c>
      <c r="F453" s="98" t="s">
        <v>49</v>
      </c>
      <c r="G453" s="99" t="s">
        <v>2710</v>
      </c>
      <c r="H453" s="99">
        <v>15</v>
      </c>
      <c r="I453" s="99" t="s">
        <v>2710</v>
      </c>
      <c r="J453" s="99">
        <v>3</v>
      </c>
      <c r="K453" s="98" t="s">
        <v>528</v>
      </c>
      <c r="L453" s="98" t="s">
        <v>529</v>
      </c>
      <c r="M453" s="116">
        <v>4576.3892307182959</v>
      </c>
      <c r="N453" s="116">
        <v>8255.4767801927519</v>
      </c>
      <c r="O453" s="116">
        <v>1109</v>
      </c>
      <c r="P453" s="117" t="s">
        <v>1906</v>
      </c>
      <c r="Q453" s="116">
        <v>1109</v>
      </c>
      <c r="R453" s="117" t="s">
        <v>1906</v>
      </c>
      <c r="S453" s="116">
        <v>1109</v>
      </c>
      <c r="T453" s="117" t="s">
        <v>1906</v>
      </c>
      <c r="U453" s="116">
        <v>1109</v>
      </c>
      <c r="V453" s="117" t="s">
        <v>1906</v>
      </c>
      <c r="W453" s="116">
        <v>1109</v>
      </c>
      <c r="X453" s="117" t="s">
        <v>1906</v>
      </c>
      <c r="Y453" s="116">
        <v>561.36363636363637</v>
      </c>
      <c r="Z453" s="117" t="s">
        <v>1906</v>
      </c>
      <c r="AA453" s="116">
        <v>105</v>
      </c>
      <c r="AB453" s="117" t="s">
        <v>1906</v>
      </c>
      <c r="AC453" s="116">
        <v>105</v>
      </c>
      <c r="AD453" s="117" t="s">
        <v>1906</v>
      </c>
      <c r="AE453" s="116">
        <v>105</v>
      </c>
      <c r="AF453" s="117" t="s">
        <v>1906</v>
      </c>
      <c r="AG453" s="116">
        <v>105</v>
      </c>
      <c r="AH453" s="117" t="s">
        <v>1906</v>
      </c>
      <c r="AI453" s="116">
        <v>105</v>
      </c>
      <c r="AJ453" s="117" t="s">
        <v>1906</v>
      </c>
      <c r="AK453" s="116">
        <v>105</v>
      </c>
      <c r="AL453" s="117" t="s">
        <v>1906</v>
      </c>
      <c r="AM453" s="116">
        <v>6736.363636363636</v>
      </c>
    </row>
    <row r="454" spans="1:40" s="100" customFormat="1" ht="46.8" x14ac:dyDescent="0.3">
      <c r="A454" s="97">
        <v>444</v>
      </c>
      <c r="B454" s="98" t="s">
        <v>1121</v>
      </c>
      <c r="C454" s="98" t="s">
        <v>2708</v>
      </c>
      <c r="D454" s="98" t="s">
        <v>1902</v>
      </c>
      <c r="E454" s="98" t="s">
        <v>2709</v>
      </c>
      <c r="F454" s="98" t="s">
        <v>49</v>
      </c>
      <c r="G454" s="99" t="s">
        <v>2710</v>
      </c>
      <c r="H454" s="99">
        <v>48</v>
      </c>
      <c r="I454" s="99" t="s">
        <v>2710</v>
      </c>
      <c r="J454" s="99">
        <v>6</v>
      </c>
      <c r="K454" s="98" t="s">
        <v>528</v>
      </c>
      <c r="L454" s="98" t="s">
        <v>528</v>
      </c>
      <c r="M454" s="116">
        <v>10378.708541041489</v>
      </c>
      <c r="N454" s="116">
        <v>17297.758655449754</v>
      </c>
      <c r="O454" s="116">
        <v>1684</v>
      </c>
      <c r="P454" s="117" t="s">
        <v>208</v>
      </c>
      <c r="Q454" s="116">
        <v>1686</v>
      </c>
      <c r="R454" s="117" t="s">
        <v>208</v>
      </c>
      <c r="S454" s="116">
        <v>1676</v>
      </c>
      <c r="T454" s="117" t="s">
        <v>208</v>
      </c>
      <c r="U454" s="116">
        <v>1683</v>
      </c>
      <c r="V454" s="117" t="s">
        <v>208</v>
      </c>
      <c r="W454" s="116">
        <v>1686</v>
      </c>
      <c r="X454" s="117" t="s">
        <v>208</v>
      </c>
      <c r="Y454" s="116">
        <v>1218.3636363636363</v>
      </c>
      <c r="Z454" s="117" t="s">
        <v>208</v>
      </c>
      <c r="AA454" s="116">
        <v>860</v>
      </c>
      <c r="AB454" s="117" t="s">
        <v>208</v>
      </c>
      <c r="AC454" s="116">
        <v>817</v>
      </c>
      <c r="AD454" s="117" t="s">
        <v>208</v>
      </c>
      <c r="AE454" s="116">
        <v>821</v>
      </c>
      <c r="AF454" s="117" t="s">
        <v>208</v>
      </c>
      <c r="AG454" s="116">
        <v>845</v>
      </c>
      <c r="AH454" s="117" t="s">
        <v>208</v>
      </c>
      <c r="AI454" s="116">
        <v>800</v>
      </c>
      <c r="AJ454" s="117" t="s">
        <v>208</v>
      </c>
      <c r="AK454" s="116">
        <v>844</v>
      </c>
      <c r="AL454" s="117" t="s">
        <v>208</v>
      </c>
      <c r="AM454" s="116">
        <v>14620.363636363636</v>
      </c>
    </row>
    <row r="455" spans="1:40" s="100" customFormat="1" ht="46.8" x14ac:dyDescent="0.3">
      <c r="A455" s="97">
        <v>445</v>
      </c>
      <c r="B455" s="98" t="s">
        <v>1123</v>
      </c>
      <c r="C455" s="98" t="s">
        <v>2708</v>
      </c>
      <c r="D455" s="98" t="s">
        <v>1902</v>
      </c>
      <c r="E455" s="98" t="s">
        <v>2709</v>
      </c>
      <c r="F455" s="98" t="s">
        <v>49</v>
      </c>
      <c r="G455" s="99" t="s">
        <v>2710</v>
      </c>
      <c r="H455" s="99">
        <v>49</v>
      </c>
      <c r="I455" s="99" t="s">
        <v>2710</v>
      </c>
      <c r="J455" s="99">
        <v>7</v>
      </c>
      <c r="K455" s="98" t="s">
        <v>528</v>
      </c>
      <c r="L455" s="98" t="s">
        <v>528</v>
      </c>
      <c r="M455" s="116">
        <v>85220.169245381476</v>
      </c>
      <c r="N455" s="116">
        <v>139416.06621595848</v>
      </c>
      <c r="O455" s="116">
        <v>10596</v>
      </c>
      <c r="P455" s="117" t="s">
        <v>208</v>
      </c>
      <c r="Q455" s="116">
        <v>10487</v>
      </c>
      <c r="R455" s="117" t="s">
        <v>208</v>
      </c>
      <c r="S455" s="116">
        <v>358</v>
      </c>
      <c r="T455" s="117" t="s">
        <v>208</v>
      </c>
      <c r="U455" s="116">
        <v>347</v>
      </c>
      <c r="V455" s="117" t="s">
        <v>208</v>
      </c>
      <c r="W455" s="116">
        <v>6617</v>
      </c>
      <c r="X455" s="117" t="s">
        <v>208</v>
      </c>
      <c r="Y455" s="116">
        <v>9989</v>
      </c>
      <c r="Z455" s="117" t="s">
        <v>208</v>
      </c>
      <c r="AA455" s="116">
        <v>12839</v>
      </c>
      <c r="AB455" s="117" t="s">
        <v>208</v>
      </c>
      <c r="AC455" s="116">
        <v>13522</v>
      </c>
      <c r="AD455" s="117" t="s">
        <v>208</v>
      </c>
      <c r="AE455" s="116">
        <v>13219</v>
      </c>
      <c r="AF455" s="117" t="s">
        <v>208</v>
      </c>
      <c r="AG455" s="116">
        <v>16799</v>
      </c>
      <c r="AH455" s="117" t="s">
        <v>208</v>
      </c>
      <c r="AI455" s="116">
        <v>12398</v>
      </c>
      <c r="AJ455" s="117" t="s">
        <v>208</v>
      </c>
      <c r="AK455" s="116">
        <v>12697</v>
      </c>
      <c r="AL455" s="117" t="s">
        <v>208</v>
      </c>
      <c r="AM455" s="116">
        <v>119868</v>
      </c>
    </row>
    <row r="456" spans="1:40" s="100" customFormat="1" ht="46.8" x14ac:dyDescent="0.3">
      <c r="A456" s="97">
        <v>446</v>
      </c>
      <c r="B456" s="98" t="s">
        <v>1124</v>
      </c>
      <c r="C456" s="98" t="s">
        <v>2708</v>
      </c>
      <c r="D456" s="98" t="s">
        <v>1902</v>
      </c>
      <c r="E456" s="98" t="s">
        <v>2709</v>
      </c>
      <c r="F456" s="98" t="s">
        <v>49</v>
      </c>
      <c r="G456" s="99" t="s">
        <v>2710</v>
      </c>
      <c r="H456" s="99">
        <v>42</v>
      </c>
      <c r="I456" s="99" t="s">
        <v>2710</v>
      </c>
      <c r="J456" s="99">
        <v>7</v>
      </c>
      <c r="K456" s="98" t="s">
        <v>528</v>
      </c>
      <c r="L456" s="98" t="s">
        <v>528</v>
      </c>
      <c r="M456" s="116">
        <v>10366.271183172437</v>
      </c>
      <c r="N456" s="116">
        <v>18184.129964679079</v>
      </c>
      <c r="O456" s="116">
        <v>1074.5331880528036</v>
      </c>
      <c r="P456" s="117" t="s">
        <v>208</v>
      </c>
      <c r="Q456" s="116">
        <v>1330.4611293133651</v>
      </c>
      <c r="R456" s="117" t="s">
        <v>208</v>
      </c>
      <c r="S456" s="116">
        <v>1074.9239503920201</v>
      </c>
      <c r="T456" s="117" t="s">
        <v>208</v>
      </c>
      <c r="U456" s="116">
        <v>1471.837543377635</v>
      </c>
      <c r="V456" s="117" t="s">
        <v>208</v>
      </c>
      <c r="W456" s="116">
        <v>1595.3169612538738</v>
      </c>
      <c r="X456" s="117" t="s">
        <v>208</v>
      </c>
      <c r="Y456" s="116">
        <v>1263.9022096020433</v>
      </c>
      <c r="Z456" s="117" t="s">
        <v>208</v>
      </c>
      <c r="AA456" s="116">
        <v>1300.1782895619313</v>
      </c>
      <c r="AB456" s="117" t="s">
        <v>208</v>
      </c>
      <c r="AC456" s="116">
        <v>941.91847702101472</v>
      </c>
      <c r="AD456" s="117" t="s">
        <v>208</v>
      </c>
      <c r="AE456" s="116">
        <v>1494.7658745537958</v>
      </c>
      <c r="AF456" s="117" t="s">
        <v>208</v>
      </c>
      <c r="AG456" s="116">
        <v>1307.1241558448962</v>
      </c>
      <c r="AH456" s="117" t="s">
        <v>208</v>
      </c>
      <c r="AI456" s="116">
        <v>1389.9020792912577</v>
      </c>
      <c r="AJ456" s="117" t="s">
        <v>208</v>
      </c>
      <c r="AK456" s="116">
        <v>921.96265695988143</v>
      </c>
      <c r="AL456" s="117" t="s">
        <v>208</v>
      </c>
      <c r="AM456" s="116">
        <v>15166.826515224519</v>
      </c>
    </row>
    <row r="457" spans="1:40" s="100" customFormat="1" ht="46.8" x14ac:dyDescent="0.3">
      <c r="A457" s="97">
        <v>447</v>
      </c>
      <c r="B457" s="98" t="s">
        <v>1125</v>
      </c>
      <c r="C457" s="98" t="s">
        <v>2708</v>
      </c>
      <c r="D457" s="98" t="s">
        <v>1902</v>
      </c>
      <c r="E457" s="98" t="s">
        <v>2709</v>
      </c>
      <c r="F457" s="98" t="s">
        <v>49</v>
      </c>
      <c r="G457" s="99" t="s">
        <v>2710</v>
      </c>
      <c r="H457" s="99">
        <v>14</v>
      </c>
      <c r="I457" s="99" t="s">
        <v>2710</v>
      </c>
      <c r="J457" s="99">
        <v>2</v>
      </c>
      <c r="K457" s="98" t="s">
        <v>528</v>
      </c>
      <c r="L457" s="98" t="s">
        <v>528</v>
      </c>
      <c r="M457" s="116">
        <v>10379.777626735862</v>
      </c>
      <c r="N457" s="116">
        <v>17301.475434156262</v>
      </c>
      <c r="O457" s="116">
        <v>957.8506476088744</v>
      </c>
      <c r="P457" s="117" t="s">
        <v>208</v>
      </c>
      <c r="Q457" s="116">
        <v>1142.4880863815022</v>
      </c>
      <c r="R457" s="117" t="s">
        <v>208</v>
      </c>
      <c r="S457" s="116">
        <v>1582.0048300681676</v>
      </c>
      <c r="T457" s="117" t="s">
        <v>208</v>
      </c>
      <c r="U457" s="116">
        <v>1086.6514318032218</v>
      </c>
      <c r="V457" s="117" t="s">
        <v>208</v>
      </c>
      <c r="W457" s="116">
        <v>1062.914153557582</v>
      </c>
      <c r="X457" s="117" t="s">
        <v>208</v>
      </c>
      <c r="Y457" s="116">
        <v>1238.593289426454</v>
      </c>
      <c r="Z457" s="117" t="s">
        <v>208</v>
      </c>
      <c r="AA457" s="116">
        <v>996.96617949035647</v>
      </c>
      <c r="AB457" s="117" t="s">
        <v>208</v>
      </c>
      <c r="AC457" s="116">
        <v>1139.6739404389218</v>
      </c>
      <c r="AD457" s="117" t="s">
        <v>208</v>
      </c>
      <c r="AE457" s="116">
        <v>1576.3261705902642</v>
      </c>
      <c r="AF457" s="117" t="s">
        <v>208</v>
      </c>
      <c r="AG457" s="116">
        <v>1334.5448423629734</v>
      </c>
      <c r="AH457" s="117" t="s">
        <v>208</v>
      </c>
      <c r="AI457" s="116">
        <v>1523.7121554762903</v>
      </c>
      <c r="AJ457" s="117" t="s">
        <v>208</v>
      </c>
      <c r="AK457" s="116">
        <v>1221.3937459128413</v>
      </c>
      <c r="AL457" s="117" t="s">
        <v>208</v>
      </c>
      <c r="AM457" s="116">
        <v>14863.119473117449</v>
      </c>
    </row>
    <row r="458" spans="1:40" s="100" customFormat="1" ht="46.8" x14ac:dyDescent="0.3">
      <c r="A458" s="97">
        <v>448</v>
      </c>
      <c r="B458" s="98" t="s">
        <v>1126</v>
      </c>
      <c r="C458" s="98" t="s">
        <v>2708</v>
      </c>
      <c r="D458" s="98" t="s">
        <v>1902</v>
      </c>
      <c r="E458" s="98" t="s">
        <v>2709</v>
      </c>
      <c r="F458" s="98" t="s">
        <v>49</v>
      </c>
      <c r="G458" s="99" t="s">
        <v>2710</v>
      </c>
      <c r="H458" s="99">
        <v>14</v>
      </c>
      <c r="I458" s="99" t="s">
        <v>2710</v>
      </c>
      <c r="J458" s="99">
        <v>2</v>
      </c>
      <c r="K458" s="98" t="s">
        <v>528</v>
      </c>
      <c r="L458" s="98" t="s">
        <v>528</v>
      </c>
      <c r="M458" s="116">
        <v>42182.001735313461</v>
      </c>
      <c r="N458" s="116">
        <v>67266.976393675053</v>
      </c>
      <c r="O458" s="116">
        <v>7080</v>
      </c>
      <c r="P458" s="117" t="s">
        <v>208</v>
      </c>
      <c r="Q458" s="116">
        <v>5800</v>
      </c>
      <c r="R458" s="117" t="s">
        <v>208</v>
      </c>
      <c r="S458" s="116">
        <v>5000</v>
      </c>
      <c r="T458" s="117" t="s">
        <v>208</v>
      </c>
      <c r="U458" s="116">
        <v>4580</v>
      </c>
      <c r="V458" s="117" t="s">
        <v>208</v>
      </c>
      <c r="W458" s="116">
        <v>4960</v>
      </c>
      <c r="X458" s="117" t="s">
        <v>208</v>
      </c>
      <c r="Y458" s="116">
        <v>4793.363636363636</v>
      </c>
      <c r="Z458" s="117" t="s">
        <v>208</v>
      </c>
      <c r="AA458" s="116">
        <v>3467</v>
      </c>
      <c r="AB458" s="117" t="s">
        <v>208</v>
      </c>
      <c r="AC458" s="116">
        <v>3000</v>
      </c>
      <c r="AD458" s="117" t="s">
        <v>208</v>
      </c>
      <c r="AE458" s="116">
        <v>5000</v>
      </c>
      <c r="AF458" s="117" t="s">
        <v>208</v>
      </c>
      <c r="AG458" s="116">
        <v>5080</v>
      </c>
      <c r="AH458" s="117" t="s">
        <v>208</v>
      </c>
      <c r="AI458" s="116">
        <v>5440</v>
      </c>
      <c r="AJ458" s="117" t="s">
        <v>208</v>
      </c>
      <c r="AK458" s="116">
        <v>3320</v>
      </c>
      <c r="AL458" s="117" t="s">
        <v>208</v>
      </c>
      <c r="AM458" s="116">
        <v>57520.363636363632</v>
      </c>
    </row>
    <row r="459" spans="1:40" s="100" customFormat="1" ht="46.8" x14ac:dyDescent="0.3">
      <c r="A459" s="160">
        <v>449</v>
      </c>
      <c r="B459" s="166" t="s">
        <v>524</v>
      </c>
      <c r="C459" s="97" t="s">
        <v>2708</v>
      </c>
      <c r="D459" s="162" t="s">
        <v>2712</v>
      </c>
      <c r="E459" s="26" t="s">
        <v>144</v>
      </c>
      <c r="F459" s="30" t="s">
        <v>49</v>
      </c>
      <c r="G459" s="162" t="s">
        <v>2704</v>
      </c>
      <c r="H459" s="162">
        <v>47</v>
      </c>
      <c r="I459" s="162" t="str">
        <f>G459</f>
        <v>с ЛН</v>
      </c>
      <c r="J459" s="164">
        <v>9</v>
      </c>
      <c r="K459" s="164" t="s">
        <v>528</v>
      </c>
      <c r="L459" s="164" t="s">
        <v>528</v>
      </c>
      <c r="M459" s="164" t="s">
        <v>2705</v>
      </c>
      <c r="N459" s="164" t="s">
        <v>2705</v>
      </c>
      <c r="O459" s="162">
        <v>0</v>
      </c>
      <c r="P459" s="162" t="s">
        <v>2706</v>
      </c>
      <c r="Q459" s="162">
        <v>0</v>
      </c>
      <c r="R459" s="162" t="s">
        <v>2706</v>
      </c>
      <c r="S459" s="162">
        <v>0</v>
      </c>
      <c r="T459" s="162" t="s">
        <v>2706</v>
      </c>
      <c r="U459" s="162">
        <v>0</v>
      </c>
      <c r="V459" s="162" t="s">
        <v>2706</v>
      </c>
      <c r="W459" s="162">
        <v>0</v>
      </c>
      <c r="X459" s="162" t="s">
        <v>2706</v>
      </c>
      <c r="Y459" s="162">
        <v>0</v>
      </c>
      <c r="Z459" s="162" t="s">
        <v>2706</v>
      </c>
      <c r="AA459" s="162">
        <v>1</v>
      </c>
      <c r="AB459" s="162" t="s">
        <v>2706</v>
      </c>
      <c r="AC459" s="162">
        <v>0</v>
      </c>
      <c r="AD459" s="162" t="s">
        <v>2706</v>
      </c>
      <c r="AE459" s="162">
        <v>0</v>
      </c>
      <c r="AF459" s="162" t="s">
        <v>2706</v>
      </c>
      <c r="AG459" s="162">
        <v>0</v>
      </c>
      <c r="AH459" s="162" t="s">
        <v>2706</v>
      </c>
      <c r="AI459" s="162">
        <v>0</v>
      </c>
      <c r="AJ459" s="162" t="s">
        <v>2706</v>
      </c>
      <c r="AK459" s="162">
        <v>0</v>
      </c>
      <c r="AL459" s="162" t="s">
        <v>2706</v>
      </c>
      <c r="AM459" s="162">
        <v>1</v>
      </c>
      <c r="AN459" s="162"/>
    </row>
    <row r="460" spans="1:40" s="100" customFormat="1" ht="54.75" customHeight="1" x14ac:dyDescent="0.3">
      <c r="A460" s="161"/>
      <c r="B460" s="167"/>
      <c r="C460" s="98" t="s">
        <v>2708</v>
      </c>
      <c r="D460" s="163"/>
      <c r="E460" s="26" t="s">
        <v>48</v>
      </c>
      <c r="F460" s="30" t="s">
        <v>49</v>
      </c>
      <c r="G460" s="163"/>
      <c r="H460" s="163"/>
      <c r="I460" s="163"/>
      <c r="J460" s="165"/>
      <c r="K460" s="165"/>
      <c r="L460" s="165"/>
      <c r="M460" s="165"/>
      <c r="N460" s="165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  <c r="AA460" s="163"/>
      <c r="AB460" s="163"/>
      <c r="AC460" s="163"/>
      <c r="AD460" s="163"/>
      <c r="AE460" s="163"/>
      <c r="AF460" s="163"/>
      <c r="AG460" s="163"/>
      <c r="AH460" s="163"/>
      <c r="AI460" s="163"/>
      <c r="AJ460" s="163"/>
      <c r="AK460" s="163"/>
      <c r="AL460" s="163"/>
      <c r="AM460" s="163"/>
      <c r="AN460" s="163"/>
    </row>
    <row r="461" spans="1:40" s="100" customFormat="1" ht="46.8" x14ac:dyDescent="0.3">
      <c r="A461" s="160">
        <v>450</v>
      </c>
      <c r="B461" s="166" t="s">
        <v>532</v>
      </c>
      <c r="C461" s="98" t="s">
        <v>2708</v>
      </c>
      <c r="D461" s="162" t="s">
        <v>2712</v>
      </c>
      <c r="E461" s="26" t="s">
        <v>144</v>
      </c>
      <c r="F461" s="30" t="s">
        <v>49</v>
      </c>
      <c r="G461" s="162" t="s">
        <v>2704</v>
      </c>
      <c r="H461" s="162">
        <v>17</v>
      </c>
      <c r="I461" s="162" t="str">
        <f t="shared" ref="I461" si="0">G461</f>
        <v>с ЛН</v>
      </c>
      <c r="J461" s="164">
        <v>8</v>
      </c>
      <c r="K461" s="164" t="s">
        <v>528</v>
      </c>
      <c r="L461" s="164" t="s">
        <v>528</v>
      </c>
      <c r="M461" s="164" t="s">
        <v>2705</v>
      </c>
      <c r="N461" s="164" t="s">
        <v>2705</v>
      </c>
      <c r="O461" s="162">
        <v>2516</v>
      </c>
      <c r="P461" s="162" t="s">
        <v>2706</v>
      </c>
      <c r="Q461" s="162">
        <v>2542</v>
      </c>
      <c r="R461" s="162" t="s">
        <v>2706</v>
      </c>
      <c r="S461" s="162">
        <v>1378</v>
      </c>
      <c r="T461" s="162" t="s">
        <v>2706</v>
      </c>
      <c r="U461" s="162">
        <v>2224</v>
      </c>
      <c r="V461" s="162" t="s">
        <v>2706</v>
      </c>
      <c r="W461" s="162">
        <v>2160</v>
      </c>
      <c r="X461" s="162" t="s">
        <v>2706</v>
      </c>
      <c r="Y461" s="162">
        <v>1164</v>
      </c>
      <c r="Z461" s="162" t="s">
        <v>2706</v>
      </c>
      <c r="AA461" s="162">
        <v>1884</v>
      </c>
      <c r="AB461" s="162" t="s">
        <v>2706</v>
      </c>
      <c r="AC461" s="162">
        <v>1655</v>
      </c>
      <c r="AD461" s="162" t="s">
        <v>2706</v>
      </c>
      <c r="AE461" s="162">
        <v>2733</v>
      </c>
      <c r="AF461" s="162" t="s">
        <v>2706</v>
      </c>
      <c r="AG461" s="162">
        <v>1871</v>
      </c>
      <c r="AH461" s="162" t="s">
        <v>2706</v>
      </c>
      <c r="AI461" s="162">
        <v>2477</v>
      </c>
      <c r="AJ461" s="162" t="s">
        <v>2706</v>
      </c>
      <c r="AK461" s="162">
        <v>1915</v>
      </c>
      <c r="AL461" s="162" t="s">
        <v>2706</v>
      </c>
      <c r="AM461" s="162">
        <v>22864</v>
      </c>
      <c r="AN461" s="162"/>
    </row>
    <row r="462" spans="1:40" s="100" customFormat="1" ht="46.8" x14ac:dyDescent="0.3">
      <c r="A462" s="161"/>
      <c r="B462" s="167"/>
      <c r="C462" s="98" t="s">
        <v>2708</v>
      </c>
      <c r="D462" s="163"/>
      <c r="E462" s="26" t="s">
        <v>48</v>
      </c>
      <c r="F462" s="30" t="s">
        <v>49</v>
      </c>
      <c r="G462" s="163"/>
      <c r="H462" s="163"/>
      <c r="I462" s="163"/>
      <c r="J462" s="165"/>
      <c r="K462" s="165"/>
      <c r="L462" s="165"/>
      <c r="M462" s="165"/>
      <c r="N462" s="165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  <c r="AA462" s="163"/>
      <c r="AB462" s="163"/>
      <c r="AC462" s="163"/>
      <c r="AD462" s="163"/>
      <c r="AE462" s="163"/>
      <c r="AF462" s="163"/>
      <c r="AG462" s="163"/>
      <c r="AH462" s="163"/>
      <c r="AI462" s="163"/>
      <c r="AJ462" s="163"/>
      <c r="AK462" s="163"/>
      <c r="AL462" s="163"/>
      <c r="AM462" s="163"/>
      <c r="AN462" s="163"/>
    </row>
    <row r="463" spans="1:40" s="100" customFormat="1" ht="46.8" x14ac:dyDescent="0.3">
      <c r="A463" s="160">
        <v>451</v>
      </c>
      <c r="B463" s="166" t="s">
        <v>534</v>
      </c>
      <c r="C463" s="98" t="s">
        <v>2708</v>
      </c>
      <c r="D463" s="162" t="s">
        <v>2712</v>
      </c>
      <c r="E463" s="26" t="s">
        <v>144</v>
      </c>
      <c r="F463" s="30" t="s">
        <v>49</v>
      </c>
      <c r="G463" s="162"/>
      <c r="H463" s="162"/>
      <c r="I463" s="162"/>
      <c r="J463" s="164"/>
      <c r="K463" s="164" t="s">
        <v>528</v>
      </c>
      <c r="L463" s="164" t="s">
        <v>528</v>
      </c>
      <c r="M463" s="164" t="s">
        <v>2705</v>
      </c>
      <c r="N463" s="164" t="s">
        <v>2705</v>
      </c>
      <c r="O463" s="162">
        <v>621</v>
      </c>
      <c r="P463" s="162" t="s">
        <v>2706</v>
      </c>
      <c r="Q463" s="162">
        <v>669</v>
      </c>
      <c r="R463" s="162" t="s">
        <v>2706</v>
      </c>
      <c r="S463" s="162">
        <v>411</v>
      </c>
      <c r="T463" s="162" t="s">
        <v>2706</v>
      </c>
      <c r="U463" s="162">
        <v>756</v>
      </c>
      <c r="V463" s="162" t="s">
        <v>2706</v>
      </c>
      <c r="W463" s="162">
        <v>742</v>
      </c>
      <c r="X463" s="162" t="s">
        <v>2706</v>
      </c>
      <c r="Y463" s="162">
        <v>333</v>
      </c>
      <c r="Z463" s="162" t="s">
        <v>2706</v>
      </c>
      <c r="AA463" s="162">
        <v>350</v>
      </c>
      <c r="AB463" s="162" t="s">
        <v>2706</v>
      </c>
      <c r="AC463" s="162">
        <v>593</v>
      </c>
      <c r="AD463" s="162" t="s">
        <v>2706</v>
      </c>
      <c r="AE463" s="162">
        <v>490</v>
      </c>
      <c r="AF463" s="162" t="s">
        <v>2706</v>
      </c>
      <c r="AG463" s="162">
        <v>473</v>
      </c>
      <c r="AH463" s="162" t="s">
        <v>2706</v>
      </c>
      <c r="AI463" s="162">
        <v>489</v>
      </c>
      <c r="AJ463" s="162" t="s">
        <v>2706</v>
      </c>
      <c r="AK463" s="162">
        <v>794</v>
      </c>
      <c r="AL463" s="162" t="s">
        <v>2706</v>
      </c>
      <c r="AM463" s="162">
        <v>6128</v>
      </c>
      <c r="AN463" s="162"/>
    </row>
    <row r="464" spans="1:40" s="100" customFormat="1" ht="46.8" x14ac:dyDescent="0.3">
      <c r="A464" s="161"/>
      <c r="B464" s="167"/>
      <c r="C464" s="98" t="s">
        <v>2708</v>
      </c>
      <c r="D464" s="163"/>
      <c r="E464" s="26" t="s">
        <v>48</v>
      </c>
      <c r="F464" s="30" t="s">
        <v>49</v>
      </c>
      <c r="G464" s="163"/>
      <c r="H464" s="163"/>
      <c r="I464" s="163"/>
      <c r="J464" s="165"/>
      <c r="K464" s="165"/>
      <c r="L464" s="165"/>
      <c r="M464" s="165"/>
      <c r="N464" s="165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  <c r="AA464" s="163"/>
      <c r="AB464" s="163"/>
      <c r="AC464" s="163"/>
      <c r="AD464" s="163"/>
      <c r="AE464" s="163"/>
      <c r="AF464" s="163"/>
      <c r="AG464" s="163"/>
      <c r="AH464" s="163"/>
      <c r="AI464" s="163"/>
      <c r="AJ464" s="163"/>
      <c r="AK464" s="163"/>
      <c r="AL464" s="163"/>
      <c r="AM464" s="163"/>
      <c r="AN464" s="163"/>
    </row>
    <row r="465" spans="1:40" s="100" customFormat="1" ht="46.8" x14ac:dyDescent="0.3">
      <c r="A465" s="160">
        <v>452</v>
      </c>
      <c r="B465" s="166" t="s">
        <v>537</v>
      </c>
      <c r="C465" s="98" t="s">
        <v>2708</v>
      </c>
      <c r="D465" s="162" t="s">
        <v>2712</v>
      </c>
      <c r="E465" s="26" t="s">
        <v>144</v>
      </c>
      <c r="F465" s="30" t="s">
        <v>49</v>
      </c>
      <c r="G465" s="162"/>
      <c r="H465" s="162"/>
      <c r="I465" s="162"/>
      <c r="J465" s="164"/>
      <c r="K465" s="164" t="s">
        <v>528</v>
      </c>
      <c r="L465" s="164" t="s">
        <v>528</v>
      </c>
      <c r="M465" s="164" t="s">
        <v>2705</v>
      </c>
      <c r="N465" s="164" t="s">
        <v>2705</v>
      </c>
      <c r="O465" s="162">
        <v>186</v>
      </c>
      <c r="P465" s="162" t="s">
        <v>2706</v>
      </c>
      <c r="Q465" s="162">
        <v>116</v>
      </c>
      <c r="R465" s="162" t="s">
        <v>2706</v>
      </c>
      <c r="S465" s="162">
        <v>1745</v>
      </c>
      <c r="T465" s="162" t="s">
        <v>2706</v>
      </c>
      <c r="U465" s="162">
        <v>1550</v>
      </c>
      <c r="V465" s="162" t="s">
        <v>2706</v>
      </c>
      <c r="W465" s="162">
        <v>34</v>
      </c>
      <c r="X465" s="162" t="s">
        <v>2706</v>
      </c>
      <c r="Y465" s="162">
        <v>0</v>
      </c>
      <c r="Z465" s="162" t="s">
        <v>2706</v>
      </c>
      <c r="AA465" s="162">
        <v>0</v>
      </c>
      <c r="AB465" s="162" t="s">
        <v>2706</v>
      </c>
      <c r="AC465" s="162">
        <v>61</v>
      </c>
      <c r="AD465" s="162" t="s">
        <v>2706</v>
      </c>
      <c r="AE465" s="162">
        <v>147</v>
      </c>
      <c r="AF465" s="162" t="s">
        <v>2706</v>
      </c>
      <c r="AG465" s="162">
        <v>807</v>
      </c>
      <c r="AH465" s="162" t="s">
        <v>2706</v>
      </c>
      <c r="AI465" s="162">
        <v>807</v>
      </c>
      <c r="AJ465" s="162" t="s">
        <v>2706</v>
      </c>
      <c r="AK465" s="162">
        <v>807</v>
      </c>
      <c r="AL465" s="162" t="s">
        <v>2706</v>
      </c>
      <c r="AM465" s="162">
        <v>6199</v>
      </c>
      <c r="AN465" s="162"/>
    </row>
    <row r="466" spans="1:40" s="100" customFormat="1" ht="46.8" x14ac:dyDescent="0.3">
      <c r="A466" s="161"/>
      <c r="B466" s="167"/>
      <c r="C466" s="98" t="s">
        <v>2708</v>
      </c>
      <c r="D466" s="163"/>
      <c r="E466" s="26" t="s">
        <v>48</v>
      </c>
      <c r="F466" s="30" t="s">
        <v>49</v>
      </c>
      <c r="G466" s="163"/>
      <c r="H466" s="163"/>
      <c r="I466" s="163"/>
      <c r="J466" s="165"/>
      <c r="K466" s="165"/>
      <c r="L466" s="165"/>
      <c r="M466" s="165"/>
      <c r="N466" s="165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  <c r="AA466" s="163"/>
      <c r="AB466" s="163"/>
      <c r="AC466" s="163"/>
      <c r="AD466" s="163"/>
      <c r="AE466" s="163"/>
      <c r="AF466" s="163"/>
      <c r="AG466" s="163"/>
      <c r="AH466" s="163"/>
      <c r="AI466" s="163"/>
      <c r="AJ466" s="163"/>
      <c r="AK466" s="163"/>
      <c r="AL466" s="163"/>
      <c r="AM466" s="163"/>
      <c r="AN466" s="163"/>
    </row>
    <row r="467" spans="1:40" s="100" customFormat="1" ht="46.8" x14ac:dyDescent="0.3">
      <c r="A467" s="160">
        <v>453</v>
      </c>
      <c r="B467" s="166" t="s">
        <v>540</v>
      </c>
      <c r="C467" s="98" t="s">
        <v>2708</v>
      </c>
      <c r="D467" s="162" t="s">
        <v>2712</v>
      </c>
      <c r="E467" s="26" t="s">
        <v>144</v>
      </c>
      <c r="F467" s="30" t="s">
        <v>49</v>
      </c>
      <c r="G467" s="162"/>
      <c r="H467" s="162"/>
      <c r="I467" s="162"/>
      <c r="J467" s="164"/>
      <c r="K467" s="164" t="s">
        <v>528</v>
      </c>
      <c r="L467" s="164" t="s">
        <v>528</v>
      </c>
      <c r="M467" s="164" t="s">
        <v>2705</v>
      </c>
      <c r="N467" s="164" t="s">
        <v>2705</v>
      </c>
      <c r="O467" s="162">
        <v>2999</v>
      </c>
      <c r="P467" s="162" t="s">
        <v>2706</v>
      </c>
      <c r="Q467" s="162">
        <v>3291</v>
      </c>
      <c r="R467" s="162" t="s">
        <v>2706</v>
      </c>
      <c r="S467" s="162">
        <v>3211</v>
      </c>
      <c r="T467" s="162" t="s">
        <v>2706</v>
      </c>
      <c r="U467" s="162">
        <v>2928</v>
      </c>
      <c r="V467" s="162" t="s">
        <v>2706</v>
      </c>
      <c r="W467" s="162">
        <v>2857</v>
      </c>
      <c r="X467" s="162" t="s">
        <v>2706</v>
      </c>
      <c r="Y467" s="162">
        <v>1133</v>
      </c>
      <c r="Z467" s="162" t="s">
        <v>2706</v>
      </c>
      <c r="AA467" s="162">
        <v>1821</v>
      </c>
      <c r="AB467" s="162" t="s">
        <v>2706</v>
      </c>
      <c r="AC467" s="162">
        <v>2214</v>
      </c>
      <c r="AD467" s="162" t="s">
        <v>2706</v>
      </c>
      <c r="AE467" s="162">
        <v>2327</v>
      </c>
      <c r="AF467" s="162" t="s">
        <v>2706</v>
      </c>
      <c r="AG467" s="162">
        <v>2749</v>
      </c>
      <c r="AH467" s="162" t="s">
        <v>2706</v>
      </c>
      <c r="AI467" s="162">
        <v>659</v>
      </c>
      <c r="AJ467" s="162" t="s">
        <v>2706</v>
      </c>
      <c r="AK467" s="162">
        <v>3194</v>
      </c>
      <c r="AL467" s="162" t="s">
        <v>2706</v>
      </c>
      <c r="AM467" s="162">
        <v>27169</v>
      </c>
      <c r="AN467" s="162"/>
    </row>
    <row r="468" spans="1:40" s="100" customFormat="1" ht="15.6" x14ac:dyDescent="0.3">
      <c r="A468" s="161"/>
      <c r="B468" s="167"/>
      <c r="C468" s="98"/>
      <c r="D468" s="163"/>
      <c r="E468" s="26" t="s">
        <v>48</v>
      </c>
      <c r="F468" s="30" t="s">
        <v>49</v>
      </c>
      <c r="G468" s="163"/>
      <c r="H468" s="163"/>
      <c r="I468" s="163"/>
      <c r="J468" s="165"/>
      <c r="K468" s="165"/>
      <c r="L468" s="165"/>
      <c r="M468" s="165"/>
      <c r="N468" s="165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  <c r="AA468" s="163"/>
      <c r="AB468" s="163"/>
      <c r="AC468" s="163"/>
      <c r="AD468" s="163"/>
      <c r="AE468" s="163"/>
      <c r="AF468" s="163"/>
      <c r="AG468" s="163"/>
      <c r="AH468" s="163"/>
      <c r="AI468" s="163"/>
      <c r="AJ468" s="163"/>
      <c r="AK468" s="163"/>
      <c r="AL468" s="163"/>
      <c r="AM468" s="163"/>
      <c r="AN468" s="163"/>
    </row>
    <row r="469" spans="1:40" s="100" customFormat="1" ht="46.8" x14ac:dyDescent="0.3">
      <c r="A469" s="160">
        <v>454</v>
      </c>
      <c r="B469" s="166" t="s">
        <v>542</v>
      </c>
      <c r="C469" s="98" t="s">
        <v>2708</v>
      </c>
      <c r="D469" s="162" t="s">
        <v>2712</v>
      </c>
      <c r="E469" s="26" t="s">
        <v>144</v>
      </c>
      <c r="F469" s="30" t="s">
        <v>49</v>
      </c>
      <c r="G469" s="162" t="s">
        <v>2704</v>
      </c>
      <c r="H469" s="162">
        <v>24</v>
      </c>
      <c r="I469" s="162" t="str">
        <f t="shared" ref="I469" si="1">G469</f>
        <v>с ЛН</v>
      </c>
      <c r="J469" s="164">
        <v>4</v>
      </c>
      <c r="K469" s="164" t="s">
        <v>528</v>
      </c>
      <c r="L469" s="164" t="s">
        <v>528</v>
      </c>
      <c r="M469" s="164" t="s">
        <v>2705</v>
      </c>
      <c r="N469" s="164" t="s">
        <v>2705</v>
      </c>
      <c r="O469" s="162">
        <v>1200</v>
      </c>
      <c r="P469" s="162" t="s">
        <v>2706</v>
      </c>
      <c r="Q469" s="162">
        <v>1126</v>
      </c>
      <c r="R469" s="162" t="s">
        <v>2706</v>
      </c>
      <c r="S469" s="162">
        <v>722</v>
      </c>
      <c r="T469" s="162" t="s">
        <v>2706</v>
      </c>
      <c r="U469" s="162">
        <v>1188</v>
      </c>
      <c r="V469" s="162" t="s">
        <v>2706</v>
      </c>
      <c r="W469" s="162">
        <v>1084</v>
      </c>
      <c r="X469" s="162" t="s">
        <v>2706</v>
      </c>
      <c r="Y469" s="162">
        <v>724</v>
      </c>
      <c r="Z469" s="162" t="s">
        <v>2706</v>
      </c>
      <c r="AA469" s="162">
        <v>832</v>
      </c>
      <c r="AB469" s="162" t="s">
        <v>2706</v>
      </c>
      <c r="AC469" s="162">
        <v>984</v>
      </c>
      <c r="AD469" s="162" t="s">
        <v>2706</v>
      </c>
      <c r="AE469" s="162">
        <v>906</v>
      </c>
      <c r="AF469" s="162" t="s">
        <v>2706</v>
      </c>
      <c r="AG469" s="162">
        <v>747</v>
      </c>
      <c r="AH469" s="162" t="s">
        <v>2706</v>
      </c>
      <c r="AI469" s="162">
        <v>638</v>
      </c>
      <c r="AJ469" s="162" t="s">
        <v>2706</v>
      </c>
      <c r="AK469" s="162">
        <v>552</v>
      </c>
      <c r="AL469" s="162" t="s">
        <v>2706</v>
      </c>
      <c r="AM469" s="162">
        <v>9719</v>
      </c>
      <c r="AN469" s="162"/>
    </row>
    <row r="470" spans="1:40" s="100" customFormat="1" ht="46.8" x14ac:dyDescent="0.3">
      <c r="A470" s="161"/>
      <c r="B470" s="167"/>
      <c r="C470" s="98" t="s">
        <v>2708</v>
      </c>
      <c r="D470" s="163"/>
      <c r="E470" s="26" t="s">
        <v>48</v>
      </c>
      <c r="F470" s="30" t="s">
        <v>49</v>
      </c>
      <c r="G470" s="163"/>
      <c r="H470" s="163"/>
      <c r="I470" s="163"/>
      <c r="J470" s="165"/>
      <c r="K470" s="165"/>
      <c r="L470" s="165"/>
      <c r="M470" s="165"/>
      <c r="N470" s="165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  <c r="AA470" s="163"/>
      <c r="AB470" s="163"/>
      <c r="AC470" s="163"/>
      <c r="AD470" s="163"/>
      <c r="AE470" s="163"/>
      <c r="AF470" s="163"/>
      <c r="AG470" s="163"/>
      <c r="AH470" s="163"/>
      <c r="AI470" s="163"/>
      <c r="AJ470" s="163"/>
      <c r="AK470" s="163"/>
      <c r="AL470" s="163"/>
      <c r="AM470" s="163"/>
      <c r="AN470" s="163"/>
    </row>
    <row r="471" spans="1:40" s="100" customFormat="1" ht="46.8" x14ac:dyDescent="0.3">
      <c r="A471" s="160">
        <v>455</v>
      </c>
      <c r="B471" s="166" t="s">
        <v>543</v>
      </c>
      <c r="C471" s="98" t="s">
        <v>2708</v>
      </c>
      <c r="D471" s="162" t="s">
        <v>2712</v>
      </c>
      <c r="E471" s="26" t="s">
        <v>144</v>
      </c>
      <c r="F471" s="30" t="s">
        <v>49</v>
      </c>
      <c r="G471" s="162"/>
      <c r="H471" s="162"/>
      <c r="I471" s="162"/>
      <c r="J471" s="164"/>
      <c r="K471" s="164" t="s">
        <v>528</v>
      </c>
      <c r="L471" s="164" t="s">
        <v>528</v>
      </c>
      <c r="M471" s="164" t="s">
        <v>2705</v>
      </c>
      <c r="N471" s="164" t="s">
        <v>2705</v>
      </c>
      <c r="O471" s="162">
        <v>3974</v>
      </c>
      <c r="P471" s="162" t="s">
        <v>2706</v>
      </c>
      <c r="Q471" s="162">
        <v>3703</v>
      </c>
      <c r="R471" s="162" t="s">
        <v>2706</v>
      </c>
      <c r="S471" s="162">
        <v>2010</v>
      </c>
      <c r="T471" s="162" t="s">
        <v>2706</v>
      </c>
      <c r="U471" s="162">
        <v>3239</v>
      </c>
      <c r="V471" s="162" t="s">
        <v>2706</v>
      </c>
      <c r="W471" s="162">
        <v>2822</v>
      </c>
      <c r="X471" s="162" t="s">
        <v>2706</v>
      </c>
      <c r="Y471" s="162">
        <v>1900</v>
      </c>
      <c r="Z471" s="162" t="s">
        <v>2706</v>
      </c>
      <c r="AA471" s="162">
        <v>1517</v>
      </c>
      <c r="AB471" s="162" t="s">
        <v>2706</v>
      </c>
      <c r="AC471" s="162">
        <v>1513</v>
      </c>
      <c r="AD471" s="162" t="s">
        <v>2706</v>
      </c>
      <c r="AE471" s="162">
        <v>1644</v>
      </c>
      <c r="AF471" s="162" t="s">
        <v>2706</v>
      </c>
      <c r="AG471" s="162">
        <v>627</v>
      </c>
      <c r="AH471" s="162" t="s">
        <v>2706</v>
      </c>
      <c r="AI471" s="162">
        <v>0</v>
      </c>
      <c r="AJ471" s="162" t="s">
        <v>2706</v>
      </c>
      <c r="AK471" s="162">
        <v>649</v>
      </c>
      <c r="AL471" s="162" t="s">
        <v>2706</v>
      </c>
      <c r="AM471" s="162">
        <v>22085</v>
      </c>
      <c r="AN471" s="162"/>
    </row>
    <row r="472" spans="1:40" s="100" customFormat="1" ht="46.8" x14ac:dyDescent="0.3">
      <c r="A472" s="161"/>
      <c r="B472" s="167"/>
      <c r="C472" s="98" t="s">
        <v>2708</v>
      </c>
      <c r="D472" s="163"/>
      <c r="E472" s="26" t="s">
        <v>48</v>
      </c>
      <c r="F472" s="30" t="s">
        <v>49</v>
      </c>
      <c r="G472" s="163"/>
      <c r="H472" s="163"/>
      <c r="I472" s="163"/>
      <c r="J472" s="165"/>
      <c r="K472" s="165"/>
      <c r="L472" s="165"/>
      <c r="M472" s="165"/>
      <c r="N472" s="165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  <c r="AA472" s="163"/>
      <c r="AB472" s="163"/>
      <c r="AC472" s="163"/>
      <c r="AD472" s="163"/>
      <c r="AE472" s="163"/>
      <c r="AF472" s="163"/>
      <c r="AG472" s="163"/>
      <c r="AH472" s="163"/>
      <c r="AI472" s="163"/>
      <c r="AJ472" s="163"/>
      <c r="AK472" s="163"/>
      <c r="AL472" s="163"/>
      <c r="AM472" s="163"/>
      <c r="AN472" s="163"/>
    </row>
    <row r="473" spans="1:40" s="100" customFormat="1" ht="46.8" x14ac:dyDescent="0.3">
      <c r="A473" s="160">
        <v>456</v>
      </c>
      <c r="B473" s="166" t="s">
        <v>1128</v>
      </c>
      <c r="C473" s="98" t="s">
        <v>2708</v>
      </c>
      <c r="D473" s="162" t="s">
        <v>2712</v>
      </c>
      <c r="E473" s="26" t="s">
        <v>144</v>
      </c>
      <c r="F473" s="30" t="s">
        <v>49</v>
      </c>
      <c r="G473" s="162" t="s">
        <v>2704</v>
      </c>
      <c r="H473" s="162">
        <v>33</v>
      </c>
      <c r="I473" s="162" t="str">
        <f t="shared" ref="I473" si="2">G473</f>
        <v>с ЛН</v>
      </c>
      <c r="J473" s="164">
        <v>5</v>
      </c>
      <c r="K473" s="164" t="s">
        <v>528</v>
      </c>
      <c r="L473" s="164" t="s">
        <v>528</v>
      </c>
      <c r="M473" s="164" t="s">
        <v>2705</v>
      </c>
      <c r="N473" s="164" t="s">
        <v>2705</v>
      </c>
      <c r="O473" s="162">
        <v>0</v>
      </c>
      <c r="P473" s="162" t="s">
        <v>2706</v>
      </c>
      <c r="Q473" s="162">
        <v>0</v>
      </c>
      <c r="R473" s="162" t="s">
        <v>2706</v>
      </c>
      <c r="S473" s="162">
        <v>0</v>
      </c>
      <c r="T473" s="162" t="s">
        <v>2706</v>
      </c>
      <c r="U473" s="162">
        <v>0</v>
      </c>
      <c r="V473" s="162" t="s">
        <v>2706</v>
      </c>
      <c r="W473" s="162">
        <v>0</v>
      </c>
      <c r="X473" s="162" t="s">
        <v>2706</v>
      </c>
      <c r="Y473" s="162">
        <v>0</v>
      </c>
      <c r="Z473" s="162" t="s">
        <v>2706</v>
      </c>
      <c r="AA473" s="162">
        <v>0</v>
      </c>
      <c r="AB473" s="162" t="s">
        <v>2706</v>
      </c>
      <c r="AC473" s="162">
        <v>0</v>
      </c>
      <c r="AD473" s="162" t="s">
        <v>2706</v>
      </c>
      <c r="AE473" s="162">
        <v>0</v>
      </c>
      <c r="AF473" s="162" t="s">
        <v>2706</v>
      </c>
      <c r="AG473" s="162">
        <v>0</v>
      </c>
      <c r="AH473" s="162" t="s">
        <v>2706</v>
      </c>
      <c r="AI473" s="162">
        <v>0</v>
      </c>
      <c r="AJ473" s="162" t="s">
        <v>2706</v>
      </c>
      <c r="AK473" s="162">
        <v>0</v>
      </c>
      <c r="AL473" s="162" t="s">
        <v>2706</v>
      </c>
      <c r="AM473" s="162">
        <v>0</v>
      </c>
      <c r="AN473" s="162"/>
    </row>
    <row r="474" spans="1:40" s="100" customFormat="1" ht="46.8" x14ac:dyDescent="0.3">
      <c r="A474" s="161"/>
      <c r="B474" s="167"/>
      <c r="C474" s="98" t="s">
        <v>2708</v>
      </c>
      <c r="D474" s="163"/>
      <c r="E474" s="26" t="s">
        <v>48</v>
      </c>
      <c r="F474" s="30" t="s">
        <v>49</v>
      </c>
      <c r="G474" s="163"/>
      <c r="H474" s="163"/>
      <c r="I474" s="163"/>
      <c r="J474" s="165"/>
      <c r="K474" s="165"/>
      <c r="L474" s="165"/>
      <c r="M474" s="165"/>
      <c r="N474" s="165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  <c r="AA474" s="163"/>
      <c r="AB474" s="163"/>
      <c r="AC474" s="163"/>
      <c r="AD474" s="163"/>
      <c r="AE474" s="163"/>
      <c r="AF474" s="163"/>
      <c r="AG474" s="163"/>
      <c r="AH474" s="163"/>
      <c r="AI474" s="163"/>
      <c r="AJ474" s="163"/>
      <c r="AK474" s="163"/>
      <c r="AL474" s="163"/>
      <c r="AM474" s="163"/>
      <c r="AN474" s="163"/>
    </row>
    <row r="475" spans="1:40" s="100" customFormat="1" ht="46.8" x14ac:dyDescent="0.3">
      <c r="A475" s="160">
        <v>457</v>
      </c>
      <c r="B475" s="166" t="s">
        <v>1130</v>
      </c>
      <c r="C475" s="98" t="s">
        <v>2708</v>
      </c>
      <c r="D475" s="162" t="s">
        <v>2712</v>
      </c>
      <c r="E475" s="26" t="s">
        <v>144</v>
      </c>
      <c r="F475" s="30" t="s">
        <v>49</v>
      </c>
      <c r="G475" s="162" t="s">
        <v>2704</v>
      </c>
      <c r="H475" s="162">
        <v>16</v>
      </c>
      <c r="I475" s="162" t="str">
        <f t="shared" ref="I475" si="3">G475</f>
        <v>с ЛН</v>
      </c>
      <c r="J475" s="164">
        <v>3</v>
      </c>
      <c r="K475" s="164" t="s">
        <v>528</v>
      </c>
      <c r="L475" s="164" t="s">
        <v>528</v>
      </c>
      <c r="M475" s="164" t="s">
        <v>2705</v>
      </c>
      <c r="N475" s="164" t="s">
        <v>2705</v>
      </c>
      <c r="O475" s="162">
        <v>0</v>
      </c>
      <c r="P475" s="162" t="s">
        <v>2706</v>
      </c>
      <c r="Q475" s="162">
        <v>0</v>
      </c>
      <c r="R475" s="162" t="s">
        <v>2706</v>
      </c>
      <c r="S475" s="162">
        <v>0</v>
      </c>
      <c r="T475" s="162" t="s">
        <v>2706</v>
      </c>
      <c r="U475" s="162">
        <v>0</v>
      </c>
      <c r="V475" s="162" t="s">
        <v>2706</v>
      </c>
      <c r="W475" s="162">
        <v>0</v>
      </c>
      <c r="X475" s="162" t="s">
        <v>2706</v>
      </c>
      <c r="Y475" s="162">
        <v>0</v>
      </c>
      <c r="Z475" s="162" t="s">
        <v>2706</v>
      </c>
      <c r="AA475" s="162">
        <v>0</v>
      </c>
      <c r="AB475" s="162" t="s">
        <v>2706</v>
      </c>
      <c r="AC475" s="162">
        <v>0</v>
      </c>
      <c r="AD475" s="162" t="s">
        <v>2706</v>
      </c>
      <c r="AE475" s="162">
        <v>0</v>
      </c>
      <c r="AF475" s="162" t="s">
        <v>2706</v>
      </c>
      <c r="AG475" s="162">
        <v>0</v>
      </c>
      <c r="AH475" s="162" t="s">
        <v>2706</v>
      </c>
      <c r="AI475" s="162">
        <v>0</v>
      </c>
      <c r="AJ475" s="162" t="s">
        <v>2706</v>
      </c>
      <c r="AK475" s="162">
        <v>0</v>
      </c>
      <c r="AL475" s="162" t="s">
        <v>2706</v>
      </c>
      <c r="AM475" s="162">
        <v>0</v>
      </c>
      <c r="AN475" s="162"/>
    </row>
    <row r="476" spans="1:40" s="100" customFormat="1" ht="46.8" x14ac:dyDescent="0.3">
      <c r="A476" s="161"/>
      <c r="B476" s="167"/>
      <c r="C476" s="98" t="s">
        <v>2708</v>
      </c>
      <c r="D476" s="163"/>
      <c r="E476" s="26" t="s">
        <v>48</v>
      </c>
      <c r="F476" s="30" t="s">
        <v>49</v>
      </c>
      <c r="G476" s="163"/>
      <c r="H476" s="163"/>
      <c r="I476" s="163"/>
      <c r="J476" s="165"/>
      <c r="K476" s="165"/>
      <c r="L476" s="165"/>
      <c r="M476" s="165"/>
      <c r="N476" s="165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  <c r="AA476" s="163"/>
      <c r="AB476" s="163"/>
      <c r="AC476" s="163"/>
      <c r="AD476" s="163"/>
      <c r="AE476" s="163"/>
      <c r="AF476" s="163"/>
      <c r="AG476" s="163"/>
      <c r="AH476" s="163"/>
      <c r="AI476" s="163"/>
      <c r="AJ476" s="163"/>
      <c r="AK476" s="163"/>
      <c r="AL476" s="163"/>
      <c r="AM476" s="163"/>
      <c r="AN476" s="163"/>
    </row>
    <row r="477" spans="1:40" s="100" customFormat="1" ht="46.8" x14ac:dyDescent="0.3">
      <c r="A477" s="160">
        <v>458</v>
      </c>
      <c r="B477" s="166" t="s">
        <v>1133</v>
      </c>
      <c r="C477" s="98" t="s">
        <v>2708</v>
      </c>
      <c r="D477" s="162" t="s">
        <v>2712</v>
      </c>
      <c r="E477" s="26" t="s">
        <v>144</v>
      </c>
      <c r="F477" s="30" t="s">
        <v>49</v>
      </c>
      <c r="G477" s="162" t="s">
        <v>2704</v>
      </c>
      <c r="H477" s="162">
        <v>16</v>
      </c>
      <c r="I477" s="162" t="str">
        <f t="shared" ref="I477" si="4">G477</f>
        <v>с ЛН</v>
      </c>
      <c r="J477" s="164">
        <v>3</v>
      </c>
      <c r="K477" s="164" t="s">
        <v>528</v>
      </c>
      <c r="L477" s="164" t="s">
        <v>528</v>
      </c>
      <c r="M477" s="164" t="s">
        <v>2705</v>
      </c>
      <c r="N477" s="164" t="s">
        <v>2705</v>
      </c>
      <c r="O477" s="162">
        <v>86</v>
      </c>
      <c r="P477" s="162" t="s">
        <v>2706</v>
      </c>
      <c r="Q477" s="162">
        <v>163</v>
      </c>
      <c r="R477" s="162" t="s">
        <v>2706</v>
      </c>
      <c r="S477" s="162">
        <v>46</v>
      </c>
      <c r="T477" s="162" t="s">
        <v>2706</v>
      </c>
      <c r="U477" s="162">
        <v>50</v>
      </c>
      <c r="V477" s="162" t="s">
        <v>2706</v>
      </c>
      <c r="W477" s="162">
        <v>46</v>
      </c>
      <c r="X477" s="162" t="s">
        <v>2706</v>
      </c>
      <c r="Y477" s="162">
        <v>49</v>
      </c>
      <c r="Z477" s="162" t="s">
        <v>2706</v>
      </c>
      <c r="AA477" s="162">
        <v>33</v>
      </c>
      <c r="AB477" s="162" t="s">
        <v>2706</v>
      </c>
      <c r="AC477" s="162">
        <v>38</v>
      </c>
      <c r="AD477" s="162" t="s">
        <v>2706</v>
      </c>
      <c r="AE477" s="162">
        <v>76</v>
      </c>
      <c r="AF477" s="162" t="s">
        <v>2706</v>
      </c>
      <c r="AG477" s="162">
        <v>81</v>
      </c>
      <c r="AH477" s="162" t="s">
        <v>2706</v>
      </c>
      <c r="AI477" s="162">
        <v>593</v>
      </c>
      <c r="AJ477" s="162" t="s">
        <v>2706</v>
      </c>
      <c r="AK477" s="162">
        <v>92</v>
      </c>
      <c r="AL477" s="162" t="s">
        <v>2706</v>
      </c>
      <c r="AM477" s="162">
        <v>1315</v>
      </c>
      <c r="AN477" s="162"/>
    </row>
    <row r="478" spans="1:40" s="100" customFormat="1" ht="46.8" x14ac:dyDescent="0.3">
      <c r="A478" s="161"/>
      <c r="B478" s="167"/>
      <c r="C478" s="98" t="s">
        <v>2708</v>
      </c>
      <c r="D478" s="163"/>
      <c r="E478" s="26" t="s">
        <v>48</v>
      </c>
      <c r="F478" s="30" t="s">
        <v>49</v>
      </c>
      <c r="G478" s="163"/>
      <c r="H478" s="163"/>
      <c r="I478" s="163"/>
      <c r="J478" s="165"/>
      <c r="K478" s="165"/>
      <c r="L478" s="165"/>
      <c r="M478" s="165"/>
      <c r="N478" s="165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  <c r="AA478" s="163"/>
      <c r="AB478" s="163"/>
      <c r="AC478" s="163"/>
      <c r="AD478" s="163"/>
      <c r="AE478" s="163"/>
      <c r="AF478" s="163"/>
      <c r="AG478" s="163"/>
      <c r="AH478" s="163"/>
      <c r="AI478" s="163"/>
      <c r="AJ478" s="163"/>
      <c r="AK478" s="163"/>
      <c r="AL478" s="163"/>
      <c r="AM478" s="163"/>
      <c r="AN478" s="163"/>
    </row>
    <row r="479" spans="1:40" s="100" customFormat="1" ht="46.8" x14ac:dyDescent="0.3">
      <c r="A479" s="160">
        <v>459</v>
      </c>
      <c r="B479" s="166" t="s">
        <v>1135</v>
      </c>
      <c r="C479" s="98" t="s">
        <v>2708</v>
      </c>
      <c r="D479" s="162" t="s">
        <v>2712</v>
      </c>
      <c r="E479" s="26" t="s">
        <v>144</v>
      </c>
      <c r="F479" s="30" t="s">
        <v>49</v>
      </c>
      <c r="G479" s="162" t="s">
        <v>2704</v>
      </c>
      <c r="H479" s="162">
        <v>27</v>
      </c>
      <c r="I479" s="162" t="str">
        <f t="shared" ref="I479:I543" si="5">G479</f>
        <v>с ЛН</v>
      </c>
      <c r="J479" s="164">
        <v>5</v>
      </c>
      <c r="K479" s="164" t="s">
        <v>528</v>
      </c>
      <c r="L479" s="164" t="s">
        <v>528</v>
      </c>
      <c r="M479" s="164" t="s">
        <v>2705</v>
      </c>
      <c r="N479" s="164" t="s">
        <v>2705</v>
      </c>
      <c r="O479" s="162">
        <v>723</v>
      </c>
      <c r="P479" s="162" t="s">
        <v>2706</v>
      </c>
      <c r="Q479" s="162">
        <v>801</v>
      </c>
      <c r="R479" s="162" t="s">
        <v>2706</v>
      </c>
      <c r="S479" s="162">
        <v>392</v>
      </c>
      <c r="T479" s="162" t="s">
        <v>2706</v>
      </c>
      <c r="U479" s="162">
        <v>549</v>
      </c>
      <c r="V479" s="162" t="s">
        <v>2706</v>
      </c>
      <c r="W479" s="162">
        <v>455</v>
      </c>
      <c r="X479" s="162" t="s">
        <v>2706</v>
      </c>
      <c r="Y479" s="162">
        <v>428</v>
      </c>
      <c r="Z479" s="162" t="s">
        <v>2706</v>
      </c>
      <c r="AA479" s="162">
        <v>343</v>
      </c>
      <c r="AB479" s="162" t="s">
        <v>2706</v>
      </c>
      <c r="AC479" s="162">
        <v>573</v>
      </c>
      <c r="AD479" s="162" t="s">
        <v>2706</v>
      </c>
      <c r="AE479" s="162">
        <v>696</v>
      </c>
      <c r="AF479" s="162" t="s">
        <v>2706</v>
      </c>
      <c r="AG479" s="162">
        <v>724</v>
      </c>
      <c r="AH479" s="162" t="s">
        <v>2706</v>
      </c>
      <c r="AI479" s="162">
        <v>1291</v>
      </c>
      <c r="AJ479" s="162" t="s">
        <v>2706</v>
      </c>
      <c r="AK479" s="162">
        <v>494</v>
      </c>
      <c r="AL479" s="162" t="s">
        <v>2706</v>
      </c>
      <c r="AM479" s="162">
        <v>6896</v>
      </c>
      <c r="AN479" s="162"/>
    </row>
    <row r="480" spans="1:40" s="100" customFormat="1" ht="46.8" x14ac:dyDescent="0.3">
      <c r="A480" s="161"/>
      <c r="B480" s="167"/>
      <c r="C480" s="98" t="s">
        <v>2708</v>
      </c>
      <c r="D480" s="163"/>
      <c r="E480" s="26" t="s">
        <v>48</v>
      </c>
      <c r="F480" s="30" t="s">
        <v>49</v>
      </c>
      <c r="G480" s="163"/>
      <c r="H480" s="163"/>
      <c r="I480" s="163"/>
      <c r="J480" s="165"/>
      <c r="K480" s="165"/>
      <c r="L480" s="165"/>
      <c r="M480" s="165"/>
      <c r="N480" s="165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  <c r="AA480" s="163"/>
      <c r="AB480" s="163"/>
      <c r="AC480" s="163"/>
      <c r="AD480" s="163"/>
      <c r="AE480" s="163"/>
      <c r="AF480" s="163"/>
      <c r="AG480" s="163"/>
      <c r="AH480" s="163"/>
      <c r="AI480" s="163"/>
      <c r="AJ480" s="163"/>
      <c r="AK480" s="163"/>
      <c r="AL480" s="163"/>
      <c r="AM480" s="163"/>
      <c r="AN480" s="163"/>
    </row>
    <row r="481" spans="1:40" s="100" customFormat="1" ht="46.8" x14ac:dyDescent="0.3">
      <c r="A481" s="160">
        <v>460</v>
      </c>
      <c r="B481" s="166" t="s">
        <v>1137</v>
      </c>
      <c r="C481" s="98" t="s">
        <v>2708</v>
      </c>
      <c r="D481" s="162" t="s">
        <v>2712</v>
      </c>
      <c r="E481" s="26" t="s">
        <v>144</v>
      </c>
      <c r="F481" s="30" t="s">
        <v>49</v>
      </c>
      <c r="G481" s="162" t="s">
        <v>2704</v>
      </c>
      <c r="H481" s="162">
        <v>37</v>
      </c>
      <c r="I481" s="162" t="str">
        <f t="shared" si="5"/>
        <v>с ЛН</v>
      </c>
      <c r="J481" s="164">
        <v>7</v>
      </c>
      <c r="K481" s="164" t="s">
        <v>528</v>
      </c>
      <c r="L481" s="164" t="s">
        <v>528</v>
      </c>
      <c r="M481" s="164" t="s">
        <v>2705</v>
      </c>
      <c r="N481" s="164" t="s">
        <v>2705</v>
      </c>
      <c r="O481" s="162">
        <v>1759</v>
      </c>
      <c r="P481" s="162" t="s">
        <v>2706</v>
      </c>
      <c r="Q481" s="162">
        <v>1689</v>
      </c>
      <c r="R481" s="162" t="s">
        <v>2706</v>
      </c>
      <c r="S481" s="162">
        <v>985</v>
      </c>
      <c r="T481" s="162" t="s">
        <v>2706</v>
      </c>
      <c r="U481" s="162">
        <v>1552</v>
      </c>
      <c r="V481" s="162" t="s">
        <v>2706</v>
      </c>
      <c r="W481" s="162">
        <v>1436</v>
      </c>
      <c r="X481" s="162" t="s">
        <v>2706</v>
      </c>
      <c r="Y481" s="162">
        <v>861</v>
      </c>
      <c r="Z481" s="162" t="s">
        <v>2706</v>
      </c>
      <c r="AA481" s="162">
        <v>804</v>
      </c>
      <c r="AB481" s="162" t="s">
        <v>2706</v>
      </c>
      <c r="AC481" s="162">
        <v>1031</v>
      </c>
      <c r="AD481" s="162" t="s">
        <v>2706</v>
      </c>
      <c r="AE481" s="162">
        <v>1530</v>
      </c>
      <c r="AF481" s="162" t="s">
        <v>2706</v>
      </c>
      <c r="AG481" s="162">
        <v>1044</v>
      </c>
      <c r="AH481" s="162" t="s">
        <v>2706</v>
      </c>
      <c r="AI481" s="162">
        <v>1074</v>
      </c>
      <c r="AJ481" s="162" t="s">
        <v>2706</v>
      </c>
      <c r="AK481" s="162">
        <v>2110</v>
      </c>
      <c r="AL481" s="162" t="s">
        <v>2706</v>
      </c>
      <c r="AM481" s="162">
        <v>14844</v>
      </c>
      <c r="AN481" s="162"/>
    </row>
    <row r="482" spans="1:40" s="100" customFormat="1" ht="46.8" x14ac:dyDescent="0.3">
      <c r="A482" s="161"/>
      <c r="B482" s="167"/>
      <c r="C482" s="98" t="s">
        <v>2708</v>
      </c>
      <c r="D482" s="163"/>
      <c r="E482" s="26" t="s">
        <v>48</v>
      </c>
      <c r="F482" s="30" t="s">
        <v>49</v>
      </c>
      <c r="G482" s="163"/>
      <c r="H482" s="163"/>
      <c r="I482" s="163"/>
      <c r="J482" s="165"/>
      <c r="K482" s="165"/>
      <c r="L482" s="165"/>
      <c r="M482" s="165"/>
      <c r="N482" s="165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  <c r="AA482" s="163"/>
      <c r="AB482" s="163"/>
      <c r="AC482" s="163"/>
      <c r="AD482" s="163"/>
      <c r="AE482" s="163"/>
      <c r="AF482" s="163"/>
      <c r="AG482" s="163"/>
      <c r="AH482" s="163"/>
      <c r="AI482" s="163"/>
      <c r="AJ482" s="163"/>
      <c r="AK482" s="163"/>
      <c r="AL482" s="163"/>
      <c r="AM482" s="163"/>
      <c r="AN482" s="163"/>
    </row>
    <row r="483" spans="1:40" s="100" customFormat="1" ht="46.8" x14ac:dyDescent="0.3">
      <c r="A483" s="160">
        <v>461</v>
      </c>
      <c r="B483" s="166" t="s">
        <v>1139</v>
      </c>
      <c r="C483" s="98" t="s">
        <v>2708</v>
      </c>
      <c r="D483" s="162" t="s">
        <v>2712</v>
      </c>
      <c r="E483" s="26" t="s">
        <v>144</v>
      </c>
      <c r="F483" s="30" t="s">
        <v>49</v>
      </c>
      <c r="G483" s="162" t="s">
        <v>2704</v>
      </c>
      <c r="H483" s="162">
        <v>20</v>
      </c>
      <c r="I483" s="162" t="str">
        <f t="shared" si="5"/>
        <v>с ЛН</v>
      </c>
      <c r="J483" s="164">
        <v>3</v>
      </c>
      <c r="K483" s="164" t="s">
        <v>528</v>
      </c>
      <c r="L483" s="164" t="s">
        <v>528</v>
      </c>
      <c r="M483" s="164" t="s">
        <v>2705</v>
      </c>
      <c r="N483" s="164" t="s">
        <v>2705</v>
      </c>
      <c r="O483" s="162">
        <v>431</v>
      </c>
      <c r="P483" s="162" t="s">
        <v>2706</v>
      </c>
      <c r="Q483" s="162">
        <v>756</v>
      </c>
      <c r="R483" s="162" t="s">
        <v>2706</v>
      </c>
      <c r="S483" s="162">
        <v>314</v>
      </c>
      <c r="T483" s="162" t="s">
        <v>2706</v>
      </c>
      <c r="U483" s="162">
        <v>653</v>
      </c>
      <c r="V483" s="162" t="s">
        <v>2706</v>
      </c>
      <c r="W483" s="162">
        <v>519</v>
      </c>
      <c r="X483" s="162" t="s">
        <v>2706</v>
      </c>
      <c r="Y483" s="162">
        <v>398</v>
      </c>
      <c r="Z483" s="162" t="s">
        <v>2706</v>
      </c>
      <c r="AA483" s="162">
        <v>451</v>
      </c>
      <c r="AB483" s="162" t="s">
        <v>2706</v>
      </c>
      <c r="AC483" s="162">
        <v>421</v>
      </c>
      <c r="AD483" s="162" t="s">
        <v>2706</v>
      </c>
      <c r="AE483" s="162">
        <v>449</v>
      </c>
      <c r="AF483" s="162" t="s">
        <v>2706</v>
      </c>
      <c r="AG483" s="162">
        <v>455</v>
      </c>
      <c r="AH483" s="162" t="s">
        <v>2706</v>
      </c>
      <c r="AI483" s="162">
        <v>860</v>
      </c>
      <c r="AJ483" s="162" t="s">
        <v>2706</v>
      </c>
      <c r="AK483" s="162">
        <v>629</v>
      </c>
      <c r="AL483" s="162" t="s">
        <v>2706</v>
      </c>
      <c r="AM483" s="162">
        <v>5915</v>
      </c>
      <c r="AN483" s="162"/>
    </row>
    <row r="484" spans="1:40" s="100" customFormat="1" ht="46.8" x14ac:dyDescent="0.3">
      <c r="A484" s="161"/>
      <c r="B484" s="167"/>
      <c r="C484" s="98" t="s">
        <v>2708</v>
      </c>
      <c r="D484" s="163"/>
      <c r="E484" s="26" t="s">
        <v>48</v>
      </c>
      <c r="F484" s="30" t="s">
        <v>49</v>
      </c>
      <c r="G484" s="163"/>
      <c r="H484" s="163"/>
      <c r="I484" s="163"/>
      <c r="J484" s="165"/>
      <c r="K484" s="165"/>
      <c r="L484" s="165"/>
      <c r="M484" s="165"/>
      <c r="N484" s="165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  <c r="AA484" s="163"/>
      <c r="AB484" s="163"/>
      <c r="AC484" s="163"/>
      <c r="AD484" s="163"/>
      <c r="AE484" s="163"/>
      <c r="AF484" s="163"/>
      <c r="AG484" s="163"/>
      <c r="AH484" s="163"/>
      <c r="AI484" s="163"/>
      <c r="AJ484" s="163"/>
      <c r="AK484" s="163"/>
      <c r="AL484" s="163"/>
      <c r="AM484" s="163"/>
      <c r="AN484" s="163"/>
    </row>
    <row r="485" spans="1:40" s="100" customFormat="1" ht="46.8" x14ac:dyDescent="0.3">
      <c r="A485" s="160">
        <v>462</v>
      </c>
      <c r="B485" s="166" t="s">
        <v>1141</v>
      </c>
      <c r="C485" s="98" t="s">
        <v>2708</v>
      </c>
      <c r="D485" s="162" t="s">
        <v>2712</v>
      </c>
      <c r="E485" s="26" t="s">
        <v>144</v>
      </c>
      <c r="F485" s="30" t="s">
        <v>49</v>
      </c>
      <c r="G485" s="162" t="s">
        <v>2704</v>
      </c>
      <c r="H485" s="162">
        <v>17</v>
      </c>
      <c r="I485" s="162" t="str">
        <f t="shared" si="5"/>
        <v>с ЛН</v>
      </c>
      <c r="J485" s="164">
        <v>3</v>
      </c>
      <c r="K485" s="164" t="s">
        <v>528</v>
      </c>
      <c r="L485" s="164" t="s">
        <v>528</v>
      </c>
      <c r="M485" s="164" t="s">
        <v>2705</v>
      </c>
      <c r="N485" s="164" t="s">
        <v>2705</v>
      </c>
      <c r="O485" s="162">
        <v>557</v>
      </c>
      <c r="P485" s="162" t="s">
        <v>2706</v>
      </c>
      <c r="Q485" s="162">
        <v>777</v>
      </c>
      <c r="R485" s="162" t="s">
        <v>2706</v>
      </c>
      <c r="S485" s="162">
        <v>466</v>
      </c>
      <c r="T485" s="162" t="s">
        <v>2706</v>
      </c>
      <c r="U485" s="162">
        <v>693</v>
      </c>
      <c r="V485" s="162" t="s">
        <v>2706</v>
      </c>
      <c r="W485" s="162">
        <v>753</v>
      </c>
      <c r="X485" s="162" t="s">
        <v>2706</v>
      </c>
      <c r="Y485" s="162">
        <v>553</v>
      </c>
      <c r="Z485" s="162" t="s">
        <v>2706</v>
      </c>
      <c r="AA485" s="162">
        <v>500</v>
      </c>
      <c r="AB485" s="162" t="s">
        <v>2706</v>
      </c>
      <c r="AC485" s="162">
        <v>589</v>
      </c>
      <c r="AD485" s="162" t="s">
        <v>2706</v>
      </c>
      <c r="AE485" s="162">
        <v>584</v>
      </c>
      <c r="AF485" s="162" t="s">
        <v>2706</v>
      </c>
      <c r="AG485" s="162">
        <v>711</v>
      </c>
      <c r="AH485" s="162" t="s">
        <v>2706</v>
      </c>
      <c r="AI485" s="162">
        <v>1436</v>
      </c>
      <c r="AJ485" s="162" t="s">
        <v>2706</v>
      </c>
      <c r="AK485" s="162">
        <v>1071</v>
      </c>
      <c r="AL485" s="162" t="s">
        <v>2706</v>
      </c>
      <c r="AM485" s="162">
        <v>8101</v>
      </c>
      <c r="AN485" s="162"/>
    </row>
    <row r="486" spans="1:40" s="100" customFormat="1" ht="46.8" x14ac:dyDescent="0.3">
      <c r="A486" s="161"/>
      <c r="B486" s="167"/>
      <c r="C486" s="98" t="s">
        <v>2708</v>
      </c>
      <c r="D486" s="163"/>
      <c r="E486" s="26" t="s">
        <v>48</v>
      </c>
      <c r="F486" s="30" t="s">
        <v>49</v>
      </c>
      <c r="G486" s="163"/>
      <c r="H486" s="163"/>
      <c r="I486" s="163"/>
      <c r="J486" s="165"/>
      <c r="K486" s="165"/>
      <c r="L486" s="165"/>
      <c r="M486" s="165"/>
      <c r="N486" s="165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  <c r="AA486" s="163"/>
      <c r="AB486" s="163"/>
      <c r="AC486" s="163"/>
      <c r="AD486" s="163"/>
      <c r="AE486" s="163"/>
      <c r="AF486" s="163"/>
      <c r="AG486" s="163"/>
      <c r="AH486" s="163"/>
      <c r="AI486" s="163"/>
      <c r="AJ486" s="163"/>
      <c r="AK486" s="163"/>
      <c r="AL486" s="163"/>
      <c r="AM486" s="163"/>
      <c r="AN486" s="163"/>
    </row>
    <row r="487" spans="1:40" s="100" customFormat="1" ht="46.8" x14ac:dyDescent="0.3">
      <c r="A487" s="160">
        <v>463</v>
      </c>
      <c r="B487" s="166" t="s">
        <v>1142</v>
      </c>
      <c r="C487" s="98" t="s">
        <v>2708</v>
      </c>
      <c r="D487" s="162" t="s">
        <v>2712</v>
      </c>
      <c r="E487" s="26" t="s">
        <v>144</v>
      </c>
      <c r="F487" s="30" t="s">
        <v>49</v>
      </c>
      <c r="G487" s="162" t="s">
        <v>2704</v>
      </c>
      <c r="H487" s="162">
        <v>17</v>
      </c>
      <c r="I487" s="162" t="str">
        <f t="shared" si="5"/>
        <v>с ЛН</v>
      </c>
      <c r="J487" s="164">
        <v>3</v>
      </c>
      <c r="K487" s="164" t="s">
        <v>528</v>
      </c>
      <c r="L487" s="164" t="s">
        <v>528</v>
      </c>
      <c r="M487" s="164" t="s">
        <v>2705</v>
      </c>
      <c r="N487" s="164" t="s">
        <v>2705</v>
      </c>
      <c r="O487" s="162">
        <v>0</v>
      </c>
      <c r="P487" s="162" t="s">
        <v>2706</v>
      </c>
      <c r="Q487" s="162">
        <v>0</v>
      </c>
      <c r="R487" s="162" t="s">
        <v>2706</v>
      </c>
      <c r="S487" s="162">
        <v>0</v>
      </c>
      <c r="T487" s="162" t="s">
        <v>2706</v>
      </c>
      <c r="U487" s="162">
        <v>0</v>
      </c>
      <c r="V487" s="162" t="s">
        <v>2706</v>
      </c>
      <c r="W487" s="162">
        <v>0</v>
      </c>
      <c r="X487" s="162" t="s">
        <v>2706</v>
      </c>
      <c r="Y487" s="162">
        <v>0</v>
      </c>
      <c r="Z487" s="162" t="s">
        <v>2706</v>
      </c>
      <c r="AA487" s="162">
        <v>0</v>
      </c>
      <c r="AB487" s="162" t="s">
        <v>2706</v>
      </c>
      <c r="AC487" s="162">
        <v>0</v>
      </c>
      <c r="AD487" s="162" t="s">
        <v>2706</v>
      </c>
      <c r="AE487" s="162">
        <v>0</v>
      </c>
      <c r="AF487" s="162" t="s">
        <v>2706</v>
      </c>
      <c r="AG487" s="162">
        <v>0</v>
      </c>
      <c r="AH487" s="162" t="s">
        <v>2706</v>
      </c>
      <c r="AI487" s="162">
        <v>0</v>
      </c>
      <c r="AJ487" s="162" t="s">
        <v>2706</v>
      </c>
      <c r="AK487" s="162">
        <v>0</v>
      </c>
      <c r="AL487" s="162" t="s">
        <v>2706</v>
      </c>
      <c r="AM487" s="162">
        <v>0</v>
      </c>
      <c r="AN487" s="162"/>
    </row>
    <row r="488" spans="1:40" s="100" customFormat="1" ht="46.8" x14ac:dyDescent="0.3">
      <c r="A488" s="161"/>
      <c r="B488" s="167"/>
      <c r="C488" s="98" t="s">
        <v>2708</v>
      </c>
      <c r="D488" s="163"/>
      <c r="E488" s="26" t="s">
        <v>48</v>
      </c>
      <c r="F488" s="30" t="s">
        <v>49</v>
      </c>
      <c r="G488" s="163"/>
      <c r="H488" s="163"/>
      <c r="I488" s="163"/>
      <c r="J488" s="165"/>
      <c r="K488" s="165"/>
      <c r="L488" s="165"/>
      <c r="M488" s="165"/>
      <c r="N488" s="165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  <c r="AA488" s="163"/>
      <c r="AB488" s="163"/>
      <c r="AC488" s="163"/>
      <c r="AD488" s="163"/>
      <c r="AE488" s="163"/>
      <c r="AF488" s="163"/>
      <c r="AG488" s="163"/>
      <c r="AH488" s="163"/>
      <c r="AI488" s="163"/>
      <c r="AJ488" s="163"/>
      <c r="AK488" s="163"/>
      <c r="AL488" s="163"/>
      <c r="AM488" s="163"/>
      <c r="AN488" s="163"/>
    </row>
    <row r="489" spans="1:40" s="100" customFormat="1" ht="46.8" x14ac:dyDescent="0.3">
      <c r="A489" s="160">
        <v>464</v>
      </c>
      <c r="B489" s="166" t="s">
        <v>1143</v>
      </c>
      <c r="C489" s="98" t="s">
        <v>2708</v>
      </c>
      <c r="D489" s="162" t="s">
        <v>2712</v>
      </c>
      <c r="E489" s="26" t="s">
        <v>144</v>
      </c>
      <c r="F489" s="30" t="s">
        <v>49</v>
      </c>
      <c r="G489" s="162" t="s">
        <v>2704</v>
      </c>
      <c r="H489" s="162">
        <v>18</v>
      </c>
      <c r="I489" s="162" t="str">
        <f t="shared" si="5"/>
        <v>с ЛН</v>
      </c>
      <c r="J489" s="164">
        <v>3</v>
      </c>
      <c r="K489" s="164" t="s">
        <v>528</v>
      </c>
      <c r="L489" s="164" t="s">
        <v>528</v>
      </c>
      <c r="M489" s="164" t="s">
        <v>2705</v>
      </c>
      <c r="N489" s="164" t="s">
        <v>2705</v>
      </c>
      <c r="O489" s="162">
        <v>0</v>
      </c>
      <c r="P489" s="162" t="s">
        <v>2706</v>
      </c>
      <c r="Q489" s="162">
        <v>0</v>
      </c>
      <c r="R489" s="162" t="s">
        <v>2706</v>
      </c>
      <c r="S489" s="162">
        <v>0</v>
      </c>
      <c r="T489" s="162" t="s">
        <v>2706</v>
      </c>
      <c r="U489" s="162">
        <v>0</v>
      </c>
      <c r="V489" s="162" t="s">
        <v>2706</v>
      </c>
      <c r="W489" s="162">
        <v>0</v>
      </c>
      <c r="X489" s="162" t="s">
        <v>2706</v>
      </c>
      <c r="Y489" s="162">
        <v>0</v>
      </c>
      <c r="Z489" s="162" t="s">
        <v>2706</v>
      </c>
      <c r="AA489" s="162">
        <v>0</v>
      </c>
      <c r="AB489" s="162" t="s">
        <v>2706</v>
      </c>
      <c r="AC489" s="162">
        <v>0</v>
      </c>
      <c r="AD489" s="162" t="s">
        <v>2706</v>
      </c>
      <c r="AE489" s="162">
        <v>0</v>
      </c>
      <c r="AF489" s="162" t="s">
        <v>2706</v>
      </c>
      <c r="AG489" s="162">
        <v>0</v>
      </c>
      <c r="AH489" s="162" t="s">
        <v>2706</v>
      </c>
      <c r="AI489" s="162">
        <v>0</v>
      </c>
      <c r="AJ489" s="162" t="s">
        <v>2706</v>
      </c>
      <c r="AK489" s="162">
        <v>0</v>
      </c>
      <c r="AL489" s="162" t="s">
        <v>2706</v>
      </c>
      <c r="AM489" s="162">
        <v>0</v>
      </c>
      <c r="AN489" s="162"/>
    </row>
    <row r="490" spans="1:40" s="100" customFormat="1" ht="46.8" x14ac:dyDescent="0.3">
      <c r="A490" s="161"/>
      <c r="B490" s="167"/>
      <c r="C490" s="98" t="s">
        <v>2708</v>
      </c>
      <c r="D490" s="163"/>
      <c r="E490" s="26" t="s">
        <v>48</v>
      </c>
      <c r="F490" s="30" t="s">
        <v>49</v>
      </c>
      <c r="G490" s="163"/>
      <c r="H490" s="163"/>
      <c r="I490" s="163"/>
      <c r="J490" s="165"/>
      <c r="K490" s="165"/>
      <c r="L490" s="165"/>
      <c r="M490" s="165"/>
      <c r="N490" s="165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  <c r="AA490" s="163"/>
      <c r="AB490" s="163"/>
      <c r="AC490" s="163"/>
      <c r="AD490" s="163"/>
      <c r="AE490" s="163"/>
      <c r="AF490" s="163"/>
      <c r="AG490" s="163"/>
      <c r="AH490" s="163"/>
      <c r="AI490" s="163"/>
      <c r="AJ490" s="163"/>
      <c r="AK490" s="163"/>
      <c r="AL490" s="163"/>
      <c r="AM490" s="163"/>
      <c r="AN490" s="163"/>
    </row>
    <row r="491" spans="1:40" s="100" customFormat="1" ht="46.8" x14ac:dyDescent="0.3">
      <c r="A491" s="160">
        <v>465</v>
      </c>
      <c r="B491" s="166" t="s">
        <v>1144</v>
      </c>
      <c r="C491" s="98" t="s">
        <v>2708</v>
      </c>
      <c r="D491" s="162" t="s">
        <v>2712</v>
      </c>
      <c r="E491" s="26" t="s">
        <v>144</v>
      </c>
      <c r="F491" s="30" t="s">
        <v>49</v>
      </c>
      <c r="G491" s="162" t="s">
        <v>2704</v>
      </c>
      <c r="H491" s="162">
        <v>27</v>
      </c>
      <c r="I491" s="162" t="str">
        <f t="shared" si="5"/>
        <v>с ЛН</v>
      </c>
      <c r="J491" s="164">
        <v>5</v>
      </c>
      <c r="K491" s="164" t="s">
        <v>528</v>
      </c>
      <c r="L491" s="164" t="s">
        <v>528</v>
      </c>
      <c r="M491" s="164" t="s">
        <v>2705</v>
      </c>
      <c r="N491" s="164" t="s">
        <v>2705</v>
      </c>
      <c r="O491" s="162">
        <v>312</v>
      </c>
      <c r="P491" s="162" t="s">
        <v>2706</v>
      </c>
      <c r="Q491" s="162">
        <v>312</v>
      </c>
      <c r="R491" s="162" t="s">
        <v>2706</v>
      </c>
      <c r="S491" s="162">
        <v>312</v>
      </c>
      <c r="T491" s="162" t="s">
        <v>2706</v>
      </c>
      <c r="U491" s="162">
        <v>312</v>
      </c>
      <c r="V491" s="162" t="s">
        <v>2706</v>
      </c>
      <c r="W491" s="162">
        <v>312</v>
      </c>
      <c r="X491" s="162" t="s">
        <v>2706</v>
      </c>
      <c r="Y491" s="162">
        <v>724</v>
      </c>
      <c r="Z491" s="162" t="s">
        <v>2706</v>
      </c>
      <c r="AA491" s="162">
        <v>724</v>
      </c>
      <c r="AB491" s="162" t="s">
        <v>2706</v>
      </c>
      <c r="AC491" s="162">
        <v>724</v>
      </c>
      <c r="AD491" s="162" t="s">
        <v>2706</v>
      </c>
      <c r="AE491" s="162">
        <v>724</v>
      </c>
      <c r="AF491" s="162" t="s">
        <v>2706</v>
      </c>
      <c r="AG491" s="162">
        <v>724</v>
      </c>
      <c r="AH491" s="162" t="s">
        <v>2706</v>
      </c>
      <c r="AI491" s="162">
        <v>724</v>
      </c>
      <c r="AJ491" s="162" t="s">
        <v>2706</v>
      </c>
      <c r="AK491" s="162">
        <v>724</v>
      </c>
      <c r="AL491" s="162" t="s">
        <v>2706</v>
      </c>
      <c r="AM491" s="162">
        <v>5904</v>
      </c>
      <c r="AN491" s="162"/>
    </row>
    <row r="492" spans="1:40" s="100" customFormat="1" ht="46.8" x14ac:dyDescent="0.3">
      <c r="A492" s="161"/>
      <c r="B492" s="167"/>
      <c r="C492" s="98" t="s">
        <v>2708</v>
      </c>
      <c r="D492" s="163"/>
      <c r="E492" s="26" t="s">
        <v>48</v>
      </c>
      <c r="F492" s="30" t="s">
        <v>49</v>
      </c>
      <c r="G492" s="163"/>
      <c r="H492" s="163"/>
      <c r="I492" s="163"/>
      <c r="J492" s="165"/>
      <c r="K492" s="165"/>
      <c r="L492" s="165"/>
      <c r="M492" s="165"/>
      <c r="N492" s="165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  <c r="AA492" s="163"/>
      <c r="AB492" s="163"/>
      <c r="AC492" s="163"/>
      <c r="AD492" s="163"/>
      <c r="AE492" s="163"/>
      <c r="AF492" s="163"/>
      <c r="AG492" s="163"/>
      <c r="AH492" s="163"/>
      <c r="AI492" s="163"/>
      <c r="AJ492" s="163"/>
      <c r="AK492" s="163"/>
      <c r="AL492" s="163"/>
      <c r="AM492" s="163"/>
      <c r="AN492" s="163"/>
    </row>
    <row r="493" spans="1:40" s="100" customFormat="1" ht="46.8" x14ac:dyDescent="0.3">
      <c r="A493" s="160">
        <v>466</v>
      </c>
      <c r="B493" s="166" t="s">
        <v>1145</v>
      </c>
      <c r="C493" s="98" t="s">
        <v>2708</v>
      </c>
      <c r="D493" s="162" t="s">
        <v>2712</v>
      </c>
      <c r="E493" s="26" t="s">
        <v>144</v>
      </c>
      <c r="F493" s="30" t="s">
        <v>49</v>
      </c>
      <c r="G493" s="162" t="s">
        <v>2704</v>
      </c>
      <c r="H493" s="162">
        <v>22</v>
      </c>
      <c r="I493" s="162" t="str">
        <f t="shared" si="5"/>
        <v>с ЛН</v>
      </c>
      <c r="J493" s="164">
        <v>4</v>
      </c>
      <c r="K493" s="164" t="s">
        <v>528</v>
      </c>
      <c r="L493" s="164" t="s">
        <v>528</v>
      </c>
      <c r="M493" s="164" t="s">
        <v>2705</v>
      </c>
      <c r="N493" s="164" t="s">
        <v>2705</v>
      </c>
      <c r="O493" s="162">
        <v>416</v>
      </c>
      <c r="P493" s="162" t="s">
        <v>2706</v>
      </c>
      <c r="Q493" s="162">
        <v>369</v>
      </c>
      <c r="R493" s="162" t="s">
        <v>2706</v>
      </c>
      <c r="S493" s="162">
        <v>270</v>
      </c>
      <c r="T493" s="162" t="s">
        <v>2706</v>
      </c>
      <c r="U493" s="162">
        <v>383</v>
      </c>
      <c r="V493" s="162" t="s">
        <v>2706</v>
      </c>
      <c r="W493" s="162">
        <v>412</v>
      </c>
      <c r="X493" s="162" t="s">
        <v>2706</v>
      </c>
      <c r="Y493" s="162">
        <v>274</v>
      </c>
      <c r="Z493" s="162" t="s">
        <v>2706</v>
      </c>
      <c r="AA493" s="162">
        <v>277</v>
      </c>
      <c r="AB493" s="162" t="s">
        <v>2706</v>
      </c>
      <c r="AC493" s="162">
        <v>263</v>
      </c>
      <c r="AD493" s="162" t="s">
        <v>2706</v>
      </c>
      <c r="AE493" s="162">
        <v>323</v>
      </c>
      <c r="AF493" s="162" t="s">
        <v>2706</v>
      </c>
      <c r="AG493" s="162">
        <v>469</v>
      </c>
      <c r="AH493" s="162" t="s">
        <v>2706</v>
      </c>
      <c r="AI493" s="162">
        <v>403</v>
      </c>
      <c r="AJ493" s="162" t="s">
        <v>2706</v>
      </c>
      <c r="AK493" s="162">
        <v>412</v>
      </c>
      <c r="AL493" s="162" t="s">
        <v>2706</v>
      </c>
      <c r="AM493" s="162">
        <v>4008</v>
      </c>
      <c r="AN493" s="162"/>
    </row>
    <row r="494" spans="1:40" s="100" customFormat="1" ht="46.8" x14ac:dyDescent="0.3">
      <c r="A494" s="161"/>
      <c r="B494" s="167"/>
      <c r="C494" s="98" t="s">
        <v>2708</v>
      </c>
      <c r="D494" s="163"/>
      <c r="E494" s="26" t="s">
        <v>48</v>
      </c>
      <c r="F494" s="30" t="s">
        <v>49</v>
      </c>
      <c r="G494" s="163"/>
      <c r="H494" s="163"/>
      <c r="I494" s="163"/>
      <c r="J494" s="165"/>
      <c r="K494" s="165"/>
      <c r="L494" s="165"/>
      <c r="M494" s="165"/>
      <c r="N494" s="165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  <c r="AA494" s="163"/>
      <c r="AB494" s="163"/>
      <c r="AC494" s="163"/>
      <c r="AD494" s="163"/>
      <c r="AE494" s="163"/>
      <c r="AF494" s="163"/>
      <c r="AG494" s="163"/>
      <c r="AH494" s="163"/>
      <c r="AI494" s="163"/>
      <c r="AJ494" s="163"/>
      <c r="AK494" s="163"/>
      <c r="AL494" s="163"/>
      <c r="AM494" s="163"/>
      <c r="AN494" s="163"/>
    </row>
    <row r="495" spans="1:40" s="100" customFormat="1" ht="46.8" x14ac:dyDescent="0.3">
      <c r="A495" s="160">
        <v>467</v>
      </c>
      <c r="B495" s="166" t="s">
        <v>1146</v>
      </c>
      <c r="C495" s="98" t="s">
        <v>2708</v>
      </c>
      <c r="D495" s="162" t="s">
        <v>2712</v>
      </c>
      <c r="E495" s="26" t="s">
        <v>144</v>
      </c>
      <c r="F495" s="30" t="s">
        <v>49</v>
      </c>
      <c r="G495" s="162"/>
      <c r="H495" s="162"/>
      <c r="I495" s="162"/>
      <c r="J495" s="164"/>
      <c r="K495" s="164" t="s">
        <v>528</v>
      </c>
      <c r="L495" s="164" t="s">
        <v>528</v>
      </c>
      <c r="M495" s="164" t="s">
        <v>2705</v>
      </c>
      <c r="N495" s="164" t="s">
        <v>2705</v>
      </c>
      <c r="O495" s="162">
        <v>473</v>
      </c>
      <c r="P495" s="162" t="s">
        <v>2706</v>
      </c>
      <c r="Q495" s="162">
        <v>479</v>
      </c>
      <c r="R495" s="162" t="s">
        <v>2706</v>
      </c>
      <c r="S495" s="162">
        <v>302</v>
      </c>
      <c r="T495" s="162" t="s">
        <v>2706</v>
      </c>
      <c r="U495" s="162">
        <v>495</v>
      </c>
      <c r="V495" s="162" t="s">
        <v>2706</v>
      </c>
      <c r="W495" s="162">
        <v>442</v>
      </c>
      <c r="X495" s="162" t="s">
        <v>2706</v>
      </c>
      <c r="Y495" s="162">
        <v>340</v>
      </c>
      <c r="Z495" s="162" t="s">
        <v>2706</v>
      </c>
      <c r="AA495" s="162">
        <v>321</v>
      </c>
      <c r="AB495" s="162" t="s">
        <v>2706</v>
      </c>
      <c r="AC495" s="162">
        <v>306</v>
      </c>
      <c r="AD495" s="162" t="s">
        <v>2706</v>
      </c>
      <c r="AE495" s="162">
        <v>631</v>
      </c>
      <c r="AF495" s="162" t="s">
        <v>2706</v>
      </c>
      <c r="AG495" s="162">
        <v>365</v>
      </c>
      <c r="AH495" s="162" t="s">
        <v>2706</v>
      </c>
      <c r="AI495" s="162">
        <v>522</v>
      </c>
      <c r="AJ495" s="162" t="s">
        <v>2706</v>
      </c>
      <c r="AK495" s="162">
        <v>460</v>
      </c>
      <c r="AL495" s="162" t="s">
        <v>2706</v>
      </c>
      <c r="AM495" s="162">
        <v>4830</v>
      </c>
      <c r="AN495" s="162"/>
    </row>
    <row r="496" spans="1:40" s="100" customFormat="1" ht="46.8" x14ac:dyDescent="0.3">
      <c r="A496" s="161"/>
      <c r="B496" s="171"/>
      <c r="C496" s="98" t="s">
        <v>2708</v>
      </c>
      <c r="D496" s="163"/>
      <c r="E496" s="95" t="s">
        <v>48</v>
      </c>
      <c r="F496" s="118" t="s">
        <v>49</v>
      </c>
      <c r="G496" s="163"/>
      <c r="H496" s="163"/>
      <c r="I496" s="163"/>
      <c r="J496" s="165"/>
      <c r="K496" s="165"/>
      <c r="L496" s="165"/>
      <c r="M496" s="165"/>
      <c r="N496" s="165"/>
      <c r="O496" s="170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  <c r="AA496" s="163"/>
      <c r="AB496" s="163"/>
      <c r="AC496" s="163"/>
      <c r="AD496" s="163"/>
      <c r="AE496" s="163"/>
      <c r="AF496" s="163"/>
      <c r="AG496" s="163"/>
      <c r="AH496" s="163"/>
      <c r="AI496" s="163"/>
      <c r="AJ496" s="163"/>
      <c r="AK496" s="163"/>
      <c r="AL496" s="163"/>
      <c r="AM496" s="163"/>
      <c r="AN496" s="163"/>
    </row>
    <row r="497" spans="1:40" s="100" customFormat="1" ht="46.8" x14ac:dyDescent="0.3">
      <c r="A497" s="160">
        <v>468</v>
      </c>
      <c r="B497" s="172" t="s">
        <v>1147</v>
      </c>
      <c r="C497" s="98" t="s">
        <v>2708</v>
      </c>
      <c r="D497" s="162" t="s">
        <v>2712</v>
      </c>
      <c r="E497" s="26" t="s">
        <v>144</v>
      </c>
      <c r="F497" s="30" t="s">
        <v>49</v>
      </c>
      <c r="G497" s="162" t="s">
        <v>2704</v>
      </c>
      <c r="H497" s="162">
        <v>27</v>
      </c>
      <c r="I497" s="162" t="str">
        <f t="shared" si="5"/>
        <v>с ЛН</v>
      </c>
      <c r="J497" s="164">
        <v>5</v>
      </c>
      <c r="K497" s="164" t="s">
        <v>529</v>
      </c>
      <c r="L497" s="164" t="s">
        <v>529</v>
      </c>
      <c r="M497" s="164" t="s">
        <v>2705</v>
      </c>
      <c r="N497" s="164" t="s">
        <v>2705</v>
      </c>
      <c r="O497" s="173">
        <v>810</v>
      </c>
      <c r="P497" s="162" t="s">
        <v>2706</v>
      </c>
      <c r="Q497" s="162">
        <v>684</v>
      </c>
      <c r="R497" s="162" t="s">
        <v>2706</v>
      </c>
      <c r="S497" s="162">
        <v>490</v>
      </c>
      <c r="T497" s="162" t="s">
        <v>2706</v>
      </c>
      <c r="U497" s="162">
        <v>618</v>
      </c>
      <c r="V497" s="162" t="s">
        <v>2706</v>
      </c>
      <c r="W497" s="162">
        <v>655</v>
      </c>
      <c r="X497" s="162" t="s">
        <v>2706</v>
      </c>
      <c r="Y497" s="162">
        <v>400</v>
      </c>
      <c r="Z497" s="162" t="s">
        <v>2706</v>
      </c>
      <c r="AA497" s="162">
        <v>413</v>
      </c>
      <c r="AB497" s="162" t="s">
        <v>2706</v>
      </c>
      <c r="AC497" s="162">
        <v>412</v>
      </c>
      <c r="AD497" s="162" t="s">
        <v>2706</v>
      </c>
      <c r="AE497" s="162">
        <v>629</v>
      </c>
      <c r="AF497" s="162" t="s">
        <v>2706</v>
      </c>
      <c r="AG497" s="162">
        <v>490</v>
      </c>
      <c r="AH497" s="162" t="s">
        <v>2706</v>
      </c>
      <c r="AI497" s="162">
        <v>647</v>
      </c>
      <c r="AJ497" s="162" t="s">
        <v>2706</v>
      </c>
      <c r="AK497" s="162">
        <v>746</v>
      </c>
      <c r="AL497" s="162" t="s">
        <v>2706</v>
      </c>
      <c r="AM497" s="162">
        <v>6582</v>
      </c>
      <c r="AN497" s="162"/>
    </row>
    <row r="498" spans="1:40" s="100" customFormat="1" ht="46.8" x14ac:dyDescent="0.3">
      <c r="A498" s="161"/>
      <c r="B498" s="172"/>
      <c r="C498" s="98" t="s">
        <v>2708</v>
      </c>
      <c r="D498" s="163"/>
      <c r="E498" s="26" t="s">
        <v>48</v>
      </c>
      <c r="F498" s="30" t="s">
        <v>49</v>
      </c>
      <c r="G498" s="163"/>
      <c r="H498" s="163"/>
      <c r="I498" s="163"/>
      <c r="J498" s="165"/>
      <c r="K498" s="165"/>
      <c r="L498" s="165"/>
      <c r="M498" s="165"/>
      <c r="N498" s="165"/>
      <c r="O498" s="17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  <c r="AA498" s="163"/>
      <c r="AB498" s="163"/>
      <c r="AC498" s="163"/>
      <c r="AD498" s="163"/>
      <c r="AE498" s="163"/>
      <c r="AF498" s="163"/>
      <c r="AG498" s="163"/>
      <c r="AH498" s="163"/>
      <c r="AI498" s="163"/>
      <c r="AJ498" s="163"/>
      <c r="AK498" s="163"/>
      <c r="AL498" s="163"/>
      <c r="AM498" s="163"/>
      <c r="AN498" s="163"/>
    </row>
    <row r="499" spans="1:40" s="100" customFormat="1" ht="46.8" x14ac:dyDescent="0.3">
      <c r="A499" s="160">
        <v>469</v>
      </c>
      <c r="B499" s="172" t="s">
        <v>1148</v>
      </c>
      <c r="C499" s="98" t="s">
        <v>2708</v>
      </c>
      <c r="D499" s="162" t="s">
        <v>2712</v>
      </c>
      <c r="E499" s="26" t="s">
        <v>144</v>
      </c>
      <c r="F499" s="30" t="s">
        <v>49</v>
      </c>
      <c r="G499" s="162" t="s">
        <v>2704</v>
      </c>
      <c r="H499" s="162">
        <v>16</v>
      </c>
      <c r="I499" s="162" t="str">
        <f t="shared" si="5"/>
        <v>с ЛН</v>
      </c>
      <c r="J499" s="164">
        <v>3</v>
      </c>
      <c r="K499" s="164" t="s">
        <v>528</v>
      </c>
      <c r="L499" s="164" t="s">
        <v>528</v>
      </c>
      <c r="M499" s="164" t="s">
        <v>2705</v>
      </c>
      <c r="N499" s="164" t="s">
        <v>2705</v>
      </c>
      <c r="O499" s="173">
        <v>0</v>
      </c>
      <c r="P499" s="162" t="s">
        <v>2706</v>
      </c>
      <c r="Q499" s="162">
        <v>0</v>
      </c>
      <c r="R499" s="162" t="s">
        <v>2706</v>
      </c>
      <c r="S499" s="162">
        <v>0</v>
      </c>
      <c r="T499" s="162" t="s">
        <v>2706</v>
      </c>
      <c r="U499" s="162">
        <v>0</v>
      </c>
      <c r="V499" s="162" t="s">
        <v>2706</v>
      </c>
      <c r="W499" s="162">
        <v>0</v>
      </c>
      <c r="X499" s="162" t="s">
        <v>2706</v>
      </c>
      <c r="Y499" s="162">
        <v>0</v>
      </c>
      <c r="Z499" s="162" t="s">
        <v>2706</v>
      </c>
      <c r="AA499" s="162">
        <v>0</v>
      </c>
      <c r="AB499" s="162" t="s">
        <v>2706</v>
      </c>
      <c r="AC499" s="162">
        <v>0</v>
      </c>
      <c r="AD499" s="162" t="s">
        <v>2706</v>
      </c>
      <c r="AE499" s="162">
        <v>0</v>
      </c>
      <c r="AF499" s="162" t="s">
        <v>2706</v>
      </c>
      <c r="AG499" s="162">
        <v>0</v>
      </c>
      <c r="AH499" s="162" t="s">
        <v>2706</v>
      </c>
      <c r="AI499" s="162">
        <v>0</v>
      </c>
      <c r="AJ499" s="162" t="s">
        <v>2706</v>
      </c>
      <c r="AK499" s="162">
        <v>0</v>
      </c>
      <c r="AL499" s="162" t="s">
        <v>2706</v>
      </c>
      <c r="AM499" s="162">
        <v>0</v>
      </c>
      <c r="AN499" s="162"/>
    </row>
    <row r="500" spans="1:40" s="100" customFormat="1" ht="46.8" x14ac:dyDescent="0.3">
      <c r="A500" s="161"/>
      <c r="B500" s="172"/>
      <c r="C500" s="98" t="s">
        <v>2708</v>
      </c>
      <c r="D500" s="163"/>
      <c r="E500" s="26" t="s">
        <v>48</v>
      </c>
      <c r="F500" s="30" t="s">
        <v>49</v>
      </c>
      <c r="G500" s="163"/>
      <c r="H500" s="163"/>
      <c r="I500" s="163"/>
      <c r="J500" s="165"/>
      <c r="K500" s="165"/>
      <c r="L500" s="165"/>
      <c r="M500" s="165"/>
      <c r="N500" s="165"/>
      <c r="O500" s="17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  <c r="AA500" s="163"/>
      <c r="AB500" s="163"/>
      <c r="AC500" s="163"/>
      <c r="AD500" s="163"/>
      <c r="AE500" s="163"/>
      <c r="AF500" s="163"/>
      <c r="AG500" s="163"/>
      <c r="AH500" s="163"/>
      <c r="AI500" s="163"/>
      <c r="AJ500" s="163"/>
      <c r="AK500" s="163"/>
      <c r="AL500" s="163"/>
      <c r="AM500" s="163"/>
      <c r="AN500" s="163"/>
    </row>
    <row r="501" spans="1:40" s="100" customFormat="1" ht="46.8" x14ac:dyDescent="0.3">
      <c r="A501" s="160">
        <v>470</v>
      </c>
      <c r="B501" s="171" t="s">
        <v>1149</v>
      </c>
      <c r="C501" s="98" t="s">
        <v>2708</v>
      </c>
      <c r="D501" s="162" t="s">
        <v>2712</v>
      </c>
      <c r="E501" s="119" t="s">
        <v>144</v>
      </c>
      <c r="F501" s="120" t="s">
        <v>49</v>
      </c>
      <c r="G501" s="162" t="s">
        <v>2704</v>
      </c>
      <c r="H501" s="162">
        <v>42</v>
      </c>
      <c r="I501" s="162" t="str">
        <f t="shared" si="5"/>
        <v>с ЛН</v>
      </c>
      <c r="J501" s="164">
        <v>7</v>
      </c>
      <c r="K501" s="164" t="s">
        <v>528</v>
      </c>
      <c r="L501" s="164" t="s">
        <v>528</v>
      </c>
      <c r="M501" s="164" t="s">
        <v>2705</v>
      </c>
      <c r="N501" s="164" t="s">
        <v>2705</v>
      </c>
      <c r="O501" s="170">
        <v>622</v>
      </c>
      <c r="P501" s="162" t="s">
        <v>2706</v>
      </c>
      <c r="Q501" s="162">
        <v>558</v>
      </c>
      <c r="R501" s="162" t="s">
        <v>2706</v>
      </c>
      <c r="S501" s="162">
        <v>418</v>
      </c>
      <c r="T501" s="162" t="s">
        <v>2706</v>
      </c>
      <c r="U501" s="162">
        <v>559</v>
      </c>
      <c r="V501" s="162" t="s">
        <v>2706</v>
      </c>
      <c r="W501" s="162">
        <v>356</v>
      </c>
      <c r="X501" s="162" t="s">
        <v>2706</v>
      </c>
      <c r="Y501" s="162">
        <v>323</v>
      </c>
      <c r="Z501" s="162" t="s">
        <v>2706</v>
      </c>
      <c r="AA501" s="162">
        <v>223</v>
      </c>
      <c r="AB501" s="162" t="s">
        <v>2706</v>
      </c>
      <c r="AC501" s="162">
        <v>245</v>
      </c>
      <c r="AD501" s="162" t="s">
        <v>2706</v>
      </c>
      <c r="AE501" s="162">
        <v>349</v>
      </c>
      <c r="AF501" s="162" t="s">
        <v>2706</v>
      </c>
      <c r="AG501" s="162">
        <v>323</v>
      </c>
      <c r="AH501" s="162" t="s">
        <v>2706</v>
      </c>
      <c r="AI501" s="162">
        <v>648</v>
      </c>
      <c r="AJ501" s="162" t="s">
        <v>2706</v>
      </c>
      <c r="AK501" s="162">
        <v>243</v>
      </c>
      <c r="AL501" s="162" t="s">
        <v>2706</v>
      </c>
      <c r="AM501" s="162">
        <v>4622</v>
      </c>
      <c r="AN501" s="162"/>
    </row>
    <row r="502" spans="1:40" s="100" customFormat="1" ht="46.8" x14ac:dyDescent="0.3">
      <c r="A502" s="161"/>
      <c r="B502" s="167"/>
      <c r="C502" s="98" t="s">
        <v>2708</v>
      </c>
      <c r="D502" s="163"/>
      <c r="E502" s="26" t="s">
        <v>48</v>
      </c>
      <c r="F502" s="30" t="s">
        <v>49</v>
      </c>
      <c r="G502" s="163"/>
      <c r="H502" s="163"/>
      <c r="I502" s="163"/>
      <c r="J502" s="165"/>
      <c r="K502" s="165"/>
      <c r="L502" s="165"/>
      <c r="M502" s="165"/>
      <c r="N502" s="165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  <c r="AA502" s="163"/>
      <c r="AB502" s="163"/>
      <c r="AC502" s="163"/>
      <c r="AD502" s="163"/>
      <c r="AE502" s="163"/>
      <c r="AF502" s="163"/>
      <c r="AG502" s="163"/>
      <c r="AH502" s="163"/>
      <c r="AI502" s="163"/>
      <c r="AJ502" s="163"/>
      <c r="AK502" s="163"/>
      <c r="AL502" s="163"/>
      <c r="AM502" s="163"/>
      <c r="AN502" s="163"/>
    </row>
    <row r="503" spans="1:40" s="100" customFormat="1" ht="46.8" x14ac:dyDescent="0.3">
      <c r="A503" s="160">
        <v>471</v>
      </c>
      <c r="B503" s="166" t="s">
        <v>1150</v>
      </c>
      <c r="C503" s="98" t="s">
        <v>2708</v>
      </c>
      <c r="D503" s="162" t="s">
        <v>2712</v>
      </c>
      <c r="E503" s="26" t="s">
        <v>144</v>
      </c>
      <c r="F503" s="30" t="s">
        <v>49</v>
      </c>
      <c r="G503" s="162" t="s">
        <v>2704</v>
      </c>
      <c r="H503" s="162">
        <v>28</v>
      </c>
      <c r="I503" s="162" t="str">
        <f t="shared" si="5"/>
        <v>с ЛН</v>
      </c>
      <c r="J503" s="164">
        <v>6</v>
      </c>
      <c r="K503" s="164" t="s">
        <v>528</v>
      </c>
      <c r="L503" s="164" t="s">
        <v>528</v>
      </c>
      <c r="M503" s="164" t="s">
        <v>2705</v>
      </c>
      <c r="N503" s="164" t="s">
        <v>2705</v>
      </c>
      <c r="O503" s="162">
        <v>362</v>
      </c>
      <c r="P503" s="162" t="s">
        <v>2706</v>
      </c>
      <c r="Q503" s="162">
        <v>305</v>
      </c>
      <c r="R503" s="162" t="s">
        <v>2706</v>
      </c>
      <c r="S503" s="162">
        <v>227</v>
      </c>
      <c r="T503" s="162" t="s">
        <v>2706</v>
      </c>
      <c r="U503" s="162">
        <v>321</v>
      </c>
      <c r="V503" s="162" t="s">
        <v>2706</v>
      </c>
      <c r="W503" s="162">
        <v>376</v>
      </c>
      <c r="X503" s="162" t="s">
        <v>2706</v>
      </c>
      <c r="Y503" s="162">
        <v>218</v>
      </c>
      <c r="Z503" s="162" t="s">
        <v>2706</v>
      </c>
      <c r="AA503" s="162">
        <v>268</v>
      </c>
      <c r="AB503" s="162" t="s">
        <v>2706</v>
      </c>
      <c r="AC503" s="162">
        <v>237</v>
      </c>
      <c r="AD503" s="162" t="s">
        <v>2706</v>
      </c>
      <c r="AE503" s="162">
        <v>295</v>
      </c>
      <c r="AF503" s="162" t="s">
        <v>2706</v>
      </c>
      <c r="AG503" s="162">
        <v>223</v>
      </c>
      <c r="AH503" s="162" t="s">
        <v>2706</v>
      </c>
      <c r="AI503" s="162">
        <v>251</v>
      </c>
      <c r="AJ503" s="162" t="s">
        <v>2706</v>
      </c>
      <c r="AK503" s="162">
        <v>231</v>
      </c>
      <c r="AL503" s="162" t="s">
        <v>2706</v>
      </c>
      <c r="AM503" s="162">
        <v>3077</v>
      </c>
      <c r="AN503" s="162"/>
    </row>
    <row r="504" spans="1:40" s="100" customFormat="1" ht="46.8" x14ac:dyDescent="0.3">
      <c r="A504" s="161"/>
      <c r="B504" s="167"/>
      <c r="C504" s="98" t="s">
        <v>2708</v>
      </c>
      <c r="D504" s="163"/>
      <c r="E504" s="26" t="s">
        <v>48</v>
      </c>
      <c r="F504" s="30" t="s">
        <v>49</v>
      </c>
      <c r="G504" s="163"/>
      <c r="H504" s="163"/>
      <c r="I504" s="163"/>
      <c r="J504" s="165"/>
      <c r="K504" s="165"/>
      <c r="L504" s="165"/>
      <c r="M504" s="165"/>
      <c r="N504" s="165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  <c r="AA504" s="163"/>
      <c r="AB504" s="163"/>
      <c r="AC504" s="163"/>
      <c r="AD504" s="163"/>
      <c r="AE504" s="163"/>
      <c r="AF504" s="163"/>
      <c r="AG504" s="163"/>
      <c r="AH504" s="163"/>
      <c r="AI504" s="163"/>
      <c r="AJ504" s="163"/>
      <c r="AK504" s="163"/>
      <c r="AL504" s="163"/>
      <c r="AM504" s="163"/>
      <c r="AN504" s="163"/>
    </row>
    <row r="505" spans="1:40" s="100" customFormat="1" ht="46.8" x14ac:dyDescent="0.3">
      <c r="A505" s="160">
        <v>472</v>
      </c>
      <c r="B505" s="166" t="s">
        <v>1152</v>
      </c>
      <c r="C505" s="98" t="s">
        <v>2708</v>
      </c>
      <c r="D505" s="162" t="s">
        <v>2712</v>
      </c>
      <c r="E505" s="26" t="s">
        <v>144</v>
      </c>
      <c r="F505" s="30" t="s">
        <v>49</v>
      </c>
      <c r="G505" s="162" t="s">
        <v>2704</v>
      </c>
      <c r="H505" s="162">
        <v>48</v>
      </c>
      <c r="I505" s="162" t="str">
        <f t="shared" si="5"/>
        <v>с ЛН</v>
      </c>
      <c r="J505" s="164">
        <v>8</v>
      </c>
      <c r="K505" s="164" t="s">
        <v>528</v>
      </c>
      <c r="L505" s="164" t="s">
        <v>528</v>
      </c>
      <c r="M505" s="164" t="s">
        <v>2705</v>
      </c>
      <c r="N505" s="164" t="s">
        <v>2705</v>
      </c>
      <c r="O505" s="162">
        <v>1240</v>
      </c>
      <c r="P505" s="162" t="s">
        <v>2706</v>
      </c>
      <c r="Q505" s="162">
        <v>1301</v>
      </c>
      <c r="R505" s="162" t="s">
        <v>2706</v>
      </c>
      <c r="S505" s="162">
        <v>937</v>
      </c>
      <c r="T505" s="162" t="s">
        <v>2706</v>
      </c>
      <c r="U505" s="162">
        <v>1025</v>
      </c>
      <c r="V505" s="162" t="s">
        <v>2706</v>
      </c>
      <c r="W505" s="162">
        <v>890</v>
      </c>
      <c r="X505" s="162" t="s">
        <v>2706</v>
      </c>
      <c r="Y505" s="162">
        <v>586</v>
      </c>
      <c r="Z505" s="162" t="s">
        <v>2706</v>
      </c>
      <c r="AA505" s="162">
        <v>670</v>
      </c>
      <c r="AB505" s="162" t="s">
        <v>2706</v>
      </c>
      <c r="AC505" s="162">
        <v>790</v>
      </c>
      <c r="AD505" s="162" t="s">
        <v>2706</v>
      </c>
      <c r="AE505" s="162">
        <v>831</v>
      </c>
      <c r="AF505" s="162" t="s">
        <v>2706</v>
      </c>
      <c r="AG505" s="162">
        <v>956</v>
      </c>
      <c r="AH505" s="162" t="s">
        <v>2706</v>
      </c>
      <c r="AI505" s="162">
        <v>976</v>
      </c>
      <c r="AJ505" s="162" t="s">
        <v>2706</v>
      </c>
      <c r="AK505" s="162">
        <v>921</v>
      </c>
      <c r="AL505" s="162" t="s">
        <v>2706</v>
      </c>
      <c r="AM505" s="162">
        <v>10333</v>
      </c>
      <c r="AN505" s="162"/>
    </row>
    <row r="506" spans="1:40" s="100" customFormat="1" ht="46.8" x14ac:dyDescent="0.3">
      <c r="A506" s="161"/>
      <c r="B506" s="167"/>
      <c r="C506" s="98" t="s">
        <v>2708</v>
      </c>
      <c r="D506" s="163"/>
      <c r="E506" s="26" t="s">
        <v>48</v>
      </c>
      <c r="F506" s="30" t="s">
        <v>49</v>
      </c>
      <c r="G506" s="163"/>
      <c r="H506" s="163"/>
      <c r="I506" s="163"/>
      <c r="J506" s="165"/>
      <c r="K506" s="165"/>
      <c r="L506" s="165"/>
      <c r="M506" s="165"/>
      <c r="N506" s="165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  <c r="AA506" s="163"/>
      <c r="AB506" s="163"/>
      <c r="AC506" s="163"/>
      <c r="AD506" s="163"/>
      <c r="AE506" s="163"/>
      <c r="AF506" s="163"/>
      <c r="AG506" s="163"/>
      <c r="AH506" s="163"/>
      <c r="AI506" s="163"/>
      <c r="AJ506" s="163"/>
      <c r="AK506" s="163"/>
      <c r="AL506" s="163"/>
      <c r="AM506" s="163"/>
      <c r="AN506" s="163"/>
    </row>
    <row r="507" spans="1:40" s="100" customFormat="1" ht="46.8" x14ac:dyDescent="0.3">
      <c r="A507" s="160">
        <v>473</v>
      </c>
      <c r="B507" s="166" t="s">
        <v>1154</v>
      </c>
      <c r="C507" s="98" t="s">
        <v>2708</v>
      </c>
      <c r="D507" s="162" t="s">
        <v>2712</v>
      </c>
      <c r="E507" s="26" t="s">
        <v>144</v>
      </c>
      <c r="F507" s="30" t="s">
        <v>49</v>
      </c>
      <c r="G507" s="162" t="s">
        <v>2704</v>
      </c>
      <c r="H507" s="162">
        <v>36</v>
      </c>
      <c r="I507" s="162" t="str">
        <f t="shared" si="5"/>
        <v>с ЛН</v>
      </c>
      <c r="J507" s="164">
        <v>6</v>
      </c>
      <c r="K507" s="164" t="s">
        <v>528</v>
      </c>
      <c r="L507" s="164" t="s">
        <v>528</v>
      </c>
      <c r="M507" s="164" t="s">
        <v>2705</v>
      </c>
      <c r="N507" s="164" t="s">
        <v>2705</v>
      </c>
      <c r="O507" s="162">
        <v>805</v>
      </c>
      <c r="P507" s="162" t="s">
        <v>2706</v>
      </c>
      <c r="Q507" s="162">
        <v>803</v>
      </c>
      <c r="R507" s="162" t="s">
        <v>2706</v>
      </c>
      <c r="S507" s="162">
        <v>486</v>
      </c>
      <c r="T507" s="162" t="s">
        <v>2706</v>
      </c>
      <c r="U507" s="162">
        <v>660</v>
      </c>
      <c r="V507" s="162" t="s">
        <v>2706</v>
      </c>
      <c r="W507" s="162">
        <v>655</v>
      </c>
      <c r="X507" s="162" t="s">
        <v>2706</v>
      </c>
      <c r="Y507" s="162">
        <v>537</v>
      </c>
      <c r="Z507" s="162" t="s">
        <v>2706</v>
      </c>
      <c r="AA507" s="162">
        <v>655</v>
      </c>
      <c r="AB507" s="162" t="s">
        <v>2706</v>
      </c>
      <c r="AC507" s="162">
        <v>835</v>
      </c>
      <c r="AD507" s="162" t="s">
        <v>2706</v>
      </c>
      <c r="AE507" s="162">
        <v>636</v>
      </c>
      <c r="AF507" s="162" t="s">
        <v>2706</v>
      </c>
      <c r="AG507" s="162">
        <v>696</v>
      </c>
      <c r="AH507" s="162" t="s">
        <v>2706</v>
      </c>
      <c r="AI507" s="162">
        <v>888</v>
      </c>
      <c r="AJ507" s="162" t="s">
        <v>2706</v>
      </c>
      <c r="AK507" s="162">
        <v>815</v>
      </c>
      <c r="AL507" s="162" t="s">
        <v>2706</v>
      </c>
      <c r="AM507" s="162">
        <v>7636</v>
      </c>
      <c r="AN507" s="162"/>
    </row>
    <row r="508" spans="1:40" s="100" customFormat="1" ht="46.8" x14ac:dyDescent="0.3">
      <c r="A508" s="161"/>
      <c r="B508" s="167"/>
      <c r="C508" s="98" t="s">
        <v>2708</v>
      </c>
      <c r="D508" s="163"/>
      <c r="E508" s="26" t="s">
        <v>48</v>
      </c>
      <c r="F508" s="30" t="s">
        <v>49</v>
      </c>
      <c r="G508" s="163"/>
      <c r="H508" s="163"/>
      <c r="I508" s="163"/>
      <c r="J508" s="165"/>
      <c r="K508" s="165"/>
      <c r="L508" s="165"/>
      <c r="M508" s="165"/>
      <c r="N508" s="165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  <c r="AA508" s="163"/>
      <c r="AB508" s="163"/>
      <c r="AC508" s="163"/>
      <c r="AD508" s="163"/>
      <c r="AE508" s="163"/>
      <c r="AF508" s="163"/>
      <c r="AG508" s="163"/>
      <c r="AH508" s="163"/>
      <c r="AI508" s="163"/>
      <c r="AJ508" s="163"/>
      <c r="AK508" s="163"/>
      <c r="AL508" s="163"/>
      <c r="AM508" s="163"/>
      <c r="AN508" s="163"/>
    </row>
    <row r="509" spans="1:40" s="100" customFormat="1" ht="46.8" x14ac:dyDescent="0.3">
      <c r="A509" s="160">
        <v>474</v>
      </c>
      <c r="B509" s="166" t="s">
        <v>1156</v>
      </c>
      <c r="C509" s="98" t="s">
        <v>2708</v>
      </c>
      <c r="D509" s="162" t="s">
        <v>2712</v>
      </c>
      <c r="E509" s="26" t="s">
        <v>144</v>
      </c>
      <c r="F509" s="30" t="s">
        <v>49</v>
      </c>
      <c r="G509" s="162" t="s">
        <v>2704</v>
      </c>
      <c r="H509" s="162">
        <v>27</v>
      </c>
      <c r="I509" s="162" t="str">
        <f t="shared" si="5"/>
        <v>с ЛН</v>
      </c>
      <c r="J509" s="164">
        <v>5</v>
      </c>
      <c r="K509" s="164" t="s">
        <v>528</v>
      </c>
      <c r="L509" s="164" t="s">
        <v>528</v>
      </c>
      <c r="M509" s="164" t="s">
        <v>2705</v>
      </c>
      <c r="N509" s="164" t="s">
        <v>2705</v>
      </c>
      <c r="O509" s="162">
        <v>1194</v>
      </c>
      <c r="P509" s="162" t="s">
        <v>2706</v>
      </c>
      <c r="Q509" s="162">
        <v>1070</v>
      </c>
      <c r="R509" s="162" t="s">
        <v>2706</v>
      </c>
      <c r="S509" s="162">
        <v>765</v>
      </c>
      <c r="T509" s="162" t="s">
        <v>2706</v>
      </c>
      <c r="U509" s="162">
        <v>1131</v>
      </c>
      <c r="V509" s="162" t="s">
        <v>2706</v>
      </c>
      <c r="W509" s="162">
        <v>1299</v>
      </c>
      <c r="X509" s="162" t="s">
        <v>2706</v>
      </c>
      <c r="Y509" s="162">
        <v>880</v>
      </c>
      <c r="Z509" s="162" t="s">
        <v>2706</v>
      </c>
      <c r="AA509" s="162">
        <v>775</v>
      </c>
      <c r="AB509" s="162" t="s">
        <v>2706</v>
      </c>
      <c r="AC509" s="162">
        <v>774</v>
      </c>
      <c r="AD509" s="162" t="s">
        <v>2706</v>
      </c>
      <c r="AE509" s="162">
        <v>1034</v>
      </c>
      <c r="AF509" s="162" t="s">
        <v>2706</v>
      </c>
      <c r="AG509" s="162">
        <v>960</v>
      </c>
      <c r="AH509" s="162" t="s">
        <v>2706</v>
      </c>
      <c r="AI509" s="162">
        <v>1032</v>
      </c>
      <c r="AJ509" s="162" t="s">
        <v>2706</v>
      </c>
      <c r="AK509" s="162">
        <v>978</v>
      </c>
      <c r="AL509" s="162" t="s">
        <v>2706</v>
      </c>
      <c r="AM509" s="162">
        <v>11118</v>
      </c>
      <c r="AN509" s="162"/>
    </row>
    <row r="510" spans="1:40" s="100" customFormat="1" ht="46.8" x14ac:dyDescent="0.3">
      <c r="A510" s="161"/>
      <c r="B510" s="167"/>
      <c r="C510" s="98" t="s">
        <v>2708</v>
      </c>
      <c r="D510" s="163"/>
      <c r="E510" s="26" t="s">
        <v>48</v>
      </c>
      <c r="F510" s="30" t="s">
        <v>49</v>
      </c>
      <c r="G510" s="163"/>
      <c r="H510" s="163"/>
      <c r="I510" s="163"/>
      <c r="J510" s="165"/>
      <c r="K510" s="165"/>
      <c r="L510" s="165"/>
      <c r="M510" s="165"/>
      <c r="N510" s="165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  <c r="AA510" s="163"/>
      <c r="AB510" s="163"/>
      <c r="AC510" s="163"/>
      <c r="AD510" s="163"/>
      <c r="AE510" s="163"/>
      <c r="AF510" s="163"/>
      <c r="AG510" s="163"/>
      <c r="AH510" s="163"/>
      <c r="AI510" s="163"/>
      <c r="AJ510" s="163"/>
      <c r="AK510" s="163"/>
      <c r="AL510" s="163"/>
      <c r="AM510" s="163"/>
      <c r="AN510" s="163"/>
    </row>
    <row r="511" spans="1:40" s="100" customFormat="1" ht="46.8" x14ac:dyDescent="0.3">
      <c r="A511" s="160">
        <v>475</v>
      </c>
      <c r="B511" s="166" t="s">
        <v>1159</v>
      </c>
      <c r="C511" s="98" t="s">
        <v>2708</v>
      </c>
      <c r="D511" s="162" t="s">
        <v>2712</v>
      </c>
      <c r="E511" s="26" t="s">
        <v>144</v>
      </c>
      <c r="F511" s="30" t="s">
        <v>49</v>
      </c>
      <c r="G511" s="162" t="s">
        <v>2704</v>
      </c>
      <c r="H511" s="162">
        <v>16</v>
      </c>
      <c r="I511" s="162" t="str">
        <f t="shared" si="5"/>
        <v>с ЛН</v>
      </c>
      <c r="J511" s="164">
        <v>4</v>
      </c>
      <c r="K511" s="164" t="s">
        <v>528</v>
      </c>
      <c r="L511" s="164" t="s">
        <v>528</v>
      </c>
      <c r="M511" s="164" t="s">
        <v>2705</v>
      </c>
      <c r="N511" s="164" t="s">
        <v>2705</v>
      </c>
      <c r="O511" s="162">
        <v>980</v>
      </c>
      <c r="P511" s="162" t="s">
        <v>2706</v>
      </c>
      <c r="Q511" s="162">
        <v>1181</v>
      </c>
      <c r="R511" s="162" t="s">
        <v>2706</v>
      </c>
      <c r="S511" s="162">
        <v>777</v>
      </c>
      <c r="T511" s="162" t="s">
        <v>2706</v>
      </c>
      <c r="U511" s="162">
        <v>1228</v>
      </c>
      <c r="V511" s="162" t="s">
        <v>2706</v>
      </c>
      <c r="W511" s="162">
        <v>1252</v>
      </c>
      <c r="X511" s="162" t="s">
        <v>2706</v>
      </c>
      <c r="Y511" s="162">
        <v>795</v>
      </c>
      <c r="Z511" s="162" t="s">
        <v>2706</v>
      </c>
      <c r="AA511" s="162">
        <v>726</v>
      </c>
      <c r="AB511" s="162" t="s">
        <v>2706</v>
      </c>
      <c r="AC511" s="162">
        <v>856</v>
      </c>
      <c r="AD511" s="162" t="s">
        <v>2706</v>
      </c>
      <c r="AE511" s="162">
        <v>947</v>
      </c>
      <c r="AF511" s="162" t="s">
        <v>2706</v>
      </c>
      <c r="AG511" s="162">
        <v>745</v>
      </c>
      <c r="AH511" s="162" t="s">
        <v>2706</v>
      </c>
      <c r="AI511" s="162">
        <v>1029</v>
      </c>
      <c r="AJ511" s="162" t="s">
        <v>2706</v>
      </c>
      <c r="AK511" s="162">
        <v>1079</v>
      </c>
      <c r="AL511" s="162" t="s">
        <v>2706</v>
      </c>
      <c r="AM511" s="162">
        <v>10739</v>
      </c>
      <c r="AN511" s="162"/>
    </row>
    <row r="512" spans="1:40" s="100" customFormat="1" ht="46.8" x14ac:dyDescent="0.3">
      <c r="A512" s="161"/>
      <c r="B512" s="167"/>
      <c r="C512" s="98" t="s">
        <v>2708</v>
      </c>
      <c r="D512" s="163"/>
      <c r="E512" s="26" t="s">
        <v>48</v>
      </c>
      <c r="F512" s="30" t="s">
        <v>49</v>
      </c>
      <c r="G512" s="163"/>
      <c r="H512" s="163"/>
      <c r="I512" s="163"/>
      <c r="J512" s="165"/>
      <c r="K512" s="165"/>
      <c r="L512" s="165"/>
      <c r="M512" s="165"/>
      <c r="N512" s="165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  <c r="AA512" s="163"/>
      <c r="AB512" s="163"/>
      <c r="AC512" s="163"/>
      <c r="AD512" s="163"/>
      <c r="AE512" s="163"/>
      <c r="AF512" s="163"/>
      <c r="AG512" s="163"/>
      <c r="AH512" s="163"/>
      <c r="AI512" s="163"/>
      <c r="AJ512" s="163"/>
      <c r="AK512" s="163"/>
      <c r="AL512" s="163"/>
      <c r="AM512" s="163"/>
      <c r="AN512" s="163"/>
    </row>
    <row r="513" spans="1:40" s="100" customFormat="1" ht="46.8" x14ac:dyDescent="0.3">
      <c r="A513" s="160">
        <v>476</v>
      </c>
      <c r="B513" s="166" t="s">
        <v>1160</v>
      </c>
      <c r="C513" s="98" t="s">
        <v>2708</v>
      </c>
      <c r="D513" s="162" t="s">
        <v>2712</v>
      </c>
      <c r="E513" s="26" t="s">
        <v>144</v>
      </c>
      <c r="F513" s="30" t="s">
        <v>49</v>
      </c>
      <c r="G513" s="162" t="s">
        <v>2704</v>
      </c>
      <c r="H513" s="162">
        <v>18</v>
      </c>
      <c r="I513" s="162" t="str">
        <f t="shared" si="5"/>
        <v>с ЛН</v>
      </c>
      <c r="J513" s="164">
        <v>3</v>
      </c>
      <c r="K513" s="164" t="s">
        <v>528</v>
      </c>
      <c r="L513" s="164" t="s">
        <v>528</v>
      </c>
      <c r="M513" s="164" t="s">
        <v>2705</v>
      </c>
      <c r="N513" s="164" t="s">
        <v>2705</v>
      </c>
      <c r="O513" s="162">
        <v>0</v>
      </c>
      <c r="P513" s="162" t="s">
        <v>2706</v>
      </c>
      <c r="Q513" s="162">
        <v>0</v>
      </c>
      <c r="R513" s="162" t="s">
        <v>2706</v>
      </c>
      <c r="S513" s="162">
        <v>0</v>
      </c>
      <c r="T513" s="162" t="s">
        <v>2706</v>
      </c>
      <c r="U513" s="162">
        <v>0</v>
      </c>
      <c r="V513" s="162" t="s">
        <v>2706</v>
      </c>
      <c r="W513" s="162">
        <v>0</v>
      </c>
      <c r="X513" s="162" t="s">
        <v>2706</v>
      </c>
      <c r="Y513" s="162">
        <v>0</v>
      </c>
      <c r="Z513" s="162" t="s">
        <v>2706</v>
      </c>
      <c r="AA513" s="162">
        <v>0</v>
      </c>
      <c r="AB513" s="162" t="s">
        <v>2706</v>
      </c>
      <c r="AC513" s="162">
        <v>0</v>
      </c>
      <c r="AD513" s="162" t="s">
        <v>2706</v>
      </c>
      <c r="AE513" s="162">
        <v>0</v>
      </c>
      <c r="AF513" s="162" t="s">
        <v>2706</v>
      </c>
      <c r="AG513" s="162">
        <v>0</v>
      </c>
      <c r="AH513" s="162" t="s">
        <v>2706</v>
      </c>
      <c r="AI513" s="162">
        <v>0</v>
      </c>
      <c r="AJ513" s="162" t="s">
        <v>2706</v>
      </c>
      <c r="AK513" s="162">
        <v>0</v>
      </c>
      <c r="AL513" s="162" t="s">
        <v>2706</v>
      </c>
      <c r="AM513" s="162">
        <v>0</v>
      </c>
      <c r="AN513" s="162"/>
    </row>
    <row r="514" spans="1:40" s="100" customFormat="1" ht="46.8" x14ac:dyDescent="0.3">
      <c r="A514" s="161"/>
      <c r="B514" s="167"/>
      <c r="C514" s="98" t="s">
        <v>2708</v>
      </c>
      <c r="D514" s="163"/>
      <c r="E514" s="26" t="s">
        <v>48</v>
      </c>
      <c r="F514" s="30" t="s">
        <v>49</v>
      </c>
      <c r="G514" s="163"/>
      <c r="H514" s="163"/>
      <c r="I514" s="163"/>
      <c r="J514" s="165"/>
      <c r="K514" s="165"/>
      <c r="L514" s="165"/>
      <c r="M514" s="165"/>
      <c r="N514" s="165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  <c r="AA514" s="163"/>
      <c r="AB514" s="163"/>
      <c r="AC514" s="163"/>
      <c r="AD514" s="163"/>
      <c r="AE514" s="163"/>
      <c r="AF514" s="163"/>
      <c r="AG514" s="163"/>
      <c r="AH514" s="163"/>
      <c r="AI514" s="163"/>
      <c r="AJ514" s="163"/>
      <c r="AK514" s="163"/>
      <c r="AL514" s="163"/>
      <c r="AM514" s="163"/>
      <c r="AN514" s="163"/>
    </row>
    <row r="515" spans="1:40" s="100" customFormat="1" ht="46.8" x14ac:dyDescent="0.3">
      <c r="A515" s="160">
        <v>477</v>
      </c>
      <c r="B515" s="166" t="s">
        <v>1162</v>
      </c>
      <c r="C515" s="98" t="s">
        <v>2708</v>
      </c>
      <c r="D515" s="162" t="s">
        <v>2712</v>
      </c>
      <c r="E515" s="26" t="s">
        <v>144</v>
      </c>
      <c r="F515" s="30" t="s">
        <v>49</v>
      </c>
      <c r="G515" s="162"/>
      <c r="H515" s="162"/>
      <c r="I515" s="162"/>
      <c r="J515" s="164"/>
      <c r="K515" s="164" t="s">
        <v>528</v>
      </c>
      <c r="L515" s="164" t="s">
        <v>528</v>
      </c>
      <c r="M515" s="164" t="s">
        <v>2705</v>
      </c>
      <c r="N515" s="164" t="s">
        <v>2705</v>
      </c>
      <c r="O515" s="162">
        <v>938</v>
      </c>
      <c r="P515" s="162" t="s">
        <v>2706</v>
      </c>
      <c r="Q515" s="162">
        <v>1024</v>
      </c>
      <c r="R515" s="162" t="s">
        <v>2706</v>
      </c>
      <c r="S515" s="162">
        <v>710</v>
      </c>
      <c r="T515" s="162" t="s">
        <v>2706</v>
      </c>
      <c r="U515" s="162">
        <v>889</v>
      </c>
      <c r="V515" s="162" t="s">
        <v>2706</v>
      </c>
      <c r="W515" s="162">
        <v>921</v>
      </c>
      <c r="X515" s="162" t="s">
        <v>2706</v>
      </c>
      <c r="Y515" s="162">
        <v>633</v>
      </c>
      <c r="Z515" s="162" t="s">
        <v>2706</v>
      </c>
      <c r="AA515" s="162">
        <v>539</v>
      </c>
      <c r="AB515" s="162" t="s">
        <v>2706</v>
      </c>
      <c r="AC515" s="162">
        <v>706</v>
      </c>
      <c r="AD515" s="162" t="s">
        <v>2706</v>
      </c>
      <c r="AE515" s="162">
        <v>899</v>
      </c>
      <c r="AF515" s="162" t="s">
        <v>2706</v>
      </c>
      <c r="AG515" s="162">
        <v>636</v>
      </c>
      <c r="AH515" s="162" t="s">
        <v>2706</v>
      </c>
      <c r="AI515" s="162">
        <v>781</v>
      </c>
      <c r="AJ515" s="162" t="s">
        <v>2706</v>
      </c>
      <c r="AK515" s="162">
        <v>871</v>
      </c>
      <c r="AL515" s="162" t="s">
        <v>2706</v>
      </c>
      <c r="AM515" s="162">
        <v>8841</v>
      </c>
      <c r="AN515" s="162"/>
    </row>
    <row r="516" spans="1:40" s="100" customFormat="1" ht="46.8" x14ac:dyDescent="0.3">
      <c r="A516" s="161"/>
      <c r="B516" s="167"/>
      <c r="C516" s="98" t="s">
        <v>2708</v>
      </c>
      <c r="D516" s="163"/>
      <c r="E516" s="26" t="s">
        <v>48</v>
      </c>
      <c r="F516" s="30" t="s">
        <v>49</v>
      </c>
      <c r="G516" s="163"/>
      <c r="H516" s="163"/>
      <c r="I516" s="163"/>
      <c r="J516" s="165"/>
      <c r="K516" s="165"/>
      <c r="L516" s="165"/>
      <c r="M516" s="165"/>
      <c r="N516" s="165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  <c r="AA516" s="163"/>
      <c r="AB516" s="163"/>
      <c r="AC516" s="163"/>
      <c r="AD516" s="163"/>
      <c r="AE516" s="163"/>
      <c r="AF516" s="163"/>
      <c r="AG516" s="163"/>
      <c r="AH516" s="163"/>
      <c r="AI516" s="163"/>
      <c r="AJ516" s="163"/>
      <c r="AK516" s="163"/>
      <c r="AL516" s="163"/>
      <c r="AM516" s="163"/>
      <c r="AN516" s="163"/>
    </row>
    <row r="517" spans="1:40" s="100" customFormat="1" ht="46.8" x14ac:dyDescent="0.3">
      <c r="A517" s="160">
        <v>478</v>
      </c>
      <c r="B517" s="166" t="s">
        <v>1163</v>
      </c>
      <c r="C517" s="98" t="s">
        <v>2708</v>
      </c>
      <c r="D517" s="162" t="s">
        <v>2712</v>
      </c>
      <c r="E517" s="26" t="s">
        <v>144</v>
      </c>
      <c r="F517" s="30" t="s">
        <v>49</v>
      </c>
      <c r="G517" s="162" t="s">
        <v>2704</v>
      </c>
      <c r="H517" s="162">
        <v>16</v>
      </c>
      <c r="I517" s="162" t="str">
        <f t="shared" si="5"/>
        <v>с ЛН</v>
      </c>
      <c r="J517" s="164">
        <v>3</v>
      </c>
      <c r="K517" s="164" t="s">
        <v>528</v>
      </c>
      <c r="L517" s="164" t="s">
        <v>528</v>
      </c>
      <c r="M517" s="164" t="s">
        <v>2705</v>
      </c>
      <c r="N517" s="164" t="s">
        <v>2705</v>
      </c>
      <c r="O517" s="162">
        <v>593</v>
      </c>
      <c r="P517" s="162" t="s">
        <v>2706</v>
      </c>
      <c r="Q517" s="162">
        <v>642</v>
      </c>
      <c r="R517" s="162" t="s">
        <v>2706</v>
      </c>
      <c r="S517" s="162">
        <v>464</v>
      </c>
      <c r="T517" s="162" t="s">
        <v>2706</v>
      </c>
      <c r="U517" s="162">
        <v>702</v>
      </c>
      <c r="V517" s="162" t="s">
        <v>2706</v>
      </c>
      <c r="W517" s="162">
        <v>691</v>
      </c>
      <c r="X517" s="162" t="s">
        <v>2706</v>
      </c>
      <c r="Y517" s="162">
        <v>561</v>
      </c>
      <c r="Z517" s="162" t="s">
        <v>2706</v>
      </c>
      <c r="AA517" s="162">
        <v>530</v>
      </c>
      <c r="AB517" s="162" t="s">
        <v>2706</v>
      </c>
      <c r="AC517" s="162">
        <v>337</v>
      </c>
      <c r="AD517" s="162" t="s">
        <v>2706</v>
      </c>
      <c r="AE517" s="162">
        <v>374</v>
      </c>
      <c r="AF517" s="162" t="s">
        <v>2706</v>
      </c>
      <c r="AG517" s="162">
        <v>372</v>
      </c>
      <c r="AH517" s="162" t="s">
        <v>2706</v>
      </c>
      <c r="AI517" s="162">
        <v>607</v>
      </c>
      <c r="AJ517" s="162" t="s">
        <v>2706</v>
      </c>
      <c r="AK517" s="162">
        <v>359</v>
      </c>
      <c r="AL517" s="162" t="s">
        <v>2706</v>
      </c>
      <c r="AM517" s="162">
        <v>5895</v>
      </c>
      <c r="AN517" s="162"/>
    </row>
    <row r="518" spans="1:40" s="100" customFormat="1" ht="46.8" x14ac:dyDescent="0.3">
      <c r="A518" s="161"/>
      <c r="B518" s="167"/>
      <c r="C518" s="98" t="s">
        <v>2708</v>
      </c>
      <c r="D518" s="163"/>
      <c r="E518" s="26" t="s">
        <v>48</v>
      </c>
      <c r="F518" s="30" t="s">
        <v>49</v>
      </c>
      <c r="G518" s="163"/>
      <c r="H518" s="163"/>
      <c r="I518" s="163"/>
      <c r="J518" s="165"/>
      <c r="K518" s="165"/>
      <c r="L518" s="165"/>
      <c r="M518" s="165"/>
      <c r="N518" s="165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  <c r="AA518" s="163"/>
      <c r="AB518" s="163"/>
      <c r="AC518" s="163"/>
      <c r="AD518" s="163"/>
      <c r="AE518" s="163"/>
      <c r="AF518" s="163"/>
      <c r="AG518" s="163"/>
      <c r="AH518" s="163"/>
      <c r="AI518" s="163"/>
      <c r="AJ518" s="163"/>
      <c r="AK518" s="163"/>
      <c r="AL518" s="163"/>
      <c r="AM518" s="163"/>
      <c r="AN518" s="163"/>
    </row>
    <row r="519" spans="1:40" s="100" customFormat="1" ht="46.8" x14ac:dyDescent="0.3">
      <c r="A519" s="160">
        <v>479</v>
      </c>
      <c r="B519" s="166" t="s">
        <v>1165</v>
      </c>
      <c r="C519" s="98" t="s">
        <v>2708</v>
      </c>
      <c r="D519" s="162" t="s">
        <v>2712</v>
      </c>
      <c r="E519" s="26" t="s">
        <v>144</v>
      </c>
      <c r="F519" s="30" t="s">
        <v>49</v>
      </c>
      <c r="G519" s="162" t="s">
        <v>2704</v>
      </c>
      <c r="H519" s="162">
        <v>36</v>
      </c>
      <c r="I519" s="162" t="str">
        <f t="shared" si="5"/>
        <v>с ЛН</v>
      </c>
      <c r="J519" s="164">
        <v>6</v>
      </c>
      <c r="K519" s="164" t="s">
        <v>528</v>
      </c>
      <c r="L519" s="164" t="s">
        <v>528</v>
      </c>
      <c r="M519" s="164" t="s">
        <v>2705</v>
      </c>
      <c r="N519" s="164" t="s">
        <v>2705</v>
      </c>
      <c r="O519" s="162">
        <v>0</v>
      </c>
      <c r="P519" s="162" t="s">
        <v>2706</v>
      </c>
      <c r="Q519" s="162">
        <v>0</v>
      </c>
      <c r="R519" s="162" t="s">
        <v>2706</v>
      </c>
      <c r="S519" s="162">
        <v>0</v>
      </c>
      <c r="T519" s="162" t="s">
        <v>2706</v>
      </c>
      <c r="U519" s="162">
        <v>0</v>
      </c>
      <c r="V519" s="162" t="s">
        <v>2706</v>
      </c>
      <c r="W519" s="162">
        <v>0</v>
      </c>
      <c r="X519" s="162" t="s">
        <v>2706</v>
      </c>
      <c r="Y519" s="162">
        <v>0</v>
      </c>
      <c r="Z519" s="162" t="s">
        <v>2706</v>
      </c>
      <c r="AA519" s="162">
        <v>0</v>
      </c>
      <c r="AB519" s="162" t="s">
        <v>2706</v>
      </c>
      <c r="AC519" s="162">
        <v>559</v>
      </c>
      <c r="AD519" s="162" t="s">
        <v>2706</v>
      </c>
      <c r="AE519" s="162">
        <v>546</v>
      </c>
      <c r="AF519" s="162" t="s">
        <v>2706</v>
      </c>
      <c r="AG519" s="162">
        <v>570</v>
      </c>
      <c r="AH519" s="162" t="s">
        <v>2706</v>
      </c>
      <c r="AI519" s="162">
        <v>1616</v>
      </c>
      <c r="AJ519" s="162" t="s">
        <v>2706</v>
      </c>
      <c r="AK519" s="162">
        <v>1301</v>
      </c>
      <c r="AL519" s="162" t="s">
        <v>2706</v>
      </c>
      <c r="AM519" s="162">
        <v>4033</v>
      </c>
      <c r="AN519" s="162"/>
    </row>
    <row r="520" spans="1:40" s="100" customFormat="1" ht="46.8" x14ac:dyDescent="0.3">
      <c r="A520" s="161"/>
      <c r="B520" s="167"/>
      <c r="C520" s="98" t="s">
        <v>2708</v>
      </c>
      <c r="D520" s="163"/>
      <c r="E520" s="26" t="s">
        <v>48</v>
      </c>
      <c r="F520" s="30" t="s">
        <v>49</v>
      </c>
      <c r="G520" s="163"/>
      <c r="H520" s="163"/>
      <c r="I520" s="163"/>
      <c r="J520" s="165"/>
      <c r="K520" s="165"/>
      <c r="L520" s="165"/>
      <c r="M520" s="165"/>
      <c r="N520" s="165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  <c r="AA520" s="163"/>
      <c r="AB520" s="163"/>
      <c r="AC520" s="163"/>
      <c r="AD520" s="163"/>
      <c r="AE520" s="163"/>
      <c r="AF520" s="163"/>
      <c r="AG520" s="163"/>
      <c r="AH520" s="163"/>
      <c r="AI520" s="163"/>
      <c r="AJ520" s="163"/>
      <c r="AK520" s="163"/>
      <c r="AL520" s="163"/>
      <c r="AM520" s="163"/>
      <c r="AN520" s="163"/>
    </row>
    <row r="521" spans="1:40" s="100" customFormat="1" ht="46.8" x14ac:dyDescent="0.3">
      <c r="A521" s="160">
        <v>480</v>
      </c>
      <c r="B521" s="166" t="s">
        <v>1167</v>
      </c>
      <c r="C521" s="98" t="s">
        <v>2708</v>
      </c>
      <c r="D521" s="162" t="s">
        <v>2712</v>
      </c>
      <c r="E521" s="26" t="s">
        <v>144</v>
      </c>
      <c r="F521" s="30" t="s">
        <v>49</v>
      </c>
      <c r="G521" s="162" t="s">
        <v>2704</v>
      </c>
      <c r="H521" s="162">
        <v>27</v>
      </c>
      <c r="I521" s="162" t="str">
        <f t="shared" si="5"/>
        <v>с ЛН</v>
      </c>
      <c r="J521" s="164">
        <v>5</v>
      </c>
      <c r="K521" s="164" t="s">
        <v>528</v>
      </c>
      <c r="L521" s="164" t="s">
        <v>528</v>
      </c>
      <c r="M521" s="164" t="s">
        <v>2705</v>
      </c>
      <c r="N521" s="164" t="s">
        <v>2705</v>
      </c>
      <c r="O521" s="162">
        <v>438</v>
      </c>
      <c r="P521" s="162" t="s">
        <v>2706</v>
      </c>
      <c r="Q521" s="162">
        <v>485</v>
      </c>
      <c r="R521" s="162" t="s">
        <v>2706</v>
      </c>
      <c r="S521" s="162">
        <v>296</v>
      </c>
      <c r="T521" s="162" t="s">
        <v>2706</v>
      </c>
      <c r="U521" s="162">
        <v>380</v>
      </c>
      <c r="V521" s="162" t="s">
        <v>2706</v>
      </c>
      <c r="W521" s="162">
        <v>439</v>
      </c>
      <c r="X521" s="162" t="s">
        <v>2706</v>
      </c>
      <c r="Y521" s="162">
        <v>355</v>
      </c>
      <c r="Z521" s="162" t="s">
        <v>2706</v>
      </c>
      <c r="AA521" s="162">
        <v>285</v>
      </c>
      <c r="AB521" s="162" t="s">
        <v>2706</v>
      </c>
      <c r="AC521" s="162">
        <v>326</v>
      </c>
      <c r="AD521" s="162" t="s">
        <v>2706</v>
      </c>
      <c r="AE521" s="162">
        <v>362</v>
      </c>
      <c r="AF521" s="162" t="s">
        <v>2706</v>
      </c>
      <c r="AG521" s="162">
        <v>398</v>
      </c>
      <c r="AH521" s="162" t="s">
        <v>2706</v>
      </c>
      <c r="AI521" s="162">
        <v>394</v>
      </c>
      <c r="AJ521" s="162" t="s">
        <v>2706</v>
      </c>
      <c r="AK521" s="162">
        <v>473</v>
      </c>
      <c r="AL521" s="162" t="s">
        <v>2706</v>
      </c>
      <c r="AM521" s="162">
        <v>4305</v>
      </c>
      <c r="AN521" s="162"/>
    </row>
    <row r="522" spans="1:40" s="100" customFormat="1" ht="46.8" x14ac:dyDescent="0.3">
      <c r="A522" s="161"/>
      <c r="B522" s="167"/>
      <c r="C522" s="98" t="s">
        <v>2708</v>
      </c>
      <c r="D522" s="163"/>
      <c r="E522" s="26" t="s">
        <v>48</v>
      </c>
      <c r="F522" s="30" t="s">
        <v>49</v>
      </c>
      <c r="G522" s="163"/>
      <c r="H522" s="163"/>
      <c r="I522" s="163"/>
      <c r="J522" s="165"/>
      <c r="K522" s="165"/>
      <c r="L522" s="165"/>
      <c r="M522" s="165"/>
      <c r="N522" s="165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  <c r="AA522" s="163"/>
      <c r="AB522" s="163"/>
      <c r="AC522" s="163"/>
      <c r="AD522" s="163"/>
      <c r="AE522" s="163"/>
      <c r="AF522" s="163"/>
      <c r="AG522" s="163"/>
      <c r="AH522" s="163"/>
      <c r="AI522" s="163"/>
      <c r="AJ522" s="163"/>
      <c r="AK522" s="163"/>
      <c r="AL522" s="163"/>
      <c r="AM522" s="163"/>
      <c r="AN522" s="163"/>
    </row>
    <row r="523" spans="1:40" s="100" customFormat="1" ht="46.8" x14ac:dyDescent="0.3">
      <c r="A523" s="160">
        <v>481</v>
      </c>
      <c r="B523" s="166" t="s">
        <v>1170</v>
      </c>
      <c r="C523" s="98" t="s">
        <v>2708</v>
      </c>
      <c r="D523" s="162" t="s">
        <v>2712</v>
      </c>
      <c r="E523" s="26" t="s">
        <v>144</v>
      </c>
      <c r="F523" s="30" t="s">
        <v>49</v>
      </c>
      <c r="G523" s="162" t="s">
        <v>2704</v>
      </c>
      <c r="H523" s="162">
        <v>42</v>
      </c>
      <c r="I523" s="162" t="str">
        <f t="shared" si="5"/>
        <v>с ЛН</v>
      </c>
      <c r="J523" s="164">
        <v>7</v>
      </c>
      <c r="K523" s="164" t="s">
        <v>528</v>
      </c>
      <c r="L523" s="164" t="s">
        <v>528</v>
      </c>
      <c r="M523" s="164" t="s">
        <v>2705</v>
      </c>
      <c r="N523" s="164" t="s">
        <v>2705</v>
      </c>
      <c r="O523" s="162">
        <v>619</v>
      </c>
      <c r="P523" s="162" t="s">
        <v>2706</v>
      </c>
      <c r="Q523" s="162">
        <v>801</v>
      </c>
      <c r="R523" s="162" t="s">
        <v>2706</v>
      </c>
      <c r="S523" s="162">
        <v>601</v>
      </c>
      <c r="T523" s="162" t="s">
        <v>2706</v>
      </c>
      <c r="U523" s="162">
        <v>719</v>
      </c>
      <c r="V523" s="162" t="s">
        <v>2706</v>
      </c>
      <c r="W523" s="162">
        <v>880</v>
      </c>
      <c r="X523" s="162" t="s">
        <v>2706</v>
      </c>
      <c r="Y523" s="162">
        <v>477</v>
      </c>
      <c r="Z523" s="162" t="s">
        <v>2706</v>
      </c>
      <c r="AA523" s="162">
        <v>432</v>
      </c>
      <c r="AB523" s="162" t="s">
        <v>2706</v>
      </c>
      <c r="AC523" s="162">
        <v>505</v>
      </c>
      <c r="AD523" s="162" t="s">
        <v>2706</v>
      </c>
      <c r="AE523" s="162">
        <v>773</v>
      </c>
      <c r="AF523" s="162" t="s">
        <v>2706</v>
      </c>
      <c r="AG523" s="162">
        <v>448</v>
      </c>
      <c r="AH523" s="162" t="s">
        <v>2706</v>
      </c>
      <c r="AI523" s="162">
        <v>544</v>
      </c>
      <c r="AJ523" s="162" t="s">
        <v>2706</v>
      </c>
      <c r="AK523" s="162">
        <v>518</v>
      </c>
      <c r="AL523" s="162" t="s">
        <v>2706</v>
      </c>
      <c r="AM523" s="162">
        <v>6812</v>
      </c>
      <c r="AN523" s="162"/>
    </row>
    <row r="524" spans="1:40" s="100" customFormat="1" ht="46.8" x14ac:dyDescent="0.3">
      <c r="A524" s="161"/>
      <c r="B524" s="167"/>
      <c r="C524" s="98" t="s">
        <v>2708</v>
      </c>
      <c r="D524" s="163"/>
      <c r="E524" s="26" t="s">
        <v>48</v>
      </c>
      <c r="F524" s="30" t="s">
        <v>49</v>
      </c>
      <c r="G524" s="163"/>
      <c r="H524" s="163"/>
      <c r="I524" s="163"/>
      <c r="J524" s="165"/>
      <c r="K524" s="165"/>
      <c r="L524" s="165"/>
      <c r="M524" s="165"/>
      <c r="N524" s="165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  <c r="AA524" s="163"/>
      <c r="AB524" s="163"/>
      <c r="AC524" s="163"/>
      <c r="AD524" s="163"/>
      <c r="AE524" s="163"/>
      <c r="AF524" s="163"/>
      <c r="AG524" s="163"/>
      <c r="AH524" s="163"/>
      <c r="AI524" s="163"/>
      <c r="AJ524" s="163"/>
      <c r="AK524" s="163"/>
      <c r="AL524" s="163"/>
      <c r="AM524" s="163"/>
      <c r="AN524" s="163"/>
    </row>
    <row r="525" spans="1:40" s="100" customFormat="1" ht="46.8" x14ac:dyDescent="0.3">
      <c r="A525" s="160">
        <v>482</v>
      </c>
      <c r="B525" s="166" t="s">
        <v>1172</v>
      </c>
      <c r="C525" s="98" t="s">
        <v>2708</v>
      </c>
      <c r="D525" s="162" t="s">
        <v>2712</v>
      </c>
      <c r="E525" s="26" t="s">
        <v>144</v>
      </c>
      <c r="F525" s="30" t="s">
        <v>49</v>
      </c>
      <c r="G525" s="162" t="s">
        <v>2704</v>
      </c>
      <c r="H525" s="162">
        <v>18</v>
      </c>
      <c r="I525" s="162" t="str">
        <f t="shared" si="5"/>
        <v>с ЛН</v>
      </c>
      <c r="J525" s="164">
        <v>3</v>
      </c>
      <c r="K525" s="164" t="s">
        <v>528</v>
      </c>
      <c r="L525" s="164" t="s">
        <v>528</v>
      </c>
      <c r="M525" s="164" t="s">
        <v>2705</v>
      </c>
      <c r="N525" s="164" t="s">
        <v>2705</v>
      </c>
      <c r="O525" s="162">
        <v>1937</v>
      </c>
      <c r="P525" s="162" t="s">
        <v>2706</v>
      </c>
      <c r="Q525" s="162">
        <v>2051</v>
      </c>
      <c r="R525" s="162" t="s">
        <v>2706</v>
      </c>
      <c r="S525" s="162">
        <v>1304</v>
      </c>
      <c r="T525" s="162" t="s">
        <v>2706</v>
      </c>
      <c r="U525" s="162">
        <v>2007</v>
      </c>
      <c r="V525" s="162" t="s">
        <v>2706</v>
      </c>
      <c r="W525" s="162">
        <v>1746</v>
      </c>
      <c r="X525" s="162" t="s">
        <v>2706</v>
      </c>
      <c r="Y525" s="162">
        <v>1612</v>
      </c>
      <c r="Z525" s="162" t="s">
        <v>2706</v>
      </c>
      <c r="AA525" s="162">
        <v>1692</v>
      </c>
      <c r="AB525" s="162" t="s">
        <v>2706</v>
      </c>
      <c r="AC525" s="162">
        <v>1859</v>
      </c>
      <c r="AD525" s="162" t="s">
        <v>2706</v>
      </c>
      <c r="AE525" s="162">
        <v>1536</v>
      </c>
      <c r="AF525" s="162" t="s">
        <v>2706</v>
      </c>
      <c r="AG525" s="162">
        <v>1214</v>
      </c>
      <c r="AH525" s="162" t="s">
        <v>2706</v>
      </c>
      <c r="AI525" s="162">
        <v>615</v>
      </c>
      <c r="AJ525" s="162" t="s">
        <v>2706</v>
      </c>
      <c r="AK525" s="162">
        <v>1101</v>
      </c>
      <c r="AL525" s="162" t="s">
        <v>2706</v>
      </c>
      <c r="AM525" s="162">
        <v>16815</v>
      </c>
      <c r="AN525" s="162"/>
    </row>
    <row r="526" spans="1:40" s="100" customFormat="1" ht="46.8" x14ac:dyDescent="0.3">
      <c r="A526" s="161"/>
      <c r="B526" s="167"/>
      <c r="C526" s="98" t="s">
        <v>2708</v>
      </c>
      <c r="D526" s="163"/>
      <c r="E526" s="26" t="s">
        <v>48</v>
      </c>
      <c r="F526" s="30" t="s">
        <v>49</v>
      </c>
      <c r="G526" s="163"/>
      <c r="H526" s="163"/>
      <c r="I526" s="163"/>
      <c r="J526" s="165"/>
      <c r="K526" s="165"/>
      <c r="L526" s="165"/>
      <c r="M526" s="165"/>
      <c r="N526" s="165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  <c r="AA526" s="163"/>
      <c r="AB526" s="163"/>
      <c r="AC526" s="163"/>
      <c r="AD526" s="163"/>
      <c r="AE526" s="163"/>
      <c r="AF526" s="163"/>
      <c r="AG526" s="163"/>
      <c r="AH526" s="163"/>
      <c r="AI526" s="163"/>
      <c r="AJ526" s="163"/>
      <c r="AK526" s="163"/>
      <c r="AL526" s="163"/>
      <c r="AM526" s="163"/>
      <c r="AN526" s="163"/>
    </row>
    <row r="527" spans="1:40" s="100" customFormat="1" ht="46.8" x14ac:dyDescent="0.3">
      <c r="A527" s="160">
        <v>483</v>
      </c>
      <c r="B527" s="166" t="s">
        <v>1174</v>
      </c>
      <c r="C527" s="98" t="s">
        <v>2708</v>
      </c>
      <c r="D527" s="162" t="s">
        <v>2712</v>
      </c>
      <c r="E527" s="26" t="s">
        <v>144</v>
      </c>
      <c r="F527" s="30" t="s">
        <v>49</v>
      </c>
      <c r="G527" s="162" t="s">
        <v>2704</v>
      </c>
      <c r="H527" s="162">
        <v>13</v>
      </c>
      <c r="I527" s="162" t="str">
        <f t="shared" si="5"/>
        <v>с ЛН</v>
      </c>
      <c r="J527" s="164">
        <v>3</v>
      </c>
      <c r="K527" s="164" t="s">
        <v>528</v>
      </c>
      <c r="L527" s="164" t="s">
        <v>528</v>
      </c>
      <c r="M527" s="164" t="s">
        <v>2705</v>
      </c>
      <c r="N527" s="164" t="s">
        <v>2705</v>
      </c>
      <c r="O527" s="162">
        <v>0</v>
      </c>
      <c r="P527" s="162" t="s">
        <v>2706</v>
      </c>
      <c r="Q527" s="162">
        <v>0</v>
      </c>
      <c r="R527" s="162" t="s">
        <v>2706</v>
      </c>
      <c r="S527" s="162">
        <v>0</v>
      </c>
      <c r="T527" s="162" t="s">
        <v>2706</v>
      </c>
      <c r="U527" s="162">
        <v>0</v>
      </c>
      <c r="V527" s="162" t="s">
        <v>2706</v>
      </c>
      <c r="W527" s="162">
        <v>0</v>
      </c>
      <c r="X527" s="162" t="s">
        <v>2706</v>
      </c>
      <c r="Y527" s="162">
        <v>0</v>
      </c>
      <c r="Z527" s="162" t="s">
        <v>2706</v>
      </c>
      <c r="AA527" s="162">
        <v>0</v>
      </c>
      <c r="AB527" s="162" t="s">
        <v>2706</v>
      </c>
      <c r="AC527" s="162">
        <v>0</v>
      </c>
      <c r="AD527" s="162" t="s">
        <v>2706</v>
      </c>
      <c r="AE527" s="162">
        <v>0</v>
      </c>
      <c r="AF527" s="162" t="s">
        <v>2706</v>
      </c>
      <c r="AG527" s="162">
        <v>0</v>
      </c>
      <c r="AH527" s="162" t="s">
        <v>2706</v>
      </c>
      <c r="AI527" s="162">
        <v>1</v>
      </c>
      <c r="AJ527" s="162" t="s">
        <v>2706</v>
      </c>
      <c r="AK527" s="162">
        <v>0</v>
      </c>
      <c r="AL527" s="162" t="s">
        <v>2706</v>
      </c>
      <c r="AM527" s="162">
        <v>1</v>
      </c>
      <c r="AN527" s="162"/>
    </row>
    <row r="528" spans="1:40" s="100" customFormat="1" ht="46.8" x14ac:dyDescent="0.3">
      <c r="A528" s="161"/>
      <c r="B528" s="167"/>
      <c r="C528" s="98" t="s">
        <v>2708</v>
      </c>
      <c r="D528" s="163"/>
      <c r="E528" s="26" t="s">
        <v>48</v>
      </c>
      <c r="F528" s="30" t="s">
        <v>49</v>
      </c>
      <c r="G528" s="163"/>
      <c r="H528" s="163"/>
      <c r="I528" s="163"/>
      <c r="J528" s="165"/>
      <c r="K528" s="165"/>
      <c r="L528" s="165"/>
      <c r="M528" s="165"/>
      <c r="N528" s="165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  <c r="AA528" s="163"/>
      <c r="AB528" s="163"/>
      <c r="AC528" s="163"/>
      <c r="AD528" s="163"/>
      <c r="AE528" s="163"/>
      <c r="AF528" s="163"/>
      <c r="AG528" s="163"/>
      <c r="AH528" s="163"/>
      <c r="AI528" s="163"/>
      <c r="AJ528" s="163"/>
      <c r="AK528" s="163"/>
      <c r="AL528" s="163"/>
      <c r="AM528" s="163"/>
      <c r="AN528" s="163"/>
    </row>
    <row r="529" spans="1:40" s="100" customFormat="1" ht="46.8" x14ac:dyDescent="0.3">
      <c r="A529" s="160">
        <v>484</v>
      </c>
      <c r="B529" s="166" t="s">
        <v>1176</v>
      </c>
      <c r="C529" s="98" t="s">
        <v>2708</v>
      </c>
      <c r="D529" s="162" t="s">
        <v>2712</v>
      </c>
      <c r="E529" s="26" t="s">
        <v>144</v>
      </c>
      <c r="F529" s="30" t="s">
        <v>49</v>
      </c>
      <c r="G529" s="162" t="s">
        <v>2704</v>
      </c>
      <c r="H529" s="162">
        <v>17</v>
      </c>
      <c r="I529" s="162" t="str">
        <f t="shared" si="5"/>
        <v>с ЛН</v>
      </c>
      <c r="J529" s="164">
        <v>3</v>
      </c>
      <c r="K529" s="164" t="s">
        <v>528</v>
      </c>
      <c r="L529" s="164" t="s">
        <v>528</v>
      </c>
      <c r="M529" s="164" t="s">
        <v>2705</v>
      </c>
      <c r="N529" s="164" t="s">
        <v>2705</v>
      </c>
      <c r="O529" s="162">
        <v>385</v>
      </c>
      <c r="P529" s="162" t="s">
        <v>2706</v>
      </c>
      <c r="Q529" s="162">
        <v>409</v>
      </c>
      <c r="R529" s="162" t="s">
        <v>2706</v>
      </c>
      <c r="S529" s="162">
        <v>288</v>
      </c>
      <c r="T529" s="162" t="s">
        <v>2706</v>
      </c>
      <c r="U529" s="162">
        <v>320</v>
      </c>
      <c r="V529" s="162" t="s">
        <v>2706</v>
      </c>
      <c r="W529" s="162">
        <v>359</v>
      </c>
      <c r="X529" s="162" t="s">
        <v>2706</v>
      </c>
      <c r="Y529" s="162">
        <v>149</v>
      </c>
      <c r="Z529" s="162" t="s">
        <v>2706</v>
      </c>
      <c r="AA529" s="162">
        <v>191</v>
      </c>
      <c r="AB529" s="162" t="s">
        <v>2706</v>
      </c>
      <c r="AC529" s="162">
        <v>276</v>
      </c>
      <c r="AD529" s="162" t="s">
        <v>2706</v>
      </c>
      <c r="AE529" s="162">
        <v>249</v>
      </c>
      <c r="AF529" s="162" t="s">
        <v>2706</v>
      </c>
      <c r="AG529" s="162">
        <v>227</v>
      </c>
      <c r="AH529" s="162" t="s">
        <v>2706</v>
      </c>
      <c r="AI529" s="162">
        <v>280</v>
      </c>
      <c r="AJ529" s="162" t="s">
        <v>2706</v>
      </c>
      <c r="AK529" s="162">
        <v>354</v>
      </c>
      <c r="AL529" s="162" t="s">
        <v>2706</v>
      </c>
      <c r="AM529" s="162">
        <v>3211</v>
      </c>
      <c r="AN529" s="162"/>
    </row>
    <row r="530" spans="1:40" s="100" customFormat="1" ht="46.8" x14ac:dyDescent="0.3">
      <c r="A530" s="161"/>
      <c r="B530" s="167"/>
      <c r="C530" s="98" t="s">
        <v>2708</v>
      </c>
      <c r="D530" s="163"/>
      <c r="E530" s="26" t="s">
        <v>48</v>
      </c>
      <c r="F530" s="30" t="s">
        <v>49</v>
      </c>
      <c r="G530" s="163"/>
      <c r="H530" s="163"/>
      <c r="I530" s="163"/>
      <c r="J530" s="165"/>
      <c r="K530" s="165"/>
      <c r="L530" s="165"/>
      <c r="M530" s="165"/>
      <c r="N530" s="165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  <c r="AA530" s="163"/>
      <c r="AB530" s="163"/>
      <c r="AC530" s="163"/>
      <c r="AD530" s="163"/>
      <c r="AE530" s="163"/>
      <c r="AF530" s="163"/>
      <c r="AG530" s="163"/>
      <c r="AH530" s="163"/>
      <c r="AI530" s="163"/>
      <c r="AJ530" s="163"/>
      <c r="AK530" s="163"/>
      <c r="AL530" s="163"/>
      <c r="AM530" s="163"/>
      <c r="AN530" s="163"/>
    </row>
    <row r="531" spans="1:40" s="100" customFormat="1" ht="46.8" x14ac:dyDescent="0.3">
      <c r="A531" s="160">
        <v>485</v>
      </c>
      <c r="B531" s="166" t="s">
        <v>1177</v>
      </c>
      <c r="C531" s="98" t="s">
        <v>2708</v>
      </c>
      <c r="D531" s="162" t="s">
        <v>2712</v>
      </c>
      <c r="E531" s="26" t="s">
        <v>144</v>
      </c>
      <c r="F531" s="30" t="s">
        <v>49</v>
      </c>
      <c r="G531" s="162"/>
      <c r="H531" s="162"/>
      <c r="I531" s="162"/>
      <c r="J531" s="164"/>
      <c r="K531" s="164" t="s">
        <v>528</v>
      </c>
      <c r="L531" s="164" t="s">
        <v>528</v>
      </c>
      <c r="M531" s="164" t="s">
        <v>2705</v>
      </c>
      <c r="N531" s="164" t="s">
        <v>2705</v>
      </c>
      <c r="O531" s="162">
        <v>0</v>
      </c>
      <c r="P531" s="162" t="s">
        <v>2706</v>
      </c>
      <c r="Q531" s="162">
        <v>0</v>
      </c>
      <c r="R531" s="162" t="s">
        <v>2706</v>
      </c>
      <c r="S531" s="162">
        <v>0</v>
      </c>
      <c r="T531" s="162" t="s">
        <v>2706</v>
      </c>
      <c r="U531" s="162">
        <v>0</v>
      </c>
      <c r="V531" s="162" t="s">
        <v>2706</v>
      </c>
      <c r="W531" s="162">
        <v>0</v>
      </c>
      <c r="X531" s="162" t="s">
        <v>2706</v>
      </c>
      <c r="Y531" s="162">
        <v>0</v>
      </c>
      <c r="Z531" s="162" t="s">
        <v>2706</v>
      </c>
      <c r="AA531" s="162">
        <v>0</v>
      </c>
      <c r="AB531" s="162" t="s">
        <v>2706</v>
      </c>
      <c r="AC531" s="162">
        <v>0</v>
      </c>
      <c r="AD531" s="162" t="s">
        <v>2706</v>
      </c>
      <c r="AE531" s="162">
        <v>0</v>
      </c>
      <c r="AF531" s="162" t="s">
        <v>2706</v>
      </c>
      <c r="AG531" s="162">
        <v>0</v>
      </c>
      <c r="AH531" s="162" t="s">
        <v>2706</v>
      </c>
      <c r="AI531" s="162">
        <v>0</v>
      </c>
      <c r="AJ531" s="162" t="s">
        <v>2706</v>
      </c>
      <c r="AK531" s="162">
        <v>0</v>
      </c>
      <c r="AL531" s="162" t="s">
        <v>2706</v>
      </c>
      <c r="AM531" s="162">
        <v>0</v>
      </c>
      <c r="AN531" s="162"/>
    </row>
    <row r="532" spans="1:40" s="100" customFormat="1" ht="46.8" x14ac:dyDescent="0.3">
      <c r="A532" s="161"/>
      <c r="B532" s="167"/>
      <c r="C532" s="98" t="s">
        <v>2708</v>
      </c>
      <c r="D532" s="163"/>
      <c r="E532" s="26" t="s">
        <v>48</v>
      </c>
      <c r="F532" s="30" t="s">
        <v>49</v>
      </c>
      <c r="G532" s="163"/>
      <c r="H532" s="163"/>
      <c r="I532" s="163"/>
      <c r="J532" s="165"/>
      <c r="K532" s="165"/>
      <c r="L532" s="165"/>
      <c r="M532" s="165"/>
      <c r="N532" s="165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  <c r="AA532" s="163"/>
      <c r="AB532" s="163"/>
      <c r="AC532" s="163"/>
      <c r="AD532" s="163"/>
      <c r="AE532" s="163"/>
      <c r="AF532" s="163"/>
      <c r="AG532" s="163"/>
      <c r="AH532" s="163"/>
      <c r="AI532" s="163"/>
      <c r="AJ532" s="163"/>
      <c r="AK532" s="163"/>
      <c r="AL532" s="163"/>
      <c r="AM532" s="163"/>
      <c r="AN532" s="163"/>
    </row>
    <row r="533" spans="1:40" s="100" customFormat="1" ht="46.8" x14ac:dyDescent="0.3">
      <c r="A533" s="160">
        <v>486</v>
      </c>
      <c r="B533" s="166" t="s">
        <v>1179</v>
      </c>
      <c r="C533" s="98" t="s">
        <v>2708</v>
      </c>
      <c r="D533" s="162" t="s">
        <v>2712</v>
      </c>
      <c r="E533" s="26" t="s">
        <v>144</v>
      </c>
      <c r="F533" s="30" t="s">
        <v>49</v>
      </c>
      <c r="G533" s="162"/>
      <c r="H533" s="162"/>
      <c r="I533" s="162"/>
      <c r="J533" s="164"/>
      <c r="K533" s="164" t="s">
        <v>528</v>
      </c>
      <c r="L533" s="164" t="s">
        <v>528</v>
      </c>
      <c r="M533" s="164" t="s">
        <v>2705</v>
      </c>
      <c r="N533" s="164" t="s">
        <v>2705</v>
      </c>
      <c r="O533" s="162">
        <v>1467</v>
      </c>
      <c r="P533" s="162" t="s">
        <v>2706</v>
      </c>
      <c r="Q533" s="162">
        <v>2097</v>
      </c>
      <c r="R533" s="162" t="s">
        <v>2706</v>
      </c>
      <c r="S533" s="162">
        <v>1186</v>
      </c>
      <c r="T533" s="162" t="s">
        <v>2706</v>
      </c>
      <c r="U533" s="162">
        <v>1799</v>
      </c>
      <c r="V533" s="162" t="s">
        <v>2706</v>
      </c>
      <c r="W533" s="162">
        <v>1870</v>
      </c>
      <c r="X533" s="162" t="s">
        <v>2706</v>
      </c>
      <c r="Y533" s="162">
        <v>1309</v>
      </c>
      <c r="Z533" s="162" t="s">
        <v>2706</v>
      </c>
      <c r="AA533" s="162">
        <v>1245</v>
      </c>
      <c r="AB533" s="162" t="s">
        <v>2706</v>
      </c>
      <c r="AC533" s="162">
        <v>1663</v>
      </c>
      <c r="AD533" s="162" t="s">
        <v>2706</v>
      </c>
      <c r="AE533" s="162">
        <v>1657</v>
      </c>
      <c r="AF533" s="162" t="s">
        <v>2706</v>
      </c>
      <c r="AG533" s="162">
        <v>1721</v>
      </c>
      <c r="AH533" s="162" t="s">
        <v>2706</v>
      </c>
      <c r="AI533" s="162">
        <v>2519</v>
      </c>
      <c r="AJ533" s="162" t="s">
        <v>2706</v>
      </c>
      <c r="AK533" s="162">
        <v>2137</v>
      </c>
      <c r="AL533" s="162" t="s">
        <v>2706</v>
      </c>
      <c r="AM533" s="162">
        <v>19007</v>
      </c>
      <c r="AN533" s="162"/>
    </row>
    <row r="534" spans="1:40" s="100" customFormat="1" ht="46.8" x14ac:dyDescent="0.3">
      <c r="A534" s="161"/>
      <c r="B534" s="167"/>
      <c r="C534" s="98" t="s">
        <v>2708</v>
      </c>
      <c r="D534" s="163"/>
      <c r="E534" s="26" t="s">
        <v>48</v>
      </c>
      <c r="F534" s="30" t="s">
        <v>49</v>
      </c>
      <c r="G534" s="163"/>
      <c r="H534" s="163"/>
      <c r="I534" s="163"/>
      <c r="J534" s="165"/>
      <c r="K534" s="165"/>
      <c r="L534" s="165"/>
      <c r="M534" s="165"/>
      <c r="N534" s="165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  <c r="AA534" s="163"/>
      <c r="AB534" s="163"/>
      <c r="AC534" s="163"/>
      <c r="AD534" s="163"/>
      <c r="AE534" s="163"/>
      <c r="AF534" s="163"/>
      <c r="AG534" s="163"/>
      <c r="AH534" s="163"/>
      <c r="AI534" s="163"/>
      <c r="AJ534" s="163"/>
      <c r="AK534" s="163"/>
      <c r="AL534" s="163"/>
      <c r="AM534" s="163"/>
      <c r="AN534" s="163"/>
    </row>
    <row r="535" spans="1:40" s="100" customFormat="1" ht="46.8" x14ac:dyDescent="0.3">
      <c r="A535" s="160">
        <v>487</v>
      </c>
      <c r="B535" s="166" t="s">
        <v>1180</v>
      </c>
      <c r="C535" s="98" t="s">
        <v>2708</v>
      </c>
      <c r="D535" s="162" t="s">
        <v>2712</v>
      </c>
      <c r="E535" s="26" t="s">
        <v>144</v>
      </c>
      <c r="F535" s="30" t="s">
        <v>49</v>
      </c>
      <c r="G535" s="162"/>
      <c r="H535" s="162"/>
      <c r="I535" s="162"/>
      <c r="J535" s="164"/>
      <c r="K535" s="164" t="s">
        <v>528</v>
      </c>
      <c r="L535" s="164" t="s">
        <v>528</v>
      </c>
      <c r="M535" s="164" t="s">
        <v>2705</v>
      </c>
      <c r="N535" s="164" t="s">
        <v>2705</v>
      </c>
      <c r="O535" s="162">
        <v>0</v>
      </c>
      <c r="P535" s="162" t="s">
        <v>2706</v>
      </c>
      <c r="Q535" s="162">
        <v>0</v>
      </c>
      <c r="R535" s="162" t="s">
        <v>2706</v>
      </c>
      <c r="S535" s="162">
        <v>0</v>
      </c>
      <c r="T535" s="162" t="s">
        <v>2706</v>
      </c>
      <c r="U535" s="162">
        <v>0</v>
      </c>
      <c r="V535" s="162" t="s">
        <v>2706</v>
      </c>
      <c r="W535" s="162">
        <v>0</v>
      </c>
      <c r="X535" s="162" t="s">
        <v>2706</v>
      </c>
      <c r="Y535" s="162">
        <v>0</v>
      </c>
      <c r="Z535" s="162" t="s">
        <v>2706</v>
      </c>
      <c r="AA535" s="162">
        <v>0</v>
      </c>
      <c r="AB535" s="162" t="s">
        <v>2706</v>
      </c>
      <c r="AC535" s="162">
        <v>0</v>
      </c>
      <c r="AD535" s="162" t="s">
        <v>2706</v>
      </c>
      <c r="AE535" s="162">
        <v>0</v>
      </c>
      <c r="AF535" s="162" t="s">
        <v>2706</v>
      </c>
      <c r="AG535" s="162">
        <v>0</v>
      </c>
      <c r="AH535" s="162" t="s">
        <v>2706</v>
      </c>
      <c r="AI535" s="162">
        <v>0</v>
      </c>
      <c r="AJ535" s="162" t="s">
        <v>2706</v>
      </c>
      <c r="AK535" s="162">
        <v>0</v>
      </c>
      <c r="AL535" s="162" t="s">
        <v>2706</v>
      </c>
      <c r="AM535" s="162">
        <v>0</v>
      </c>
      <c r="AN535" s="162"/>
    </row>
    <row r="536" spans="1:40" s="100" customFormat="1" ht="46.8" x14ac:dyDescent="0.3">
      <c r="A536" s="161"/>
      <c r="B536" s="167"/>
      <c r="C536" s="98" t="s">
        <v>2708</v>
      </c>
      <c r="D536" s="163"/>
      <c r="E536" s="26" t="s">
        <v>48</v>
      </c>
      <c r="F536" s="30" t="s">
        <v>49</v>
      </c>
      <c r="G536" s="163"/>
      <c r="H536" s="163"/>
      <c r="I536" s="163"/>
      <c r="J536" s="165"/>
      <c r="K536" s="165"/>
      <c r="L536" s="165"/>
      <c r="M536" s="165"/>
      <c r="N536" s="165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  <c r="AA536" s="163"/>
      <c r="AB536" s="163"/>
      <c r="AC536" s="163"/>
      <c r="AD536" s="163"/>
      <c r="AE536" s="163"/>
      <c r="AF536" s="163"/>
      <c r="AG536" s="163"/>
      <c r="AH536" s="163"/>
      <c r="AI536" s="163"/>
      <c r="AJ536" s="163"/>
      <c r="AK536" s="163"/>
      <c r="AL536" s="163"/>
      <c r="AM536" s="163"/>
      <c r="AN536" s="163"/>
    </row>
    <row r="537" spans="1:40" s="100" customFormat="1" ht="46.8" x14ac:dyDescent="0.3">
      <c r="A537" s="160">
        <v>488</v>
      </c>
      <c r="B537" s="166" t="s">
        <v>1182</v>
      </c>
      <c r="C537" s="98" t="s">
        <v>2708</v>
      </c>
      <c r="D537" s="162" t="s">
        <v>2712</v>
      </c>
      <c r="E537" s="26" t="s">
        <v>144</v>
      </c>
      <c r="F537" s="30" t="s">
        <v>49</v>
      </c>
      <c r="G537" s="162" t="s">
        <v>2704</v>
      </c>
      <c r="H537" s="162">
        <v>24</v>
      </c>
      <c r="I537" s="162" t="str">
        <f t="shared" si="5"/>
        <v>с ЛН</v>
      </c>
      <c r="J537" s="164">
        <v>4</v>
      </c>
      <c r="K537" s="164" t="s">
        <v>528</v>
      </c>
      <c r="L537" s="164" t="s">
        <v>528</v>
      </c>
      <c r="M537" s="164" t="s">
        <v>2705</v>
      </c>
      <c r="N537" s="164" t="s">
        <v>2705</v>
      </c>
      <c r="O537" s="162">
        <v>1212</v>
      </c>
      <c r="P537" s="162" t="s">
        <v>2706</v>
      </c>
      <c r="Q537" s="162">
        <v>1767</v>
      </c>
      <c r="R537" s="162" t="s">
        <v>2706</v>
      </c>
      <c r="S537" s="162">
        <v>966</v>
      </c>
      <c r="T537" s="162" t="s">
        <v>2706</v>
      </c>
      <c r="U537" s="162">
        <v>1440</v>
      </c>
      <c r="V537" s="162" t="s">
        <v>2706</v>
      </c>
      <c r="W537" s="162">
        <v>1372</v>
      </c>
      <c r="X537" s="162" t="s">
        <v>2706</v>
      </c>
      <c r="Y537" s="162">
        <v>1344</v>
      </c>
      <c r="Z537" s="162" t="s">
        <v>2706</v>
      </c>
      <c r="AA537" s="162">
        <v>1351</v>
      </c>
      <c r="AB537" s="162" t="s">
        <v>2706</v>
      </c>
      <c r="AC537" s="162">
        <v>1372</v>
      </c>
      <c r="AD537" s="162" t="s">
        <v>2706</v>
      </c>
      <c r="AE537" s="162">
        <v>1244</v>
      </c>
      <c r="AF537" s="162" t="s">
        <v>2706</v>
      </c>
      <c r="AG537" s="162">
        <v>1779</v>
      </c>
      <c r="AH537" s="162" t="s">
        <v>2706</v>
      </c>
      <c r="AI537" s="162">
        <v>180</v>
      </c>
      <c r="AJ537" s="162" t="s">
        <v>2706</v>
      </c>
      <c r="AK537" s="162">
        <v>2762</v>
      </c>
      <c r="AL537" s="162" t="s">
        <v>2706</v>
      </c>
      <c r="AM537" s="162">
        <v>15417</v>
      </c>
      <c r="AN537" s="162"/>
    </row>
    <row r="538" spans="1:40" s="100" customFormat="1" ht="46.8" x14ac:dyDescent="0.3">
      <c r="A538" s="161"/>
      <c r="B538" s="167"/>
      <c r="C538" s="98" t="s">
        <v>2708</v>
      </c>
      <c r="D538" s="163"/>
      <c r="E538" s="26" t="s">
        <v>48</v>
      </c>
      <c r="F538" s="30" t="s">
        <v>49</v>
      </c>
      <c r="G538" s="163"/>
      <c r="H538" s="163"/>
      <c r="I538" s="163"/>
      <c r="J538" s="165"/>
      <c r="K538" s="165"/>
      <c r="L538" s="165"/>
      <c r="M538" s="165"/>
      <c r="N538" s="165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  <c r="AA538" s="163"/>
      <c r="AB538" s="163"/>
      <c r="AC538" s="163"/>
      <c r="AD538" s="163"/>
      <c r="AE538" s="163"/>
      <c r="AF538" s="163"/>
      <c r="AG538" s="163"/>
      <c r="AH538" s="163"/>
      <c r="AI538" s="163"/>
      <c r="AJ538" s="163"/>
      <c r="AK538" s="163"/>
      <c r="AL538" s="163"/>
      <c r="AM538" s="163"/>
      <c r="AN538" s="163"/>
    </row>
    <row r="539" spans="1:40" s="100" customFormat="1" ht="46.8" x14ac:dyDescent="0.3">
      <c r="A539" s="160">
        <v>489</v>
      </c>
      <c r="B539" s="166" t="s">
        <v>1183</v>
      </c>
      <c r="C539" s="98" t="s">
        <v>2708</v>
      </c>
      <c r="D539" s="162" t="s">
        <v>2712</v>
      </c>
      <c r="E539" s="26" t="s">
        <v>144</v>
      </c>
      <c r="F539" s="30" t="s">
        <v>49</v>
      </c>
      <c r="G539" s="162" t="s">
        <v>2704</v>
      </c>
      <c r="H539" s="162">
        <v>24</v>
      </c>
      <c r="I539" s="162" t="str">
        <f t="shared" si="5"/>
        <v>с ЛН</v>
      </c>
      <c r="J539" s="164">
        <v>4</v>
      </c>
      <c r="K539" s="164" t="s">
        <v>528</v>
      </c>
      <c r="L539" s="164" t="s">
        <v>528</v>
      </c>
      <c r="M539" s="164" t="s">
        <v>2705</v>
      </c>
      <c r="N539" s="164" t="s">
        <v>2705</v>
      </c>
      <c r="O539" s="162">
        <v>0</v>
      </c>
      <c r="P539" s="162" t="s">
        <v>2706</v>
      </c>
      <c r="Q539" s="162">
        <v>0</v>
      </c>
      <c r="R539" s="162" t="s">
        <v>2706</v>
      </c>
      <c r="S539" s="162">
        <v>0</v>
      </c>
      <c r="T539" s="162" t="s">
        <v>2706</v>
      </c>
      <c r="U539" s="162">
        <v>0</v>
      </c>
      <c r="V539" s="162" t="s">
        <v>2706</v>
      </c>
      <c r="W539" s="162">
        <v>0</v>
      </c>
      <c r="X539" s="162" t="s">
        <v>2706</v>
      </c>
      <c r="Y539" s="162">
        <v>0</v>
      </c>
      <c r="Z539" s="162" t="s">
        <v>2706</v>
      </c>
      <c r="AA539" s="162">
        <v>0</v>
      </c>
      <c r="AB539" s="162" t="s">
        <v>2706</v>
      </c>
      <c r="AC539" s="162">
        <v>0</v>
      </c>
      <c r="AD539" s="162" t="s">
        <v>2706</v>
      </c>
      <c r="AE539" s="162">
        <v>0</v>
      </c>
      <c r="AF539" s="162" t="s">
        <v>2706</v>
      </c>
      <c r="AG539" s="162">
        <v>0</v>
      </c>
      <c r="AH539" s="162" t="s">
        <v>2706</v>
      </c>
      <c r="AI539" s="162">
        <v>0</v>
      </c>
      <c r="AJ539" s="162" t="s">
        <v>2706</v>
      </c>
      <c r="AK539" s="162">
        <v>0</v>
      </c>
      <c r="AL539" s="162" t="s">
        <v>2706</v>
      </c>
      <c r="AM539" s="162">
        <v>0</v>
      </c>
      <c r="AN539" s="162"/>
    </row>
    <row r="540" spans="1:40" s="100" customFormat="1" ht="46.8" x14ac:dyDescent="0.3">
      <c r="A540" s="161"/>
      <c r="B540" s="167"/>
      <c r="C540" s="98" t="s">
        <v>2708</v>
      </c>
      <c r="D540" s="163"/>
      <c r="E540" s="26" t="s">
        <v>48</v>
      </c>
      <c r="F540" s="30" t="s">
        <v>49</v>
      </c>
      <c r="G540" s="163"/>
      <c r="H540" s="163"/>
      <c r="I540" s="163"/>
      <c r="J540" s="165"/>
      <c r="K540" s="165"/>
      <c r="L540" s="165"/>
      <c r="M540" s="165"/>
      <c r="N540" s="165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  <c r="AA540" s="163"/>
      <c r="AB540" s="163"/>
      <c r="AC540" s="163"/>
      <c r="AD540" s="163"/>
      <c r="AE540" s="163"/>
      <c r="AF540" s="163"/>
      <c r="AG540" s="163"/>
      <c r="AH540" s="163"/>
      <c r="AI540" s="163"/>
      <c r="AJ540" s="163"/>
      <c r="AK540" s="163"/>
      <c r="AL540" s="163"/>
      <c r="AM540" s="163"/>
      <c r="AN540" s="163"/>
    </row>
    <row r="541" spans="1:40" s="100" customFormat="1" ht="46.8" x14ac:dyDescent="0.3">
      <c r="A541" s="160">
        <v>490</v>
      </c>
      <c r="B541" s="166" t="s">
        <v>1184</v>
      </c>
      <c r="C541" s="98" t="s">
        <v>2708</v>
      </c>
      <c r="D541" s="162" t="s">
        <v>2712</v>
      </c>
      <c r="E541" s="26" t="s">
        <v>144</v>
      </c>
      <c r="F541" s="30" t="s">
        <v>49</v>
      </c>
      <c r="G541" s="162" t="s">
        <v>2704</v>
      </c>
      <c r="H541" s="162">
        <v>24</v>
      </c>
      <c r="I541" s="162" t="str">
        <f t="shared" si="5"/>
        <v>с ЛН</v>
      </c>
      <c r="J541" s="164">
        <v>4</v>
      </c>
      <c r="K541" s="164" t="s">
        <v>528</v>
      </c>
      <c r="L541" s="164" t="s">
        <v>528</v>
      </c>
      <c r="M541" s="164" t="s">
        <v>2705</v>
      </c>
      <c r="N541" s="164" t="s">
        <v>2705</v>
      </c>
      <c r="O541" s="162">
        <v>0</v>
      </c>
      <c r="P541" s="162" t="s">
        <v>2706</v>
      </c>
      <c r="Q541" s="162">
        <v>0</v>
      </c>
      <c r="R541" s="162" t="s">
        <v>2706</v>
      </c>
      <c r="S541" s="162">
        <v>0</v>
      </c>
      <c r="T541" s="162" t="s">
        <v>2706</v>
      </c>
      <c r="U541" s="162">
        <v>0</v>
      </c>
      <c r="V541" s="162" t="s">
        <v>2706</v>
      </c>
      <c r="W541" s="162">
        <v>0</v>
      </c>
      <c r="X541" s="162" t="s">
        <v>2706</v>
      </c>
      <c r="Y541" s="162">
        <v>0</v>
      </c>
      <c r="Z541" s="162" t="s">
        <v>2706</v>
      </c>
      <c r="AA541" s="162">
        <v>0</v>
      </c>
      <c r="AB541" s="162" t="s">
        <v>2706</v>
      </c>
      <c r="AC541" s="162">
        <v>0</v>
      </c>
      <c r="AD541" s="162" t="s">
        <v>2706</v>
      </c>
      <c r="AE541" s="162">
        <v>0</v>
      </c>
      <c r="AF541" s="162" t="s">
        <v>2706</v>
      </c>
      <c r="AG541" s="162">
        <v>0</v>
      </c>
      <c r="AH541" s="162" t="s">
        <v>2706</v>
      </c>
      <c r="AI541" s="162">
        <v>0</v>
      </c>
      <c r="AJ541" s="162" t="s">
        <v>2706</v>
      </c>
      <c r="AK541" s="162">
        <v>0</v>
      </c>
      <c r="AL541" s="162" t="s">
        <v>2706</v>
      </c>
      <c r="AM541" s="162">
        <v>0</v>
      </c>
      <c r="AN541" s="162"/>
    </row>
    <row r="542" spans="1:40" s="100" customFormat="1" ht="46.8" x14ac:dyDescent="0.3">
      <c r="A542" s="161"/>
      <c r="B542" s="167"/>
      <c r="C542" s="98" t="s">
        <v>2708</v>
      </c>
      <c r="D542" s="163"/>
      <c r="E542" s="26" t="s">
        <v>48</v>
      </c>
      <c r="F542" s="30" t="s">
        <v>49</v>
      </c>
      <c r="G542" s="163"/>
      <c r="H542" s="163"/>
      <c r="I542" s="163"/>
      <c r="J542" s="165"/>
      <c r="K542" s="165"/>
      <c r="L542" s="165"/>
      <c r="M542" s="165"/>
      <c r="N542" s="165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  <c r="AA542" s="163"/>
      <c r="AB542" s="163"/>
      <c r="AC542" s="163"/>
      <c r="AD542" s="163"/>
      <c r="AE542" s="163"/>
      <c r="AF542" s="163"/>
      <c r="AG542" s="163"/>
      <c r="AH542" s="163"/>
      <c r="AI542" s="163"/>
      <c r="AJ542" s="163"/>
      <c r="AK542" s="163"/>
      <c r="AL542" s="163"/>
      <c r="AM542" s="163"/>
      <c r="AN542" s="163"/>
    </row>
    <row r="543" spans="1:40" s="100" customFormat="1" ht="46.8" x14ac:dyDescent="0.3">
      <c r="A543" s="160">
        <v>491</v>
      </c>
      <c r="B543" s="166" t="s">
        <v>1185</v>
      </c>
      <c r="C543" s="98" t="s">
        <v>2708</v>
      </c>
      <c r="D543" s="162" t="s">
        <v>2712</v>
      </c>
      <c r="E543" s="26" t="s">
        <v>144</v>
      </c>
      <c r="F543" s="30" t="s">
        <v>49</v>
      </c>
      <c r="G543" s="162" t="s">
        <v>2704</v>
      </c>
      <c r="H543" s="162">
        <v>62</v>
      </c>
      <c r="I543" s="162" t="str">
        <f t="shared" si="5"/>
        <v>с ЛН</v>
      </c>
      <c r="J543" s="164">
        <v>12</v>
      </c>
      <c r="K543" s="164" t="s">
        <v>528</v>
      </c>
      <c r="L543" s="164" t="s">
        <v>528</v>
      </c>
      <c r="M543" s="164" t="s">
        <v>2705</v>
      </c>
      <c r="N543" s="164" t="s">
        <v>2705</v>
      </c>
      <c r="O543" s="162">
        <v>0</v>
      </c>
      <c r="P543" s="162" t="s">
        <v>2706</v>
      </c>
      <c r="Q543" s="162">
        <v>0</v>
      </c>
      <c r="R543" s="162" t="s">
        <v>2706</v>
      </c>
      <c r="S543" s="162">
        <v>0</v>
      </c>
      <c r="T543" s="162" t="s">
        <v>2706</v>
      </c>
      <c r="U543" s="162">
        <v>0</v>
      </c>
      <c r="V543" s="162" t="s">
        <v>2706</v>
      </c>
      <c r="W543" s="162">
        <v>0</v>
      </c>
      <c r="X543" s="162" t="s">
        <v>2706</v>
      </c>
      <c r="Y543" s="162">
        <v>0</v>
      </c>
      <c r="Z543" s="162" t="s">
        <v>2706</v>
      </c>
      <c r="AA543" s="162">
        <v>0</v>
      </c>
      <c r="AB543" s="162" t="s">
        <v>2706</v>
      </c>
      <c r="AC543" s="162">
        <v>0</v>
      </c>
      <c r="AD543" s="162" t="s">
        <v>2706</v>
      </c>
      <c r="AE543" s="162">
        <v>0</v>
      </c>
      <c r="AF543" s="162" t="s">
        <v>2706</v>
      </c>
      <c r="AG543" s="162">
        <v>0</v>
      </c>
      <c r="AH543" s="162" t="s">
        <v>2706</v>
      </c>
      <c r="AI543" s="162">
        <v>300</v>
      </c>
      <c r="AJ543" s="162" t="s">
        <v>2706</v>
      </c>
      <c r="AK543" s="162">
        <v>300</v>
      </c>
      <c r="AL543" s="162" t="s">
        <v>2706</v>
      </c>
      <c r="AM543" s="162">
        <v>600</v>
      </c>
      <c r="AN543" s="162"/>
    </row>
    <row r="544" spans="1:40" s="100" customFormat="1" ht="46.8" x14ac:dyDescent="0.3">
      <c r="A544" s="161"/>
      <c r="B544" s="167"/>
      <c r="C544" s="98" t="s">
        <v>2708</v>
      </c>
      <c r="D544" s="163"/>
      <c r="E544" s="26" t="s">
        <v>48</v>
      </c>
      <c r="F544" s="30" t="s">
        <v>49</v>
      </c>
      <c r="G544" s="163"/>
      <c r="H544" s="163"/>
      <c r="I544" s="163"/>
      <c r="J544" s="165"/>
      <c r="K544" s="165"/>
      <c r="L544" s="165"/>
      <c r="M544" s="165"/>
      <c r="N544" s="165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  <c r="AA544" s="163"/>
      <c r="AB544" s="163"/>
      <c r="AC544" s="163"/>
      <c r="AD544" s="163"/>
      <c r="AE544" s="163"/>
      <c r="AF544" s="163"/>
      <c r="AG544" s="163"/>
      <c r="AH544" s="163"/>
      <c r="AI544" s="163"/>
      <c r="AJ544" s="163"/>
      <c r="AK544" s="163"/>
      <c r="AL544" s="163"/>
      <c r="AM544" s="163"/>
      <c r="AN544" s="163"/>
    </row>
    <row r="545" spans="1:40" s="100" customFormat="1" ht="46.8" x14ac:dyDescent="0.3">
      <c r="A545" s="160">
        <v>492</v>
      </c>
      <c r="B545" s="166" t="s">
        <v>1187</v>
      </c>
      <c r="C545" s="98" t="s">
        <v>2708</v>
      </c>
      <c r="D545" s="162" t="s">
        <v>2712</v>
      </c>
      <c r="E545" s="26" t="s">
        <v>144</v>
      </c>
      <c r="F545" s="30" t="s">
        <v>49</v>
      </c>
      <c r="G545" s="162" t="s">
        <v>2704</v>
      </c>
      <c r="H545" s="162">
        <v>20</v>
      </c>
      <c r="I545" s="162" t="str">
        <f t="shared" ref="I545:I579" si="6">G545</f>
        <v>с ЛН</v>
      </c>
      <c r="J545" s="164">
        <v>4</v>
      </c>
      <c r="K545" s="164" t="s">
        <v>528</v>
      </c>
      <c r="L545" s="164" t="s">
        <v>528</v>
      </c>
      <c r="M545" s="164" t="s">
        <v>2705</v>
      </c>
      <c r="N545" s="164" t="s">
        <v>2705</v>
      </c>
      <c r="O545" s="162">
        <v>563</v>
      </c>
      <c r="P545" s="162" t="s">
        <v>2706</v>
      </c>
      <c r="Q545" s="162">
        <v>551</v>
      </c>
      <c r="R545" s="162" t="s">
        <v>2706</v>
      </c>
      <c r="S545" s="162">
        <v>387</v>
      </c>
      <c r="T545" s="162" t="s">
        <v>2706</v>
      </c>
      <c r="U545" s="162">
        <v>406</v>
      </c>
      <c r="V545" s="162" t="s">
        <v>2706</v>
      </c>
      <c r="W545" s="162">
        <v>433</v>
      </c>
      <c r="X545" s="162" t="s">
        <v>2706</v>
      </c>
      <c r="Y545" s="162">
        <v>276</v>
      </c>
      <c r="Z545" s="162" t="s">
        <v>2706</v>
      </c>
      <c r="AA545" s="162">
        <v>375</v>
      </c>
      <c r="AB545" s="162" t="s">
        <v>2706</v>
      </c>
      <c r="AC545" s="162">
        <v>308</v>
      </c>
      <c r="AD545" s="162" t="s">
        <v>2706</v>
      </c>
      <c r="AE545" s="162">
        <v>450</v>
      </c>
      <c r="AF545" s="162" t="s">
        <v>2706</v>
      </c>
      <c r="AG545" s="162">
        <v>284</v>
      </c>
      <c r="AH545" s="162" t="s">
        <v>2706</v>
      </c>
      <c r="AI545" s="162">
        <v>297</v>
      </c>
      <c r="AJ545" s="162" t="s">
        <v>2706</v>
      </c>
      <c r="AK545" s="162">
        <v>569</v>
      </c>
      <c r="AL545" s="162" t="s">
        <v>2706</v>
      </c>
      <c r="AM545" s="162">
        <v>4591</v>
      </c>
      <c r="AN545" s="162"/>
    </row>
    <row r="546" spans="1:40" s="100" customFormat="1" ht="46.8" x14ac:dyDescent="0.3">
      <c r="A546" s="161"/>
      <c r="B546" s="167"/>
      <c r="C546" s="98" t="s">
        <v>2708</v>
      </c>
      <c r="D546" s="163"/>
      <c r="E546" s="26" t="s">
        <v>48</v>
      </c>
      <c r="F546" s="30" t="s">
        <v>49</v>
      </c>
      <c r="G546" s="163"/>
      <c r="H546" s="163"/>
      <c r="I546" s="163"/>
      <c r="J546" s="165"/>
      <c r="K546" s="165"/>
      <c r="L546" s="165"/>
      <c r="M546" s="165"/>
      <c r="N546" s="165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  <c r="AA546" s="163"/>
      <c r="AB546" s="163"/>
      <c r="AC546" s="163"/>
      <c r="AD546" s="163"/>
      <c r="AE546" s="163"/>
      <c r="AF546" s="163"/>
      <c r="AG546" s="163"/>
      <c r="AH546" s="163"/>
      <c r="AI546" s="163"/>
      <c r="AJ546" s="163"/>
      <c r="AK546" s="163"/>
      <c r="AL546" s="163"/>
      <c r="AM546" s="163"/>
      <c r="AN546" s="163"/>
    </row>
    <row r="547" spans="1:40" s="100" customFormat="1" ht="46.8" x14ac:dyDescent="0.3">
      <c r="A547" s="160">
        <v>493</v>
      </c>
      <c r="B547" s="166" t="s">
        <v>1188</v>
      </c>
      <c r="C547" s="98" t="s">
        <v>2708</v>
      </c>
      <c r="D547" s="162" t="s">
        <v>2712</v>
      </c>
      <c r="E547" s="26" t="s">
        <v>144</v>
      </c>
      <c r="F547" s="30" t="s">
        <v>49</v>
      </c>
      <c r="G547" s="162"/>
      <c r="H547" s="162"/>
      <c r="I547" s="162"/>
      <c r="J547" s="164"/>
      <c r="K547" s="164" t="s">
        <v>528</v>
      </c>
      <c r="L547" s="164" t="s">
        <v>528</v>
      </c>
      <c r="M547" s="164" t="s">
        <v>2705</v>
      </c>
      <c r="N547" s="164" t="s">
        <v>2705</v>
      </c>
      <c r="O547" s="162">
        <v>0</v>
      </c>
      <c r="P547" s="162" t="s">
        <v>2706</v>
      </c>
      <c r="Q547" s="162">
        <v>0</v>
      </c>
      <c r="R547" s="162" t="s">
        <v>2706</v>
      </c>
      <c r="S547" s="162">
        <v>0</v>
      </c>
      <c r="T547" s="162" t="s">
        <v>2706</v>
      </c>
      <c r="U547" s="162">
        <v>0</v>
      </c>
      <c r="V547" s="162" t="s">
        <v>2706</v>
      </c>
      <c r="W547" s="162">
        <v>0</v>
      </c>
      <c r="X547" s="162" t="s">
        <v>2706</v>
      </c>
      <c r="Y547" s="162">
        <v>0</v>
      </c>
      <c r="Z547" s="162" t="s">
        <v>2706</v>
      </c>
      <c r="AA547" s="162">
        <v>0</v>
      </c>
      <c r="AB547" s="162" t="s">
        <v>2706</v>
      </c>
      <c r="AC547" s="162">
        <v>0</v>
      </c>
      <c r="AD547" s="162" t="s">
        <v>2706</v>
      </c>
      <c r="AE547" s="162">
        <v>0</v>
      </c>
      <c r="AF547" s="162" t="s">
        <v>2706</v>
      </c>
      <c r="AG547" s="162">
        <v>0</v>
      </c>
      <c r="AH547" s="162" t="s">
        <v>2706</v>
      </c>
      <c r="AI547" s="162">
        <v>0</v>
      </c>
      <c r="AJ547" s="162" t="s">
        <v>2706</v>
      </c>
      <c r="AK547" s="162">
        <v>0</v>
      </c>
      <c r="AL547" s="162" t="s">
        <v>2706</v>
      </c>
      <c r="AM547" s="162">
        <v>0</v>
      </c>
      <c r="AN547" s="162"/>
    </row>
    <row r="548" spans="1:40" s="100" customFormat="1" ht="46.8" x14ac:dyDescent="0.3">
      <c r="A548" s="161"/>
      <c r="B548" s="167"/>
      <c r="C548" s="98" t="s">
        <v>2708</v>
      </c>
      <c r="D548" s="163"/>
      <c r="E548" s="26" t="s">
        <v>48</v>
      </c>
      <c r="F548" s="30" t="s">
        <v>49</v>
      </c>
      <c r="G548" s="163"/>
      <c r="H548" s="163"/>
      <c r="I548" s="163"/>
      <c r="J548" s="165"/>
      <c r="K548" s="165"/>
      <c r="L548" s="165"/>
      <c r="M548" s="165"/>
      <c r="N548" s="165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  <c r="AA548" s="163"/>
      <c r="AB548" s="163"/>
      <c r="AC548" s="163"/>
      <c r="AD548" s="163"/>
      <c r="AE548" s="163"/>
      <c r="AF548" s="163"/>
      <c r="AG548" s="163"/>
      <c r="AH548" s="163"/>
      <c r="AI548" s="163"/>
      <c r="AJ548" s="163"/>
      <c r="AK548" s="163"/>
      <c r="AL548" s="163"/>
      <c r="AM548" s="163"/>
      <c r="AN548" s="163"/>
    </row>
    <row r="549" spans="1:40" s="100" customFormat="1" ht="46.8" x14ac:dyDescent="0.3">
      <c r="A549" s="160">
        <v>494</v>
      </c>
      <c r="B549" s="166" t="s">
        <v>1190</v>
      </c>
      <c r="C549" s="98" t="s">
        <v>2708</v>
      </c>
      <c r="D549" s="162" t="s">
        <v>2712</v>
      </c>
      <c r="E549" s="26" t="s">
        <v>144</v>
      </c>
      <c r="F549" s="30" t="s">
        <v>49</v>
      </c>
      <c r="G549" s="162" t="s">
        <v>2704</v>
      </c>
      <c r="H549" s="162">
        <v>37</v>
      </c>
      <c r="I549" s="162" t="str">
        <f t="shared" si="6"/>
        <v>с ЛН</v>
      </c>
      <c r="J549" s="164">
        <v>7</v>
      </c>
      <c r="K549" s="164" t="s">
        <v>528</v>
      </c>
      <c r="L549" s="164" t="s">
        <v>528</v>
      </c>
      <c r="M549" s="164" t="s">
        <v>2705</v>
      </c>
      <c r="N549" s="164" t="s">
        <v>2705</v>
      </c>
      <c r="O549" s="162">
        <v>1481</v>
      </c>
      <c r="P549" s="162" t="s">
        <v>2706</v>
      </c>
      <c r="Q549" s="162">
        <v>1745</v>
      </c>
      <c r="R549" s="162" t="s">
        <v>2706</v>
      </c>
      <c r="S549" s="162">
        <v>893</v>
      </c>
      <c r="T549" s="162" t="s">
        <v>2706</v>
      </c>
      <c r="U549" s="162">
        <v>1370</v>
      </c>
      <c r="V549" s="162" t="s">
        <v>2706</v>
      </c>
      <c r="W549" s="162">
        <v>1407</v>
      </c>
      <c r="X549" s="162" t="s">
        <v>2706</v>
      </c>
      <c r="Y549" s="162">
        <v>1067</v>
      </c>
      <c r="Z549" s="162" t="s">
        <v>2706</v>
      </c>
      <c r="AA549" s="162">
        <v>1104</v>
      </c>
      <c r="AB549" s="162" t="s">
        <v>2706</v>
      </c>
      <c r="AC549" s="162">
        <v>1172</v>
      </c>
      <c r="AD549" s="162" t="s">
        <v>2706</v>
      </c>
      <c r="AE549" s="162">
        <v>1819</v>
      </c>
      <c r="AF549" s="162" t="s">
        <v>2706</v>
      </c>
      <c r="AG549" s="162">
        <v>1394</v>
      </c>
      <c r="AH549" s="162" t="s">
        <v>2706</v>
      </c>
      <c r="AI549" s="162">
        <v>1862</v>
      </c>
      <c r="AJ549" s="162" t="s">
        <v>2706</v>
      </c>
      <c r="AK549" s="162">
        <v>1291</v>
      </c>
      <c r="AL549" s="162" t="s">
        <v>2706</v>
      </c>
      <c r="AM549" s="162">
        <v>15433</v>
      </c>
      <c r="AN549" s="162"/>
    </row>
    <row r="550" spans="1:40" s="100" customFormat="1" ht="46.8" x14ac:dyDescent="0.3">
      <c r="A550" s="161"/>
      <c r="B550" s="167"/>
      <c r="C550" s="98" t="s">
        <v>2708</v>
      </c>
      <c r="D550" s="163"/>
      <c r="E550" s="26" t="s">
        <v>48</v>
      </c>
      <c r="F550" s="30" t="s">
        <v>49</v>
      </c>
      <c r="G550" s="163"/>
      <c r="H550" s="163"/>
      <c r="I550" s="163"/>
      <c r="J550" s="165"/>
      <c r="K550" s="165"/>
      <c r="L550" s="165"/>
      <c r="M550" s="165"/>
      <c r="N550" s="165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  <c r="AA550" s="163"/>
      <c r="AB550" s="163"/>
      <c r="AC550" s="163"/>
      <c r="AD550" s="163"/>
      <c r="AE550" s="163"/>
      <c r="AF550" s="163"/>
      <c r="AG550" s="163"/>
      <c r="AH550" s="163"/>
      <c r="AI550" s="163"/>
      <c r="AJ550" s="163"/>
      <c r="AK550" s="163"/>
      <c r="AL550" s="163"/>
      <c r="AM550" s="163"/>
      <c r="AN550" s="163"/>
    </row>
    <row r="551" spans="1:40" s="100" customFormat="1" ht="46.8" x14ac:dyDescent="0.3">
      <c r="A551" s="160">
        <v>495</v>
      </c>
      <c r="B551" s="166" t="s">
        <v>1192</v>
      </c>
      <c r="C551" s="98" t="s">
        <v>2708</v>
      </c>
      <c r="D551" s="162" t="s">
        <v>2712</v>
      </c>
      <c r="E551" s="26" t="s">
        <v>144</v>
      </c>
      <c r="F551" s="30" t="s">
        <v>49</v>
      </c>
      <c r="G551" s="162" t="s">
        <v>2704</v>
      </c>
      <c r="H551" s="162">
        <v>32</v>
      </c>
      <c r="I551" s="162" t="str">
        <f t="shared" si="6"/>
        <v>с ЛН</v>
      </c>
      <c r="J551" s="164">
        <v>7</v>
      </c>
      <c r="K551" s="164" t="s">
        <v>529</v>
      </c>
      <c r="L551" s="164" t="s">
        <v>529</v>
      </c>
      <c r="M551" s="164" t="s">
        <v>2705</v>
      </c>
      <c r="N551" s="164" t="s">
        <v>2705</v>
      </c>
      <c r="O551" s="162">
        <v>541</v>
      </c>
      <c r="P551" s="162" t="s">
        <v>2706</v>
      </c>
      <c r="Q551" s="162">
        <v>688</v>
      </c>
      <c r="R551" s="162" t="s">
        <v>2706</v>
      </c>
      <c r="S551" s="162">
        <v>350</v>
      </c>
      <c r="T551" s="162" t="s">
        <v>2706</v>
      </c>
      <c r="U551" s="162">
        <v>471</v>
      </c>
      <c r="V551" s="162" t="s">
        <v>2706</v>
      </c>
      <c r="W551" s="162">
        <v>413</v>
      </c>
      <c r="X551" s="162" t="s">
        <v>2706</v>
      </c>
      <c r="Y551" s="162">
        <v>377</v>
      </c>
      <c r="Z551" s="162" t="s">
        <v>2706</v>
      </c>
      <c r="AA551" s="162">
        <v>345</v>
      </c>
      <c r="AB551" s="162" t="s">
        <v>2706</v>
      </c>
      <c r="AC551" s="162">
        <v>362</v>
      </c>
      <c r="AD551" s="162" t="s">
        <v>2706</v>
      </c>
      <c r="AE551" s="162">
        <v>743</v>
      </c>
      <c r="AF551" s="162" t="s">
        <v>2706</v>
      </c>
      <c r="AG551" s="162">
        <v>456</v>
      </c>
      <c r="AH551" s="162" t="s">
        <v>2706</v>
      </c>
      <c r="AI551" s="162">
        <v>496</v>
      </c>
      <c r="AJ551" s="162" t="s">
        <v>2706</v>
      </c>
      <c r="AK551" s="162">
        <v>768</v>
      </c>
      <c r="AL551" s="162" t="s">
        <v>2706</v>
      </c>
      <c r="AM551" s="162">
        <v>5648</v>
      </c>
      <c r="AN551" s="162"/>
    </row>
    <row r="552" spans="1:40" s="100" customFormat="1" ht="46.8" x14ac:dyDescent="0.3">
      <c r="A552" s="161"/>
      <c r="B552" s="167"/>
      <c r="C552" s="98" t="s">
        <v>2708</v>
      </c>
      <c r="D552" s="163"/>
      <c r="E552" s="26" t="s">
        <v>48</v>
      </c>
      <c r="F552" s="30" t="s">
        <v>49</v>
      </c>
      <c r="G552" s="163"/>
      <c r="H552" s="163"/>
      <c r="I552" s="163"/>
      <c r="J552" s="165"/>
      <c r="K552" s="165"/>
      <c r="L552" s="165"/>
      <c r="M552" s="165"/>
      <c r="N552" s="165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  <c r="AA552" s="163"/>
      <c r="AB552" s="163"/>
      <c r="AC552" s="163"/>
      <c r="AD552" s="163"/>
      <c r="AE552" s="163"/>
      <c r="AF552" s="163"/>
      <c r="AG552" s="163"/>
      <c r="AH552" s="163"/>
      <c r="AI552" s="163"/>
      <c r="AJ552" s="163"/>
      <c r="AK552" s="163"/>
      <c r="AL552" s="163"/>
      <c r="AM552" s="163"/>
      <c r="AN552" s="163"/>
    </row>
    <row r="553" spans="1:40" s="100" customFormat="1" ht="46.8" x14ac:dyDescent="0.3">
      <c r="A553" s="160">
        <v>496</v>
      </c>
      <c r="B553" s="166" t="s">
        <v>1194</v>
      </c>
      <c r="C553" s="98" t="s">
        <v>2708</v>
      </c>
      <c r="D553" s="162" t="s">
        <v>2712</v>
      </c>
      <c r="E553" s="26" t="s">
        <v>144</v>
      </c>
      <c r="F553" s="30" t="s">
        <v>49</v>
      </c>
      <c r="G553" s="162"/>
      <c r="H553" s="162"/>
      <c r="I553" s="162"/>
      <c r="J553" s="164"/>
      <c r="K553" s="164" t="s">
        <v>528</v>
      </c>
      <c r="L553" s="164" t="s">
        <v>528</v>
      </c>
      <c r="M553" s="164" t="s">
        <v>2705</v>
      </c>
      <c r="N553" s="164" t="s">
        <v>2705</v>
      </c>
      <c r="O553" s="162">
        <v>1652</v>
      </c>
      <c r="P553" s="162" t="s">
        <v>2706</v>
      </c>
      <c r="Q553" s="162">
        <v>1901</v>
      </c>
      <c r="R553" s="162" t="s">
        <v>2706</v>
      </c>
      <c r="S553" s="162">
        <v>987</v>
      </c>
      <c r="T553" s="162" t="s">
        <v>2706</v>
      </c>
      <c r="U553" s="162">
        <v>1314</v>
      </c>
      <c r="V553" s="162" t="s">
        <v>2706</v>
      </c>
      <c r="W553" s="162">
        <v>1353</v>
      </c>
      <c r="X553" s="162" t="s">
        <v>2706</v>
      </c>
      <c r="Y553" s="162">
        <v>1024</v>
      </c>
      <c r="Z553" s="162" t="s">
        <v>2706</v>
      </c>
      <c r="AA553" s="162">
        <v>1035</v>
      </c>
      <c r="AB553" s="162" t="s">
        <v>2706</v>
      </c>
      <c r="AC553" s="162">
        <v>1100</v>
      </c>
      <c r="AD553" s="162" t="s">
        <v>2706</v>
      </c>
      <c r="AE553" s="162">
        <v>1064</v>
      </c>
      <c r="AF553" s="162" t="s">
        <v>2706</v>
      </c>
      <c r="AG553" s="162">
        <v>1364</v>
      </c>
      <c r="AH553" s="162" t="s">
        <v>2706</v>
      </c>
      <c r="AI553" s="162">
        <v>2787</v>
      </c>
      <c r="AJ553" s="162" t="s">
        <v>2706</v>
      </c>
      <c r="AK553" s="162">
        <v>2311</v>
      </c>
      <c r="AL553" s="162" t="s">
        <v>2706</v>
      </c>
      <c r="AM553" s="162">
        <v>16792</v>
      </c>
      <c r="AN553" s="162"/>
    </row>
    <row r="554" spans="1:40" s="100" customFormat="1" ht="46.8" x14ac:dyDescent="0.3">
      <c r="A554" s="161"/>
      <c r="B554" s="167"/>
      <c r="C554" s="98" t="s">
        <v>2708</v>
      </c>
      <c r="D554" s="163"/>
      <c r="E554" s="26" t="s">
        <v>48</v>
      </c>
      <c r="F554" s="30" t="s">
        <v>49</v>
      </c>
      <c r="G554" s="163"/>
      <c r="H554" s="163"/>
      <c r="I554" s="163"/>
      <c r="J554" s="165"/>
      <c r="K554" s="165"/>
      <c r="L554" s="165"/>
      <c r="M554" s="165"/>
      <c r="N554" s="165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  <c r="AA554" s="163"/>
      <c r="AB554" s="163"/>
      <c r="AC554" s="163"/>
      <c r="AD554" s="163"/>
      <c r="AE554" s="163"/>
      <c r="AF554" s="163"/>
      <c r="AG554" s="163"/>
      <c r="AH554" s="163"/>
      <c r="AI554" s="163"/>
      <c r="AJ554" s="163"/>
      <c r="AK554" s="163"/>
      <c r="AL554" s="163"/>
      <c r="AM554" s="163"/>
      <c r="AN554" s="163"/>
    </row>
    <row r="555" spans="1:40" s="100" customFormat="1" ht="46.8" x14ac:dyDescent="0.3">
      <c r="A555" s="160">
        <v>497</v>
      </c>
      <c r="B555" s="166" t="s">
        <v>1197</v>
      </c>
      <c r="C555" s="98" t="s">
        <v>2708</v>
      </c>
      <c r="D555" s="162" t="s">
        <v>2712</v>
      </c>
      <c r="E555" s="26" t="s">
        <v>144</v>
      </c>
      <c r="F555" s="30" t="s">
        <v>49</v>
      </c>
      <c r="G555" s="162" t="s">
        <v>2704</v>
      </c>
      <c r="H555" s="162">
        <v>15</v>
      </c>
      <c r="I555" s="162" t="str">
        <f t="shared" si="6"/>
        <v>с ЛН</v>
      </c>
      <c r="J555" s="164">
        <v>3</v>
      </c>
      <c r="K555" s="164" t="s">
        <v>528</v>
      </c>
      <c r="L555" s="164" t="s">
        <v>528</v>
      </c>
      <c r="M555" s="164" t="s">
        <v>2705</v>
      </c>
      <c r="N555" s="164" t="s">
        <v>2705</v>
      </c>
      <c r="O555" s="162">
        <v>0</v>
      </c>
      <c r="P555" s="162" t="s">
        <v>2706</v>
      </c>
      <c r="Q555" s="162">
        <v>0</v>
      </c>
      <c r="R555" s="162" t="s">
        <v>2706</v>
      </c>
      <c r="S555" s="162">
        <v>0</v>
      </c>
      <c r="T555" s="162" t="s">
        <v>2706</v>
      </c>
      <c r="U555" s="162">
        <v>0</v>
      </c>
      <c r="V555" s="162" t="s">
        <v>2706</v>
      </c>
      <c r="W555" s="162">
        <v>0</v>
      </c>
      <c r="X555" s="162" t="s">
        <v>2706</v>
      </c>
      <c r="Y555" s="162">
        <v>0</v>
      </c>
      <c r="Z555" s="162" t="s">
        <v>2706</v>
      </c>
      <c r="AA555" s="162">
        <v>0</v>
      </c>
      <c r="AB555" s="162" t="s">
        <v>2706</v>
      </c>
      <c r="AC555" s="162">
        <v>0</v>
      </c>
      <c r="AD555" s="162" t="s">
        <v>2706</v>
      </c>
      <c r="AE555" s="162">
        <v>0</v>
      </c>
      <c r="AF555" s="162" t="s">
        <v>2706</v>
      </c>
      <c r="AG555" s="162">
        <v>0</v>
      </c>
      <c r="AH555" s="162" t="s">
        <v>2706</v>
      </c>
      <c r="AI555" s="162">
        <v>0</v>
      </c>
      <c r="AJ555" s="162" t="s">
        <v>2706</v>
      </c>
      <c r="AK555" s="162">
        <v>0</v>
      </c>
      <c r="AL555" s="162" t="s">
        <v>2706</v>
      </c>
      <c r="AM555" s="162">
        <v>0</v>
      </c>
      <c r="AN555" s="162"/>
    </row>
    <row r="556" spans="1:40" s="100" customFormat="1" ht="46.8" x14ac:dyDescent="0.3">
      <c r="A556" s="161"/>
      <c r="B556" s="167"/>
      <c r="C556" s="98" t="s">
        <v>2708</v>
      </c>
      <c r="D556" s="163"/>
      <c r="E556" s="26" t="s">
        <v>48</v>
      </c>
      <c r="F556" s="30" t="s">
        <v>49</v>
      </c>
      <c r="G556" s="163"/>
      <c r="H556" s="163"/>
      <c r="I556" s="163"/>
      <c r="J556" s="165"/>
      <c r="K556" s="165"/>
      <c r="L556" s="165"/>
      <c r="M556" s="165"/>
      <c r="N556" s="165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  <c r="AA556" s="163"/>
      <c r="AB556" s="163"/>
      <c r="AC556" s="163"/>
      <c r="AD556" s="163"/>
      <c r="AE556" s="163"/>
      <c r="AF556" s="163"/>
      <c r="AG556" s="163"/>
      <c r="AH556" s="163"/>
      <c r="AI556" s="163"/>
      <c r="AJ556" s="163"/>
      <c r="AK556" s="163"/>
      <c r="AL556" s="163"/>
      <c r="AM556" s="163"/>
      <c r="AN556" s="163"/>
    </row>
    <row r="557" spans="1:40" s="100" customFormat="1" ht="46.8" x14ac:dyDescent="0.3">
      <c r="A557" s="160">
        <v>498</v>
      </c>
      <c r="B557" s="166" t="s">
        <v>1198</v>
      </c>
      <c r="C557" s="98" t="s">
        <v>2708</v>
      </c>
      <c r="D557" s="162" t="s">
        <v>2712</v>
      </c>
      <c r="E557" s="26" t="s">
        <v>144</v>
      </c>
      <c r="F557" s="30" t="s">
        <v>49</v>
      </c>
      <c r="G557" s="162" t="s">
        <v>2704</v>
      </c>
      <c r="H557" s="162">
        <v>22</v>
      </c>
      <c r="I557" s="162" t="str">
        <f t="shared" si="6"/>
        <v>с ЛН</v>
      </c>
      <c r="J557" s="164">
        <v>4</v>
      </c>
      <c r="K557" s="164" t="s">
        <v>528</v>
      </c>
      <c r="L557" s="164" t="s">
        <v>528</v>
      </c>
      <c r="M557" s="164" t="s">
        <v>2705</v>
      </c>
      <c r="N557" s="164" t="s">
        <v>2705</v>
      </c>
      <c r="O557" s="162">
        <v>421</v>
      </c>
      <c r="P557" s="162" t="s">
        <v>2706</v>
      </c>
      <c r="Q557" s="162">
        <v>541</v>
      </c>
      <c r="R557" s="162" t="s">
        <v>2706</v>
      </c>
      <c r="S557" s="162">
        <v>248</v>
      </c>
      <c r="T557" s="162" t="s">
        <v>2706</v>
      </c>
      <c r="U557" s="162">
        <v>354</v>
      </c>
      <c r="V557" s="162" t="s">
        <v>2706</v>
      </c>
      <c r="W557" s="162">
        <v>345</v>
      </c>
      <c r="X557" s="162" t="s">
        <v>2706</v>
      </c>
      <c r="Y557" s="162">
        <v>316</v>
      </c>
      <c r="Z557" s="162" t="s">
        <v>2706</v>
      </c>
      <c r="AA557" s="162">
        <v>0</v>
      </c>
      <c r="AB557" s="162" t="s">
        <v>2706</v>
      </c>
      <c r="AC557" s="162">
        <v>243</v>
      </c>
      <c r="AD557" s="162" t="s">
        <v>2706</v>
      </c>
      <c r="AE557" s="162">
        <v>465</v>
      </c>
      <c r="AF557" s="162" t="s">
        <v>2706</v>
      </c>
      <c r="AG557" s="162">
        <v>355</v>
      </c>
      <c r="AH557" s="162" t="s">
        <v>2706</v>
      </c>
      <c r="AI557" s="162">
        <v>401</v>
      </c>
      <c r="AJ557" s="162" t="s">
        <v>2706</v>
      </c>
      <c r="AK557" s="162">
        <v>517</v>
      </c>
      <c r="AL557" s="162" t="s">
        <v>2706</v>
      </c>
      <c r="AM557" s="162">
        <v>3963</v>
      </c>
      <c r="AN557" s="162"/>
    </row>
    <row r="558" spans="1:40" s="100" customFormat="1" ht="46.8" x14ac:dyDescent="0.3">
      <c r="A558" s="161"/>
      <c r="B558" s="167"/>
      <c r="C558" s="98" t="s">
        <v>2708</v>
      </c>
      <c r="D558" s="163"/>
      <c r="E558" s="26" t="s">
        <v>48</v>
      </c>
      <c r="F558" s="30" t="s">
        <v>49</v>
      </c>
      <c r="G558" s="163"/>
      <c r="H558" s="163"/>
      <c r="I558" s="163"/>
      <c r="J558" s="165"/>
      <c r="K558" s="165"/>
      <c r="L558" s="165"/>
      <c r="M558" s="165"/>
      <c r="N558" s="165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  <c r="AA558" s="163"/>
      <c r="AB558" s="163"/>
      <c r="AC558" s="163"/>
      <c r="AD558" s="163"/>
      <c r="AE558" s="163"/>
      <c r="AF558" s="163"/>
      <c r="AG558" s="163"/>
      <c r="AH558" s="163"/>
      <c r="AI558" s="163"/>
      <c r="AJ558" s="163"/>
      <c r="AK558" s="163"/>
      <c r="AL558" s="163"/>
      <c r="AM558" s="163"/>
      <c r="AN558" s="163"/>
    </row>
    <row r="559" spans="1:40" s="100" customFormat="1" ht="46.8" x14ac:dyDescent="0.3">
      <c r="A559" s="160">
        <v>499</v>
      </c>
      <c r="B559" s="166" t="s">
        <v>1200</v>
      </c>
      <c r="C559" s="98" t="s">
        <v>2708</v>
      </c>
      <c r="D559" s="162" t="s">
        <v>2712</v>
      </c>
      <c r="E559" s="26" t="s">
        <v>144</v>
      </c>
      <c r="F559" s="30" t="s">
        <v>49</v>
      </c>
      <c r="G559" s="162"/>
      <c r="H559" s="162"/>
      <c r="I559" s="162"/>
      <c r="J559" s="164"/>
      <c r="K559" s="164" t="s">
        <v>528</v>
      </c>
      <c r="L559" s="164" t="s">
        <v>528</v>
      </c>
      <c r="M559" s="164" t="s">
        <v>2705</v>
      </c>
      <c r="N559" s="164" t="s">
        <v>2705</v>
      </c>
      <c r="O559" s="162">
        <v>843</v>
      </c>
      <c r="P559" s="162" t="s">
        <v>2706</v>
      </c>
      <c r="Q559" s="162">
        <v>851</v>
      </c>
      <c r="R559" s="162" t="s">
        <v>2706</v>
      </c>
      <c r="S559" s="162">
        <v>769</v>
      </c>
      <c r="T559" s="162" t="s">
        <v>2706</v>
      </c>
      <c r="U559" s="162">
        <v>869</v>
      </c>
      <c r="V559" s="162" t="s">
        <v>2706</v>
      </c>
      <c r="W559" s="162">
        <v>859</v>
      </c>
      <c r="X559" s="162" t="s">
        <v>2706</v>
      </c>
      <c r="Y559" s="162">
        <v>1453</v>
      </c>
      <c r="Z559" s="162" t="s">
        <v>2706</v>
      </c>
      <c r="AA559" s="162">
        <v>1457</v>
      </c>
      <c r="AB559" s="162" t="s">
        <v>2706</v>
      </c>
      <c r="AC559" s="162">
        <v>1477</v>
      </c>
      <c r="AD559" s="162" t="s">
        <v>2706</v>
      </c>
      <c r="AE559" s="162">
        <v>1493</v>
      </c>
      <c r="AF559" s="162" t="s">
        <v>2706</v>
      </c>
      <c r="AG559" s="162">
        <v>1506</v>
      </c>
      <c r="AH559" s="162" t="s">
        <v>2706</v>
      </c>
      <c r="AI559" s="162">
        <v>1718</v>
      </c>
      <c r="AJ559" s="162" t="s">
        <v>2706</v>
      </c>
      <c r="AK559" s="162">
        <v>1469</v>
      </c>
      <c r="AL559" s="162" t="s">
        <v>2706</v>
      </c>
      <c r="AM559" s="162">
        <v>13287</v>
      </c>
      <c r="AN559" s="162"/>
    </row>
    <row r="560" spans="1:40" s="100" customFormat="1" ht="46.8" x14ac:dyDescent="0.3">
      <c r="A560" s="161"/>
      <c r="B560" s="167"/>
      <c r="C560" s="98" t="s">
        <v>2708</v>
      </c>
      <c r="D560" s="163"/>
      <c r="E560" s="26" t="s">
        <v>48</v>
      </c>
      <c r="F560" s="30" t="s">
        <v>49</v>
      </c>
      <c r="G560" s="163"/>
      <c r="H560" s="163"/>
      <c r="I560" s="163"/>
      <c r="J560" s="165"/>
      <c r="K560" s="165"/>
      <c r="L560" s="165"/>
      <c r="M560" s="165"/>
      <c r="N560" s="165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  <c r="AA560" s="163"/>
      <c r="AB560" s="163"/>
      <c r="AC560" s="163"/>
      <c r="AD560" s="163"/>
      <c r="AE560" s="163"/>
      <c r="AF560" s="163"/>
      <c r="AG560" s="163"/>
      <c r="AH560" s="163"/>
      <c r="AI560" s="163"/>
      <c r="AJ560" s="163"/>
      <c r="AK560" s="163"/>
      <c r="AL560" s="163"/>
      <c r="AM560" s="163"/>
      <c r="AN560" s="163"/>
    </row>
    <row r="561" spans="1:40" s="100" customFormat="1" ht="46.8" x14ac:dyDescent="0.3">
      <c r="A561" s="160">
        <v>500</v>
      </c>
      <c r="B561" s="166" t="s">
        <v>1202</v>
      </c>
      <c r="C561" s="98" t="s">
        <v>2708</v>
      </c>
      <c r="D561" s="162" t="s">
        <v>2712</v>
      </c>
      <c r="E561" s="26" t="s">
        <v>144</v>
      </c>
      <c r="F561" s="30" t="s">
        <v>49</v>
      </c>
      <c r="G561" s="162" t="s">
        <v>2704</v>
      </c>
      <c r="H561" s="162">
        <v>24</v>
      </c>
      <c r="I561" s="162" t="str">
        <f t="shared" si="6"/>
        <v>с ЛН</v>
      </c>
      <c r="J561" s="164">
        <v>5</v>
      </c>
      <c r="K561" s="164" t="s">
        <v>528</v>
      </c>
      <c r="L561" s="164" t="s">
        <v>528</v>
      </c>
      <c r="M561" s="164" t="s">
        <v>2705</v>
      </c>
      <c r="N561" s="164" t="s">
        <v>2705</v>
      </c>
      <c r="O561" s="162">
        <v>1602</v>
      </c>
      <c r="P561" s="162" t="s">
        <v>2706</v>
      </c>
      <c r="Q561" s="162">
        <v>2025</v>
      </c>
      <c r="R561" s="162" t="s">
        <v>2706</v>
      </c>
      <c r="S561" s="162">
        <v>1065</v>
      </c>
      <c r="T561" s="162" t="s">
        <v>2706</v>
      </c>
      <c r="U561" s="162">
        <v>1688</v>
      </c>
      <c r="V561" s="162" t="s">
        <v>2706</v>
      </c>
      <c r="W561" s="162">
        <v>1307</v>
      </c>
      <c r="X561" s="162" t="s">
        <v>2706</v>
      </c>
      <c r="Y561" s="162">
        <v>1012</v>
      </c>
      <c r="Z561" s="162" t="s">
        <v>2706</v>
      </c>
      <c r="AA561" s="162">
        <v>1073</v>
      </c>
      <c r="AB561" s="162" t="s">
        <v>2706</v>
      </c>
      <c r="AC561" s="162">
        <v>1172</v>
      </c>
      <c r="AD561" s="162" t="s">
        <v>2706</v>
      </c>
      <c r="AE561" s="162">
        <v>1318</v>
      </c>
      <c r="AF561" s="162" t="s">
        <v>2706</v>
      </c>
      <c r="AG561" s="162">
        <v>1210</v>
      </c>
      <c r="AH561" s="162" t="s">
        <v>2706</v>
      </c>
      <c r="AI561" s="162">
        <v>1166</v>
      </c>
      <c r="AJ561" s="162" t="s">
        <v>2706</v>
      </c>
      <c r="AK561" s="162">
        <v>1653</v>
      </c>
      <c r="AL561" s="162" t="s">
        <v>2706</v>
      </c>
      <c r="AM561" s="162">
        <v>15119</v>
      </c>
      <c r="AN561" s="162"/>
    </row>
    <row r="562" spans="1:40" s="100" customFormat="1" ht="46.8" x14ac:dyDescent="0.3">
      <c r="A562" s="161"/>
      <c r="B562" s="167"/>
      <c r="C562" s="98" t="s">
        <v>2708</v>
      </c>
      <c r="D562" s="163"/>
      <c r="E562" s="26" t="s">
        <v>48</v>
      </c>
      <c r="F562" s="30" t="s">
        <v>49</v>
      </c>
      <c r="G562" s="163"/>
      <c r="H562" s="163"/>
      <c r="I562" s="163"/>
      <c r="J562" s="165"/>
      <c r="K562" s="165"/>
      <c r="L562" s="165"/>
      <c r="M562" s="165"/>
      <c r="N562" s="165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  <c r="AA562" s="163"/>
      <c r="AB562" s="163"/>
      <c r="AC562" s="163"/>
      <c r="AD562" s="163"/>
      <c r="AE562" s="163"/>
      <c r="AF562" s="163"/>
      <c r="AG562" s="163"/>
      <c r="AH562" s="163"/>
      <c r="AI562" s="163"/>
      <c r="AJ562" s="163"/>
      <c r="AK562" s="163"/>
      <c r="AL562" s="163"/>
      <c r="AM562" s="163"/>
      <c r="AN562" s="163"/>
    </row>
    <row r="563" spans="1:40" s="100" customFormat="1" ht="46.8" x14ac:dyDescent="0.3">
      <c r="A563" s="160">
        <v>501</v>
      </c>
      <c r="B563" s="166" t="s">
        <v>1203</v>
      </c>
      <c r="C563" s="98" t="s">
        <v>2708</v>
      </c>
      <c r="D563" s="162" t="s">
        <v>2712</v>
      </c>
      <c r="E563" s="26" t="s">
        <v>144</v>
      </c>
      <c r="F563" s="30" t="s">
        <v>49</v>
      </c>
      <c r="G563" s="162" t="s">
        <v>2704</v>
      </c>
      <c r="H563" s="162">
        <v>22</v>
      </c>
      <c r="I563" s="162" t="str">
        <f t="shared" si="6"/>
        <v>с ЛН</v>
      </c>
      <c r="J563" s="164">
        <v>4</v>
      </c>
      <c r="K563" s="164" t="s">
        <v>528</v>
      </c>
      <c r="L563" s="164" t="s">
        <v>528</v>
      </c>
      <c r="M563" s="164" t="s">
        <v>2705</v>
      </c>
      <c r="N563" s="164" t="s">
        <v>2705</v>
      </c>
      <c r="O563" s="162">
        <v>0</v>
      </c>
      <c r="P563" s="162" t="s">
        <v>2706</v>
      </c>
      <c r="Q563" s="162">
        <v>0</v>
      </c>
      <c r="R563" s="162" t="s">
        <v>2706</v>
      </c>
      <c r="S563" s="162">
        <v>0</v>
      </c>
      <c r="T563" s="162" t="s">
        <v>2706</v>
      </c>
      <c r="U563" s="162">
        <v>0</v>
      </c>
      <c r="V563" s="162" t="s">
        <v>2706</v>
      </c>
      <c r="W563" s="162">
        <v>0</v>
      </c>
      <c r="X563" s="162" t="s">
        <v>2706</v>
      </c>
      <c r="Y563" s="162">
        <v>0</v>
      </c>
      <c r="Z563" s="162" t="s">
        <v>2706</v>
      </c>
      <c r="AA563" s="162">
        <v>0</v>
      </c>
      <c r="AB563" s="162" t="s">
        <v>2706</v>
      </c>
      <c r="AC563" s="162">
        <v>0</v>
      </c>
      <c r="AD563" s="162" t="s">
        <v>2706</v>
      </c>
      <c r="AE563" s="162">
        <v>0</v>
      </c>
      <c r="AF563" s="162" t="s">
        <v>2706</v>
      </c>
      <c r="AG563" s="162">
        <v>0</v>
      </c>
      <c r="AH563" s="162" t="s">
        <v>2706</v>
      </c>
      <c r="AI563" s="162">
        <v>0</v>
      </c>
      <c r="AJ563" s="162" t="s">
        <v>2706</v>
      </c>
      <c r="AK563" s="162">
        <v>0</v>
      </c>
      <c r="AL563" s="162" t="s">
        <v>2706</v>
      </c>
      <c r="AM563" s="162">
        <v>0</v>
      </c>
      <c r="AN563" s="162"/>
    </row>
    <row r="564" spans="1:40" s="100" customFormat="1" ht="46.8" x14ac:dyDescent="0.3">
      <c r="A564" s="161"/>
      <c r="B564" s="167"/>
      <c r="C564" s="98" t="s">
        <v>2708</v>
      </c>
      <c r="D564" s="163"/>
      <c r="E564" s="26" t="s">
        <v>48</v>
      </c>
      <c r="F564" s="30" t="s">
        <v>49</v>
      </c>
      <c r="G564" s="163"/>
      <c r="H564" s="163"/>
      <c r="I564" s="163"/>
      <c r="J564" s="165"/>
      <c r="K564" s="165"/>
      <c r="L564" s="165"/>
      <c r="M564" s="165"/>
      <c r="N564" s="165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  <c r="AA564" s="163"/>
      <c r="AB564" s="163"/>
      <c r="AC564" s="163"/>
      <c r="AD564" s="163"/>
      <c r="AE564" s="163"/>
      <c r="AF564" s="163"/>
      <c r="AG564" s="163"/>
      <c r="AH564" s="163"/>
      <c r="AI564" s="163"/>
      <c r="AJ564" s="163"/>
      <c r="AK564" s="163"/>
      <c r="AL564" s="163"/>
      <c r="AM564" s="163"/>
      <c r="AN564" s="163"/>
    </row>
    <row r="565" spans="1:40" s="100" customFormat="1" ht="46.8" x14ac:dyDescent="0.3">
      <c r="A565" s="160">
        <v>502</v>
      </c>
      <c r="B565" s="166" t="s">
        <v>1205</v>
      </c>
      <c r="C565" s="98" t="s">
        <v>2708</v>
      </c>
      <c r="D565" s="162" t="s">
        <v>2712</v>
      </c>
      <c r="E565" s="26" t="s">
        <v>144</v>
      </c>
      <c r="F565" s="30" t="s">
        <v>49</v>
      </c>
      <c r="G565" s="162" t="s">
        <v>2704</v>
      </c>
      <c r="H565" s="162">
        <v>40</v>
      </c>
      <c r="I565" s="162" t="str">
        <f t="shared" si="6"/>
        <v>с ЛН</v>
      </c>
      <c r="J565" s="164">
        <v>9</v>
      </c>
      <c r="K565" s="164" t="s">
        <v>528</v>
      </c>
      <c r="L565" s="164" t="s">
        <v>528</v>
      </c>
      <c r="M565" s="164" t="s">
        <v>2705</v>
      </c>
      <c r="N565" s="164" t="s">
        <v>2705</v>
      </c>
      <c r="O565" s="162">
        <v>1425</v>
      </c>
      <c r="P565" s="162" t="s">
        <v>2706</v>
      </c>
      <c r="Q565" s="162">
        <v>1558</v>
      </c>
      <c r="R565" s="162" t="s">
        <v>2706</v>
      </c>
      <c r="S565" s="162">
        <v>966</v>
      </c>
      <c r="T565" s="162" t="s">
        <v>2706</v>
      </c>
      <c r="U565" s="162">
        <v>1352</v>
      </c>
      <c r="V565" s="162" t="s">
        <v>2706</v>
      </c>
      <c r="W565" s="162">
        <v>1005</v>
      </c>
      <c r="X565" s="162" t="s">
        <v>2706</v>
      </c>
      <c r="Y565" s="162">
        <v>771</v>
      </c>
      <c r="Z565" s="162" t="s">
        <v>2706</v>
      </c>
      <c r="AA565" s="162">
        <v>1331</v>
      </c>
      <c r="AB565" s="162" t="s">
        <v>2706</v>
      </c>
      <c r="AC565" s="162">
        <v>1834</v>
      </c>
      <c r="AD565" s="162" t="s">
        <v>2706</v>
      </c>
      <c r="AE565" s="162">
        <v>1552</v>
      </c>
      <c r="AF565" s="162" t="s">
        <v>2706</v>
      </c>
      <c r="AG565" s="162">
        <v>991</v>
      </c>
      <c r="AH565" s="162" t="s">
        <v>2706</v>
      </c>
      <c r="AI565" s="162">
        <v>1046</v>
      </c>
      <c r="AJ565" s="162" t="s">
        <v>2706</v>
      </c>
      <c r="AK565" s="162">
        <v>1638</v>
      </c>
      <c r="AL565" s="162" t="s">
        <v>2706</v>
      </c>
      <c r="AM565" s="162">
        <v>13635</v>
      </c>
      <c r="AN565" s="162"/>
    </row>
    <row r="566" spans="1:40" s="100" customFormat="1" ht="46.8" x14ac:dyDescent="0.3">
      <c r="A566" s="161"/>
      <c r="B566" s="167"/>
      <c r="C566" s="98" t="s">
        <v>2708</v>
      </c>
      <c r="D566" s="163"/>
      <c r="E566" s="26" t="s">
        <v>48</v>
      </c>
      <c r="F566" s="30" t="s">
        <v>49</v>
      </c>
      <c r="G566" s="163"/>
      <c r="H566" s="163"/>
      <c r="I566" s="163"/>
      <c r="J566" s="165"/>
      <c r="K566" s="165"/>
      <c r="L566" s="165"/>
      <c r="M566" s="165"/>
      <c r="N566" s="165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  <c r="AA566" s="163"/>
      <c r="AB566" s="163"/>
      <c r="AC566" s="163"/>
      <c r="AD566" s="163"/>
      <c r="AE566" s="163"/>
      <c r="AF566" s="163"/>
      <c r="AG566" s="163"/>
      <c r="AH566" s="163"/>
      <c r="AI566" s="163"/>
      <c r="AJ566" s="163"/>
      <c r="AK566" s="163"/>
      <c r="AL566" s="163"/>
      <c r="AM566" s="163"/>
      <c r="AN566" s="163"/>
    </row>
    <row r="567" spans="1:40" s="100" customFormat="1" ht="46.8" x14ac:dyDescent="0.3">
      <c r="A567" s="160">
        <v>503</v>
      </c>
      <c r="B567" s="166" t="s">
        <v>1207</v>
      </c>
      <c r="C567" s="98" t="s">
        <v>2708</v>
      </c>
      <c r="D567" s="162" t="s">
        <v>2712</v>
      </c>
      <c r="E567" s="26" t="s">
        <v>144</v>
      </c>
      <c r="F567" s="30" t="s">
        <v>49</v>
      </c>
      <c r="G567" s="162" t="s">
        <v>2704</v>
      </c>
      <c r="H567" s="162">
        <v>32</v>
      </c>
      <c r="I567" s="162" t="str">
        <f t="shared" si="6"/>
        <v>с ЛН</v>
      </c>
      <c r="J567" s="164">
        <v>6</v>
      </c>
      <c r="K567" s="164" t="s">
        <v>528</v>
      </c>
      <c r="L567" s="164" t="s">
        <v>528</v>
      </c>
      <c r="M567" s="164" t="s">
        <v>2705</v>
      </c>
      <c r="N567" s="164" t="s">
        <v>2705</v>
      </c>
      <c r="O567" s="162">
        <v>0</v>
      </c>
      <c r="P567" s="162" t="s">
        <v>2706</v>
      </c>
      <c r="Q567" s="162">
        <v>0</v>
      </c>
      <c r="R567" s="162" t="s">
        <v>2706</v>
      </c>
      <c r="S567" s="162">
        <v>0</v>
      </c>
      <c r="T567" s="162" t="s">
        <v>2706</v>
      </c>
      <c r="U567" s="162">
        <v>0</v>
      </c>
      <c r="V567" s="162" t="s">
        <v>2706</v>
      </c>
      <c r="W567" s="162">
        <v>0</v>
      </c>
      <c r="X567" s="162" t="s">
        <v>2706</v>
      </c>
      <c r="Y567" s="162">
        <v>0</v>
      </c>
      <c r="Z567" s="162" t="s">
        <v>2706</v>
      </c>
      <c r="AA567" s="162">
        <v>0</v>
      </c>
      <c r="AB567" s="162" t="s">
        <v>2706</v>
      </c>
      <c r="AC567" s="162">
        <v>0</v>
      </c>
      <c r="AD567" s="162" t="s">
        <v>2706</v>
      </c>
      <c r="AE567" s="162">
        <v>0</v>
      </c>
      <c r="AF567" s="162" t="s">
        <v>2706</v>
      </c>
      <c r="AG567" s="162">
        <v>0</v>
      </c>
      <c r="AH567" s="162" t="s">
        <v>2706</v>
      </c>
      <c r="AI567" s="162">
        <v>0</v>
      </c>
      <c r="AJ567" s="162" t="s">
        <v>2706</v>
      </c>
      <c r="AK567" s="162">
        <v>0</v>
      </c>
      <c r="AL567" s="162" t="s">
        <v>2706</v>
      </c>
      <c r="AM567" s="162">
        <v>0</v>
      </c>
      <c r="AN567" s="162"/>
    </row>
    <row r="568" spans="1:40" s="100" customFormat="1" ht="46.8" x14ac:dyDescent="0.3">
      <c r="A568" s="161"/>
      <c r="B568" s="167"/>
      <c r="C568" s="98" t="s">
        <v>2708</v>
      </c>
      <c r="D568" s="163"/>
      <c r="E568" s="26" t="s">
        <v>48</v>
      </c>
      <c r="F568" s="30" t="s">
        <v>49</v>
      </c>
      <c r="G568" s="163"/>
      <c r="H568" s="163"/>
      <c r="I568" s="163"/>
      <c r="J568" s="165"/>
      <c r="K568" s="165"/>
      <c r="L568" s="165"/>
      <c r="M568" s="165"/>
      <c r="N568" s="165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  <c r="AA568" s="163"/>
      <c r="AB568" s="163"/>
      <c r="AC568" s="163"/>
      <c r="AD568" s="163"/>
      <c r="AE568" s="163"/>
      <c r="AF568" s="163"/>
      <c r="AG568" s="163"/>
      <c r="AH568" s="163"/>
      <c r="AI568" s="163"/>
      <c r="AJ568" s="163"/>
      <c r="AK568" s="163"/>
      <c r="AL568" s="163"/>
      <c r="AM568" s="163"/>
      <c r="AN568" s="163"/>
    </row>
    <row r="569" spans="1:40" s="100" customFormat="1" ht="46.8" x14ac:dyDescent="0.3">
      <c r="A569" s="160">
        <v>504</v>
      </c>
      <c r="B569" s="166" t="s">
        <v>1209</v>
      </c>
      <c r="C569" s="98" t="s">
        <v>2708</v>
      </c>
      <c r="D569" s="162" t="s">
        <v>2712</v>
      </c>
      <c r="E569" s="26" t="s">
        <v>144</v>
      </c>
      <c r="F569" s="30" t="s">
        <v>49</v>
      </c>
      <c r="G569" s="162" t="s">
        <v>2704</v>
      </c>
      <c r="H569" s="162">
        <v>30</v>
      </c>
      <c r="I569" s="162" t="str">
        <f t="shared" si="6"/>
        <v>с ЛН</v>
      </c>
      <c r="J569" s="164">
        <v>5</v>
      </c>
      <c r="K569" s="164" t="s">
        <v>528</v>
      </c>
      <c r="L569" s="164" t="s">
        <v>528</v>
      </c>
      <c r="M569" s="164" t="s">
        <v>2705</v>
      </c>
      <c r="N569" s="164" t="s">
        <v>2705</v>
      </c>
      <c r="O569" s="162">
        <v>799</v>
      </c>
      <c r="P569" s="162" t="s">
        <v>2706</v>
      </c>
      <c r="Q569" s="162">
        <v>1043</v>
      </c>
      <c r="R569" s="162" t="s">
        <v>2706</v>
      </c>
      <c r="S569" s="162">
        <v>535</v>
      </c>
      <c r="T569" s="162" t="s">
        <v>2706</v>
      </c>
      <c r="U569" s="162">
        <v>914</v>
      </c>
      <c r="V569" s="162" t="s">
        <v>2706</v>
      </c>
      <c r="W569" s="162">
        <v>855</v>
      </c>
      <c r="X569" s="162" t="s">
        <v>2706</v>
      </c>
      <c r="Y569" s="162">
        <v>806</v>
      </c>
      <c r="Z569" s="162" t="s">
        <v>2706</v>
      </c>
      <c r="AA569" s="162">
        <v>592</v>
      </c>
      <c r="AB569" s="162" t="s">
        <v>2706</v>
      </c>
      <c r="AC569" s="162">
        <v>830</v>
      </c>
      <c r="AD569" s="162" t="s">
        <v>2706</v>
      </c>
      <c r="AE569" s="162">
        <v>836</v>
      </c>
      <c r="AF569" s="162" t="s">
        <v>2706</v>
      </c>
      <c r="AG569" s="162">
        <v>654</v>
      </c>
      <c r="AH569" s="162" t="s">
        <v>2706</v>
      </c>
      <c r="AI569" s="162">
        <v>720</v>
      </c>
      <c r="AJ569" s="162" t="s">
        <v>2706</v>
      </c>
      <c r="AK569" s="162">
        <v>918</v>
      </c>
      <c r="AL569" s="162" t="s">
        <v>2706</v>
      </c>
      <c r="AM569" s="162">
        <v>8672</v>
      </c>
      <c r="AN569" s="162"/>
    </row>
    <row r="570" spans="1:40" s="100" customFormat="1" ht="46.8" x14ac:dyDescent="0.3">
      <c r="A570" s="161"/>
      <c r="B570" s="167"/>
      <c r="C570" s="98" t="s">
        <v>2708</v>
      </c>
      <c r="D570" s="163"/>
      <c r="E570" s="26" t="s">
        <v>48</v>
      </c>
      <c r="F570" s="30" t="s">
        <v>49</v>
      </c>
      <c r="G570" s="163"/>
      <c r="H570" s="163"/>
      <c r="I570" s="163"/>
      <c r="J570" s="165"/>
      <c r="K570" s="165"/>
      <c r="L570" s="165"/>
      <c r="M570" s="165"/>
      <c r="N570" s="165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  <c r="AA570" s="163"/>
      <c r="AB570" s="163"/>
      <c r="AC570" s="163"/>
      <c r="AD570" s="163"/>
      <c r="AE570" s="163"/>
      <c r="AF570" s="163"/>
      <c r="AG570" s="163"/>
      <c r="AH570" s="163"/>
      <c r="AI570" s="163"/>
      <c r="AJ570" s="163"/>
      <c r="AK570" s="163"/>
      <c r="AL570" s="163"/>
      <c r="AM570" s="163"/>
      <c r="AN570" s="163"/>
    </row>
    <row r="571" spans="1:40" s="100" customFormat="1" ht="46.8" x14ac:dyDescent="0.3">
      <c r="A571" s="160">
        <v>505</v>
      </c>
      <c r="B571" s="166" t="s">
        <v>1211</v>
      </c>
      <c r="C571" s="98" t="s">
        <v>2708</v>
      </c>
      <c r="D571" s="162" t="s">
        <v>2712</v>
      </c>
      <c r="E571" s="26" t="s">
        <v>144</v>
      </c>
      <c r="F571" s="30" t="s">
        <v>49</v>
      </c>
      <c r="G571" s="162" t="s">
        <v>2704</v>
      </c>
      <c r="H571" s="162">
        <v>42</v>
      </c>
      <c r="I571" s="162" t="str">
        <f t="shared" si="6"/>
        <v>с ЛН</v>
      </c>
      <c r="J571" s="164">
        <v>7</v>
      </c>
      <c r="K571" s="164" t="s">
        <v>528</v>
      </c>
      <c r="L571" s="164" t="s">
        <v>528</v>
      </c>
      <c r="M571" s="164" t="s">
        <v>2705</v>
      </c>
      <c r="N571" s="164" t="s">
        <v>2705</v>
      </c>
      <c r="O571" s="162">
        <v>0</v>
      </c>
      <c r="P571" s="162" t="s">
        <v>2706</v>
      </c>
      <c r="Q571" s="162">
        <v>0</v>
      </c>
      <c r="R571" s="162" t="s">
        <v>2706</v>
      </c>
      <c r="S571" s="162">
        <v>150</v>
      </c>
      <c r="T571" s="162" t="s">
        <v>2706</v>
      </c>
      <c r="U571" s="162">
        <v>150</v>
      </c>
      <c r="V571" s="162" t="s">
        <v>2706</v>
      </c>
      <c r="W571" s="162">
        <v>353</v>
      </c>
      <c r="X571" s="162" t="s">
        <v>2706</v>
      </c>
      <c r="Y571" s="162">
        <v>251</v>
      </c>
      <c r="Z571" s="162" t="s">
        <v>2706</v>
      </c>
      <c r="AA571" s="162">
        <v>194</v>
      </c>
      <c r="AB571" s="162" t="s">
        <v>2706</v>
      </c>
      <c r="AC571" s="162">
        <v>185</v>
      </c>
      <c r="AD571" s="162" t="s">
        <v>2706</v>
      </c>
      <c r="AE571" s="162">
        <v>534</v>
      </c>
      <c r="AF571" s="162" t="s">
        <v>2706</v>
      </c>
      <c r="AG571" s="162">
        <v>511</v>
      </c>
      <c r="AH571" s="162" t="s">
        <v>2706</v>
      </c>
      <c r="AI571" s="162">
        <v>18</v>
      </c>
      <c r="AJ571" s="162" t="s">
        <v>2706</v>
      </c>
      <c r="AK571" s="162">
        <v>618</v>
      </c>
      <c r="AL571" s="162" t="s">
        <v>2706</v>
      </c>
      <c r="AM571" s="162">
        <v>2779</v>
      </c>
      <c r="AN571" s="162"/>
    </row>
    <row r="572" spans="1:40" s="100" customFormat="1" ht="46.8" x14ac:dyDescent="0.3">
      <c r="A572" s="161"/>
      <c r="B572" s="167"/>
      <c r="C572" s="98" t="s">
        <v>2708</v>
      </c>
      <c r="D572" s="163"/>
      <c r="E572" s="26" t="s">
        <v>48</v>
      </c>
      <c r="F572" s="30" t="s">
        <v>49</v>
      </c>
      <c r="G572" s="163"/>
      <c r="H572" s="163"/>
      <c r="I572" s="163"/>
      <c r="J572" s="165"/>
      <c r="K572" s="165"/>
      <c r="L572" s="165"/>
      <c r="M572" s="165"/>
      <c r="N572" s="165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  <c r="AA572" s="163"/>
      <c r="AB572" s="163"/>
      <c r="AC572" s="163"/>
      <c r="AD572" s="163"/>
      <c r="AE572" s="163"/>
      <c r="AF572" s="163"/>
      <c r="AG572" s="163"/>
      <c r="AH572" s="163"/>
      <c r="AI572" s="163"/>
      <c r="AJ572" s="163"/>
      <c r="AK572" s="163"/>
      <c r="AL572" s="163"/>
      <c r="AM572" s="163"/>
      <c r="AN572" s="163"/>
    </row>
    <row r="573" spans="1:40" s="100" customFormat="1" ht="46.8" x14ac:dyDescent="0.3">
      <c r="A573" s="160">
        <v>506</v>
      </c>
      <c r="B573" s="166" t="s">
        <v>1213</v>
      </c>
      <c r="C573" s="98" t="s">
        <v>2708</v>
      </c>
      <c r="D573" s="162" t="s">
        <v>2712</v>
      </c>
      <c r="E573" s="26" t="s">
        <v>144</v>
      </c>
      <c r="F573" s="30" t="s">
        <v>49</v>
      </c>
      <c r="G573" s="162" t="s">
        <v>2704</v>
      </c>
      <c r="H573" s="162">
        <v>22</v>
      </c>
      <c r="I573" s="162" t="str">
        <f t="shared" si="6"/>
        <v>с ЛН</v>
      </c>
      <c r="J573" s="164">
        <v>4</v>
      </c>
      <c r="K573" s="164" t="s">
        <v>528</v>
      </c>
      <c r="L573" s="164" t="s">
        <v>528</v>
      </c>
      <c r="M573" s="164" t="s">
        <v>2705</v>
      </c>
      <c r="N573" s="164" t="s">
        <v>2705</v>
      </c>
      <c r="O573" s="162">
        <v>423</v>
      </c>
      <c r="P573" s="162" t="s">
        <v>2706</v>
      </c>
      <c r="Q573" s="162">
        <v>464</v>
      </c>
      <c r="R573" s="162" t="s">
        <v>2706</v>
      </c>
      <c r="S573" s="162">
        <v>265</v>
      </c>
      <c r="T573" s="162" t="s">
        <v>2706</v>
      </c>
      <c r="U573" s="162">
        <v>375</v>
      </c>
      <c r="V573" s="162" t="s">
        <v>2706</v>
      </c>
      <c r="W573" s="162">
        <v>416</v>
      </c>
      <c r="X573" s="162" t="s">
        <v>2706</v>
      </c>
      <c r="Y573" s="162">
        <v>428</v>
      </c>
      <c r="Z573" s="162" t="s">
        <v>2706</v>
      </c>
      <c r="AA573" s="162">
        <v>525</v>
      </c>
      <c r="AB573" s="162" t="s">
        <v>2706</v>
      </c>
      <c r="AC573" s="162">
        <v>430</v>
      </c>
      <c r="AD573" s="162" t="s">
        <v>2706</v>
      </c>
      <c r="AE573" s="162">
        <v>590</v>
      </c>
      <c r="AF573" s="162" t="s">
        <v>2706</v>
      </c>
      <c r="AG573" s="162">
        <v>504</v>
      </c>
      <c r="AH573" s="162" t="s">
        <v>2706</v>
      </c>
      <c r="AI573" s="162">
        <v>544</v>
      </c>
      <c r="AJ573" s="162" t="s">
        <v>2706</v>
      </c>
      <c r="AK573" s="162">
        <v>432</v>
      </c>
      <c r="AL573" s="162" t="s">
        <v>2706</v>
      </c>
      <c r="AM573" s="162">
        <v>4966</v>
      </c>
      <c r="AN573" s="162"/>
    </row>
    <row r="574" spans="1:40" s="100" customFormat="1" ht="46.8" x14ac:dyDescent="0.3">
      <c r="A574" s="161"/>
      <c r="B574" s="167"/>
      <c r="C574" s="98" t="s">
        <v>2708</v>
      </c>
      <c r="D574" s="163"/>
      <c r="E574" s="26" t="s">
        <v>48</v>
      </c>
      <c r="F574" s="30" t="s">
        <v>49</v>
      </c>
      <c r="G574" s="163"/>
      <c r="H574" s="163"/>
      <c r="I574" s="163"/>
      <c r="J574" s="165"/>
      <c r="K574" s="165"/>
      <c r="L574" s="165"/>
      <c r="M574" s="165"/>
      <c r="N574" s="165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  <c r="AA574" s="163"/>
      <c r="AB574" s="163"/>
      <c r="AC574" s="163"/>
      <c r="AD574" s="163"/>
      <c r="AE574" s="163"/>
      <c r="AF574" s="163"/>
      <c r="AG574" s="163"/>
      <c r="AH574" s="163"/>
      <c r="AI574" s="163"/>
      <c r="AJ574" s="163"/>
      <c r="AK574" s="163"/>
      <c r="AL574" s="163"/>
      <c r="AM574" s="163"/>
      <c r="AN574" s="163"/>
    </row>
    <row r="575" spans="1:40" s="100" customFormat="1" ht="46.8" x14ac:dyDescent="0.3">
      <c r="A575" s="160">
        <v>507</v>
      </c>
      <c r="B575" s="166" t="s">
        <v>1214</v>
      </c>
      <c r="C575" s="98" t="s">
        <v>2708</v>
      </c>
      <c r="D575" s="162" t="s">
        <v>2712</v>
      </c>
      <c r="E575" s="26" t="s">
        <v>144</v>
      </c>
      <c r="F575" s="30" t="s">
        <v>49</v>
      </c>
      <c r="G575" s="162" t="s">
        <v>2704</v>
      </c>
      <c r="H575" s="162">
        <v>36</v>
      </c>
      <c r="I575" s="162" t="str">
        <f t="shared" si="6"/>
        <v>с ЛН</v>
      </c>
      <c r="J575" s="164">
        <v>6</v>
      </c>
      <c r="K575" s="164" t="s">
        <v>528</v>
      </c>
      <c r="L575" s="164" t="s">
        <v>528</v>
      </c>
      <c r="M575" s="164" t="s">
        <v>2705</v>
      </c>
      <c r="N575" s="164" t="s">
        <v>2705</v>
      </c>
      <c r="O575" s="162">
        <v>595</v>
      </c>
      <c r="P575" s="162" t="s">
        <v>2706</v>
      </c>
      <c r="Q575" s="162">
        <v>896</v>
      </c>
      <c r="R575" s="162" t="s">
        <v>2706</v>
      </c>
      <c r="S575" s="162">
        <v>379</v>
      </c>
      <c r="T575" s="162" t="s">
        <v>2706</v>
      </c>
      <c r="U575" s="162">
        <v>684</v>
      </c>
      <c r="V575" s="162" t="s">
        <v>2706</v>
      </c>
      <c r="W575" s="162">
        <v>660</v>
      </c>
      <c r="X575" s="162" t="s">
        <v>2706</v>
      </c>
      <c r="Y575" s="162">
        <v>583</v>
      </c>
      <c r="Z575" s="162" t="s">
        <v>2706</v>
      </c>
      <c r="AA575" s="162">
        <v>530</v>
      </c>
      <c r="AB575" s="162" t="s">
        <v>2706</v>
      </c>
      <c r="AC575" s="162">
        <v>482</v>
      </c>
      <c r="AD575" s="162" t="s">
        <v>2706</v>
      </c>
      <c r="AE575" s="162">
        <v>829</v>
      </c>
      <c r="AF575" s="162" t="s">
        <v>2706</v>
      </c>
      <c r="AG575" s="162">
        <v>926</v>
      </c>
      <c r="AH575" s="162" t="s">
        <v>2706</v>
      </c>
      <c r="AI575" s="162">
        <v>103</v>
      </c>
      <c r="AJ575" s="162" t="s">
        <v>2706</v>
      </c>
      <c r="AK575" s="162">
        <v>634</v>
      </c>
      <c r="AL575" s="162" t="s">
        <v>2706</v>
      </c>
      <c r="AM575" s="162">
        <v>6819</v>
      </c>
      <c r="AN575" s="162"/>
    </row>
    <row r="576" spans="1:40" s="100" customFormat="1" ht="46.8" x14ac:dyDescent="0.3">
      <c r="A576" s="161"/>
      <c r="B576" s="167"/>
      <c r="C576" s="98" t="s">
        <v>2708</v>
      </c>
      <c r="D576" s="163"/>
      <c r="E576" s="26" t="s">
        <v>48</v>
      </c>
      <c r="F576" s="30" t="s">
        <v>49</v>
      </c>
      <c r="G576" s="163"/>
      <c r="H576" s="163"/>
      <c r="I576" s="163"/>
      <c r="J576" s="165"/>
      <c r="K576" s="165"/>
      <c r="L576" s="165"/>
      <c r="M576" s="165"/>
      <c r="N576" s="165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  <c r="AA576" s="163"/>
      <c r="AB576" s="163"/>
      <c r="AC576" s="163"/>
      <c r="AD576" s="163"/>
      <c r="AE576" s="163"/>
      <c r="AF576" s="163"/>
      <c r="AG576" s="163"/>
      <c r="AH576" s="163"/>
      <c r="AI576" s="163"/>
      <c r="AJ576" s="163"/>
      <c r="AK576" s="163"/>
      <c r="AL576" s="163"/>
      <c r="AM576" s="163"/>
      <c r="AN576" s="163"/>
    </row>
    <row r="577" spans="1:40" s="100" customFormat="1" ht="46.8" x14ac:dyDescent="0.3">
      <c r="A577" s="160">
        <v>508</v>
      </c>
      <c r="B577" s="166" t="s">
        <v>1215</v>
      </c>
      <c r="C577" s="98" t="s">
        <v>2708</v>
      </c>
      <c r="D577" s="162" t="s">
        <v>2712</v>
      </c>
      <c r="E577" s="26" t="s">
        <v>144</v>
      </c>
      <c r="F577" s="30" t="s">
        <v>49</v>
      </c>
      <c r="G577" s="162" t="s">
        <v>2704</v>
      </c>
      <c r="H577" s="162">
        <v>17</v>
      </c>
      <c r="I577" s="162" t="str">
        <f t="shared" si="6"/>
        <v>с ЛН</v>
      </c>
      <c r="J577" s="164">
        <v>3</v>
      </c>
      <c r="K577" s="164" t="s">
        <v>528</v>
      </c>
      <c r="L577" s="164" t="s">
        <v>528</v>
      </c>
      <c r="M577" s="164" t="s">
        <v>2705</v>
      </c>
      <c r="N577" s="164" t="s">
        <v>2705</v>
      </c>
      <c r="O577" s="162">
        <v>171</v>
      </c>
      <c r="P577" s="162" t="s">
        <v>2706</v>
      </c>
      <c r="Q577" s="162">
        <v>159</v>
      </c>
      <c r="R577" s="162" t="s">
        <v>2706</v>
      </c>
      <c r="S577" s="162">
        <v>70</v>
      </c>
      <c r="T577" s="162" t="s">
        <v>2706</v>
      </c>
      <c r="U577" s="162">
        <v>77</v>
      </c>
      <c r="V577" s="162" t="s">
        <v>2706</v>
      </c>
      <c r="W577" s="162">
        <v>69</v>
      </c>
      <c r="X577" s="162" t="s">
        <v>2706</v>
      </c>
      <c r="Y577" s="162">
        <v>30</v>
      </c>
      <c r="Z577" s="162" t="s">
        <v>2706</v>
      </c>
      <c r="AA577" s="162">
        <v>35</v>
      </c>
      <c r="AB577" s="162" t="s">
        <v>2706</v>
      </c>
      <c r="AC577" s="162">
        <v>38</v>
      </c>
      <c r="AD577" s="162" t="s">
        <v>2706</v>
      </c>
      <c r="AE577" s="162">
        <v>76</v>
      </c>
      <c r="AF577" s="162" t="s">
        <v>2706</v>
      </c>
      <c r="AG577" s="162">
        <v>64</v>
      </c>
      <c r="AH577" s="162" t="s">
        <v>2706</v>
      </c>
      <c r="AI577" s="162">
        <v>0</v>
      </c>
      <c r="AJ577" s="162" t="s">
        <v>2706</v>
      </c>
      <c r="AK577" s="162">
        <v>79</v>
      </c>
      <c r="AL577" s="162" t="s">
        <v>2706</v>
      </c>
      <c r="AM577" s="162">
        <v>830</v>
      </c>
      <c r="AN577" s="162"/>
    </row>
    <row r="578" spans="1:40" s="100" customFormat="1" ht="46.8" x14ac:dyDescent="0.3">
      <c r="A578" s="161"/>
      <c r="B578" s="167"/>
      <c r="C578" s="98" t="s">
        <v>2708</v>
      </c>
      <c r="D578" s="163"/>
      <c r="E578" s="26" t="s">
        <v>48</v>
      </c>
      <c r="F578" s="30" t="s">
        <v>49</v>
      </c>
      <c r="G578" s="163"/>
      <c r="H578" s="163"/>
      <c r="I578" s="163"/>
      <c r="J578" s="165"/>
      <c r="K578" s="165"/>
      <c r="L578" s="165"/>
      <c r="M578" s="165"/>
      <c r="N578" s="165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  <c r="AA578" s="163"/>
      <c r="AB578" s="163"/>
      <c r="AC578" s="163"/>
      <c r="AD578" s="163"/>
      <c r="AE578" s="163"/>
      <c r="AF578" s="163"/>
      <c r="AG578" s="163"/>
      <c r="AH578" s="163"/>
      <c r="AI578" s="163"/>
      <c r="AJ578" s="163"/>
      <c r="AK578" s="163"/>
      <c r="AL578" s="163"/>
      <c r="AM578" s="163"/>
      <c r="AN578" s="163"/>
    </row>
    <row r="579" spans="1:40" s="100" customFormat="1" ht="46.8" x14ac:dyDescent="0.3">
      <c r="A579" s="160">
        <v>509</v>
      </c>
      <c r="B579" s="166" t="s">
        <v>1216</v>
      </c>
      <c r="C579" s="98" t="s">
        <v>2708</v>
      </c>
      <c r="D579" s="162" t="s">
        <v>2712</v>
      </c>
      <c r="E579" s="26" t="s">
        <v>144</v>
      </c>
      <c r="F579" s="30" t="s">
        <v>49</v>
      </c>
      <c r="G579" s="162" t="s">
        <v>2704</v>
      </c>
      <c r="H579" s="162">
        <v>36</v>
      </c>
      <c r="I579" s="162" t="str">
        <f t="shared" si="6"/>
        <v>с ЛН</v>
      </c>
      <c r="J579" s="164">
        <v>6</v>
      </c>
      <c r="K579" s="164" t="s">
        <v>528</v>
      </c>
      <c r="L579" s="164" t="s">
        <v>528</v>
      </c>
      <c r="M579" s="164" t="s">
        <v>2705</v>
      </c>
      <c r="N579" s="164" t="s">
        <v>2705</v>
      </c>
      <c r="O579" s="162">
        <v>656</v>
      </c>
      <c r="P579" s="162" t="s">
        <v>2706</v>
      </c>
      <c r="Q579" s="162">
        <v>755</v>
      </c>
      <c r="R579" s="162" t="s">
        <v>2706</v>
      </c>
      <c r="S579" s="162">
        <v>349</v>
      </c>
      <c r="T579" s="162" t="s">
        <v>2706</v>
      </c>
      <c r="U579" s="162">
        <v>512</v>
      </c>
      <c r="V579" s="162" t="s">
        <v>2706</v>
      </c>
      <c r="W579" s="162">
        <v>504</v>
      </c>
      <c r="X579" s="162" t="s">
        <v>2706</v>
      </c>
      <c r="Y579" s="162">
        <v>358</v>
      </c>
      <c r="Z579" s="162" t="s">
        <v>2706</v>
      </c>
      <c r="AA579" s="162">
        <v>337</v>
      </c>
      <c r="AB579" s="162" t="s">
        <v>2706</v>
      </c>
      <c r="AC579" s="162">
        <v>405</v>
      </c>
      <c r="AD579" s="162" t="s">
        <v>2706</v>
      </c>
      <c r="AE579" s="162">
        <v>485</v>
      </c>
      <c r="AF579" s="162" t="s">
        <v>2706</v>
      </c>
      <c r="AG579" s="162">
        <v>644</v>
      </c>
      <c r="AH579" s="162" t="s">
        <v>2706</v>
      </c>
      <c r="AI579" s="162">
        <v>2296</v>
      </c>
      <c r="AJ579" s="162" t="s">
        <v>2706</v>
      </c>
      <c r="AK579" s="162">
        <v>897</v>
      </c>
      <c r="AL579" s="162" t="s">
        <v>2706</v>
      </c>
      <c r="AM579" s="162">
        <v>7793</v>
      </c>
      <c r="AN579" s="162"/>
    </row>
    <row r="580" spans="1:40" s="100" customFormat="1" ht="46.8" x14ac:dyDescent="0.3">
      <c r="A580" s="161"/>
      <c r="B580" s="167"/>
      <c r="C580" s="98" t="s">
        <v>2708</v>
      </c>
      <c r="D580" s="163"/>
      <c r="E580" s="26" t="s">
        <v>48</v>
      </c>
      <c r="F580" s="30" t="s">
        <v>49</v>
      </c>
      <c r="G580" s="163"/>
      <c r="H580" s="163"/>
      <c r="I580" s="163"/>
      <c r="J580" s="165"/>
      <c r="K580" s="165"/>
      <c r="L580" s="165"/>
      <c r="M580" s="165"/>
      <c r="N580" s="165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  <c r="AA580" s="163"/>
      <c r="AB580" s="163"/>
      <c r="AC580" s="163"/>
      <c r="AD580" s="163"/>
      <c r="AE580" s="163"/>
      <c r="AF580" s="163"/>
      <c r="AG580" s="163"/>
      <c r="AH580" s="163"/>
      <c r="AI580" s="163"/>
      <c r="AJ580" s="163"/>
      <c r="AK580" s="163"/>
      <c r="AL580" s="163"/>
      <c r="AM580" s="163"/>
      <c r="AN580" s="163"/>
    </row>
    <row r="581" spans="1:40" s="100" customFormat="1" ht="46.8" x14ac:dyDescent="0.3">
      <c r="A581" s="160">
        <v>510</v>
      </c>
      <c r="B581" s="166" t="s">
        <v>1218</v>
      </c>
      <c r="C581" s="98" t="s">
        <v>2708</v>
      </c>
      <c r="D581" s="162" t="s">
        <v>2712</v>
      </c>
      <c r="E581" s="26" t="s">
        <v>144</v>
      </c>
      <c r="F581" s="30" t="s">
        <v>49</v>
      </c>
      <c r="G581" s="162"/>
      <c r="H581" s="162"/>
      <c r="I581" s="162"/>
      <c r="J581" s="164"/>
      <c r="K581" s="164" t="s">
        <v>528</v>
      </c>
      <c r="L581" s="164" t="s">
        <v>528</v>
      </c>
      <c r="M581" s="164" t="s">
        <v>2705</v>
      </c>
      <c r="N581" s="164" t="s">
        <v>2705</v>
      </c>
      <c r="O581" s="162">
        <v>1541</v>
      </c>
      <c r="P581" s="162" t="s">
        <v>2706</v>
      </c>
      <c r="Q581" s="162">
        <v>2372</v>
      </c>
      <c r="R581" s="162" t="s">
        <v>2706</v>
      </c>
      <c r="S581" s="162">
        <v>1352</v>
      </c>
      <c r="T581" s="162" t="s">
        <v>2706</v>
      </c>
      <c r="U581" s="162">
        <v>2026</v>
      </c>
      <c r="V581" s="162" t="s">
        <v>2706</v>
      </c>
      <c r="W581" s="162">
        <v>1669</v>
      </c>
      <c r="X581" s="162" t="s">
        <v>2706</v>
      </c>
      <c r="Y581" s="162">
        <v>1342</v>
      </c>
      <c r="Z581" s="162" t="s">
        <v>2706</v>
      </c>
      <c r="AA581" s="162">
        <v>1282</v>
      </c>
      <c r="AB581" s="162" t="s">
        <v>2706</v>
      </c>
      <c r="AC581" s="162">
        <v>1582</v>
      </c>
      <c r="AD581" s="162" t="s">
        <v>2706</v>
      </c>
      <c r="AE581" s="162">
        <v>1724</v>
      </c>
      <c r="AF581" s="162" t="s">
        <v>2706</v>
      </c>
      <c r="AG581" s="162">
        <v>1642</v>
      </c>
      <c r="AH581" s="162" t="s">
        <v>2706</v>
      </c>
      <c r="AI581" s="162">
        <v>407</v>
      </c>
      <c r="AJ581" s="162" t="s">
        <v>2706</v>
      </c>
      <c r="AK581" s="162">
        <v>1888</v>
      </c>
      <c r="AL581" s="162" t="s">
        <v>2706</v>
      </c>
      <c r="AM581" s="162">
        <v>17245</v>
      </c>
      <c r="AN581" s="162"/>
    </row>
    <row r="582" spans="1:40" s="100" customFormat="1" ht="46.8" x14ac:dyDescent="0.3">
      <c r="A582" s="161"/>
      <c r="B582" s="167"/>
      <c r="C582" s="98" t="s">
        <v>2708</v>
      </c>
      <c r="D582" s="163"/>
      <c r="E582" s="26" t="s">
        <v>48</v>
      </c>
      <c r="F582" s="30" t="s">
        <v>49</v>
      </c>
      <c r="G582" s="163"/>
      <c r="H582" s="163"/>
      <c r="I582" s="163"/>
      <c r="J582" s="165"/>
      <c r="K582" s="165"/>
      <c r="L582" s="165"/>
      <c r="M582" s="165"/>
      <c r="N582" s="165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  <c r="AA582" s="163"/>
      <c r="AB582" s="163"/>
      <c r="AC582" s="163"/>
      <c r="AD582" s="163"/>
      <c r="AE582" s="163"/>
      <c r="AF582" s="163"/>
      <c r="AG582" s="163"/>
      <c r="AH582" s="163"/>
      <c r="AI582" s="163"/>
      <c r="AJ582" s="163"/>
      <c r="AK582" s="163"/>
      <c r="AL582" s="163"/>
      <c r="AM582" s="163"/>
      <c r="AN582" s="163"/>
    </row>
    <row r="583" spans="1:40" s="100" customFormat="1" ht="46.8" x14ac:dyDescent="0.3">
      <c r="A583" s="160">
        <v>511</v>
      </c>
      <c r="B583" s="166" t="s">
        <v>1219</v>
      </c>
      <c r="C583" s="98" t="s">
        <v>2708</v>
      </c>
      <c r="D583" s="162" t="s">
        <v>2712</v>
      </c>
      <c r="E583" s="26" t="s">
        <v>144</v>
      </c>
      <c r="F583" s="30" t="s">
        <v>49</v>
      </c>
      <c r="G583" s="162" t="s">
        <v>2707</v>
      </c>
      <c r="H583" s="162">
        <v>30</v>
      </c>
      <c r="I583" s="162" t="s">
        <v>2704</v>
      </c>
      <c r="J583" s="164">
        <v>5</v>
      </c>
      <c r="K583" s="164" t="s">
        <v>528</v>
      </c>
      <c r="L583" s="164" t="s">
        <v>528</v>
      </c>
      <c r="M583" s="164" t="s">
        <v>2705</v>
      </c>
      <c r="N583" s="164" t="s">
        <v>2705</v>
      </c>
      <c r="O583" s="162">
        <v>1247</v>
      </c>
      <c r="P583" s="162" t="s">
        <v>2706</v>
      </c>
      <c r="Q583" s="162">
        <v>1245</v>
      </c>
      <c r="R583" s="162" t="s">
        <v>2706</v>
      </c>
      <c r="S583" s="162">
        <v>668</v>
      </c>
      <c r="T583" s="162" t="s">
        <v>2706</v>
      </c>
      <c r="U583" s="162">
        <v>1037</v>
      </c>
      <c r="V583" s="162" t="s">
        <v>2706</v>
      </c>
      <c r="W583" s="162">
        <v>1029</v>
      </c>
      <c r="X583" s="162" t="s">
        <v>2706</v>
      </c>
      <c r="Y583" s="162">
        <v>554</v>
      </c>
      <c r="Z583" s="162" t="s">
        <v>2706</v>
      </c>
      <c r="AA583" s="162">
        <v>626</v>
      </c>
      <c r="AB583" s="162" t="s">
        <v>2706</v>
      </c>
      <c r="AC583" s="162">
        <v>1032</v>
      </c>
      <c r="AD583" s="162" t="s">
        <v>2706</v>
      </c>
      <c r="AE583" s="162">
        <v>963</v>
      </c>
      <c r="AF583" s="162" t="s">
        <v>2706</v>
      </c>
      <c r="AG583" s="162">
        <v>839</v>
      </c>
      <c r="AH583" s="162" t="s">
        <v>2706</v>
      </c>
      <c r="AI583" s="162">
        <v>565</v>
      </c>
      <c r="AJ583" s="162" t="s">
        <v>2706</v>
      </c>
      <c r="AK583" s="162">
        <v>1032</v>
      </c>
      <c r="AL583" s="162" t="s">
        <v>2706</v>
      </c>
      <c r="AM583" s="162">
        <v>9805</v>
      </c>
      <c r="AN583" s="162"/>
    </row>
    <row r="584" spans="1:40" s="100" customFormat="1" ht="46.8" x14ac:dyDescent="0.3">
      <c r="A584" s="161"/>
      <c r="B584" s="167"/>
      <c r="C584" s="98" t="s">
        <v>2708</v>
      </c>
      <c r="D584" s="163"/>
      <c r="E584" s="26" t="s">
        <v>48</v>
      </c>
      <c r="F584" s="30" t="s">
        <v>49</v>
      </c>
      <c r="G584" s="163"/>
      <c r="H584" s="163"/>
      <c r="I584" s="163"/>
      <c r="J584" s="165"/>
      <c r="K584" s="165"/>
      <c r="L584" s="165"/>
      <c r="M584" s="165"/>
      <c r="N584" s="165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  <c r="AA584" s="163"/>
      <c r="AB584" s="163"/>
      <c r="AC584" s="163"/>
      <c r="AD584" s="163"/>
      <c r="AE584" s="163"/>
      <c r="AF584" s="163"/>
      <c r="AG584" s="163"/>
      <c r="AH584" s="163"/>
      <c r="AI584" s="163"/>
      <c r="AJ584" s="163"/>
      <c r="AK584" s="163"/>
      <c r="AL584" s="163"/>
      <c r="AM584" s="163"/>
      <c r="AN584" s="163"/>
    </row>
    <row r="585" spans="1:40" s="100" customFormat="1" ht="46.8" x14ac:dyDescent="0.3">
      <c r="A585" s="160">
        <v>512</v>
      </c>
      <c r="B585" s="166" t="s">
        <v>1220</v>
      </c>
      <c r="C585" s="98" t="s">
        <v>2708</v>
      </c>
      <c r="D585" s="162" t="s">
        <v>2712</v>
      </c>
      <c r="E585" s="26" t="s">
        <v>144</v>
      </c>
      <c r="F585" s="30" t="s">
        <v>49</v>
      </c>
      <c r="G585" s="162" t="s">
        <v>2704</v>
      </c>
      <c r="H585" s="162">
        <v>32</v>
      </c>
      <c r="I585" s="162" t="str">
        <f>G585</f>
        <v>с ЛН</v>
      </c>
      <c r="J585" s="164">
        <v>6</v>
      </c>
      <c r="K585" s="164" t="s">
        <v>528</v>
      </c>
      <c r="L585" s="164" t="s">
        <v>528</v>
      </c>
      <c r="M585" s="164" t="s">
        <v>2705</v>
      </c>
      <c r="N585" s="164" t="s">
        <v>2705</v>
      </c>
      <c r="O585" s="162">
        <v>665</v>
      </c>
      <c r="P585" s="162" t="s">
        <v>2706</v>
      </c>
      <c r="Q585" s="162">
        <v>566</v>
      </c>
      <c r="R585" s="162" t="s">
        <v>2706</v>
      </c>
      <c r="S585" s="162">
        <v>345</v>
      </c>
      <c r="T585" s="162" t="s">
        <v>2706</v>
      </c>
      <c r="U585" s="162">
        <v>521</v>
      </c>
      <c r="V585" s="162" t="s">
        <v>2706</v>
      </c>
      <c r="W585" s="162">
        <v>567</v>
      </c>
      <c r="X585" s="162" t="s">
        <v>2706</v>
      </c>
      <c r="Y585" s="162">
        <v>332</v>
      </c>
      <c r="Z585" s="162" t="s">
        <v>2706</v>
      </c>
      <c r="AA585" s="162">
        <v>466</v>
      </c>
      <c r="AB585" s="162" t="s">
        <v>2706</v>
      </c>
      <c r="AC585" s="162">
        <v>681</v>
      </c>
      <c r="AD585" s="162" t="s">
        <v>2706</v>
      </c>
      <c r="AE585" s="162">
        <v>709</v>
      </c>
      <c r="AF585" s="162" t="s">
        <v>2706</v>
      </c>
      <c r="AG585" s="162">
        <v>597</v>
      </c>
      <c r="AH585" s="162" t="s">
        <v>2706</v>
      </c>
      <c r="AI585" s="162">
        <v>161</v>
      </c>
      <c r="AJ585" s="162" t="s">
        <v>2706</v>
      </c>
      <c r="AK585" s="162">
        <v>805</v>
      </c>
      <c r="AL585" s="162" t="s">
        <v>2706</v>
      </c>
      <c r="AM585" s="162">
        <v>5734</v>
      </c>
      <c r="AN585" s="162"/>
    </row>
    <row r="586" spans="1:40" s="100" customFormat="1" ht="46.8" x14ac:dyDescent="0.3">
      <c r="A586" s="161"/>
      <c r="B586" s="167"/>
      <c r="C586" s="98" t="s">
        <v>2708</v>
      </c>
      <c r="D586" s="163"/>
      <c r="E586" s="26" t="s">
        <v>48</v>
      </c>
      <c r="F586" s="30" t="s">
        <v>49</v>
      </c>
      <c r="G586" s="163"/>
      <c r="H586" s="163"/>
      <c r="I586" s="163"/>
      <c r="J586" s="165"/>
      <c r="K586" s="165"/>
      <c r="L586" s="165"/>
      <c r="M586" s="165"/>
      <c r="N586" s="165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  <c r="AA586" s="163"/>
      <c r="AB586" s="163"/>
      <c r="AC586" s="163"/>
      <c r="AD586" s="163"/>
      <c r="AE586" s="163"/>
      <c r="AF586" s="163"/>
      <c r="AG586" s="163"/>
      <c r="AH586" s="163"/>
      <c r="AI586" s="163"/>
      <c r="AJ586" s="163"/>
      <c r="AK586" s="163"/>
      <c r="AL586" s="163"/>
      <c r="AM586" s="163"/>
      <c r="AN586" s="163"/>
    </row>
    <row r="587" spans="1:40" s="100" customFormat="1" ht="46.8" x14ac:dyDescent="0.3">
      <c r="A587" s="160">
        <v>513</v>
      </c>
      <c r="B587" s="166" t="s">
        <v>1221</v>
      </c>
      <c r="C587" s="98" t="s">
        <v>2708</v>
      </c>
      <c r="D587" s="162" t="s">
        <v>2712</v>
      </c>
      <c r="E587" s="26" t="s">
        <v>144</v>
      </c>
      <c r="F587" s="30" t="s">
        <v>49</v>
      </c>
      <c r="G587" s="162" t="s">
        <v>2704</v>
      </c>
      <c r="H587" s="162">
        <v>17</v>
      </c>
      <c r="I587" s="162" t="str">
        <f t="shared" ref="I587" si="7">G587</f>
        <v>с ЛН</v>
      </c>
      <c r="J587" s="164">
        <v>3</v>
      </c>
      <c r="K587" s="164" t="s">
        <v>528</v>
      </c>
      <c r="L587" s="164" t="s">
        <v>528</v>
      </c>
      <c r="M587" s="164" t="s">
        <v>2705</v>
      </c>
      <c r="N587" s="164" t="s">
        <v>2705</v>
      </c>
      <c r="O587" s="162">
        <v>0</v>
      </c>
      <c r="P587" s="162" t="s">
        <v>2706</v>
      </c>
      <c r="Q587" s="162">
        <v>0</v>
      </c>
      <c r="R587" s="162" t="s">
        <v>2706</v>
      </c>
      <c r="S587" s="162">
        <v>0</v>
      </c>
      <c r="T587" s="162" t="s">
        <v>2706</v>
      </c>
      <c r="U587" s="162">
        <v>0</v>
      </c>
      <c r="V587" s="162" t="s">
        <v>2706</v>
      </c>
      <c r="W587" s="162">
        <v>0</v>
      </c>
      <c r="X587" s="162" t="s">
        <v>2706</v>
      </c>
      <c r="Y587" s="162">
        <v>0</v>
      </c>
      <c r="Z587" s="162" t="s">
        <v>2706</v>
      </c>
      <c r="AA587" s="162">
        <v>0</v>
      </c>
      <c r="AB587" s="162" t="s">
        <v>2706</v>
      </c>
      <c r="AC587" s="162">
        <v>0</v>
      </c>
      <c r="AD587" s="162" t="s">
        <v>2706</v>
      </c>
      <c r="AE587" s="162">
        <v>0</v>
      </c>
      <c r="AF587" s="162" t="s">
        <v>2706</v>
      </c>
      <c r="AG587" s="162">
        <v>0</v>
      </c>
      <c r="AH587" s="162" t="s">
        <v>2706</v>
      </c>
      <c r="AI587" s="162">
        <v>0</v>
      </c>
      <c r="AJ587" s="162" t="s">
        <v>2706</v>
      </c>
      <c r="AK587" s="162">
        <v>0</v>
      </c>
      <c r="AL587" s="162" t="s">
        <v>2706</v>
      </c>
      <c r="AM587" s="162">
        <v>0</v>
      </c>
      <c r="AN587" s="162"/>
    </row>
    <row r="588" spans="1:40" s="100" customFormat="1" ht="46.8" x14ac:dyDescent="0.3">
      <c r="A588" s="161"/>
      <c r="B588" s="167"/>
      <c r="C588" s="98" t="s">
        <v>2708</v>
      </c>
      <c r="D588" s="163"/>
      <c r="E588" s="26" t="s">
        <v>48</v>
      </c>
      <c r="F588" s="30" t="s">
        <v>49</v>
      </c>
      <c r="G588" s="163"/>
      <c r="H588" s="163"/>
      <c r="I588" s="163"/>
      <c r="J588" s="165"/>
      <c r="K588" s="165"/>
      <c r="L588" s="165"/>
      <c r="M588" s="165"/>
      <c r="N588" s="165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  <c r="AA588" s="163"/>
      <c r="AB588" s="163"/>
      <c r="AC588" s="163"/>
      <c r="AD588" s="163"/>
      <c r="AE588" s="163"/>
      <c r="AF588" s="163"/>
      <c r="AG588" s="163"/>
      <c r="AH588" s="163"/>
      <c r="AI588" s="163"/>
      <c r="AJ588" s="163"/>
      <c r="AK588" s="163"/>
      <c r="AL588" s="163"/>
      <c r="AM588" s="163"/>
      <c r="AN588" s="163"/>
    </row>
    <row r="589" spans="1:40" s="100" customFormat="1" ht="46.8" x14ac:dyDescent="0.3">
      <c r="A589" s="160">
        <v>514</v>
      </c>
      <c r="B589" s="166" t="s">
        <v>1223</v>
      </c>
      <c r="C589" s="98" t="s">
        <v>2708</v>
      </c>
      <c r="D589" s="162" t="s">
        <v>2712</v>
      </c>
      <c r="E589" s="26" t="s">
        <v>144</v>
      </c>
      <c r="F589" s="30" t="s">
        <v>49</v>
      </c>
      <c r="G589" s="162" t="s">
        <v>2704</v>
      </c>
      <c r="H589" s="162">
        <v>18</v>
      </c>
      <c r="I589" s="162" t="str">
        <f t="shared" ref="I589" si="8">G589</f>
        <v>с ЛН</v>
      </c>
      <c r="J589" s="164">
        <v>3</v>
      </c>
      <c r="K589" s="164" t="s">
        <v>528</v>
      </c>
      <c r="L589" s="164" t="s">
        <v>528</v>
      </c>
      <c r="M589" s="164" t="s">
        <v>2705</v>
      </c>
      <c r="N589" s="164" t="s">
        <v>2705</v>
      </c>
      <c r="O589" s="162">
        <v>205</v>
      </c>
      <c r="P589" s="162" t="s">
        <v>2706</v>
      </c>
      <c r="Q589" s="162">
        <v>234</v>
      </c>
      <c r="R589" s="162" t="s">
        <v>2706</v>
      </c>
      <c r="S589" s="162">
        <v>139</v>
      </c>
      <c r="T589" s="162" t="s">
        <v>2706</v>
      </c>
      <c r="U589" s="162">
        <v>253</v>
      </c>
      <c r="V589" s="162" t="s">
        <v>2706</v>
      </c>
      <c r="W589" s="162">
        <v>200</v>
      </c>
      <c r="X589" s="162" t="s">
        <v>2706</v>
      </c>
      <c r="Y589" s="162">
        <v>124</v>
      </c>
      <c r="Z589" s="162" t="s">
        <v>2706</v>
      </c>
      <c r="AA589" s="162">
        <v>170</v>
      </c>
      <c r="AB589" s="162" t="s">
        <v>2706</v>
      </c>
      <c r="AC589" s="162">
        <v>153</v>
      </c>
      <c r="AD589" s="162" t="s">
        <v>2706</v>
      </c>
      <c r="AE589" s="162">
        <v>110</v>
      </c>
      <c r="AF589" s="162" t="s">
        <v>2706</v>
      </c>
      <c r="AG589" s="162">
        <v>183</v>
      </c>
      <c r="AH589" s="162" t="s">
        <v>2706</v>
      </c>
      <c r="AI589" s="162">
        <v>205</v>
      </c>
      <c r="AJ589" s="162" t="s">
        <v>2706</v>
      </c>
      <c r="AK589" s="162">
        <v>233</v>
      </c>
      <c r="AL589" s="162" t="s">
        <v>2706</v>
      </c>
      <c r="AM589" s="162">
        <v>2056</v>
      </c>
      <c r="AN589" s="162"/>
    </row>
    <row r="590" spans="1:40" s="100" customFormat="1" ht="46.8" x14ac:dyDescent="0.3">
      <c r="A590" s="161"/>
      <c r="B590" s="167"/>
      <c r="C590" s="98" t="s">
        <v>2708</v>
      </c>
      <c r="D590" s="163"/>
      <c r="E590" s="26" t="s">
        <v>48</v>
      </c>
      <c r="F590" s="30" t="s">
        <v>49</v>
      </c>
      <c r="G590" s="163"/>
      <c r="H590" s="163"/>
      <c r="I590" s="163"/>
      <c r="J590" s="165"/>
      <c r="K590" s="165"/>
      <c r="L590" s="165"/>
      <c r="M590" s="165"/>
      <c r="N590" s="165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  <c r="AA590" s="163"/>
      <c r="AB590" s="163"/>
      <c r="AC590" s="163"/>
      <c r="AD590" s="163"/>
      <c r="AE590" s="163"/>
      <c r="AF590" s="163"/>
      <c r="AG590" s="163"/>
      <c r="AH590" s="163"/>
      <c r="AI590" s="163"/>
      <c r="AJ590" s="163"/>
      <c r="AK590" s="163"/>
      <c r="AL590" s="163"/>
      <c r="AM590" s="163"/>
      <c r="AN590" s="163"/>
    </row>
    <row r="591" spans="1:40" s="100" customFormat="1" ht="46.8" x14ac:dyDescent="0.3">
      <c r="A591" s="160">
        <v>515</v>
      </c>
      <c r="B591" s="166" t="s">
        <v>1225</v>
      </c>
      <c r="C591" s="98" t="s">
        <v>2708</v>
      </c>
      <c r="D591" s="162" t="s">
        <v>2712</v>
      </c>
      <c r="E591" s="26" t="s">
        <v>144</v>
      </c>
      <c r="F591" s="30" t="s">
        <v>49</v>
      </c>
      <c r="G591" s="162" t="s">
        <v>2704</v>
      </c>
      <c r="H591" s="162">
        <v>17</v>
      </c>
      <c r="I591" s="162" t="str">
        <f t="shared" ref="I591" si="9">G591</f>
        <v>с ЛН</v>
      </c>
      <c r="J591" s="164">
        <v>3</v>
      </c>
      <c r="K591" s="164" t="s">
        <v>528</v>
      </c>
      <c r="L591" s="164" t="s">
        <v>528</v>
      </c>
      <c r="M591" s="164" t="s">
        <v>2705</v>
      </c>
      <c r="N591" s="164" t="s">
        <v>2705</v>
      </c>
      <c r="O591" s="162">
        <v>216</v>
      </c>
      <c r="P591" s="162" t="s">
        <v>2706</v>
      </c>
      <c r="Q591" s="162">
        <v>285</v>
      </c>
      <c r="R591" s="162" t="s">
        <v>2706</v>
      </c>
      <c r="S591" s="162">
        <v>158</v>
      </c>
      <c r="T591" s="162" t="s">
        <v>2706</v>
      </c>
      <c r="U591" s="162">
        <v>219</v>
      </c>
      <c r="V591" s="162" t="s">
        <v>2706</v>
      </c>
      <c r="W591" s="162">
        <v>173</v>
      </c>
      <c r="X591" s="162" t="s">
        <v>2706</v>
      </c>
      <c r="Y591" s="162">
        <v>137</v>
      </c>
      <c r="Z591" s="162" t="s">
        <v>2706</v>
      </c>
      <c r="AA591" s="162">
        <v>104</v>
      </c>
      <c r="AB591" s="162" t="s">
        <v>2706</v>
      </c>
      <c r="AC591" s="162">
        <v>99</v>
      </c>
      <c r="AD591" s="162" t="s">
        <v>2706</v>
      </c>
      <c r="AE591" s="162">
        <v>114</v>
      </c>
      <c r="AF591" s="162" t="s">
        <v>2706</v>
      </c>
      <c r="AG591" s="162">
        <v>389</v>
      </c>
      <c r="AH591" s="162" t="s">
        <v>2706</v>
      </c>
      <c r="AI591" s="162">
        <v>115</v>
      </c>
      <c r="AJ591" s="162" t="s">
        <v>2706</v>
      </c>
      <c r="AK591" s="162">
        <v>214</v>
      </c>
      <c r="AL591" s="162" t="s">
        <v>2706</v>
      </c>
      <c r="AM591" s="162">
        <v>2124</v>
      </c>
      <c r="AN591" s="162"/>
    </row>
    <row r="592" spans="1:40" s="100" customFormat="1" ht="46.8" x14ac:dyDescent="0.3">
      <c r="A592" s="161"/>
      <c r="B592" s="167"/>
      <c r="C592" s="98" t="s">
        <v>2708</v>
      </c>
      <c r="D592" s="163"/>
      <c r="E592" s="26" t="s">
        <v>48</v>
      </c>
      <c r="F592" s="30" t="s">
        <v>49</v>
      </c>
      <c r="G592" s="163"/>
      <c r="H592" s="163"/>
      <c r="I592" s="163"/>
      <c r="J592" s="165"/>
      <c r="K592" s="165"/>
      <c r="L592" s="165"/>
      <c r="M592" s="165"/>
      <c r="N592" s="165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  <c r="AA592" s="163"/>
      <c r="AB592" s="163"/>
      <c r="AC592" s="163"/>
      <c r="AD592" s="163"/>
      <c r="AE592" s="163"/>
      <c r="AF592" s="163"/>
      <c r="AG592" s="163"/>
      <c r="AH592" s="163"/>
      <c r="AI592" s="163"/>
      <c r="AJ592" s="163"/>
      <c r="AK592" s="163"/>
      <c r="AL592" s="163"/>
      <c r="AM592" s="163"/>
      <c r="AN592" s="163"/>
    </row>
    <row r="593" spans="1:40" s="100" customFormat="1" ht="46.8" x14ac:dyDescent="0.3">
      <c r="A593" s="160">
        <v>516</v>
      </c>
      <c r="B593" s="166" t="s">
        <v>1227</v>
      </c>
      <c r="C593" s="98" t="s">
        <v>2708</v>
      </c>
      <c r="D593" s="162" t="s">
        <v>2712</v>
      </c>
      <c r="E593" s="26" t="s">
        <v>144</v>
      </c>
      <c r="F593" s="30" t="s">
        <v>49</v>
      </c>
      <c r="G593" s="162" t="s">
        <v>2704</v>
      </c>
      <c r="H593" s="162">
        <v>24</v>
      </c>
      <c r="I593" s="162" t="str">
        <f t="shared" ref="I593" si="10">G593</f>
        <v>с ЛН</v>
      </c>
      <c r="J593" s="164">
        <v>4</v>
      </c>
      <c r="K593" s="164" t="s">
        <v>528</v>
      </c>
      <c r="L593" s="164" t="s">
        <v>528</v>
      </c>
      <c r="M593" s="164" t="s">
        <v>2705</v>
      </c>
      <c r="N593" s="164" t="s">
        <v>2705</v>
      </c>
      <c r="O593" s="162">
        <v>1797</v>
      </c>
      <c r="P593" s="162" t="s">
        <v>2706</v>
      </c>
      <c r="Q593" s="162">
        <v>2043</v>
      </c>
      <c r="R593" s="162" t="s">
        <v>2706</v>
      </c>
      <c r="S593" s="162">
        <v>1149</v>
      </c>
      <c r="T593" s="162" t="s">
        <v>2706</v>
      </c>
      <c r="U593" s="162">
        <v>1792</v>
      </c>
      <c r="V593" s="162" t="s">
        <v>2706</v>
      </c>
      <c r="W593" s="162">
        <v>2029</v>
      </c>
      <c r="X593" s="162" t="s">
        <v>2706</v>
      </c>
      <c r="Y593" s="162">
        <v>1327</v>
      </c>
      <c r="Z593" s="162" t="s">
        <v>2706</v>
      </c>
      <c r="AA593" s="162">
        <v>1749</v>
      </c>
      <c r="AB593" s="162" t="s">
        <v>2706</v>
      </c>
      <c r="AC593" s="162">
        <v>534</v>
      </c>
      <c r="AD593" s="162" t="s">
        <v>2706</v>
      </c>
      <c r="AE593" s="162">
        <v>175</v>
      </c>
      <c r="AF593" s="162" t="s">
        <v>2706</v>
      </c>
      <c r="AG593" s="162">
        <v>93</v>
      </c>
      <c r="AH593" s="162" t="s">
        <v>2706</v>
      </c>
      <c r="AI593" s="162">
        <v>622</v>
      </c>
      <c r="AJ593" s="162" t="s">
        <v>2706</v>
      </c>
      <c r="AK593" s="162">
        <v>153</v>
      </c>
      <c r="AL593" s="162" t="s">
        <v>2706</v>
      </c>
      <c r="AM593" s="162">
        <v>12929</v>
      </c>
      <c r="AN593" s="162"/>
    </row>
    <row r="594" spans="1:40" s="100" customFormat="1" ht="46.8" x14ac:dyDescent="0.3">
      <c r="A594" s="161"/>
      <c r="B594" s="167"/>
      <c r="C594" s="98" t="s">
        <v>2708</v>
      </c>
      <c r="D594" s="163"/>
      <c r="E594" s="26" t="s">
        <v>48</v>
      </c>
      <c r="F594" s="30" t="s">
        <v>49</v>
      </c>
      <c r="G594" s="163"/>
      <c r="H594" s="163"/>
      <c r="I594" s="163"/>
      <c r="J594" s="165"/>
      <c r="K594" s="165"/>
      <c r="L594" s="165"/>
      <c r="M594" s="165"/>
      <c r="N594" s="165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  <c r="AA594" s="163"/>
      <c r="AB594" s="163"/>
      <c r="AC594" s="163"/>
      <c r="AD594" s="163"/>
      <c r="AE594" s="163"/>
      <c r="AF594" s="163"/>
      <c r="AG594" s="163"/>
      <c r="AH594" s="163"/>
      <c r="AI594" s="163"/>
      <c r="AJ594" s="163"/>
      <c r="AK594" s="163"/>
      <c r="AL594" s="163"/>
      <c r="AM594" s="163"/>
      <c r="AN594" s="163"/>
    </row>
    <row r="595" spans="1:40" s="100" customFormat="1" ht="46.8" x14ac:dyDescent="0.3">
      <c r="A595" s="160">
        <v>517</v>
      </c>
      <c r="B595" s="166" t="s">
        <v>1228</v>
      </c>
      <c r="C595" s="98" t="s">
        <v>2708</v>
      </c>
      <c r="D595" s="162" t="s">
        <v>2712</v>
      </c>
      <c r="E595" s="26" t="s">
        <v>144</v>
      </c>
      <c r="F595" s="30" t="s">
        <v>49</v>
      </c>
      <c r="G595" s="162" t="s">
        <v>2704</v>
      </c>
      <c r="H595" s="162">
        <v>18</v>
      </c>
      <c r="I595" s="162" t="str">
        <f t="shared" ref="I595" si="11">G595</f>
        <v>с ЛН</v>
      </c>
      <c r="J595" s="164">
        <v>3</v>
      </c>
      <c r="K595" s="164" t="s">
        <v>528</v>
      </c>
      <c r="L595" s="164" t="s">
        <v>528</v>
      </c>
      <c r="M595" s="164" t="s">
        <v>2705</v>
      </c>
      <c r="N595" s="164" t="s">
        <v>2705</v>
      </c>
      <c r="O595" s="162">
        <v>0</v>
      </c>
      <c r="P595" s="162" t="s">
        <v>2706</v>
      </c>
      <c r="Q595" s="162">
        <v>0</v>
      </c>
      <c r="R595" s="162" t="s">
        <v>2706</v>
      </c>
      <c r="S595" s="162">
        <v>0</v>
      </c>
      <c r="T595" s="162" t="s">
        <v>2706</v>
      </c>
      <c r="U595" s="162">
        <v>0</v>
      </c>
      <c r="V595" s="162" t="s">
        <v>2706</v>
      </c>
      <c r="W595" s="162">
        <v>0</v>
      </c>
      <c r="X595" s="162" t="s">
        <v>2706</v>
      </c>
      <c r="Y595" s="162">
        <v>0</v>
      </c>
      <c r="Z595" s="162" t="s">
        <v>2706</v>
      </c>
      <c r="AA595" s="162">
        <v>0</v>
      </c>
      <c r="AB595" s="162" t="s">
        <v>2706</v>
      </c>
      <c r="AC595" s="162">
        <v>0</v>
      </c>
      <c r="AD595" s="162" t="s">
        <v>2706</v>
      </c>
      <c r="AE595" s="162">
        <v>0</v>
      </c>
      <c r="AF595" s="162" t="s">
        <v>2706</v>
      </c>
      <c r="AG595" s="162">
        <v>0</v>
      </c>
      <c r="AH595" s="162" t="s">
        <v>2706</v>
      </c>
      <c r="AI595" s="162">
        <v>0</v>
      </c>
      <c r="AJ595" s="162" t="s">
        <v>2706</v>
      </c>
      <c r="AK595" s="162">
        <v>0</v>
      </c>
      <c r="AL595" s="162" t="s">
        <v>2706</v>
      </c>
      <c r="AM595" s="162">
        <v>0</v>
      </c>
      <c r="AN595" s="162"/>
    </row>
    <row r="596" spans="1:40" s="100" customFormat="1" ht="46.8" x14ac:dyDescent="0.3">
      <c r="A596" s="161"/>
      <c r="B596" s="167"/>
      <c r="C596" s="98" t="s">
        <v>2708</v>
      </c>
      <c r="D596" s="163"/>
      <c r="E596" s="26" t="s">
        <v>48</v>
      </c>
      <c r="F596" s="30" t="s">
        <v>49</v>
      </c>
      <c r="G596" s="163"/>
      <c r="H596" s="163"/>
      <c r="I596" s="163"/>
      <c r="J596" s="165"/>
      <c r="K596" s="165"/>
      <c r="L596" s="165"/>
      <c r="M596" s="165"/>
      <c r="N596" s="165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  <c r="AA596" s="163"/>
      <c r="AB596" s="163"/>
      <c r="AC596" s="163"/>
      <c r="AD596" s="163"/>
      <c r="AE596" s="163"/>
      <c r="AF596" s="163"/>
      <c r="AG596" s="163"/>
      <c r="AH596" s="163"/>
      <c r="AI596" s="163"/>
      <c r="AJ596" s="163"/>
      <c r="AK596" s="163"/>
      <c r="AL596" s="163"/>
      <c r="AM596" s="163"/>
      <c r="AN596" s="163"/>
    </row>
    <row r="597" spans="1:40" s="100" customFormat="1" ht="46.8" x14ac:dyDescent="0.3">
      <c r="A597" s="160">
        <v>518</v>
      </c>
      <c r="B597" s="166" t="s">
        <v>1230</v>
      </c>
      <c r="C597" s="98" t="s">
        <v>2708</v>
      </c>
      <c r="D597" s="162" t="s">
        <v>2712</v>
      </c>
      <c r="E597" s="26" t="s">
        <v>144</v>
      </c>
      <c r="F597" s="30" t="s">
        <v>49</v>
      </c>
      <c r="G597" s="162"/>
      <c r="H597" s="162"/>
      <c r="I597" s="162"/>
      <c r="J597" s="164"/>
      <c r="K597" s="164" t="s">
        <v>528</v>
      </c>
      <c r="L597" s="164" t="s">
        <v>528</v>
      </c>
      <c r="M597" s="164" t="s">
        <v>2705</v>
      </c>
      <c r="N597" s="164" t="s">
        <v>2705</v>
      </c>
      <c r="O597" s="162">
        <v>1208</v>
      </c>
      <c r="P597" s="162" t="s">
        <v>2706</v>
      </c>
      <c r="Q597" s="162">
        <v>1310</v>
      </c>
      <c r="R597" s="162" t="s">
        <v>2706</v>
      </c>
      <c r="S597" s="162">
        <v>882</v>
      </c>
      <c r="T597" s="162" t="s">
        <v>2706</v>
      </c>
      <c r="U597" s="162">
        <v>1132</v>
      </c>
      <c r="V597" s="162" t="s">
        <v>2706</v>
      </c>
      <c r="W597" s="162">
        <v>1180</v>
      </c>
      <c r="X597" s="162" t="s">
        <v>2706</v>
      </c>
      <c r="Y597" s="162">
        <v>728</v>
      </c>
      <c r="Z597" s="162" t="s">
        <v>2706</v>
      </c>
      <c r="AA597" s="162">
        <v>804</v>
      </c>
      <c r="AB597" s="162" t="s">
        <v>2706</v>
      </c>
      <c r="AC597" s="162">
        <v>865</v>
      </c>
      <c r="AD597" s="162" t="s">
        <v>2706</v>
      </c>
      <c r="AE597" s="162">
        <v>756</v>
      </c>
      <c r="AF597" s="162" t="s">
        <v>2706</v>
      </c>
      <c r="AG597" s="162">
        <v>741</v>
      </c>
      <c r="AH597" s="162" t="s">
        <v>2706</v>
      </c>
      <c r="AI597" s="162">
        <v>244</v>
      </c>
      <c r="AJ597" s="162" t="s">
        <v>2706</v>
      </c>
      <c r="AK597" s="162">
        <v>1329</v>
      </c>
      <c r="AL597" s="162" t="s">
        <v>2706</v>
      </c>
      <c r="AM597" s="162">
        <v>10314</v>
      </c>
      <c r="AN597" s="162"/>
    </row>
    <row r="598" spans="1:40" s="100" customFormat="1" ht="46.8" x14ac:dyDescent="0.3">
      <c r="A598" s="161"/>
      <c r="B598" s="167"/>
      <c r="C598" s="98" t="s">
        <v>2708</v>
      </c>
      <c r="D598" s="163"/>
      <c r="E598" s="26" t="s">
        <v>48</v>
      </c>
      <c r="F598" s="30" t="s">
        <v>49</v>
      </c>
      <c r="G598" s="163"/>
      <c r="H598" s="163"/>
      <c r="I598" s="163"/>
      <c r="J598" s="165"/>
      <c r="K598" s="165"/>
      <c r="L598" s="165"/>
      <c r="M598" s="165"/>
      <c r="N598" s="165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  <c r="AA598" s="163"/>
      <c r="AB598" s="163"/>
      <c r="AC598" s="163"/>
      <c r="AD598" s="163"/>
      <c r="AE598" s="163"/>
      <c r="AF598" s="163"/>
      <c r="AG598" s="163"/>
      <c r="AH598" s="163"/>
      <c r="AI598" s="163"/>
      <c r="AJ598" s="163"/>
      <c r="AK598" s="163"/>
      <c r="AL598" s="163"/>
      <c r="AM598" s="163"/>
      <c r="AN598" s="163"/>
    </row>
    <row r="599" spans="1:40" s="100" customFormat="1" ht="46.8" x14ac:dyDescent="0.3">
      <c r="A599" s="160">
        <v>519</v>
      </c>
      <c r="B599" s="166" t="s">
        <v>1232</v>
      </c>
      <c r="C599" s="98" t="s">
        <v>2708</v>
      </c>
      <c r="D599" s="162" t="s">
        <v>2712</v>
      </c>
      <c r="E599" s="26" t="s">
        <v>144</v>
      </c>
      <c r="F599" s="30" t="s">
        <v>49</v>
      </c>
      <c r="G599" s="162" t="s">
        <v>2704</v>
      </c>
      <c r="H599" s="162">
        <v>37</v>
      </c>
      <c r="I599" s="162" t="str">
        <f t="shared" ref="I599:I611" si="12">G599</f>
        <v>с ЛН</v>
      </c>
      <c r="J599" s="164">
        <v>7</v>
      </c>
      <c r="K599" s="164" t="s">
        <v>528</v>
      </c>
      <c r="L599" s="164" t="s">
        <v>528</v>
      </c>
      <c r="M599" s="164" t="s">
        <v>2705</v>
      </c>
      <c r="N599" s="164" t="s">
        <v>2705</v>
      </c>
      <c r="O599" s="162">
        <v>1259</v>
      </c>
      <c r="P599" s="162" t="s">
        <v>2706</v>
      </c>
      <c r="Q599" s="162">
        <v>1366</v>
      </c>
      <c r="R599" s="162" t="s">
        <v>2706</v>
      </c>
      <c r="S599" s="162">
        <v>820</v>
      </c>
      <c r="T599" s="162" t="s">
        <v>2706</v>
      </c>
      <c r="U599" s="162">
        <v>1124</v>
      </c>
      <c r="V599" s="162" t="s">
        <v>2706</v>
      </c>
      <c r="W599" s="162">
        <v>1092</v>
      </c>
      <c r="X599" s="162" t="s">
        <v>2706</v>
      </c>
      <c r="Y599" s="162">
        <v>664</v>
      </c>
      <c r="Z599" s="162" t="s">
        <v>2706</v>
      </c>
      <c r="AA599" s="162">
        <v>764</v>
      </c>
      <c r="AB599" s="162" t="s">
        <v>2706</v>
      </c>
      <c r="AC599" s="162">
        <v>900</v>
      </c>
      <c r="AD599" s="162" t="s">
        <v>2706</v>
      </c>
      <c r="AE599" s="162">
        <v>865</v>
      </c>
      <c r="AF599" s="162" t="s">
        <v>2706</v>
      </c>
      <c r="AG599" s="162">
        <v>524</v>
      </c>
      <c r="AH599" s="162" t="s">
        <v>2706</v>
      </c>
      <c r="AI599" s="162">
        <v>984</v>
      </c>
      <c r="AJ599" s="162" t="s">
        <v>2706</v>
      </c>
      <c r="AK599" s="162">
        <v>1354</v>
      </c>
      <c r="AL599" s="162" t="s">
        <v>2706</v>
      </c>
      <c r="AM599" s="162">
        <v>10816</v>
      </c>
      <c r="AN599" s="162"/>
    </row>
    <row r="600" spans="1:40" s="100" customFormat="1" ht="46.8" x14ac:dyDescent="0.3">
      <c r="A600" s="161"/>
      <c r="B600" s="167"/>
      <c r="C600" s="98" t="s">
        <v>2708</v>
      </c>
      <c r="D600" s="163"/>
      <c r="E600" s="26" t="s">
        <v>48</v>
      </c>
      <c r="F600" s="30" t="s">
        <v>49</v>
      </c>
      <c r="G600" s="163"/>
      <c r="H600" s="163"/>
      <c r="I600" s="163"/>
      <c r="J600" s="165"/>
      <c r="K600" s="165"/>
      <c r="L600" s="165"/>
      <c r="M600" s="165"/>
      <c r="N600" s="165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  <c r="AA600" s="163"/>
      <c r="AB600" s="163"/>
      <c r="AC600" s="163"/>
      <c r="AD600" s="163"/>
      <c r="AE600" s="163"/>
      <c r="AF600" s="163"/>
      <c r="AG600" s="163"/>
      <c r="AH600" s="163"/>
      <c r="AI600" s="163"/>
      <c r="AJ600" s="163"/>
      <c r="AK600" s="163"/>
      <c r="AL600" s="163"/>
      <c r="AM600" s="163"/>
      <c r="AN600" s="163"/>
    </row>
    <row r="601" spans="1:40" s="100" customFormat="1" ht="46.8" x14ac:dyDescent="0.3">
      <c r="A601" s="160">
        <v>520</v>
      </c>
      <c r="B601" s="166" t="s">
        <v>1233</v>
      </c>
      <c r="C601" s="98" t="s">
        <v>2708</v>
      </c>
      <c r="D601" s="162" t="s">
        <v>2712</v>
      </c>
      <c r="E601" s="26" t="s">
        <v>144</v>
      </c>
      <c r="F601" s="30" t="s">
        <v>49</v>
      </c>
      <c r="G601" s="162"/>
      <c r="H601" s="162"/>
      <c r="I601" s="162"/>
      <c r="J601" s="164"/>
      <c r="K601" s="164" t="s">
        <v>528</v>
      </c>
      <c r="L601" s="164" t="s">
        <v>528</v>
      </c>
      <c r="M601" s="164" t="s">
        <v>2705</v>
      </c>
      <c r="N601" s="164" t="s">
        <v>2705</v>
      </c>
      <c r="O601" s="162">
        <v>0</v>
      </c>
      <c r="P601" s="162" t="s">
        <v>2706</v>
      </c>
      <c r="Q601" s="162">
        <v>0</v>
      </c>
      <c r="R601" s="162" t="s">
        <v>2706</v>
      </c>
      <c r="S601" s="162">
        <v>0</v>
      </c>
      <c r="T601" s="162" t="s">
        <v>2706</v>
      </c>
      <c r="U601" s="162">
        <v>0</v>
      </c>
      <c r="V601" s="162" t="s">
        <v>2706</v>
      </c>
      <c r="W601" s="162">
        <v>0</v>
      </c>
      <c r="X601" s="162" t="s">
        <v>2706</v>
      </c>
      <c r="Y601" s="162">
        <v>0</v>
      </c>
      <c r="Z601" s="162" t="s">
        <v>2706</v>
      </c>
      <c r="AA601" s="162">
        <v>0</v>
      </c>
      <c r="AB601" s="162" t="s">
        <v>2706</v>
      </c>
      <c r="AC601" s="162">
        <v>0</v>
      </c>
      <c r="AD601" s="162" t="s">
        <v>2706</v>
      </c>
      <c r="AE601" s="162">
        <v>0</v>
      </c>
      <c r="AF601" s="162" t="s">
        <v>2706</v>
      </c>
      <c r="AG601" s="162">
        <v>0</v>
      </c>
      <c r="AH601" s="162" t="s">
        <v>2706</v>
      </c>
      <c r="AI601" s="162">
        <v>0</v>
      </c>
      <c r="AJ601" s="162" t="s">
        <v>2706</v>
      </c>
      <c r="AK601" s="162">
        <v>0</v>
      </c>
      <c r="AL601" s="162" t="s">
        <v>2706</v>
      </c>
      <c r="AM601" s="162">
        <v>0</v>
      </c>
      <c r="AN601" s="162"/>
    </row>
    <row r="602" spans="1:40" s="100" customFormat="1" ht="46.8" x14ac:dyDescent="0.3">
      <c r="A602" s="161"/>
      <c r="B602" s="167"/>
      <c r="C602" s="98" t="s">
        <v>2708</v>
      </c>
      <c r="D602" s="163"/>
      <c r="E602" s="26" t="s">
        <v>48</v>
      </c>
      <c r="F602" s="30" t="s">
        <v>49</v>
      </c>
      <c r="G602" s="163"/>
      <c r="H602" s="163"/>
      <c r="I602" s="163"/>
      <c r="J602" s="165"/>
      <c r="K602" s="165"/>
      <c r="L602" s="165"/>
      <c r="M602" s="165"/>
      <c r="N602" s="165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  <c r="AA602" s="163"/>
      <c r="AB602" s="163"/>
      <c r="AC602" s="163"/>
      <c r="AD602" s="163"/>
      <c r="AE602" s="163"/>
      <c r="AF602" s="163"/>
      <c r="AG602" s="163"/>
      <c r="AH602" s="163"/>
      <c r="AI602" s="163"/>
      <c r="AJ602" s="163"/>
      <c r="AK602" s="163"/>
      <c r="AL602" s="163"/>
      <c r="AM602" s="163"/>
      <c r="AN602" s="163"/>
    </row>
    <row r="603" spans="1:40" s="100" customFormat="1" ht="46.8" x14ac:dyDescent="0.3">
      <c r="A603" s="160">
        <v>521</v>
      </c>
      <c r="B603" s="166" t="s">
        <v>1235</v>
      </c>
      <c r="C603" s="98" t="s">
        <v>2708</v>
      </c>
      <c r="D603" s="162" t="s">
        <v>2712</v>
      </c>
      <c r="E603" s="26" t="s">
        <v>144</v>
      </c>
      <c r="F603" s="30" t="s">
        <v>49</v>
      </c>
      <c r="G603" s="162" t="s">
        <v>2704</v>
      </c>
      <c r="H603" s="162">
        <v>54</v>
      </c>
      <c r="I603" s="162" t="str">
        <f t="shared" ref="I603:I661" si="13">G603</f>
        <v>с ЛН</v>
      </c>
      <c r="J603" s="164">
        <v>9</v>
      </c>
      <c r="K603" s="164" t="s">
        <v>528</v>
      </c>
      <c r="L603" s="164" t="s">
        <v>528</v>
      </c>
      <c r="M603" s="164" t="s">
        <v>2705</v>
      </c>
      <c r="N603" s="164" t="s">
        <v>2705</v>
      </c>
      <c r="O603" s="162">
        <v>1519</v>
      </c>
      <c r="P603" s="162" t="s">
        <v>2706</v>
      </c>
      <c r="Q603" s="162">
        <v>1693</v>
      </c>
      <c r="R603" s="162" t="s">
        <v>2706</v>
      </c>
      <c r="S603" s="162">
        <v>929</v>
      </c>
      <c r="T603" s="162" t="s">
        <v>2706</v>
      </c>
      <c r="U603" s="162">
        <v>1119</v>
      </c>
      <c r="V603" s="162" t="s">
        <v>2706</v>
      </c>
      <c r="W603" s="162">
        <v>1244</v>
      </c>
      <c r="X603" s="162" t="s">
        <v>2706</v>
      </c>
      <c r="Y603" s="162">
        <v>727</v>
      </c>
      <c r="Z603" s="162" t="s">
        <v>2706</v>
      </c>
      <c r="AA603" s="162">
        <v>962</v>
      </c>
      <c r="AB603" s="162" t="s">
        <v>2706</v>
      </c>
      <c r="AC603" s="162">
        <v>1093</v>
      </c>
      <c r="AD603" s="162" t="s">
        <v>2706</v>
      </c>
      <c r="AE603" s="162">
        <v>1361</v>
      </c>
      <c r="AF603" s="162" t="s">
        <v>2706</v>
      </c>
      <c r="AG603" s="162">
        <v>812</v>
      </c>
      <c r="AH603" s="162" t="s">
        <v>2706</v>
      </c>
      <c r="AI603" s="162">
        <v>784</v>
      </c>
      <c r="AJ603" s="162" t="s">
        <v>2706</v>
      </c>
      <c r="AK603" s="162">
        <v>1379</v>
      </c>
      <c r="AL603" s="162" t="s">
        <v>2706</v>
      </c>
      <c r="AM603" s="162">
        <v>12529</v>
      </c>
      <c r="AN603" s="162"/>
    </row>
    <row r="604" spans="1:40" s="100" customFormat="1" ht="46.8" x14ac:dyDescent="0.3">
      <c r="A604" s="161"/>
      <c r="B604" s="167"/>
      <c r="C604" s="98" t="s">
        <v>2708</v>
      </c>
      <c r="D604" s="163"/>
      <c r="E604" s="26" t="s">
        <v>48</v>
      </c>
      <c r="F604" s="30" t="s">
        <v>49</v>
      </c>
      <c r="G604" s="163"/>
      <c r="H604" s="163"/>
      <c r="I604" s="163"/>
      <c r="J604" s="165"/>
      <c r="K604" s="165"/>
      <c r="L604" s="165"/>
      <c r="M604" s="165"/>
      <c r="N604" s="165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  <c r="AA604" s="163"/>
      <c r="AB604" s="163"/>
      <c r="AC604" s="163"/>
      <c r="AD604" s="163"/>
      <c r="AE604" s="163"/>
      <c r="AF604" s="163"/>
      <c r="AG604" s="163"/>
      <c r="AH604" s="163"/>
      <c r="AI604" s="163"/>
      <c r="AJ604" s="163"/>
      <c r="AK604" s="163"/>
      <c r="AL604" s="163"/>
      <c r="AM604" s="163"/>
      <c r="AN604" s="163"/>
    </row>
    <row r="605" spans="1:40" s="100" customFormat="1" ht="46.8" x14ac:dyDescent="0.3">
      <c r="A605" s="160">
        <v>522</v>
      </c>
      <c r="B605" s="166" t="s">
        <v>1237</v>
      </c>
      <c r="C605" s="98" t="s">
        <v>2708</v>
      </c>
      <c r="D605" s="162" t="s">
        <v>2712</v>
      </c>
      <c r="E605" s="26" t="s">
        <v>144</v>
      </c>
      <c r="F605" s="30" t="s">
        <v>49</v>
      </c>
      <c r="G605" s="162" t="s">
        <v>2704</v>
      </c>
      <c r="H605" s="162">
        <v>25</v>
      </c>
      <c r="I605" s="162" t="str">
        <f t="shared" ref="I605" si="14">G605</f>
        <v>с ЛН</v>
      </c>
      <c r="J605" s="164">
        <v>4</v>
      </c>
      <c r="K605" s="164" t="s">
        <v>528</v>
      </c>
      <c r="L605" s="164" t="s">
        <v>528</v>
      </c>
      <c r="M605" s="164" t="s">
        <v>2705</v>
      </c>
      <c r="N605" s="164" t="s">
        <v>2705</v>
      </c>
      <c r="O605" s="162">
        <v>988</v>
      </c>
      <c r="P605" s="162" t="s">
        <v>2706</v>
      </c>
      <c r="Q605" s="162">
        <v>991</v>
      </c>
      <c r="R605" s="162" t="s">
        <v>2706</v>
      </c>
      <c r="S605" s="162">
        <v>587</v>
      </c>
      <c r="T605" s="162" t="s">
        <v>2706</v>
      </c>
      <c r="U605" s="162">
        <v>889</v>
      </c>
      <c r="V605" s="162" t="s">
        <v>2706</v>
      </c>
      <c r="W605" s="162">
        <v>976</v>
      </c>
      <c r="X605" s="162" t="s">
        <v>2706</v>
      </c>
      <c r="Y605" s="162">
        <v>623</v>
      </c>
      <c r="Z605" s="162" t="s">
        <v>2706</v>
      </c>
      <c r="AA605" s="162">
        <v>793</v>
      </c>
      <c r="AB605" s="162" t="s">
        <v>2706</v>
      </c>
      <c r="AC605" s="162">
        <v>828</v>
      </c>
      <c r="AD605" s="162" t="s">
        <v>2706</v>
      </c>
      <c r="AE605" s="162">
        <v>1105</v>
      </c>
      <c r="AF605" s="162" t="s">
        <v>2706</v>
      </c>
      <c r="AG605" s="162">
        <v>1016</v>
      </c>
      <c r="AH605" s="162" t="s">
        <v>2706</v>
      </c>
      <c r="AI605" s="162">
        <v>2559</v>
      </c>
      <c r="AJ605" s="162" t="s">
        <v>2706</v>
      </c>
      <c r="AK605" s="162">
        <v>1464</v>
      </c>
      <c r="AL605" s="162" t="s">
        <v>2706</v>
      </c>
      <c r="AM605" s="162">
        <v>11991</v>
      </c>
      <c r="AN605" s="162"/>
    </row>
    <row r="606" spans="1:40" s="100" customFormat="1" ht="46.8" x14ac:dyDescent="0.3">
      <c r="A606" s="161"/>
      <c r="B606" s="167"/>
      <c r="C606" s="98" t="s">
        <v>2708</v>
      </c>
      <c r="D606" s="163"/>
      <c r="E606" s="26" t="s">
        <v>48</v>
      </c>
      <c r="F606" s="30" t="s">
        <v>49</v>
      </c>
      <c r="G606" s="163"/>
      <c r="H606" s="163"/>
      <c r="I606" s="163"/>
      <c r="J606" s="165"/>
      <c r="K606" s="165"/>
      <c r="L606" s="165"/>
      <c r="M606" s="165"/>
      <c r="N606" s="165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  <c r="AA606" s="163"/>
      <c r="AB606" s="163"/>
      <c r="AC606" s="163"/>
      <c r="AD606" s="163"/>
      <c r="AE606" s="163"/>
      <c r="AF606" s="163"/>
      <c r="AG606" s="163"/>
      <c r="AH606" s="163"/>
      <c r="AI606" s="163"/>
      <c r="AJ606" s="163"/>
      <c r="AK606" s="163"/>
      <c r="AL606" s="163"/>
      <c r="AM606" s="163"/>
      <c r="AN606" s="163"/>
    </row>
    <row r="607" spans="1:40" s="100" customFormat="1" ht="46.8" x14ac:dyDescent="0.3">
      <c r="A607" s="160">
        <v>523</v>
      </c>
      <c r="B607" s="166" t="s">
        <v>1240</v>
      </c>
      <c r="C607" s="98" t="s">
        <v>2708</v>
      </c>
      <c r="D607" s="162" t="s">
        <v>2712</v>
      </c>
      <c r="E607" s="26" t="s">
        <v>144</v>
      </c>
      <c r="F607" s="30" t="s">
        <v>49</v>
      </c>
      <c r="G607" s="162"/>
      <c r="H607" s="162"/>
      <c r="I607" s="162"/>
      <c r="J607" s="164"/>
      <c r="K607" s="164" t="s">
        <v>528</v>
      </c>
      <c r="L607" s="164" t="s">
        <v>528</v>
      </c>
      <c r="M607" s="164" t="s">
        <v>2705</v>
      </c>
      <c r="N607" s="164" t="s">
        <v>2705</v>
      </c>
      <c r="O607" s="162">
        <v>3028</v>
      </c>
      <c r="P607" s="162" t="s">
        <v>2706</v>
      </c>
      <c r="Q607" s="162">
        <v>3739</v>
      </c>
      <c r="R607" s="162" t="s">
        <v>2706</v>
      </c>
      <c r="S607" s="162">
        <v>2010</v>
      </c>
      <c r="T607" s="162" t="s">
        <v>2706</v>
      </c>
      <c r="U607" s="162">
        <v>2945</v>
      </c>
      <c r="V607" s="162" t="s">
        <v>2706</v>
      </c>
      <c r="W607" s="162">
        <v>3182</v>
      </c>
      <c r="X607" s="162" t="s">
        <v>2706</v>
      </c>
      <c r="Y607" s="162">
        <v>2019</v>
      </c>
      <c r="Z607" s="162" t="s">
        <v>2706</v>
      </c>
      <c r="AA607" s="162">
        <v>2629</v>
      </c>
      <c r="AB607" s="162" t="s">
        <v>2706</v>
      </c>
      <c r="AC607" s="162">
        <v>2953</v>
      </c>
      <c r="AD607" s="162" t="s">
        <v>2706</v>
      </c>
      <c r="AE607" s="162">
        <v>3177</v>
      </c>
      <c r="AF607" s="162" t="s">
        <v>2706</v>
      </c>
      <c r="AG607" s="162">
        <v>2120</v>
      </c>
      <c r="AH607" s="162" t="s">
        <v>2706</v>
      </c>
      <c r="AI607" s="162">
        <v>1441</v>
      </c>
      <c r="AJ607" s="162" t="s">
        <v>2706</v>
      </c>
      <c r="AK607" s="162">
        <v>3816</v>
      </c>
      <c r="AL607" s="162" t="s">
        <v>2706</v>
      </c>
      <c r="AM607" s="162">
        <v>30106</v>
      </c>
      <c r="AN607" s="162"/>
    </row>
    <row r="608" spans="1:40" s="100" customFormat="1" ht="46.8" x14ac:dyDescent="0.3">
      <c r="A608" s="161"/>
      <c r="B608" s="167"/>
      <c r="C608" s="98" t="s">
        <v>2708</v>
      </c>
      <c r="D608" s="163"/>
      <c r="E608" s="26" t="s">
        <v>48</v>
      </c>
      <c r="F608" s="30" t="s">
        <v>49</v>
      </c>
      <c r="G608" s="163"/>
      <c r="H608" s="163"/>
      <c r="I608" s="163"/>
      <c r="J608" s="165"/>
      <c r="K608" s="165"/>
      <c r="L608" s="165"/>
      <c r="M608" s="165"/>
      <c r="N608" s="165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  <c r="AA608" s="163"/>
      <c r="AB608" s="163"/>
      <c r="AC608" s="163"/>
      <c r="AD608" s="163"/>
      <c r="AE608" s="163"/>
      <c r="AF608" s="163"/>
      <c r="AG608" s="163"/>
      <c r="AH608" s="163"/>
      <c r="AI608" s="163"/>
      <c r="AJ608" s="163"/>
      <c r="AK608" s="163"/>
      <c r="AL608" s="163"/>
      <c r="AM608" s="163"/>
      <c r="AN608" s="163"/>
    </row>
    <row r="609" spans="1:40" s="100" customFormat="1" ht="46.8" x14ac:dyDescent="0.3">
      <c r="A609" s="160">
        <v>524</v>
      </c>
      <c r="B609" s="166" t="s">
        <v>1242</v>
      </c>
      <c r="C609" s="98" t="s">
        <v>2708</v>
      </c>
      <c r="D609" s="162" t="s">
        <v>2712</v>
      </c>
      <c r="E609" s="26" t="s">
        <v>144</v>
      </c>
      <c r="F609" s="30" t="s">
        <v>49</v>
      </c>
      <c r="G609" s="162"/>
      <c r="H609" s="162"/>
      <c r="I609" s="162"/>
      <c r="J609" s="164"/>
      <c r="K609" s="164" t="s">
        <v>529</v>
      </c>
      <c r="L609" s="164" t="s">
        <v>529</v>
      </c>
      <c r="M609" s="164" t="s">
        <v>2705</v>
      </c>
      <c r="N609" s="164" t="s">
        <v>2705</v>
      </c>
      <c r="O609" s="162">
        <v>1936</v>
      </c>
      <c r="P609" s="162" t="s">
        <v>2706</v>
      </c>
      <c r="Q609" s="162">
        <v>2089</v>
      </c>
      <c r="R609" s="162" t="s">
        <v>2706</v>
      </c>
      <c r="S609" s="162">
        <v>1119</v>
      </c>
      <c r="T609" s="162" t="s">
        <v>2706</v>
      </c>
      <c r="U609" s="162">
        <v>1421</v>
      </c>
      <c r="V609" s="162" t="s">
        <v>2706</v>
      </c>
      <c r="W609" s="162">
        <v>2039</v>
      </c>
      <c r="X609" s="162" t="s">
        <v>2706</v>
      </c>
      <c r="Y609" s="162">
        <v>1203</v>
      </c>
      <c r="Z609" s="162" t="s">
        <v>2706</v>
      </c>
      <c r="AA609" s="162">
        <v>1451</v>
      </c>
      <c r="AB609" s="162" t="s">
        <v>2706</v>
      </c>
      <c r="AC609" s="162">
        <v>1686</v>
      </c>
      <c r="AD609" s="162" t="s">
        <v>2706</v>
      </c>
      <c r="AE609" s="162">
        <v>1633</v>
      </c>
      <c r="AF609" s="162" t="s">
        <v>2706</v>
      </c>
      <c r="AG609" s="162">
        <v>1246</v>
      </c>
      <c r="AH609" s="162" t="s">
        <v>2706</v>
      </c>
      <c r="AI609" s="162">
        <v>438</v>
      </c>
      <c r="AJ609" s="162" t="s">
        <v>2706</v>
      </c>
      <c r="AK609" s="162">
        <v>1891</v>
      </c>
      <c r="AL609" s="162" t="s">
        <v>2706</v>
      </c>
      <c r="AM609" s="162">
        <v>16466</v>
      </c>
      <c r="AN609" s="162"/>
    </row>
    <row r="610" spans="1:40" s="100" customFormat="1" ht="46.8" x14ac:dyDescent="0.3">
      <c r="A610" s="161"/>
      <c r="B610" s="167"/>
      <c r="C610" s="98" t="s">
        <v>2708</v>
      </c>
      <c r="D610" s="163"/>
      <c r="E610" s="26" t="s">
        <v>48</v>
      </c>
      <c r="F610" s="30" t="s">
        <v>49</v>
      </c>
      <c r="G610" s="163"/>
      <c r="H610" s="163"/>
      <c r="I610" s="163"/>
      <c r="J610" s="165"/>
      <c r="K610" s="165"/>
      <c r="L610" s="165"/>
      <c r="M610" s="165"/>
      <c r="N610" s="165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  <c r="AA610" s="163"/>
      <c r="AB610" s="163"/>
      <c r="AC610" s="163"/>
      <c r="AD610" s="163"/>
      <c r="AE610" s="163"/>
      <c r="AF610" s="163"/>
      <c r="AG610" s="163"/>
      <c r="AH610" s="163"/>
      <c r="AI610" s="163"/>
      <c r="AJ610" s="163"/>
      <c r="AK610" s="163"/>
      <c r="AL610" s="163"/>
      <c r="AM610" s="163"/>
      <c r="AN610" s="163"/>
    </row>
    <row r="611" spans="1:40" s="100" customFormat="1" ht="46.8" x14ac:dyDescent="0.3">
      <c r="A611" s="160">
        <v>525</v>
      </c>
      <c r="B611" s="166" t="s">
        <v>1243</v>
      </c>
      <c r="C611" s="98" t="s">
        <v>2708</v>
      </c>
      <c r="D611" s="162" t="s">
        <v>2712</v>
      </c>
      <c r="E611" s="26" t="s">
        <v>144</v>
      </c>
      <c r="F611" s="30" t="s">
        <v>49</v>
      </c>
      <c r="G611" s="162" t="s">
        <v>2704</v>
      </c>
      <c r="H611" s="162">
        <v>18</v>
      </c>
      <c r="I611" s="162" t="str">
        <f t="shared" si="12"/>
        <v>с ЛН</v>
      </c>
      <c r="J611" s="164">
        <v>3</v>
      </c>
      <c r="K611" s="164" t="s">
        <v>528</v>
      </c>
      <c r="L611" s="164" t="s">
        <v>528</v>
      </c>
      <c r="M611" s="164" t="s">
        <v>2705</v>
      </c>
      <c r="N611" s="164" t="s">
        <v>2705</v>
      </c>
      <c r="O611" s="162">
        <v>0</v>
      </c>
      <c r="P611" s="162" t="s">
        <v>2706</v>
      </c>
      <c r="Q611" s="162">
        <v>0</v>
      </c>
      <c r="R611" s="162" t="s">
        <v>2706</v>
      </c>
      <c r="S611" s="162">
        <v>0</v>
      </c>
      <c r="T611" s="162" t="s">
        <v>2706</v>
      </c>
      <c r="U611" s="162">
        <v>0</v>
      </c>
      <c r="V611" s="162" t="s">
        <v>2706</v>
      </c>
      <c r="W611" s="162">
        <v>0</v>
      </c>
      <c r="X611" s="162" t="s">
        <v>2706</v>
      </c>
      <c r="Y611" s="162">
        <v>0</v>
      </c>
      <c r="Z611" s="162" t="s">
        <v>2706</v>
      </c>
      <c r="AA611" s="162">
        <v>0</v>
      </c>
      <c r="AB611" s="162" t="s">
        <v>2706</v>
      </c>
      <c r="AC611" s="162">
        <v>0</v>
      </c>
      <c r="AD611" s="162" t="s">
        <v>2706</v>
      </c>
      <c r="AE611" s="162">
        <v>0</v>
      </c>
      <c r="AF611" s="162" t="s">
        <v>2706</v>
      </c>
      <c r="AG611" s="162">
        <v>0</v>
      </c>
      <c r="AH611" s="162" t="s">
        <v>2706</v>
      </c>
      <c r="AI611" s="162">
        <v>0</v>
      </c>
      <c r="AJ611" s="162" t="s">
        <v>2706</v>
      </c>
      <c r="AK611" s="162">
        <v>0</v>
      </c>
      <c r="AL611" s="162" t="s">
        <v>2706</v>
      </c>
      <c r="AM611" s="162">
        <v>0</v>
      </c>
      <c r="AN611" s="162"/>
    </row>
    <row r="612" spans="1:40" s="100" customFormat="1" ht="46.8" x14ac:dyDescent="0.3">
      <c r="A612" s="161"/>
      <c r="B612" s="167"/>
      <c r="C612" s="98" t="s">
        <v>2708</v>
      </c>
      <c r="D612" s="163"/>
      <c r="E612" s="26" t="s">
        <v>48</v>
      </c>
      <c r="F612" s="30" t="s">
        <v>49</v>
      </c>
      <c r="G612" s="163"/>
      <c r="H612" s="163"/>
      <c r="I612" s="163"/>
      <c r="J612" s="165"/>
      <c r="K612" s="165"/>
      <c r="L612" s="165"/>
      <c r="M612" s="165"/>
      <c r="N612" s="165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  <c r="AA612" s="163"/>
      <c r="AB612" s="163"/>
      <c r="AC612" s="163"/>
      <c r="AD612" s="163"/>
      <c r="AE612" s="163"/>
      <c r="AF612" s="163"/>
      <c r="AG612" s="163"/>
      <c r="AH612" s="163"/>
      <c r="AI612" s="163"/>
      <c r="AJ612" s="163"/>
      <c r="AK612" s="163"/>
      <c r="AL612" s="163"/>
      <c r="AM612" s="163"/>
      <c r="AN612" s="163"/>
    </row>
    <row r="613" spans="1:40" s="100" customFormat="1" ht="46.8" x14ac:dyDescent="0.3">
      <c r="A613" s="160">
        <v>526</v>
      </c>
      <c r="B613" s="166" t="s">
        <v>1244</v>
      </c>
      <c r="C613" s="98" t="s">
        <v>2708</v>
      </c>
      <c r="D613" s="162" t="s">
        <v>2712</v>
      </c>
      <c r="E613" s="26" t="s">
        <v>144</v>
      </c>
      <c r="F613" s="30" t="s">
        <v>49</v>
      </c>
      <c r="G613" s="162" t="s">
        <v>2704</v>
      </c>
      <c r="H613" s="162">
        <v>17</v>
      </c>
      <c r="I613" s="162" t="str">
        <f t="shared" ref="I613" si="15">G613</f>
        <v>с ЛН</v>
      </c>
      <c r="J613" s="164">
        <v>3</v>
      </c>
      <c r="K613" s="164" t="s">
        <v>528</v>
      </c>
      <c r="L613" s="164" t="s">
        <v>528</v>
      </c>
      <c r="M613" s="164" t="s">
        <v>2705</v>
      </c>
      <c r="N613" s="164" t="s">
        <v>2705</v>
      </c>
      <c r="O613" s="162">
        <v>0</v>
      </c>
      <c r="P613" s="162" t="s">
        <v>2706</v>
      </c>
      <c r="Q613" s="162">
        <v>0</v>
      </c>
      <c r="R613" s="162" t="s">
        <v>2706</v>
      </c>
      <c r="S613" s="162">
        <v>0</v>
      </c>
      <c r="T613" s="162" t="s">
        <v>2706</v>
      </c>
      <c r="U613" s="162">
        <v>0</v>
      </c>
      <c r="V613" s="162" t="s">
        <v>2706</v>
      </c>
      <c r="W613" s="162">
        <v>0</v>
      </c>
      <c r="X613" s="162" t="s">
        <v>2706</v>
      </c>
      <c r="Y613" s="162">
        <v>0</v>
      </c>
      <c r="Z613" s="162" t="s">
        <v>2706</v>
      </c>
      <c r="AA613" s="162">
        <v>0</v>
      </c>
      <c r="AB613" s="162" t="s">
        <v>2706</v>
      </c>
      <c r="AC613" s="162">
        <v>0</v>
      </c>
      <c r="AD613" s="162" t="s">
        <v>2706</v>
      </c>
      <c r="AE613" s="162">
        <v>0</v>
      </c>
      <c r="AF613" s="162" t="s">
        <v>2706</v>
      </c>
      <c r="AG613" s="162">
        <v>0</v>
      </c>
      <c r="AH613" s="162" t="s">
        <v>2706</v>
      </c>
      <c r="AI613" s="162">
        <v>779</v>
      </c>
      <c r="AJ613" s="162" t="s">
        <v>2706</v>
      </c>
      <c r="AK613" s="162">
        <v>0</v>
      </c>
      <c r="AL613" s="162" t="s">
        <v>2706</v>
      </c>
      <c r="AM613" s="162">
        <v>779</v>
      </c>
      <c r="AN613" s="162"/>
    </row>
    <row r="614" spans="1:40" s="100" customFormat="1" ht="46.8" x14ac:dyDescent="0.3">
      <c r="A614" s="161"/>
      <c r="B614" s="167"/>
      <c r="C614" s="98" t="s">
        <v>2708</v>
      </c>
      <c r="D614" s="163"/>
      <c r="E614" s="26" t="s">
        <v>48</v>
      </c>
      <c r="F614" s="30" t="s">
        <v>49</v>
      </c>
      <c r="G614" s="163"/>
      <c r="H614" s="163"/>
      <c r="I614" s="163"/>
      <c r="J614" s="165"/>
      <c r="K614" s="165"/>
      <c r="L614" s="165"/>
      <c r="M614" s="165"/>
      <c r="N614" s="165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  <c r="AA614" s="163"/>
      <c r="AB614" s="163"/>
      <c r="AC614" s="163"/>
      <c r="AD614" s="163"/>
      <c r="AE614" s="163"/>
      <c r="AF614" s="163"/>
      <c r="AG614" s="163"/>
      <c r="AH614" s="163"/>
      <c r="AI614" s="163"/>
      <c r="AJ614" s="163"/>
      <c r="AK614" s="163"/>
      <c r="AL614" s="163"/>
      <c r="AM614" s="163"/>
      <c r="AN614" s="163"/>
    </row>
    <row r="615" spans="1:40" s="100" customFormat="1" ht="46.8" x14ac:dyDescent="0.3">
      <c r="A615" s="160">
        <v>527</v>
      </c>
      <c r="B615" s="166" t="s">
        <v>1245</v>
      </c>
      <c r="C615" s="98" t="s">
        <v>2708</v>
      </c>
      <c r="D615" s="162" t="s">
        <v>2712</v>
      </c>
      <c r="E615" s="26" t="s">
        <v>144</v>
      </c>
      <c r="F615" s="30" t="s">
        <v>49</v>
      </c>
      <c r="G615" s="162" t="s">
        <v>2704</v>
      </c>
      <c r="H615" s="162">
        <v>18</v>
      </c>
      <c r="I615" s="162" t="str">
        <f t="shared" si="13"/>
        <v>с ЛН</v>
      </c>
      <c r="J615" s="164">
        <v>4</v>
      </c>
      <c r="K615" s="164" t="s">
        <v>528</v>
      </c>
      <c r="L615" s="164" t="s">
        <v>528</v>
      </c>
      <c r="M615" s="164" t="s">
        <v>2705</v>
      </c>
      <c r="N615" s="164" t="s">
        <v>2705</v>
      </c>
      <c r="O615" s="162">
        <v>150</v>
      </c>
      <c r="P615" s="162" t="s">
        <v>2706</v>
      </c>
      <c r="Q615" s="162">
        <v>253</v>
      </c>
      <c r="R615" s="162" t="s">
        <v>2706</v>
      </c>
      <c r="S615" s="162">
        <v>282</v>
      </c>
      <c r="T615" s="162" t="s">
        <v>2706</v>
      </c>
      <c r="U615" s="162">
        <v>256</v>
      </c>
      <c r="V615" s="162" t="s">
        <v>2706</v>
      </c>
      <c r="W615" s="162">
        <v>67</v>
      </c>
      <c r="X615" s="162" t="s">
        <v>2706</v>
      </c>
      <c r="Y615" s="162">
        <v>142</v>
      </c>
      <c r="Z615" s="162" t="s">
        <v>2706</v>
      </c>
      <c r="AA615" s="162">
        <v>107</v>
      </c>
      <c r="AB615" s="162" t="s">
        <v>2706</v>
      </c>
      <c r="AC615" s="162">
        <v>113</v>
      </c>
      <c r="AD615" s="162" t="s">
        <v>2706</v>
      </c>
      <c r="AE615" s="162">
        <v>270</v>
      </c>
      <c r="AF615" s="162" t="s">
        <v>2706</v>
      </c>
      <c r="AG615" s="162">
        <v>615</v>
      </c>
      <c r="AH615" s="162" t="s">
        <v>2706</v>
      </c>
      <c r="AI615" s="162">
        <v>177</v>
      </c>
      <c r="AJ615" s="162" t="s">
        <v>2706</v>
      </c>
      <c r="AK615" s="162">
        <v>150</v>
      </c>
      <c r="AL615" s="162" t="s">
        <v>2706</v>
      </c>
      <c r="AM615" s="162">
        <v>2469</v>
      </c>
      <c r="AN615" s="162"/>
    </row>
    <row r="616" spans="1:40" s="100" customFormat="1" ht="46.8" x14ac:dyDescent="0.3">
      <c r="A616" s="161"/>
      <c r="B616" s="167"/>
      <c r="C616" s="98" t="s">
        <v>2708</v>
      </c>
      <c r="D616" s="163"/>
      <c r="E616" s="26" t="s">
        <v>48</v>
      </c>
      <c r="F616" s="30" t="s">
        <v>49</v>
      </c>
      <c r="G616" s="163"/>
      <c r="H616" s="163"/>
      <c r="I616" s="163"/>
      <c r="J616" s="165"/>
      <c r="K616" s="165"/>
      <c r="L616" s="165"/>
      <c r="M616" s="165"/>
      <c r="N616" s="165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  <c r="AA616" s="163"/>
      <c r="AB616" s="163"/>
      <c r="AC616" s="163"/>
      <c r="AD616" s="163"/>
      <c r="AE616" s="163"/>
      <c r="AF616" s="163"/>
      <c r="AG616" s="163"/>
      <c r="AH616" s="163"/>
      <c r="AI616" s="163"/>
      <c r="AJ616" s="163"/>
      <c r="AK616" s="163"/>
      <c r="AL616" s="163"/>
      <c r="AM616" s="163"/>
      <c r="AN616" s="163"/>
    </row>
    <row r="617" spans="1:40" s="100" customFormat="1" ht="46.8" x14ac:dyDescent="0.3">
      <c r="A617" s="160">
        <v>528</v>
      </c>
      <c r="B617" s="166" t="s">
        <v>1247</v>
      </c>
      <c r="C617" s="98" t="s">
        <v>2708</v>
      </c>
      <c r="D617" s="162" t="s">
        <v>2712</v>
      </c>
      <c r="E617" s="26" t="s">
        <v>144</v>
      </c>
      <c r="F617" s="30" t="s">
        <v>49</v>
      </c>
      <c r="G617" s="162" t="s">
        <v>2704</v>
      </c>
      <c r="H617" s="162">
        <v>36</v>
      </c>
      <c r="I617" s="162" t="str">
        <f t="shared" si="13"/>
        <v>с ЛН</v>
      </c>
      <c r="J617" s="164">
        <v>6</v>
      </c>
      <c r="K617" s="164" t="s">
        <v>528</v>
      </c>
      <c r="L617" s="164" t="s">
        <v>528</v>
      </c>
      <c r="M617" s="164" t="s">
        <v>2705</v>
      </c>
      <c r="N617" s="164" t="s">
        <v>2705</v>
      </c>
      <c r="O617" s="162">
        <v>1454</v>
      </c>
      <c r="P617" s="162" t="s">
        <v>2706</v>
      </c>
      <c r="Q617" s="162">
        <v>1703</v>
      </c>
      <c r="R617" s="162" t="s">
        <v>2706</v>
      </c>
      <c r="S617" s="162">
        <v>943</v>
      </c>
      <c r="T617" s="162" t="s">
        <v>2706</v>
      </c>
      <c r="U617" s="162">
        <v>1344</v>
      </c>
      <c r="V617" s="162" t="s">
        <v>2706</v>
      </c>
      <c r="W617" s="162">
        <v>1092</v>
      </c>
      <c r="X617" s="162" t="s">
        <v>2706</v>
      </c>
      <c r="Y617" s="162">
        <v>917</v>
      </c>
      <c r="Z617" s="162" t="s">
        <v>2706</v>
      </c>
      <c r="AA617" s="162">
        <v>753</v>
      </c>
      <c r="AB617" s="162" t="s">
        <v>2706</v>
      </c>
      <c r="AC617" s="162">
        <v>1120</v>
      </c>
      <c r="AD617" s="162" t="s">
        <v>2706</v>
      </c>
      <c r="AE617" s="162">
        <v>1225</v>
      </c>
      <c r="AF617" s="162" t="s">
        <v>2706</v>
      </c>
      <c r="AG617" s="162">
        <v>1334</v>
      </c>
      <c r="AH617" s="162" t="s">
        <v>2706</v>
      </c>
      <c r="AI617" s="162">
        <v>1843</v>
      </c>
      <c r="AJ617" s="162" t="s">
        <v>2706</v>
      </c>
      <c r="AK617" s="162">
        <v>1694</v>
      </c>
      <c r="AL617" s="162" t="s">
        <v>2706</v>
      </c>
      <c r="AM617" s="162">
        <v>14302</v>
      </c>
      <c r="AN617" s="162"/>
    </row>
    <row r="618" spans="1:40" s="100" customFormat="1" ht="46.8" x14ac:dyDescent="0.3">
      <c r="A618" s="161"/>
      <c r="B618" s="167"/>
      <c r="C618" s="98" t="s">
        <v>2708</v>
      </c>
      <c r="D618" s="163"/>
      <c r="E618" s="26" t="s">
        <v>48</v>
      </c>
      <c r="F618" s="30" t="s">
        <v>49</v>
      </c>
      <c r="G618" s="163"/>
      <c r="H618" s="163"/>
      <c r="I618" s="163"/>
      <c r="J618" s="165"/>
      <c r="K618" s="165"/>
      <c r="L618" s="165"/>
      <c r="M618" s="165"/>
      <c r="N618" s="165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  <c r="AA618" s="163"/>
      <c r="AB618" s="163"/>
      <c r="AC618" s="163"/>
      <c r="AD618" s="163"/>
      <c r="AE618" s="163"/>
      <c r="AF618" s="163"/>
      <c r="AG618" s="163"/>
      <c r="AH618" s="163"/>
      <c r="AI618" s="163"/>
      <c r="AJ618" s="163"/>
      <c r="AK618" s="163"/>
      <c r="AL618" s="163"/>
      <c r="AM618" s="163"/>
      <c r="AN618" s="163"/>
    </row>
    <row r="619" spans="1:40" s="100" customFormat="1" ht="46.8" x14ac:dyDescent="0.3">
      <c r="A619" s="160">
        <v>529</v>
      </c>
      <c r="B619" s="166" t="s">
        <v>1248</v>
      </c>
      <c r="C619" s="98" t="s">
        <v>2708</v>
      </c>
      <c r="D619" s="162" t="s">
        <v>2712</v>
      </c>
      <c r="E619" s="26" t="s">
        <v>144</v>
      </c>
      <c r="F619" s="30" t="s">
        <v>49</v>
      </c>
      <c r="G619" s="162" t="s">
        <v>2704</v>
      </c>
      <c r="H619" s="162">
        <v>17</v>
      </c>
      <c r="I619" s="162" t="str">
        <f t="shared" si="13"/>
        <v>с ЛН</v>
      </c>
      <c r="J619" s="164">
        <v>3</v>
      </c>
      <c r="K619" s="164" t="s">
        <v>528</v>
      </c>
      <c r="L619" s="164" t="s">
        <v>528</v>
      </c>
      <c r="M619" s="164" t="s">
        <v>2705</v>
      </c>
      <c r="N619" s="164" t="s">
        <v>2705</v>
      </c>
      <c r="O619" s="162">
        <v>65</v>
      </c>
      <c r="P619" s="162" t="s">
        <v>2706</v>
      </c>
      <c r="Q619" s="162">
        <v>86</v>
      </c>
      <c r="R619" s="162" t="s">
        <v>2706</v>
      </c>
      <c r="S619" s="162">
        <v>42</v>
      </c>
      <c r="T619" s="162" t="s">
        <v>2706</v>
      </c>
      <c r="U619" s="162">
        <v>53</v>
      </c>
      <c r="V619" s="162" t="s">
        <v>2706</v>
      </c>
      <c r="W619" s="162">
        <v>102</v>
      </c>
      <c r="X619" s="162" t="s">
        <v>2706</v>
      </c>
      <c r="Y619" s="162">
        <v>97</v>
      </c>
      <c r="Z619" s="162" t="s">
        <v>2706</v>
      </c>
      <c r="AA619" s="162">
        <v>128</v>
      </c>
      <c r="AB619" s="162" t="s">
        <v>2706</v>
      </c>
      <c r="AC619" s="162">
        <v>156</v>
      </c>
      <c r="AD619" s="162" t="s">
        <v>2706</v>
      </c>
      <c r="AE619" s="162">
        <v>167</v>
      </c>
      <c r="AF619" s="162" t="s">
        <v>2706</v>
      </c>
      <c r="AG619" s="162">
        <v>122</v>
      </c>
      <c r="AH619" s="162" t="s">
        <v>2706</v>
      </c>
      <c r="AI619" s="162">
        <v>1129</v>
      </c>
      <c r="AJ619" s="162" t="s">
        <v>2706</v>
      </c>
      <c r="AK619" s="162">
        <v>191</v>
      </c>
      <c r="AL619" s="162" t="s">
        <v>2706</v>
      </c>
      <c r="AM619" s="162">
        <v>2182</v>
      </c>
      <c r="AN619" s="162"/>
    </row>
    <row r="620" spans="1:40" s="100" customFormat="1" ht="46.8" x14ac:dyDescent="0.3">
      <c r="A620" s="161"/>
      <c r="B620" s="167"/>
      <c r="C620" s="98" t="s">
        <v>2708</v>
      </c>
      <c r="D620" s="163"/>
      <c r="E620" s="26" t="s">
        <v>48</v>
      </c>
      <c r="F620" s="30" t="s">
        <v>49</v>
      </c>
      <c r="G620" s="163"/>
      <c r="H620" s="163"/>
      <c r="I620" s="163"/>
      <c r="J620" s="165"/>
      <c r="K620" s="165"/>
      <c r="L620" s="165"/>
      <c r="M620" s="165"/>
      <c r="N620" s="165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  <c r="AA620" s="163"/>
      <c r="AB620" s="163"/>
      <c r="AC620" s="163"/>
      <c r="AD620" s="163"/>
      <c r="AE620" s="163"/>
      <c r="AF620" s="163"/>
      <c r="AG620" s="163"/>
      <c r="AH620" s="163"/>
      <c r="AI620" s="163"/>
      <c r="AJ620" s="163"/>
      <c r="AK620" s="163"/>
      <c r="AL620" s="163"/>
      <c r="AM620" s="163"/>
      <c r="AN620" s="163"/>
    </row>
    <row r="621" spans="1:40" s="100" customFormat="1" ht="46.8" x14ac:dyDescent="0.3">
      <c r="A621" s="160">
        <v>530</v>
      </c>
      <c r="B621" s="166" t="s">
        <v>1249</v>
      </c>
      <c r="C621" s="98" t="s">
        <v>2708</v>
      </c>
      <c r="D621" s="162" t="s">
        <v>2712</v>
      </c>
      <c r="E621" s="26" t="s">
        <v>144</v>
      </c>
      <c r="F621" s="30" t="s">
        <v>49</v>
      </c>
      <c r="G621" s="162" t="s">
        <v>2704</v>
      </c>
      <c r="H621" s="162">
        <v>30</v>
      </c>
      <c r="I621" s="162" t="str">
        <f t="shared" si="13"/>
        <v>с ЛН</v>
      </c>
      <c r="J621" s="164">
        <v>5</v>
      </c>
      <c r="K621" s="164" t="s">
        <v>528</v>
      </c>
      <c r="L621" s="164" t="s">
        <v>528</v>
      </c>
      <c r="M621" s="164" t="s">
        <v>2705</v>
      </c>
      <c r="N621" s="164" t="s">
        <v>2705</v>
      </c>
      <c r="O621" s="162">
        <v>0</v>
      </c>
      <c r="P621" s="162" t="s">
        <v>2706</v>
      </c>
      <c r="Q621" s="162">
        <v>0</v>
      </c>
      <c r="R621" s="162" t="s">
        <v>2706</v>
      </c>
      <c r="S621" s="162">
        <v>0</v>
      </c>
      <c r="T621" s="162" t="s">
        <v>2706</v>
      </c>
      <c r="U621" s="162">
        <v>0</v>
      </c>
      <c r="V621" s="162" t="s">
        <v>2706</v>
      </c>
      <c r="W621" s="162">
        <v>0</v>
      </c>
      <c r="X621" s="162" t="s">
        <v>2706</v>
      </c>
      <c r="Y621" s="162">
        <v>0</v>
      </c>
      <c r="Z621" s="162" t="s">
        <v>2706</v>
      </c>
      <c r="AA621" s="162">
        <v>0</v>
      </c>
      <c r="AB621" s="162" t="s">
        <v>2706</v>
      </c>
      <c r="AC621" s="162">
        <v>0</v>
      </c>
      <c r="AD621" s="162" t="s">
        <v>2706</v>
      </c>
      <c r="AE621" s="162">
        <v>0</v>
      </c>
      <c r="AF621" s="162" t="s">
        <v>2706</v>
      </c>
      <c r="AG621" s="162">
        <v>0</v>
      </c>
      <c r="AH621" s="162" t="s">
        <v>2706</v>
      </c>
      <c r="AI621" s="162">
        <v>0</v>
      </c>
      <c r="AJ621" s="162" t="s">
        <v>2706</v>
      </c>
      <c r="AK621" s="162">
        <v>0</v>
      </c>
      <c r="AL621" s="162" t="s">
        <v>2706</v>
      </c>
      <c r="AM621" s="162">
        <v>0</v>
      </c>
      <c r="AN621" s="162"/>
    </row>
    <row r="622" spans="1:40" s="100" customFormat="1" ht="46.8" x14ac:dyDescent="0.3">
      <c r="A622" s="161"/>
      <c r="B622" s="167"/>
      <c r="C622" s="98" t="s">
        <v>2708</v>
      </c>
      <c r="D622" s="163"/>
      <c r="E622" s="26" t="s">
        <v>48</v>
      </c>
      <c r="F622" s="30" t="s">
        <v>49</v>
      </c>
      <c r="G622" s="163"/>
      <c r="H622" s="163"/>
      <c r="I622" s="163"/>
      <c r="J622" s="165"/>
      <c r="K622" s="165"/>
      <c r="L622" s="165"/>
      <c r="M622" s="165"/>
      <c r="N622" s="165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  <c r="AA622" s="163"/>
      <c r="AB622" s="163"/>
      <c r="AC622" s="163"/>
      <c r="AD622" s="163"/>
      <c r="AE622" s="163"/>
      <c r="AF622" s="163"/>
      <c r="AG622" s="163"/>
      <c r="AH622" s="163"/>
      <c r="AI622" s="163"/>
      <c r="AJ622" s="163"/>
      <c r="AK622" s="163"/>
      <c r="AL622" s="163"/>
      <c r="AM622" s="163"/>
      <c r="AN622" s="163"/>
    </row>
    <row r="623" spans="1:40" s="100" customFormat="1" ht="46.8" x14ac:dyDescent="0.3">
      <c r="A623" s="160">
        <v>531</v>
      </c>
      <c r="B623" s="166" t="s">
        <v>1250</v>
      </c>
      <c r="C623" s="98" t="s">
        <v>2708</v>
      </c>
      <c r="D623" s="162" t="s">
        <v>2712</v>
      </c>
      <c r="E623" s="26" t="s">
        <v>144</v>
      </c>
      <c r="F623" s="30" t="s">
        <v>49</v>
      </c>
      <c r="G623" s="162" t="s">
        <v>2704</v>
      </c>
      <c r="H623" s="162">
        <v>36</v>
      </c>
      <c r="I623" s="162" t="str">
        <f t="shared" si="13"/>
        <v>с ЛН</v>
      </c>
      <c r="J623" s="164">
        <v>8</v>
      </c>
      <c r="K623" s="164" t="s">
        <v>528</v>
      </c>
      <c r="L623" s="164" t="s">
        <v>528</v>
      </c>
      <c r="M623" s="164" t="s">
        <v>2705</v>
      </c>
      <c r="N623" s="164" t="s">
        <v>2705</v>
      </c>
      <c r="O623" s="162">
        <v>695</v>
      </c>
      <c r="P623" s="162" t="s">
        <v>2706</v>
      </c>
      <c r="Q623" s="162">
        <v>653</v>
      </c>
      <c r="R623" s="162" t="s">
        <v>2706</v>
      </c>
      <c r="S623" s="162">
        <v>362</v>
      </c>
      <c r="T623" s="162" t="s">
        <v>2706</v>
      </c>
      <c r="U623" s="162">
        <v>458</v>
      </c>
      <c r="V623" s="162" t="s">
        <v>2706</v>
      </c>
      <c r="W623" s="162">
        <v>589</v>
      </c>
      <c r="X623" s="162" t="s">
        <v>2706</v>
      </c>
      <c r="Y623" s="162">
        <v>419</v>
      </c>
      <c r="Z623" s="162" t="s">
        <v>2706</v>
      </c>
      <c r="AA623" s="162">
        <v>371</v>
      </c>
      <c r="AB623" s="162" t="s">
        <v>2706</v>
      </c>
      <c r="AC623" s="162">
        <v>441</v>
      </c>
      <c r="AD623" s="162" t="s">
        <v>2706</v>
      </c>
      <c r="AE623" s="162">
        <v>364</v>
      </c>
      <c r="AF623" s="162" t="s">
        <v>2706</v>
      </c>
      <c r="AG623" s="162">
        <v>389</v>
      </c>
      <c r="AH623" s="162" t="s">
        <v>2706</v>
      </c>
      <c r="AI623" s="162">
        <v>563</v>
      </c>
      <c r="AJ623" s="162" t="s">
        <v>2706</v>
      </c>
      <c r="AK623" s="162">
        <v>500</v>
      </c>
      <c r="AL623" s="162" t="s">
        <v>2706</v>
      </c>
      <c r="AM623" s="162">
        <v>5363</v>
      </c>
      <c r="AN623" s="162"/>
    </row>
    <row r="624" spans="1:40" s="100" customFormat="1" ht="46.8" x14ac:dyDescent="0.3">
      <c r="A624" s="161"/>
      <c r="B624" s="167"/>
      <c r="C624" s="98" t="s">
        <v>2708</v>
      </c>
      <c r="D624" s="163"/>
      <c r="E624" s="26" t="s">
        <v>48</v>
      </c>
      <c r="F624" s="30" t="s">
        <v>49</v>
      </c>
      <c r="G624" s="163"/>
      <c r="H624" s="163"/>
      <c r="I624" s="163"/>
      <c r="J624" s="165"/>
      <c r="K624" s="165"/>
      <c r="L624" s="165"/>
      <c r="M624" s="165"/>
      <c r="N624" s="165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  <c r="AA624" s="163"/>
      <c r="AB624" s="163"/>
      <c r="AC624" s="163"/>
      <c r="AD624" s="163"/>
      <c r="AE624" s="163"/>
      <c r="AF624" s="163"/>
      <c r="AG624" s="163"/>
      <c r="AH624" s="163"/>
      <c r="AI624" s="163"/>
      <c r="AJ624" s="163"/>
      <c r="AK624" s="163"/>
      <c r="AL624" s="163"/>
      <c r="AM624" s="163"/>
      <c r="AN624" s="163"/>
    </row>
    <row r="625" spans="1:40" s="100" customFormat="1" ht="46.8" x14ac:dyDescent="0.3">
      <c r="A625" s="160">
        <v>532</v>
      </c>
      <c r="B625" s="166" t="s">
        <v>1252</v>
      </c>
      <c r="C625" s="98" t="s">
        <v>2708</v>
      </c>
      <c r="D625" s="162" t="s">
        <v>2712</v>
      </c>
      <c r="E625" s="26" t="s">
        <v>144</v>
      </c>
      <c r="F625" s="30" t="s">
        <v>49</v>
      </c>
      <c r="G625" s="162" t="s">
        <v>2704</v>
      </c>
      <c r="H625" s="162">
        <v>20</v>
      </c>
      <c r="I625" s="162" t="str">
        <f t="shared" si="13"/>
        <v>с ЛН</v>
      </c>
      <c r="J625" s="164">
        <v>4</v>
      </c>
      <c r="K625" s="164" t="s">
        <v>528</v>
      </c>
      <c r="L625" s="164" t="s">
        <v>528</v>
      </c>
      <c r="M625" s="164" t="s">
        <v>2705</v>
      </c>
      <c r="N625" s="164" t="s">
        <v>2705</v>
      </c>
      <c r="O625" s="162">
        <v>613</v>
      </c>
      <c r="P625" s="162" t="s">
        <v>2706</v>
      </c>
      <c r="Q625" s="162">
        <v>962</v>
      </c>
      <c r="R625" s="162" t="s">
        <v>2706</v>
      </c>
      <c r="S625" s="162">
        <v>610</v>
      </c>
      <c r="T625" s="162" t="s">
        <v>2706</v>
      </c>
      <c r="U625" s="162">
        <v>750</v>
      </c>
      <c r="V625" s="162" t="s">
        <v>2706</v>
      </c>
      <c r="W625" s="162">
        <v>751</v>
      </c>
      <c r="X625" s="162" t="s">
        <v>2706</v>
      </c>
      <c r="Y625" s="162">
        <v>473</v>
      </c>
      <c r="Z625" s="162" t="s">
        <v>2706</v>
      </c>
      <c r="AA625" s="162">
        <v>492</v>
      </c>
      <c r="AB625" s="162" t="s">
        <v>2706</v>
      </c>
      <c r="AC625" s="162">
        <v>603</v>
      </c>
      <c r="AD625" s="162" t="s">
        <v>2706</v>
      </c>
      <c r="AE625" s="162">
        <v>425</v>
      </c>
      <c r="AF625" s="162" t="s">
        <v>2706</v>
      </c>
      <c r="AG625" s="162">
        <v>676</v>
      </c>
      <c r="AH625" s="162" t="s">
        <v>2706</v>
      </c>
      <c r="AI625" s="162">
        <v>746</v>
      </c>
      <c r="AJ625" s="162" t="s">
        <v>2706</v>
      </c>
      <c r="AK625" s="162">
        <v>588</v>
      </c>
      <c r="AL625" s="162" t="s">
        <v>2706</v>
      </c>
      <c r="AM625" s="162">
        <v>7086</v>
      </c>
      <c r="AN625" s="162"/>
    </row>
    <row r="626" spans="1:40" s="100" customFormat="1" ht="46.8" x14ac:dyDescent="0.3">
      <c r="A626" s="161"/>
      <c r="B626" s="167"/>
      <c r="C626" s="98" t="s">
        <v>2708</v>
      </c>
      <c r="D626" s="163"/>
      <c r="E626" s="26" t="s">
        <v>48</v>
      </c>
      <c r="F626" s="30" t="s">
        <v>49</v>
      </c>
      <c r="G626" s="163"/>
      <c r="H626" s="163"/>
      <c r="I626" s="163"/>
      <c r="J626" s="165"/>
      <c r="K626" s="165"/>
      <c r="L626" s="165"/>
      <c r="M626" s="165"/>
      <c r="N626" s="165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  <c r="AA626" s="163"/>
      <c r="AB626" s="163"/>
      <c r="AC626" s="163"/>
      <c r="AD626" s="163"/>
      <c r="AE626" s="163"/>
      <c r="AF626" s="163"/>
      <c r="AG626" s="163"/>
      <c r="AH626" s="163"/>
      <c r="AI626" s="163"/>
      <c r="AJ626" s="163"/>
      <c r="AK626" s="163"/>
      <c r="AL626" s="163"/>
      <c r="AM626" s="163"/>
      <c r="AN626" s="163"/>
    </row>
    <row r="627" spans="1:40" s="100" customFormat="1" ht="46.8" x14ac:dyDescent="0.3">
      <c r="A627" s="160">
        <v>533</v>
      </c>
      <c r="B627" s="166" t="s">
        <v>1253</v>
      </c>
      <c r="C627" s="98" t="s">
        <v>2708</v>
      </c>
      <c r="D627" s="162" t="s">
        <v>2712</v>
      </c>
      <c r="E627" s="26" t="s">
        <v>144</v>
      </c>
      <c r="F627" s="30" t="s">
        <v>49</v>
      </c>
      <c r="G627" s="162" t="s">
        <v>2704</v>
      </c>
      <c r="H627" s="162">
        <v>16</v>
      </c>
      <c r="I627" s="162" t="str">
        <f t="shared" si="13"/>
        <v>с ЛН</v>
      </c>
      <c r="J627" s="164">
        <v>3</v>
      </c>
      <c r="K627" s="164" t="s">
        <v>528</v>
      </c>
      <c r="L627" s="164" t="s">
        <v>528</v>
      </c>
      <c r="M627" s="164" t="s">
        <v>2705</v>
      </c>
      <c r="N627" s="164" t="s">
        <v>2705</v>
      </c>
      <c r="O627" s="162">
        <v>0</v>
      </c>
      <c r="P627" s="162" t="s">
        <v>2706</v>
      </c>
      <c r="Q627" s="162">
        <v>0</v>
      </c>
      <c r="R627" s="162" t="s">
        <v>2706</v>
      </c>
      <c r="S627" s="162">
        <v>0</v>
      </c>
      <c r="T627" s="162" t="s">
        <v>2706</v>
      </c>
      <c r="U627" s="162">
        <v>0</v>
      </c>
      <c r="V627" s="162" t="s">
        <v>2706</v>
      </c>
      <c r="W627" s="162">
        <v>0</v>
      </c>
      <c r="X627" s="162" t="s">
        <v>2706</v>
      </c>
      <c r="Y627" s="162">
        <v>0</v>
      </c>
      <c r="Z627" s="162" t="s">
        <v>2706</v>
      </c>
      <c r="AA627" s="162">
        <v>0</v>
      </c>
      <c r="AB627" s="162" t="s">
        <v>2706</v>
      </c>
      <c r="AC627" s="162">
        <v>0</v>
      </c>
      <c r="AD627" s="162" t="s">
        <v>2706</v>
      </c>
      <c r="AE627" s="162">
        <v>0</v>
      </c>
      <c r="AF627" s="162" t="s">
        <v>2706</v>
      </c>
      <c r="AG627" s="162">
        <v>0</v>
      </c>
      <c r="AH627" s="162" t="s">
        <v>2706</v>
      </c>
      <c r="AI627" s="162">
        <v>0</v>
      </c>
      <c r="AJ627" s="162" t="s">
        <v>2706</v>
      </c>
      <c r="AK627" s="162">
        <v>0</v>
      </c>
      <c r="AL627" s="162" t="s">
        <v>2706</v>
      </c>
      <c r="AM627" s="162">
        <v>0</v>
      </c>
      <c r="AN627" s="162"/>
    </row>
    <row r="628" spans="1:40" s="100" customFormat="1" ht="46.8" x14ac:dyDescent="0.3">
      <c r="A628" s="161"/>
      <c r="B628" s="167"/>
      <c r="C628" s="98" t="s">
        <v>2708</v>
      </c>
      <c r="D628" s="163"/>
      <c r="E628" s="26" t="s">
        <v>48</v>
      </c>
      <c r="F628" s="30" t="s">
        <v>49</v>
      </c>
      <c r="G628" s="163"/>
      <c r="H628" s="163"/>
      <c r="I628" s="163"/>
      <c r="J628" s="165"/>
      <c r="K628" s="165"/>
      <c r="L628" s="165"/>
      <c r="M628" s="165"/>
      <c r="N628" s="165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  <c r="AA628" s="163"/>
      <c r="AB628" s="163"/>
      <c r="AC628" s="163"/>
      <c r="AD628" s="163"/>
      <c r="AE628" s="163"/>
      <c r="AF628" s="163"/>
      <c r="AG628" s="163"/>
      <c r="AH628" s="163"/>
      <c r="AI628" s="163"/>
      <c r="AJ628" s="163"/>
      <c r="AK628" s="163"/>
      <c r="AL628" s="163"/>
      <c r="AM628" s="163"/>
      <c r="AN628" s="163"/>
    </row>
    <row r="629" spans="1:40" s="100" customFormat="1" ht="46.8" x14ac:dyDescent="0.3">
      <c r="A629" s="160">
        <v>534</v>
      </c>
      <c r="B629" s="166" t="s">
        <v>1255</v>
      </c>
      <c r="C629" s="98" t="s">
        <v>2708</v>
      </c>
      <c r="D629" s="162" t="s">
        <v>2712</v>
      </c>
      <c r="E629" s="26" t="s">
        <v>144</v>
      </c>
      <c r="F629" s="30" t="s">
        <v>49</v>
      </c>
      <c r="G629" s="162" t="s">
        <v>2704</v>
      </c>
      <c r="H629" s="162">
        <v>24</v>
      </c>
      <c r="I629" s="162" t="str">
        <f t="shared" si="13"/>
        <v>с ЛН</v>
      </c>
      <c r="J629" s="164">
        <v>5</v>
      </c>
      <c r="K629" s="164" t="s">
        <v>528</v>
      </c>
      <c r="L629" s="164" t="s">
        <v>528</v>
      </c>
      <c r="M629" s="164" t="s">
        <v>2705</v>
      </c>
      <c r="N629" s="164" t="s">
        <v>2705</v>
      </c>
      <c r="O629" s="162">
        <v>0</v>
      </c>
      <c r="P629" s="162" t="s">
        <v>2706</v>
      </c>
      <c r="Q629" s="162">
        <v>0</v>
      </c>
      <c r="R629" s="162" t="s">
        <v>2706</v>
      </c>
      <c r="S629" s="162">
        <v>0</v>
      </c>
      <c r="T629" s="162" t="s">
        <v>2706</v>
      </c>
      <c r="U629" s="162">
        <v>0</v>
      </c>
      <c r="V629" s="162" t="s">
        <v>2706</v>
      </c>
      <c r="W629" s="162">
        <v>0</v>
      </c>
      <c r="X629" s="162" t="s">
        <v>2706</v>
      </c>
      <c r="Y629" s="162">
        <v>0</v>
      </c>
      <c r="Z629" s="162" t="s">
        <v>2706</v>
      </c>
      <c r="AA629" s="162">
        <v>0</v>
      </c>
      <c r="AB629" s="162" t="s">
        <v>2706</v>
      </c>
      <c r="AC629" s="162">
        <v>0</v>
      </c>
      <c r="AD629" s="162" t="s">
        <v>2706</v>
      </c>
      <c r="AE629" s="162">
        <v>0</v>
      </c>
      <c r="AF629" s="162" t="s">
        <v>2706</v>
      </c>
      <c r="AG629" s="162">
        <v>0</v>
      </c>
      <c r="AH629" s="162" t="s">
        <v>2706</v>
      </c>
      <c r="AI629" s="162">
        <v>0</v>
      </c>
      <c r="AJ629" s="162" t="s">
        <v>2706</v>
      </c>
      <c r="AK629" s="162">
        <v>0</v>
      </c>
      <c r="AL629" s="162" t="s">
        <v>2706</v>
      </c>
      <c r="AM629" s="162">
        <v>0</v>
      </c>
      <c r="AN629" s="162"/>
    </row>
    <row r="630" spans="1:40" s="100" customFormat="1" ht="46.8" x14ac:dyDescent="0.3">
      <c r="A630" s="161"/>
      <c r="B630" s="167"/>
      <c r="C630" s="98" t="s">
        <v>2708</v>
      </c>
      <c r="D630" s="163"/>
      <c r="E630" s="26" t="s">
        <v>48</v>
      </c>
      <c r="F630" s="30" t="s">
        <v>49</v>
      </c>
      <c r="G630" s="163"/>
      <c r="H630" s="163"/>
      <c r="I630" s="163"/>
      <c r="J630" s="165"/>
      <c r="K630" s="165"/>
      <c r="L630" s="165"/>
      <c r="M630" s="165"/>
      <c r="N630" s="165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  <c r="AA630" s="163"/>
      <c r="AB630" s="163"/>
      <c r="AC630" s="163"/>
      <c r="AD630" s="163"/>
      <c r="AE630" s="163"/>
      <c r="AF630" s="163"/>
      <c r="AG630" s="163"/>
      <c r="AH630" s="163"/>
      <c r="AI630" s="163"/>
      <c r="AJ630" s="163"/>
      <c r="AK630" s="163"/>
      <c r="AL630" s="163"/>
      <c r="AM630" s="163"/>
      <c r="AN630" s="163"/>
    </row>
    <row r="631" spans="1:40" s="100" customFormat="1" ht="46.8" x14ac:dyDescent="0.3">
      <c r="A631" s="160">
        <v>535</v>
      </c>
      <c r="B631" s="166" t="s">
        <v>1256</v>
      </c>
      <c r="C631" s="98" t="s">
        <v>2708</v>
      </c>
      <c r="D631" s="162" t="s">
        <v>2712</v>
      </c>
      <c r="E631" s="26" t="s">
        <v>144</v>
      </c>
      <c r="F631" s="30" t="s">
        <v>49</v>
      </c>
      <c r="G631" s="162"/>
      <c r="H631" s="162"/>
      <c r="I631" s="162"/>
      <c r="J631" s="164"/>
      <c r="K631" s="164" t="s">
        <v>528</v>
      </c>
      <c r="L631" s="164" t="s">
        <v>528</v>
      </c>
      <c r="M631" s="164" t="s">
        <v>2705</v>
      </c>
      <c r="N631" s="164" t="s">
        <v>2705</v>
      </c>
      <c r="O631" s="162">
        <v>0</v>
      </c>
      <c r="P631" s="162" t="s">
        <v>2706</v>
      </c>
      <c r="Q631" s="162">
        <v>0</v>
      </c>
      <c r="R631" s="162" t="s">
        <v>2706</v>
      </c>
      <c r="S631" s="162">
        <v>0</v>
      </c>
      <c r="T631" s="162" t="s">
        <v>2706</v>
      </c>
      <c r="U631" s="162">
        <v>0</v>
      </c>
      <c r="V631" s="162" t="s">
        <v>2706</v>
      </c>
      <c r="W631" s="162">
        <v>0</v>
      </c>
      <c r="X631" s="162" t="s">
        <v>2706</v>
      </c>
      <c r="Y631" s="162">
        <v>0</v>
      </c>
      <c r="Z631" s="162" t="s">
        <v>2706</v>
      </c>
      <c r="AA631" s="162">
        <v>0</v>
      </c>
      <c r="AB631" s="162" t="s">
        <v>2706</v>
      </c>
      <c r="AC631" s="162">
        <v>0</v>
      </c>
      <c r="AD631" s="162" t="s">
        <v>2706</v>
      </c>
      <c r="AE631" s="162">
        <v>0</v>
      </c>
      <c r="AF631" s="162" t="s">
        <v>2706</v>
      </c>
      <c r="AG631" s="162">
        <v>0</v>
      </c>
      <c r="AH631" s="162" t="s">
        <v>2706</v>
      </c>
      <c r="AI631" s="162">
        <v>0</v>
      </c>
      <c r="AJ631" s="162" t="s">
        <v>2706</v>
      </c>
      <c r="AK631" s="162">
        <v>0</v>
      </c>
      <c r="AL631" s="162" t="s">
        <v>2706</v>
      </c>
      <c r="AM631" s="162">
        <v>0</v>
      </c>
      <c r="AN631" s="162"/>
    </row>
    <row r="632" spans="1:40" s="100" customFormat="1" ht="46.8" x14ac:dyDescent="0.3">
      <c r="A632" s="161"/>
      <c r="B632" s="167"/>
      <c r="C632" s="98" t="s">
        <v>2708</v>
      </c>
      <c r="D632" s="163"/>
      <c r="E632" s="26" t="s">
        <v>48</v>
      </c>
      <c r="F632" s="30" t="s">
        <v>49</v>
      </c>
      <c r="G632" s="163"/>
      <c r="H632" s="163"/>
      <c r="I632" s="163"/>
      <c r="J632" s="165"/>
      <c r="K632" s="165"/>
      <c r="L632" s="165"/>
      <c r="M632" s="165"/>
      <c r="N632" s="165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  <c r="AA632" s="163"/>
      <c r="AB632" s="163"/>
      <c r="AC632" s="163"/>
      <c r="AD632" s="163"/>
      <c r="AE632" s="163"/>
      <c r="AF632" s="163"/>
      <c r="AG632" s="163"/>
      <c r="AH632" s="163"/>
      <c r="AI632" s="163"/>
      <c r="AJ632" s="163"/>
      <c r="AK632" s="163"/>
      <c r="AL632" s="163"/>
      <c r="AM632" s="163"/>
      <c r="AN632" s="163"/>
    </row>
    <row r="633" spans="1:40" s="100" customFormat="1" ht="46.8" x14ac:dyDescent="0.3">
      <c r="A633" s="160">
        <v>536</v>
      </c>
      <c r="B633" s="166" t="s">
        <v>1257</v>
      </c>
      <c r="C633" s="98" t="s">
        <v>2708</v>
      </c>
      <c r="D633" s="162" t="s">
        <v>2712</v>
      </c>
      <c r="E633" s="26" t="s">
        <v>144</v>
      </c>
      <c r="F633" s="30" t="s">
        <v>49</v>
      </c>
      <c r="G633" s="162"/>
      <c r="H633" s="162"/>
      <c r="I633" s="162"/>
      <c r="J633" s="164"/>
      <c r="K633" s="164" t="s">
        <v>528</v>
      </c>
      <c r="L633" s="164" t="s">
        <v>528</v>
      </c>
      <c r="M633" s="164" t="s">
        <v>2705</v>
      </c>
      <c r="N633" s="164" t="s">
        <v>2705</v>
      </c>
      <c r="O633" s="162">
        <v>1995</v>
      </c>
      <c r="P633" s="162" t="s">
        <v>2706</v>
      </c>
      <c r="Q633" s="162">
        <v>1490</v>
      </c>
      <c r="R633" s="162" t="s">
        <v>2706</v>
      </c>
      <c r="S633" s="162">
        <v>791</v>
      </c>
      <c r="T633" s="162" t="s">
        <v>2706</v>
      </c>
      <c r="U633" s="162">
        <v>1466</v>
      </c>
      <c r="V633" s="162" t="s">
        <v>2706</v>
      </c>
      <c r="W633" s="162">
        <v>1338</v>
      </c>
      <c r="X633" s="162" t="s">
        <v>2706</v>
      </c>
      <c r="Y633" s="162">
        <v>1034</v>
      </c>
      <c r="Z633" s="162" t="s">
        <v>2706</v>
      </c>
      <c r="AA633" s="162">
        <v>1132</v>
      </c>
      <c r="AB633" s="162" t="s">
        <v>2706</v>
      </c>
      <c r="AC633" s="162">
        <v>740</v>
      </c>
      <c r="AD633" s="162" t="s">
        <v>2706</v>
      </c>
      <c r="AE633" s="162">
        <v>690</v>
      </c>
      <c r="AF633" s="162" t="s">
        <v>2706</v>
      </c>
      <c r="AG633" s="162">
        <v>887</v>
      </c>
      <c r="AH633" s="162" t="s">
        <v>2706</v>
      </c>
      <c r="AI633" s="162">
        <v>906</v>
      </c>
      <c r="AJ633" s="162" t="s">
        <v>2706</v>
      </c>
      <c r="AK633" s="162">
        <v>1121</v>
      </c>
      <c r="AL633" s="162" t="s">
        <v>2706</v>
      </c>
      <c r="AM633" s="162">
        <v>12850</v>
      </c>
      <c r="AN633" s="162"/>
    </row>
    <row r="634" spans="1:40" s="100" customFormat="1" ht="46.8" x14ac:dyDescent="0.3">
      <c r="A634" s="161"/>
      <c r="B634" s="167"/>
      <c r="C634" s="98" t="s">
        <v>2708</v>
      </c>
      <c r="D634" s="163"/>
      <c r="E634" s="26" t="s">
        <v>48</v>
      </c>
      <c r="F634" s="30" t="s">
        <v>49</v>
      </c>
      <c r="G634" s="163"/>
      <c r="H634" s="163"/>
      <c r="I634" s="163"/>
      <c r="J634" s="165"/>
      <c r="K634" s="165"/>
      <c r="L634" s="165"/>
      <c r="M634" s="165"/>
      <c r="N634" s="165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  <c r="AA634" s="163"/>
      <c r="AB634" s="163"/>
      <c r="AC634" s="163"/>
      <c r="AD634" s="163"/>
      <c r="AE634" s="163"/>
      <c r="AF634" s="163"/>
      <c r="AG634" s="163"/>
      <c r="AH634" s="163"/>
      <c r="AI634" s="163"/>
      <c r="AJ634" s="163"/>
      <c r="AK634" s="163"/>
      <c r="AL634" s="163"/>
      <c r="AM634" s="163"/>
      <c r="AN634" s="163"/>
    </row>
    <row r="635" spans="1:40" s="100" customFormat="1" ht="46.8" x14ac:dyDescent="0.3">
      <c r="A635" s="160">
        <v>537</v>
      </c>
      <c r="B635" s="166" t="s">
        <v>1259</v>
      </c>
      <c r="C635" s="98" t="s">
        <v>2708</v>
      </c>
      <c r="D635" s="162" t="s">
        <v>2712</v>
      </c>
      <c r="E635" s="26" t="s">
        <v>144</v>
      </c>
      <c r="F635" s="30" t="s">
        <v>49</v>
      </c>
      <c r="G635" s="162" t="s">
        <v>2704</v>
      </c>
      <c r="H635" s="162">
        <v>36</v>
      </c>
      <c r="I635" s="162" t="str">
        <f t="shared" si="13"/>
        <v>с ЛН</v>
      </c>
      <c r="J635" s="164">
        <v>6</v>
      </c>
      <c r="K635" s="164" t="s">
        <v>528</v>
      </c>
      <c r="L635" s="164" t="s">
        <v>528</v>
      </c>
      <c r="M635" s="164" t="s">
        <v>2705</v>
      </c>
      <c r="N635" s="164" t="s">
        <v>2705</v>
      </c>
      <c r="O635" s="162">
        <v>681</v>
      </c>
      <c r="P635" s="162" t="s">
        <v>2706</v>
      </c>
      <c r="Q635" s="162">
        <v>1154</v>
      </c>
      <c r="R635" s="162" t="s">
        <v>2706</v>
      </c>
      <c r="S635" s="162">
        <v>1081</v>
      </c>
      <c r="T635" s="162" t="s">
        <v>2706</v>
      </c>
      <c r="U635" s="162">
        <v>97</v>
      </c>
      <c r="V635" s="162" t="s">
        <v>2706</v>
      </c>
      <c r="W635" s="162">
        <v>657</v>
      </c>
      <c r="X635" s="162" t="s">
        <v>2706</v>
      </c>
      <c r="Y635" s="162">
        <v>380</v>
      </c>
      <c r="Z635" s="162" t="s">
        <v>2706</v>
      </c>
      <c r="AA635" s="162">
        <v>513</v>
      </c>
      <c r="AB635" s="162" t="s">
        <v>2706</v>
      </c>
      <c r="AC635" s="162">
        <v>521</v>
      </c>
      <c r="AD635" s="162" t="s">
        <v>2706</v>
      </c>
      <c r="AE635" s="162">
        <v>588</v>
      </c>
      <c r="AF635" s="162" t="s">
        <v>2706</v>
      </c>
      <c r="AG635" s="162">
        <v>840</v>
      </c>
      <c r="AH635" s="162" t="s">
        <v>2706</v>
      </c>
      <c r="AI635" s="162">
        <v>864</v>
      </c>
      <c r="AJ635" s="162" t="s">
        <v>2706</v>
      </c>
      <c r="AK635" s="162">
        <v>1274</v>
      </c>
      <c r="AL635" s="162" t="s">
        <v>2706</v>
      </c>
      <c r="AM635" s="162">
        <v>8129</v>
      </c>
      <c r="AN635" s="162"/>
    </row>
    <row r="636" spans="1:40" s="100" customFormat="1" ht="46.8" x14ac:dyDescent="0.3">
      <c r="A636" s="161"/>
      <c r="B636" s="167"/>
      <c r="C636" s="98" t="s">
        <v>2708</v>
      </c>
      <c r="D636" s="163"/>
      <c r="E636" s="26" t="s">
        <v>48</v>
      </c>
      <c r="F636" s="30" t="s">
        <v>49</v>
      </c>
      <c r="G636" s="163"/>
      <c r="H636" s="163"/>
      <c r="I636" s="163"/>
      <c r="J636" s="165"/>
      <c r="K636" s="165"/>
      <c r="L636" s="165"/>
      <c r="M636" s="165"/>
      <c r="N636" s="165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  <c r="AA636" s="163"/>
      <c r="AB636" s="163"/>
      <c r="AC636" s="163"/>
      <c r="AD636" s="163"/>
      <c r="AE636" s="163"/>
      <c r="AF636" s="163"/>
      <c r="AG636" s="163"/>
      <c r="AH636" s="163"/>
      <c r="AI636" s="163"/>
      <c r="AJ636" s="163"/>
      <c r="AK636" s="163"/>
      <c r="AL636" s="163"/>
      <c r="AM636" s="163"/>
      <c r="AN636" s="163"/>
    </row>
    <row r="637" spans="1:40" s="100" customFormat="1" ht="46.8" x14ac:dyDescent="0.3">
      <c r="A637" s="160">
        <v>538</v>
      </c>
      <c r="B637" s="166" t="s">
        <v>1260</v>
      </c>
      <c r="C637" s="98" t="s">
        <v>2708</v>
      </c>
      <c r="D637" s="162" t="s">
        <v>2712</v>
      </c>
      <c r="E637" s="26" t="s">
        <v>144</v>
      </c>
      <c r="F637" s="30" t="s">
        <v>49</v>
      </c>
      <c r="G637" s="162" t="s">
        <v>2704</v>
      </c>
      <c r="H637" s="162">
        <v>27</v>
      </c>
      <c r="I637" s="162" t="str">
        <f t="shared" si="13"/>
        <v>с ЛН</v>
      </c>
      <c r="J637" s="164">
        <v>5</v>
      </c>
      <c r="K637" s="164" t="s">
        <v>528</v>
      </c>
      <c r="L637" s="164" t="s">
        <v>528</v>
      </c>
      <c r="M637" s="164" t="s">
        <v>2705</v>
      </c>
      <c r="N637" s="164" t="s">
        <v>2705</v>
      </c>
      <c r="O637" s="162">
        <v>0</v>
      </c>
      <c r="P637" s="162" t="s">
        <v>2706</v>
      </c>
      <c r="Q637" s="162">
        <v>0</v>
      </c>
      <c r="R637" s="162" t="s">
        <v>2706</v>
      </c>
      <c r="S637" s="162">
        <v>0</v>
      </c>
      <c r="T637" s="162" t="s">
        <v>2706</v>
      </c>
      <c r="U637" s="162">
        <v>0</v>
      </c>
      <c r="V637" s="162" t="s">
        <v>2706</v>
      </c>
      <c r="W637" s="162">
        <v>0</v>
      </c>
      <c r="X637" s="162" t="s">
        <v>2706</v>
      </c>
      <c r="Y637" s="162">
        <v>0</v>
      </c>
      <c r="Z637" s="162" t="s">
        <v>2706</v>
      </c>
      <c r="AA637" s="162">
        <v>0</v>
      </c>
      <c r="AB637" s="162" t="s">
        <v>2706</v>
      </c>
      <c r="AC637" s="162">
        <v>0</v>
      </c>
      <c r="AD637" s="162" t="s">
        <v>2706</v>
      </c>
      <c r="AE637" s="162">
        <v>0</v>
      </c>
      <c r="AF637" s="162" t="s">
        <v>2706</v>
      </c>
      <c r="AG637" s="162">
        <v>0</v>
      </c>
      <c r="AH637" s="162" t="s">
        <v>2706</v>
      </c>
      <c r="AI637" s="162">
        <v>0</v>
      </c>
      <c r="AJ637" s="162" t="s">
        <v>2706</v>
      </c>
      <c r="AK637" s="162">
        <v>0</v>
      </c>
      <c r="AL637" s="162" t="s">
        <v>2706</v>
      </c>
      <c r="AM637" s="162">
        <v>0</v>
      </c>
      <c r="AN637" s="162"/>
    </row>
    <row r="638" spans="1:40" s="100" customFormat="1" ht="46.8" x14ac:dyDescent="0.3">
      <c r="A638" s="161"/>
      <c r="B638" s="167"/>
      <c r="C638" s="98" t="s">
        <v>2708</v>
      </c>
      <c r="D638" s="163"/>
      <c r="E638" s="26" t="s">
        <v>48</v>
      </c>
      <c r="F638" s="30" t="s">
        <v>49</v>
      </c>
      <c r="G638" s="163"/>
      <c r="H638" s="163"/>
      <c r="I638" s="163"/>
      <c r="J638" s="165"/>
      <c r="K638" s="165"/>
      <c r="L638" s="165"/>
      <c r="M638" s="165"/>
      <c r="N638" s="165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  <c r="AA638" s="163"/>
      <c r="AB638" s="163"/>
      <c r="AC638" s="163"/>
      <c r="AD638" s="163"/>
      <c r="AE638" s="163"/>
      <c r="AF638" s="163"/>
      <c r="AG638" s="163"/>
      <c r="AH638" s="163"/>
      <c r="AI638" s="163"/>
      <c r="AJ638" s="163"/>
      <c r="AK638" s="163"/>
      <c r="AL638" s="163"/>
      <c r="AM638" s="163"/>
      <c r="AN638" s="163"/>
    </row>
    <row r="639" spans="1:40" s="100" customFormat="1" ht="46.8" x14ac:dyDescent="0.3">
      <c r="A639" s="160">
        <v>539</v>
      </c>
      <c r="B639" s="166" t="s">
        <v>1262</v>
      </c>
      <c r="C639" s="98" t="s">
        <v>2708</v>
      </c>
      <c r="D639" s="162" t="s">
        <v>2712</v>
      </c>
      <c r="E639" s="26" t="s">
        <v>144</v>
      </c>
      <c r="F639" s="30" t="s">
        <v>49</v>
      </c>
      <c r="G639" s="162" t="s">
        <v>2704</v>
      </c>
      <c r="H639" s="162">
        <v>32</v>
      </c>
      <c r="I639" s="162" t="str">
        <f t="shared" si="13"/>
        <v>с ЛН</v>
      </c>
      <c r="J639" s="164">
        <v>6</v>
      </c>
      <c r="K639" s="164" t="s">
        <v>528</v>
      </c>
      <c r="L639" s="164" t="s">
        <v>528</v>
      </c>
      <c r="M639" s="164" t="s">
        <v>2705</v>
      </c>
      <c r="N639" s="164" t="s">
        <v>2705</v>
      </c>
      <c r="O639" s="162">
        <v>347</v>
      </c>
      <c r="P639" s="162" t="s">
        <v>2706</v>
      </c>
      <c r="Q639" s="162">
        <v>370</v>
      </c>
      <c r="R639" s="162" t="s">
        <v>2706</v>
      </c>
      <c r="S639" s="162">
        <v>254</v>
      </c>
      <c r="T639" s="162" t="s">
        <v>2706</v>
      </c>
      <c r="U639" s="162">
        <v>372</v>
      </c>
      <c r="V639" s="162" t="s">
        <v>2706</v>
      </c>
      <c r="W639" s="162">
        <v>314</v>
      </c>
      <c r="X639" s="162" t="s">
        <v>2706</v>
      </c>
      <c r="Y639" s="162">
        <v>164</v>
      </c>
      <c r="Z639" s="162" t="s">
        <v>2706</v>
      </c>
      <c r="AA639" s="162">
        <v>204</v>
      </c>
      <c r="AB639" s="162" t="s">
        <v>2706</v>
      </c>
      <c r="AC639" s="162">
        <v>213</v>
      </c>
      <c r="AD639" s="162" t="s">
        <v>2706</v>
      </c>
      <c r="AE639" s="162">
        <v>238</v>
      </c>
      <c r="AF639" s="162" t="s">
        <v>2706</v>
      </c>
      <c r="AG639" s="162">
        <v>215</v>
      </c>
      <c r="AH639" s="162" t="s">
        <v>2706</v>
      </c>
      <c r="AI639" s="162">
        <v>445</v>
      </c>
      <c r="AJ639" s="162" t="s">
        <v>2706</v>
      </c>
      <c r="AK639" s="162">
        <v>278</v>
      </c>
      <c r="AL639" s="162" t="s">
        <v>2706</v>
      </c>
      <c r="AM639" s="162">
        <v>3201</v>
      </c>
      <c r="AN639" s="162"/>
    </row>
    <row r="640" spans="1:40" s="100" customFormat="1" ht="46.8" x14ac:dyDescent="0.3">
      <c r="A640" s="161"/>
      <c r="B640" s="167"/>
      <c r="C640" s="98" t="s">
        <v>2708</v>
      </c>
      <c r="D640" s="163"/>
      <c r="E640" s="26" t="s">
        <v>48</v>
      </c>
      <c r="F640" s="30" t="s">
        <v>49</v>
      </c>
      <c r="G640" s="163"/>
      <c r="H640" s="163"/>
      <c r="I640" s="163"/>
      <c r="J640" s="165"/>
      <c r="K640" s="165"/>
      <c r="L640" s="165"/>
      <c r="M640" s="165"/>
      <c r="N640" s="165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  <c r="AA640" s="163"/>
      <c r="AB640" s="163"/>
      <c r="AC640" s="163"/>
      <c r="AD640" s="163"/>
      <c r="AE640" s="163"/>
      <c r="AF640" s="163"/>
      <c r="AG640" s="163"/>
      <c r="AH640" s="163"/>
      <c r="AI640" s="163"/>
      <c r="AJ640" s="163"/>
      <c r="AK640" s="163"/>
      <c r="AL640" s="163"/>
      <c r="AM640" s="163"/>
      <c r="AN640" s="163"/>
    </row>
    <row r="641" spans="1:40" s="100" customFormat="1" ht="46.8" x14ac:dyDescent="0.3">
      <c r="A641" s="160">
        <v>540</v>
      </c>
      <c r="B641" s="166" t="s">
        <v>1263</v>
      </c>
      <c r="C641" s="98" t="s">
        <v>2708</v>
      </c>
      <c r="D641" s="162" t="s">
        <v>2712</v>
      </c>
      <c r="E641" s="26" t="s">
        <v>144</v>
      </c>
      <c r="F641" s="30" t="s">
        <v>49</v>
      </c>
      <c r="G641" s="162" t="s">
        <v>2704</v>
      </c>
      <c r="H641" s="162">
        <v>18</v>
      </c>
      <c r="I641" s="162" t="str">
        <f t="shared" si="13"/>
        <v>с ЛН</v>
      </c>
      <c r="J641" s="164">
        <v>4</v>
      </c>
      <c r="K641" s="164" t="s">
        <v>528</v>
      </c>
      <c r="L641" s="164" t="s">
        <v>528</v>
      </c>
      <c r="M641" s="164" t="s">
        <v>2705</v>
      </c>
      <c r="N641" s="164" t="s">
        <v>2705</v>
      </c>
      <c r="O641" s="162">
        <v>370</v>
      </c>
      <c r="P641" s="162" t="s">
        <v>2706</v>
      </c>
      <c r="Q641" s="162">
        <v>386</v>
      </c>
      <c r="R641" s="162" t="s">
        <v>2706</v>
      </c>
      <c r="S641" s="162">
        <v>241</v>
      </c>
      <c r="T641" s="162" t="s">
        <v>2706</v>
      </c>
      <c r="U641" s="162">
        <v>345</v>
      </c>
      <c r="V641" s="162" t="s">
        <v>2706</v>
      </c>
      <c r="W641" s="162">
        <v>341</v>
      </c>
      <c r="X641" s="162" t="s">
        <v>2706</v>
      </c>
      <c r="Y641" s="162">
        <v>218</v>
      </c>
      <c r="Z641" s="162" t="s">
        <v>2706</v>
      </c>
      <c r="AA641" s="162">
        <v>268</v>
      </c>
      <c r="AB641" s="162" t="s">
        <v>2706</v>
      </c>
      <c r="AC641" s="162">
        <v>393</v>
      </c>
      <c r="AD641" s="162" t="s">
        <v>2706</v>
      </c>
      <c r="AE641" s="162">
        <v>322</v>
      </c>
      <c r="AF641" s="162" t="s">
        <v>2706</v>
      </c>
      <c r="AG641" s="162">
        <v>378</v>
      </c>
      <c r="AH641" s="162" t="s">
        <v>2706</v>
      </c>
      <c r="AI641" s="162">
        <v>348</v>
      </c>
      <c r="AJ641" s="162" t="s">
        <v>2706</v>
      </c>
      <c r="AK641" s="162">
        <v>498</v>
      </c>
      <c r="AL641" s="162" t="s">
        <v>2706</v>
      </c>
      <c r="AM641" s="162">
        <v>3715</v>
      </c>
      <c r="AN641" s="162"/>
    </row>
    <row r="642" spans="1:40" s="100" customFormat="1" ht="46.8" x14ac:dyDescent="0.3">
      <c r="A642" s="161"/>
      <c r="B642" s="167"/>
      <c r="C642" s="98" t="s">
        <v>2708</v>
      </c>
      <c r="D642" s="163"/>
      <c r="E642" s="26" t="s">
        <v>48</v>
      </c>
      <c r="F642" s="30" t="s">
        <v>49</v>
      </c>
      <c r="G642" s="163"/>
      <c r="H642" s="163"/>
      <c r="I642" s="163"/>
      <c r="J642" s="165"/>
      <c r="K642" s="165"/>
      <c r="L642" s="165"/>
      <c r="M642" s="165"/>
      <c r="N642" s="165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  <c r="AA642" s="163"/>
      <c r="AB642" s="163"/>
      <c r="AC642" s="163"/>
      <c r="AD642" s="163"/>
      <c r="AE642" s="163"/>
      <c r="AF642" s="163"/>
      <c r="AG642" s="163"/>
      <c r="AH642" s="163"/>
      <c r="AI642" s="163"/>
      <c r="AJ642" s="163"/>
      <c r="AK642" s="163"/>
      <c r="AL642" s="163"/>
      <c r="AM642" s="163"/>
      <c r="AN642" s="163"/>
    </row>
    <row r="643" spans="1:40" s="100" customFormat="1" ht="46.8" x14ac:dyDescent="0.3">
      <c r="A643" s="160">
        <v>541</v>
      </c>
      <c r="B643" s="166" t="s">
        <v>1265</v>
      </c>
      <c r="C643" s="98" t="s">
        <v>2708</v>
      </c>
      <c r="D643" s="162" t="s">
        <v>2712</v>
      </c>
      <c r="E643" s="26" t="s">
        <v>144</v>
      </c>
      <c r="F643" s="30" t="s">
        <v>49</v>
      </c>
      <c r="G643" s="162" t="s">
        <v>2704</v>
      </c>
      <c r="H643" s="162">
        <v>15</v>
      </c>
      <c r="I643" s="162" t="str">
        <f t="shared" si="13"/>
        <v>с ЛН</v>
      </c>
      <c r="J643" s="164">
        <v>3</v>
      </c>
      <c r="K643" s="164" t="s">
        <v>529</v>
      </c>
      <c r="L643" s="164" t="s">
        <v>529</v>
      </c>
      <c r="M643" s="164" t="s">
        <v>2705</v>
      </c>
      <c r="N643" s="164" t="s">
        <v>2705</v>
      </c>
      <c r="O643" s="162">
        <v>699</v>
      </c>
      <c r="P643" s="162" t="s">
        <v>2706</v>
      </c>
      <c r="Q643" s="162">
        <v>688</v>
      </c>
      <c r="R643" s="162" t="s">
        <v>2706</v>
      </c>
      <c r="S643" s="162">
        <v>467</v>
      </c>
      <c r="T643" s="162" t="s">
        <v>2706</v>
      </c>
      <c r="U643" s="162">
        <v>778</v>
      </c>
      <c r="V643" s="162" t="s">
        <v>2706</v>
      </c>
      <c r="W643" s="162">
        <v>524</v>
      </c>
      <c r="X643" s="162" t="s">
        <v>2706</v>
      </c>
      <c r="Y643" s="162">
        <v>278</v>
      </c>
      <c r="Z643" s="162" t="s">
        <v>2706</v>
      </c>
      <c r="AA643" s="162">
        <v>473</v>
      </c>
      <c r="AB643" s="162" t="s">
        <v>2706</v>
      </c>
      <c r="AC643" s="162">
        <v>991</v>
      </c>
      <c r="AD643" s="162" t="s">
        <v>2706</v>
      </c>
      <c r="AE643" s="162">
        <v>418</v>
      </c>
      <c r="AF643" s="162" t="s">
        <v>2706</v>
      </c>
      <c r="AG643" s="162">
        <v>377</v>
      </c>
      <c r="AH643" s="162" t="s">
        <v>2706</v>
      </c>
      <c r="AI643" s="162">
        <v>1837</v>
      </c>
      <c r="AJ643" s="162" t="s">
        <v>2706</v>
      </c>
      <c r="AK643" s="162">
        <v>477</v>
      </c>
      <c r="AL643" s="162" t="s">
        <v>2706</v>
      </c>
      <c r="AM643" s="162">
        <v>7016</v>
      </c>
      <c r="AN643" s="162"/>
    </row>
    <row r="644" spans="1:40" s="100" customFormat="1" ht="46.8" x14ac:dyDescent="0.3">
      <c r="A644" s="161"/>
      <c r="B644" s="167"/>
      <c r="C644" s="98" t="s">
        <v>2708</v>
      </c>
      <c r="D644" s="163"/>
      <c r="E644" s="26" t="s">
        <v>48</v>
      </c>
      <c r="F644" s="30" t="s">
        <v>49</v>
      </c>
      <c r="G644" s="163"/>
      <c r="H644" s="163"/>
      <c r="I644" s="163"/>
      <c r="J644" s="165"/>
      <c r="K644" s="165"/>
      <c r="L644" s="165"/>
      <c r="M644" s="165"/>
      <c r="N644" s="165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  <c r="AA644" s="163"/>
      <c r="AB644" s="163"/>
      <c r="AC644" s="163"/>
      <c r="AD644" s="163"/>
      <c r="AE644" s="163"/>
      <c r="AF644" s="163"/>
      <c r="AG644" s="163"/>
      <c r="AH644" s="163"/>
      <c r="AI644" s="163"/>
      <c r="AJ644" s="163"/>
      <c r="AK644" s="163"/>
      <c r="AL644" s="163"/>
      <c r="AM644" s="163"/>
      <c r="AN644" s="163"/>
    </row>
    <row r="645" spans="1:40" s="100" customFormat="1" ht="46.8" x14ac:dyDescent="0.3">
      <c r="A645" s="160">
        <v>542</v>
      </c>
      <c r="B645" s="166" t="s">
        <v>1266</v>
      </c>
      <c r="C645" s="98" t="s">
        <v>2708</v>
      </c>
      <c r="D645" s="162" t="s">
        <v>2712</v>
      </c>
      <c r="E645" s="26" t="s">
        <v>144</v>
      </c>
      <c r="F645" s="30" t="s">
        <v>49</v>
      </c>
      <c r="G645" s="162" t="s">
        <v>2704</v>
      </c>
      <c r="H645" s="162">
        <v>15</v>
      </c>
      <c r="I645" s="162" t="str">
        <f t="shared" si="13"/>
        <v>с ЛН</v>
      </c>
      <c r="J645" s="164">
        <v>3</v>
      </c>
      <c r="K645" s="164" t="s">
        <v>528</v>
      </c>
      <c r="L645" s="164" t="s">
        <v>528</v>
      </c>
      <c r="M645" s="164" t="s">
        <v>2705</v>
      </c>
      <c r="N645" s="164" t="s">
        <v>2705</v>
      </c>
      <c r="O645" s="162">
        <v>0</v>
      </c>
      <c r="P645" s="162" t="s">
        <v>2706</v>
      </c>
      <c r="Q645" s="162">
        <v>0</v>
      </c>
      <c r="R645" s="162" t="s">
        <v>2706</v>
      </c>
      <c r="S645" s="162">
        <v>0</v>
      </c>
      <c r="T645" s="162" t="s">
        <v>2706</v>
      </c>
      <c r="U645" s="162">
        <v>0</v>
      </c>
      <c r="V645" s="162" t="s">
        <v>2706</v>
      </c>
      <c r="W645" s="162">
        <v>0</v>
      </c>
      <c r="X645" s="162" t="s">
        <v>2706</v>
      </c>
      <c r="Y645" s="162">
        <v>0</v>
      </c>
      <c r="Z645" s="162" t="s">
        <v>2706</v>
      </c>
      <c r="AA645" s="162">
        <v>0</v>
      </c>
      <c r="AB645" s="162" t="s">
        <v>2706</v>
      </c>
      <c r="AC645" s="162">
        <v>0</v>
      </c>
      <c r="AD645" s="162" t="s">
        <v>2706</v>
      </c>
      <c r="AE645" s="162">
        <v>0</v>
      </c>
      <c r="AF645" s="162" t="s">
        <v>2706</v>
      </c>
      <c r="AG645" s="162">
        <v>0</v>
      </c>
      <c r="AH645" s="162" t="s">
        <v>2706</v>
      </c>
      <c r="AI645" s="162">
        <v>0</v>
      </c>
      <c r="AJ645" s="162" t="s">
        <v>2706</v>
      </c>
      <c r="AK645" s="162">
        <v>0</v>
      </c>
      <c r="AL645" s="162" t="s">
        <v>2706</v>
      </c>
      <c r="AM645" s="162">
        <v>0</v>
      </c>
      <c r="AN645" s="162"/>
    </row>
    <row r="646" spans="1:40" s="100" customFormat="1" ht="46.8" x14ac:dyDescent="0.3">
      <c r="A646" s="161"/>
      <c r="B646" s="167"/>
      <c r="C646" s="98" t="s">
        <v>2708</v>
      </c>
      <c r="D646" s="163"/>
      <c r="E646" s="26" t="s">
        <v>48</v>
      </c>
      <c r="F646" s="30" t="s">
        <v>49</v>
      </c>
      <c r="G646" s="163"/>
      <c r="H646" s="163"/>
      <c r="I646" s="163"/>
      <c r="J646" s="165"/>
      <c r="K646" s="165"/>
      <c r="L646" s="165"/>
      <c r="M646" s="165"/>
      <c r="N646" s="165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  <c r="AA646" s="163"/>
      <c r="AB646" s="163"/>
      <c r="AC646" s="163"/>
      <c r="AD646" s="163"/>
      <c r="AE646" s="163"/>
      <c r="AF646" s="163"/>
      <c r="AG646" s="163"/>
      <c r="AH646" s="163"/>
      <c r="AI646" s="163"/>
      <c r="AJ646" s="163"/>
      <c r="AK646" s="163"/>
      <c r="AL646" s="163"/>
      <c r="AM646" s="163"/>
      <c r="AN646" s="163"/>
    </row>
    <row r="647" spans="1:40" s="100" customFormat="1" ht="46.8" x14ac:dyDescent="0.3">
      <c r="A647" s="160">
        <v>543</v>
      </c>
      <c r="B647" s="166" t="s">
        <v>1268</v>
      </c>
      <c r="C647" s="98" t="s">
        <v>2708</v>
      </c>
      <c r="D647" s="162" t="s">
        <v>2712</v>
      </c>
      <c r="E647" s="26" t="s">
        <v>144</v>
      </c>
      <c r="F647" s="30" t="s">
        <v>49</v>
      </c>
      <c r="G647" s="162" t="s">
        <v>2704</v>
      </c>
      <c r="H647" s="162">
        <v>32</v>
      </c>
      <c r="I647" s="162" t="str">
        <f t="shared" si="13"/>
        <v>с ЛН</v>
      </c>
      <c r="J647" s="164">
        <v>6</v>
      </c>
      <c r="K647" s="164" t="s">
        <v>528</v>
      </c>
      <c r="L647" s="164" t="s">
        <v>528</v>
      </c>
      <c r="M647" s="164" t="s">
        <v>2705</v>
      </c>
      <c r="N647" s="164" t="s">
        <v>2705</v>
      </c>
      <c r="O647" s="162">
        <v>1786</v>
      </c>
      <c r="P647" s="162" t="s">
        <v>2706</v>
      </c>
      <c r="Q647" s="162">
        <v>1880</v>
      </c>
      <c r="R647" s="162" t="s">
        <v>2706</v>
      </c>
      <c r="S647" s="162">
        <v>1155</v>
      </c>
      <c r="T647" s="162" t="s">
        <v>2706</v>
      </c>
      <c r="U647" s="162">
        <v>1599</v>
      </c>
      <c r="V647" s="162" t="s">
        <v>2706</v>
      </c>
      <c r="W647" s="162">
        <v>1355</v>
      </c>
      <c r="X647" s="162" t="s">
        <v>2706</v>
      </c>
      <c r="Y647" s="162">
        <v>815</v>
      </c>
      <c r="Z647" s="162" t="s">
        <v>2706</v>
      </c>
      <c r="AA647" s="162">
        <v>1055</v>
      </c>
      <c r="AB647" s="162" t="s">
        <v>2706</v>
      </c>
      <c r="AC647" s="162">
        <v>1259</v>
      </c>
      <c r="AD647" s="162" t="s">
        <v>2706</v>
      </c>
      <c r="AE647" s="162">
        <v>1116</v>
      </c>
      <c r="AF647" s="162" t="s">
        <v>2706</v>
      </c>
      <c r="AG647" s="162">
        <v>1420</v>
      </c>
      <c r="AH647" s="162" t="s">
        <v>2706</v>
      </c>
      <c r="AI647" s="162">
        <v>2097</v>
      </c>
      <c r="AJ647" s="162" t="s">
        <v>2706</v>
      </c>
      <c r="AK647" s="162">
        <v>1795</v>
      </c>
      <c r="AL647" s="162" t="s">
        <v>2706</v>
      </c>
      <c r="AM647" s="162">
        <v>16073</v>
      </c>
      <c r="AN647" s="162"/>
    </row>
    <row r="648" spans="1:40" s="100" customFormat="1" ht="46.8" x14ac:dyDescent="0.3">
      <c r="A648" s="161"/>
      <c r="B648" s="167"/>
      <c r="C648" s="98" t="s">
        <v>2708</v>
      </c>
      <c r="D648" s="163"/>
      <c r="E648" s="26" t="s">
        <v>48</v>
      </c>
      <c r="F648" s="30" t="s">
        <v>49</v>
      </c>
      <c r="G648" s="163"/>
      <c r="H648" s="163"/>
      <c r="I648" s="163"/>
      <c r="J648" s="165"/>
      <c r="K648" s="165"/>
      <c r="L648" s="165"/>
      <c r="M648" s="165"/>
      <c r="N648" s="165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  <c r="AA648" s="163"/>
      <c r="AB648" s="163"/>
      <c r="AC648" s="163"/>
      <c r="AD648" s="163"/>
      <c r="AE648" s="163"/>
      <c r="AF648" s="163"/>
      <c r="AG648" s="163"/>
      <c r="AH648" s="163"/>
      <c r="AI648" s="163"/>
      <c r="AJ648" s="163"/>
      <c r="AK648" s="163"/>
      <c r="AL648" s="163"/>
      <c r="AM648" s="163"/>
      <c r="AN648" s="163"/>
    </row>
    <row r="649" spans="1:40" s="100" customFormat="1" ht="46.8" x14ac:dyDescent="0.3">
      <c r="A649" s="160">
        <v>544</v>
      </c>
      <c r="B649" s="166" t="s">
        <v>1269</v>
      </c>
      <c r="C649" s="98" t="s">
        <v>2708</v>
      </c>
      <c r="D649" s="162" t="s">
        <v>2712</v>
      </c>
      <c r="E649" s="26" t="s">
        <v>144</v>
      </c>
      <c r="F649" s="30" t="s">
        <v>49</v>
      </c>
      <c r="G649" s="162" t="s">
        <v>2704</v>
      </c>
      <c r="H649" s="162">
        <v>16</v>
      </c>
      <c r="I649" s="162" t="str">
        <f t="shared" si="13"/>
        <v>с ЛН</v>
      </c>
      <c r="J649" s="164">
        <v>6</v>
      </c>
      <c r="K649" s="164" t="s">
        <v>528</v>
      </c>
      <c r="L649" s="164" t="s">
        <v>528</v>
      </c>
      <c r="M649" s="164" t="s">
        <v>2705</v>
      </c>
      <c r="N649" s="164" t="s">
        <v>2705</v>
      </c>
      <c r="O649" s="162">
        <v>0</v>
      </c>
      <c r="P649" s="162" t="s">
        <v>2706</v>
      </c>
      <c r="Q649" s="162">
        <v>0</v>
      </c>
      <c r="R649" s="162" t="s">
        <v>2706</v>
      </c>
      <c r="S649" s="162">
        <v>0</v>
      </c>
      <c r="T649" s="162" t="s">
        <v>2706</v>
      </c>
      <c r="U649" s="162">
        <v>0</v>
      </c>
      <c r="V649" s="162" t="s">
        <v>2706</v>
      </c>
      <c r="W649" s="162">
        <v>0</v>
      </c>
      <c r="X649" s="162" t="s">
        <v>2706</v>
      </c>
      <c r="Y649" s="162">
        <v>0</v>
      </c>
      <c r="Z649" s="162" t="s">
        <v>2706</v>
      </c>
      <c r="AA649" s="162">
        <v>0</v>
      </c>
      <c r="AB649" s="162" t="s">
        <v>2706</v>
      </c>
      <c r="AC649" s="162">
        <v>0</v>
      </c>
      <c r="AD649" s="162" t="s">
        <v>2706</v>
      </c>
      <c r="AE649" s="162">
        <v>0</v>
      </c>
      <c r="AF649" s="162" t="s">
        <v>2706</v>
      </c>
      <c r="AG649" s="162">
        <v>0</v>
      </c>
      <c r="AH649" s="162" t="s">
        <v>2706</v>
      </c>
      <c r="AI649" s="162">
        <v>0</v>
      </c>
      <c r="AJ649" s="162" t="s">
        <v>2706</v>
      </c>
      <c r="AK649" s="162">
        <v>0</v>
      </c>
      <c r="AL649" s="162" t="s">
        <v>2706</v>
      </c>
      <c r="AM649" s="162">
        <v>0</v>
      </c>
      <c r="AN649" s="162"/>
    </row>
    <row r="650" spans="1:40" s="100" customFormat="1" ht="46.8" x14ac:dyDescent="0.3">
      <c r="A650" s="161"/>
      <c r="B650" s="167"/>
      <c r="C650" s="98" t="s">
        <v>2708</v>
      </c>
      <c r="D650" s="163"/>
      <c r="E650" s="26" t="s">
        <v>48</v>
      </c>
      <c r="F650" s="30" t="s">
        <v>49</v>
      </c>
      <c r="G650" s="163"/>
      <c r="H650" s="163"/>
      <c r="I650" s="163"/>
      <c r="J650" s="165"/>
      <c r="K650" s="165"/>
      <c r="L650" s="165"/>
      <c r="M650" s="165"/>
      <c r="N650" s="165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  <c r="AA650" s="163"/>
      <c r="AB650" s="163"/>
      <c r="AC650" s="163"/>
      <c r="AD650" s="163"/>
      <c r="AE650" s="163"/>
      <c r="AF650" s="163"/>
      <c r="AG650" s="163"/>
      <c r="AH650" s="163"/>
      <c r="AI650" s="163"/>
      <c r="AJ650" s="163"/>
      <c r="AK650" s="163"/>
      <c r="AL650" s="163"/>
      <c r="AM650" s="163"/>
      <c r="AN650" s="163"/>
    </row>
    <row r="651" spans="1:40" s="100" customFormat="1" ht="46.8" x14ac:dyDescent="0.3">
      <c r="A651" s="160">
        <v>545</v>
      </c>
      <c r="B651" s="166" t="s">
        <v>1270</v>
      </c>
      <c r="C651" s="98" t="s">
        <v>2708</v>
      </c>
      <c r="D651" s="162" t="s">
        <v>2712</v>
      </c>
      <c r="E651" s="26" t="s">
        <v>144</v>
      </c>
      <c r="F651" s="30" t="s">
        <v>49</v>
      </c>
      <c r="G651" s="162" t="s">
        <v>2704</v>
      </c>
      <c r="H651" s="162">
        <v>37</v>
      </c>
      <c r="I651" s="162" t="str">
        <f t="shared" si="13"/>
        <v>с ЛН</v>
      </c>
      <c r="J651" s="164">
        <v>7</v>
      </c>
      <c r="K651" s="164" t="s">
        <v>528</v>
      </c>
      <c r="L651" s="164" t="s">
        <v>528</v>
      </c>
      <c r="M651" s="164" t="s">
        <v>2705</v>
      </c>
      <c r="N651" s="164" t="s">
        <v>2705</v>
      </c>
      <c r="O651" s="162">
        <v>0</v>
      </c>
      <c r="P651" s="162" t="s">
        <v>2706</v>
      </c>
      <c r="Q651" s="162">
        <v>0</v>
      </c>
      <c r="R651" s="162" t="s">
        <v>2706</v>
      </c>
      <c r="S651" s="162">
        <v>0</v>
      </c>
      <c r="T651" s="162" t="s">
        <v>2706</v>
      </c>
      <c r="U651" s="162">
        <v>0</v>
      </c>
      <c r="V651" s="162" t="s">
        <v>2706</v>
      </c>
      <c r="W651" s="162">
        <v>0</v>
      </c>
      <c r="X651" s="162" t="s">
        <v>2706</v>
      </c>
      <c r="Y651" s="162">
        <v>0</v>
      </c>
      <c r="Z651" s="162" t="s">
        <v>2706</v>
      </c>
      <c r="AA651" s="162">
        <v>0</v>
      </c>
      <c r="AB651" s="162" t="s">
        <v>2706</v>
      </c>
      <c r="AC651" s="162">
        <v>0</v>
      </c>
      <c r="AD651" s="162" t="s">
        <v>2706</v>
      </c>
      <c r="AE651" s="162">
        <v>0</v>
      </c>
      <c r="AF651" s="162" t="s">
        <v>2706</v>
      </c>
      <c r="AG651" s="162">
        <v>0</v>
      </c>
      <c r="AH651" s="162" t="s">
        <v>2706</v>
      </c>
      <c r="AI651" s="162">
        <v>0</v>
      </c>
      <c r="AJ651" s="162" t="s">
        <v>2706</v>
      </c>
      <c r="AK651" s="162">
        <v>0</v>
      </c>
      <c r="AL651" s="162" t="s">
        <v>2706</v>
      </c>
      <c r="AM651" s="162">
        <v>0</v>
      </c>
      <c r="AN651" s="162"/>
    </row>
    <row r="652" spans="1:40" s="100" customFormat="1" ht="46.8" x14ac:dyDescent="0.3">
      <c r="A652" s="161"/>
      <c r="B652" s="167"/>
      <c r="C652" s="98" t="s">
        <v>2708</v>
      </c>
      <c r="D652" s="163"/>
      <c r="E652" s="26" t="s">
        <v>48</v>
      </c>
      <c r="F652" s="30" t="s">
        <v>49</v>
      </c>
      <c r="G652" s="163"/>
      <c r="H652" s="163"/>
      <c r="I652" s="163"/>
      <c r="J652" s="165"/>
      <c r="K652" s="165"/>
      <c r="L652" s="165"/>
      <c r="M652" s="165"/>
      <c r="N652" s="165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  <c r="AA652" s="163"/>
      <c r="AB652" s="163"/>
      <c r="AC652" s="163"/>
      <c r="AD652" s="163"/>
      <c r="AE652" s="163"/>
      <c r="AF652" s="163"/>
      <c r="AG652" s="163"/>
      <c r="AH652" s="163"/>
      <c r="AI652" s="163"/>
      <c r="AJ652" s="163"/>
      <c r="AK652" s="163"/>
      <c r="AL652" s="163"/>
      <c r="AM652" s="163"/>
      <c r="AN652" s="163"/>
    </row>
    <row r="653" spans="1:40" s="100" customFormat="1" ht="46.8" x14ac:dyDescent="0.3">
      <c r="A653" s="160">
        <v>546</v>
      </c>
      <c r="B653" s="166" t="s">
        <v>1272</v>
      </c>
      <c r="C653" s="98" t="s">
        <v>2708</v>
      </c>
      <c r="D653" s="162" t="s">
        <v>2712</v>
      </c>
      <c r="E653" s="26" t="s">
        <v>144</v>
      </c>
      <c r="F653" s="30" t="s">
        <v>49</v>
      </c>
      <c r="G653" s="162" t="s">
        <v>2704</v>
      </c>
      <c r="H653" s="162">
        <v>32</v>
      </c>
      <c r="I653" s="162" t="str">
        <f t="shared" si="13"/>
        <v>с ЛН</v>
      </c>
      <c r="J653" s="164">
        <v>6</v>
      </c>
      <c r="K653" s="164" t="s">
        <v>528</v>
      </c>
      <c r="L653" s="164" t="s">
        <v>528</v>
      </c>
      <c r="M653" s="164" t="s">
        <v>2705</v>
      </c>
      <c r="N653" s="164" t="s">
        <v>2705</v>
      </c>
      <c r="O653" s="162">
        <v>1935</v>
      </c>
      <c r="P653" s="162" t="s">
        <v>2706</v>
      </c>
      <c r="Q653" s="162">
        <v>2186</v>
      </c>
      <c r="R653" s="162" t="s">
        <v>2706</v>
      </c>
      <c r="S653" s="162">
        <v>1300</v>
      </c>
      <c r="T653" s="162" t="s">
        <v>2706</v>
      </c>
      <c r="U653" s="162">
        <v>1662</v>
      </c>
      <c r="V653" s="162" t="s">
        <v>2706</v>
      </c>
      <c r="W653" s="162">
        <v>1706</v>
      </c>
      <c r="X653" s="162" t="s">
        <v>2706</v>
      </c>
      <c r="Y653" s="162">
        <v>961</v>
      </c>
      <c r="Z653" s="162" t="s">
        <v>2706</v>
      </c>
      <c r="AA653" s="162">
        <v>1193</v>
      </c>
      <c r="AB653" s="162" t="s">
        <v>2706</v>
      </c>
      <c r="AC653" s="162">
        <v>1662</v>
      </c>
      <c r="AD653" s="162" t="s">
        <v>2706</v>
      </c>
      <c r="AE653" s="162">
        <v>1412</v>
      </c>
      <c r="AF653" s="162" t="s">
        <v>2706</v>
      </c>
      <c r="AG653" s="162">
        <v>1279</v>
      </c>
      <c r="AH653" s="162" t="s">
        <v>2706</v>
      </c>
      <c r="AI653" s="162">
        <v>2605</v>
      </c>
      <c r="AJ653" s="162" t="s">
        <v>2706</v>
      </c>
      <c r="AK653" s="162">
        <v>1510</v>
      </c>
      <c r="AL653" s="162" t="s">
        <v>2706</v>
      </c>
      <c r="AM653" s="162">
        <v>17749</v>
      </c>
      <c r="AN653" s="162"/>
    </row>
    <row r="654" spans="1:40" s="100" customFormat="1" ht="46.8" x14ac:dyDescent="0.3">
      <c r="A654" s="161"/>
      <c r="B654" s="167"/>
      <c r="C654" s="98" t="s">
        <v>2708</v>
      </c>
      <c r="D654" s="163"/>
      <c r="E654" s="26" t="s">
        <v>48</v>
      </c>
      <c r="F654" s="30" t="s">
        <v>49</v>
      </c>
      <c r="G654" s="163"/>
      <c r="H654" s="163"/>
      <c r="I654" s="163"/>
      <c r="J654" s="165"/>
      <c r="K654" s="165"/>
      <c r="L654" s="165"/>
      <c r="M654" s="165"/>
      <c r="N654" s="165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  <c r="AA654" s="163"/>
      <c r="AB654" s="163"/>
      <c r="AC654" s="163"/>
      <c r="AD654" s="163"/>
      <c r="AE654" s="163"/>
      <c r="AF654" s="163"/>
      <c r="AG654" s="163"/>
      <c r="AH654" s="163"/>
      <c r="AI654" s="163"/>
      <c r="AJ654" s="163"/>
      <c r="AK654" s="163"/>
      <c r="AL654" s="163"/>
      <c r="AM654" s="163"/>
      <c r="AN654" s="163"/>
    </row>
    <row r="655" spans="1:40" s="100" customFormat="1" ht="46.8" x14ac:dyDescent="0.3">
      <c r="A655" s="160">
        <v>547</v>
      </c>
      <c r="B655" s="166" t="s">
        <v>1274</v>
      </c>
      <c r="C655" s="98" t="s">
        <v>2708</v>
      </c>
      <c r="D655" s="162" t="s">
        <v>2712</v>
      </c>
      <c r="E655" s="26" t="s">
        <v>144</v>
      </c>
      <c r="F655" s="30" t="s">
        <v>49</v>
      </c>
      <c r="G655" s="162"/>
      <c r="H655" s="162"/>
      <c r="I655" s="162"/>
      <c r="J655" s="164"/>
      <c r="K655" s="164" t="s">
        <v>528</v>
      </c>
      <c r="L655" s="164" t="s">
        <v>528</v>
      </c>
      <c r="M655" s="164" t="s">
        <v>2705</v>
      </c>
      <c r="N655" s="164" t="s">
        <v>2705</v>
      </c>
      <c r="O655" s="162">
        <v>2173</v>
      </c>
      <c r="P655" s="162" t="s">
        <v>2706</v>
      </c>
      <c r="Q655" s="162">
        <v>2460</v>
      </c>
      <c r="R655" s="162" t="s">
        <v>2706</v>
      </c>
      <c r="S655" s="162">
        <v>1443</v>
      </c>
      <c r="T655" s="162" t="s">
        <v>2706</v>
      </c>
      <c r="U655" s="162">
        <v>2094</v>
      </c>
      <c r="V655" s="162" t="s">
        <v>2706</v>
      </c>
      <c r="W655" s="162">
        <v>2116</v>
      </c>
      <c r="X655" s="162" t="s">
        <v>2706</v>
      </c>
      <c r="Y655" s="162">
        <v>1381</v>
      </c>
      <c r="Z655" s="162" t="s">
        <v>2706</v>
      </c>
      <c r="AA655" s="162">
        <v>2009</v>
      </c>
      <c r="AB655" s="162" t="s">
        <v>2706</v>
      </c>
      <c r="AC655" s="162">
        <v>2089</v>
      </c>
      <c r="AD655" s="162" t="s">
        <v>2706</v>
      </c>
      <c r="AE655" s="162">
        <v>2216</v>
      </c>
      <c r="AF655" s="162" t="s">
        <v>2706</v>
      </c>
      <c r="AG655" s="162">
        <v>1601</v>
      </c>
      <c r="AH655" s="162" t="s">
        <v>2706</v>
      </c>
      <c r="AI655" s="162">
        <v>614</v>
      </c>
      <c r="AJ655" s="162" t="s">
        <v>2706</v>
      </c>
      <c r="AK655" s="162">
        <v>1949</v>
      </c>
      <c r="AL655" s="162" t="s">
        <v>2706</v>
      </c>
      <c r="AM655" s="162">
        <v>20056</v>
      </c>
      <c r="AN655" s="162"/>
    </row>
    <row r="656" spans="1:40" s="100" customFormat="1" ht="46.8" x14ac:dyDescent="0.3">
      <c r="A656" s="161"/>
      <c r="B656" s="167"/>
      <c r="C656" s="98" t="s">
        <v>2708</v>
      </c>
      <c r="D656" s="163"/>
      <c r="E656" s="26" t="s">
        <v>48</v>
      </c>
      <c r="F656" s="30" t="s">
        <v>49</v>
      </c>
      <c r="G656" s="163"/>
      <c r="H656" s="163"/>
      <c r="I656" s="163"/>
      <c r="J656" s="165"/>
      <c r="K656" s="165"/>
      <c r="L656" s="165"/>
      <c r="M656" s="165"/>
      <c r="N656" s="165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  <c r="AA656" s="163"/>
      <c r="AB656" s="163"/>
      <c r="AC656" s="163"/>
      <c r="AD656" s="163"/>
      <c r="AE656" s="163"/>
      <c r="AF656" s="163"/>
      <c r="AG656" s="163"/>
      <c r="AH656" s="163"/>
      <c r="AI656" s="163"/>
      <c r="AJ656" s="163"/>
      <c r="AK656" s="163"/>
      <c r="AL656" s="163"/>
      <c r="AM656" s="163"/>
      <c r="AN656" s="163"/>
    </row>
    <row r="657" spans="1:40" s="100" customFormat="1" ht="46.8" x14ac:dyDescent="0.3">
      <c r="A657" s="160">
        <v>548</v>
      </c>
      <c r="B657" s="166" t="s">
        <v>1275</v>
      </c>
      <c r="C657" s="98" t="s">
        <v>2708</v>
      </c>
      <c r="D657" s="162" t="s">
        <v>2712</v>
      </c>
      <c r="E657" s="26" t="s">
        <v>144</v>
      </c>
      <c r="F657" s="30" t="s">
        <v>49</v>
      </c>
      <c r="G657" s="162" t="s">
        <v>2704</v>
      </c>
      <c r="H657" s="162">
        <v>24</v>
      </c>
      <c r="I657" s="162" t="str">
        <f t="shared" si="13"/>
        <v>с ЛН</v>
      </c>
      <c r="J657" s="164">
        <v>5</v>
      </c>
      <c r="K657" s="164" t="s">
        <v>528</v>
      </c>
      <c r="L657" s="164" t="s">
        <v>528</v>
      </c>
      <c r="M657" s="164" t="s">
        <v>2705</v>
      </c>
      <c r="N657" s="164" t="s">
        <v>2705</v>
      </c>
      <c r="O657" s="162">
        <v>477</v>
      </c>
      <c r="P657" s="162" t="s">
        <v>2706</v>
      </c>
      <c r="Q657" s="162">
        <v>522</v>
      </c>
      <c r="R657" s="162" t="s">
        <v>2706</v>
      </c>
      <c r="S657" s="162">
        <v>340</v>
      </c>
      <c r="T657" s="162" t="s">
        <v>2706</v>
      </c>
      <c r="U657" s="162">
        <v>478</v>
      </c>
      <c r="V657" s="162" t="s">
        <v>2706</v>
      </c>
      <c r="W657" s="162">
        <v>464</v>
      </c>
      <c r="X657" s="162" t="s">
        <v>2706</v>
      </c>
      <c r="Y657" s="162">
        <v>321</v>
      </c>
      <c r="Z657" s="162" t="s">
        <v>2706</v>
      </c>
      <c r="AA657" s="162">
        <v>399</v>
      </c>
      <c r="AB657" s="162" t="s">
        <v>2706</v>
      </c>
      <c r="AC657" s="162">
        <v>440</v>
      </c>
      <c r="AD657" s="162" t="s">
        <v>2706</v>
      </c>
      <c r="AE657" s="162">
        <v>382</v>
      </c>
      <c r="AF657" s="162" t="s">
        <v>2706</v>
      </c>
      <c r="AG657" s="162">
        <v>427</v>
      </c>
      <c r="AH657" s="162" t="s">
        <v>2706</v>
      </c>
      <c r="AI657" s="162">
        <v>192</v>
      </c>
      <c r="AJ657" s="162" t="s">
        <v>2706</v>
      </c>
      <c r="AK657" s="162">
        <v>540</v>
      </c>
      <c r="AL657" s="162" t="s">
        <v>2706</v>
      </c>
      <c r="AM657" s="162">
        <v>4542</v>
      </c>
      <c r="AN657" s="162"/>
    </row>
    <row r="658" spans="1:40" s="100" customFormat="1" ht="46.8" x14ac:dyDescent="0.3">
      <c r="A658" s="161"/>
      <c r="B658" s="167"/>
      <c r="C658" s="98" t="s">
        <v>2708</v>
      </c>
      <c r="D658" s="163"/>
      <c r="E658" s="26" t="s">
        <v>48</v>
      </c>
      <c r="F658" s="30" t="s">
        <v>49</v>
      </c>
      <c r="G658" s="163"/>
      <c r="H658" s="163"/>
      <c r="I658" s="163"/>
      <c r="J658" s="165"/>
      <c r="K658" s="165"/>
      <c r="L658" s="165"/>
      <c r="M658" s="165"/>
      <c r="N658" s="165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  <c r="AA658" s="163"/>
      <c r="AB658" s="163"/>
      <c r="AC658" s="163"/>
      <c r="AD658" s="163"/>
      <c r="AE658" s="163"/>
      <c r="AF658" s="163"/>
      <c r="AG658" s="163"/>
      <c r="AH658" s="163"/>
      <c r="AI658" s="163"/>
      <c r="AJ658" s="163"/>
      <c r="AK658" s="163"/>
      <c r="AL658" s="163"/>
      <c r="AM658" s="163"/>
      <c r="AN658" s="163"/>
    </row>
    <row r="659" spans="1:40" s="100" customFormat="1" ht="46.8" x14ac:dyDescent="0.3">
      <c r="A659" s="160">
        <v>549</v>
      </c>
      <c r="B659" s="166" t="s">
        <v>1277</v>
      </c>
      <c r="C659" s="98" t="s">
        <v>2708</v>
      </c>
      <c r="D659" s="162" t="s">
        <v>2712</v>
      </c>
      <c r="E659" s="26" t="s">
        <v>144</v>
      </c>
      <c r="F659" s="30" t="s">
        <v>49</v>
      </c>
      <c r="G659" s="162" t="s">
        <v>2704</v>
      </c>
      <c r="H659" s="162">
        <v>24</v>
      </c>
      <c r="I659" s="162" t="str">
        <f t="shared" si="13"/>
        <v>с ЛН</v>
      </c>
      <c r="J659" s="164">
        <v>5</v>
      </c>
      <c r="K659" s="164" t="s">
        <v>528</v>
      </c>
      <c r="L659" s="164" t="s">
        <v>528</v>
      </c>
      <c r="M659" s="164" t="s">
        <v>2705</v>
      </c>
      <c r="N659" s="164" t="s">
        <v>2705</v>
      </c>
      <c r="O659" s="162">
        <v>281</v>
      </c>
      <c r="P659" s="162" t="s">
        <v>2706</v>
      </c>
      <c r="Q659" s="162">
        <v>271</v>
      </c>
      <c r="R659" s="162" t="s">
        <v>2706</v>
      </c>
      <c r="S659" s="162">
        <v>153</v>
      </c>
      <c r="T659" s="162" t="s">
        <v>2706</v>
      </c>
      <c r="U659" s="162">
        <v>233</v>
      </c>
      <c r="V659" s="162" t="s">
        <v>2706</v>
      </c>
      <c r="W659" s="162">
        <v>220</v>
      </c>
      <c r="X659" s="162" t="s">
        <v>2706</v>
      </c>
      <c r="Y659" s="162">
        <v>153</v>
      </c>
      <c r="Z659" s="162" t="s">
        <v>2706</v>
      </c>
      <c r="AA659" s="162">
        <v>312</v>
      </c>
      <c r="AB659" s="162" t="s">
        <v>2706</v>
      </c>
      <c r="AC659" s="162">
        <v>155</v>
      </c>
      <c r="AD659" s="162" t="s">
        <v>2706</v>
      </c>
      <c r="AE659" s="162">
        <v>175</v>
      </c>
      <c r="AF659" s="162" t="s">
        <v>2706</v>
      </c>
      <c r="AG659" s="162">
        <v>224</v>
      </c>
      <c r="AH659" s="162" t="s">
        <v>2706</v>
      </c>
      <c r="AI659" s="162">
        <v>1504</v>
      </c>
      <c r="AJ659" s="162" t="s">
        <v>2706</v>
      </c>
      <c r="AK659" s="162">
        <v>258</v>
      </c>
      <c r="AL659" s="162" t="s">
        <v>2706</v>
      </c>
      <c r="AM659" s="162">
        <v>3784</v>
      </c>
      <c r="AN659" s="162"/>
    </row>
    <row r="660" spans="1:40" s="100" customFormat="1" ht="46.8" x14ac:dyDescent="0.3">
      <c r="A660" s="161"/>
      <c r="B660" s="167"/>
      <c r="C660" s="98" t="s">
        <v>2708</v>
      </c>
      <c r="D660" s="163"/>
      <c r="E660" s="26" t="s">
        <v>48</v>
      </c>
      <c r="F660" s="30" t="s">
        <v>49</v>
      </c>
      <c r="G660" s="163"/>
      <c r="H660" s="163"/>
      <c r="I660" s="163"/>
      <c r="J660" s="165"/>
      <c r="K660" s="165"/>
      <c r="L660" s="165"/>
      <c r="M660" s="165"/>
      <c r="N660" s="165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  <c r="AA660" s="163"/>
      <c r="AB660" s="163"/>
      <c r="AC660" s="163"/>
      <c r="AD660" s="163"/>
      <c r="AE660" s="163"/>
      <c r="AF660" s="163"/>
      <c r="AG660" s="163"/>
      <c r="AH660" s="163"/>
      <c r="AI660" s="163"/>
      <c r="AJ660" s="163"/>
      <c r="AK660" s="163"/>
      <c r="AL660" s="163"/>
      <c r="AM660" s="163"/>
      <c r="AN660" s="163"/>
    </row>
    <row r="661" spans="1:40" s="100" customFormat="1" ht="46.8" x14ac:dyDescent="0.3">
      <c r="A661" s="160">
        <v>550</v>
      </c>
      <c r="B661" s="166" t="s">
        <v>1279</v>
      </c>
      <c r="C661" s="98" t="s">
        <v>2708</v>
      </c>
      <c r="D661" s="162" t="s">
        <v>2712</v>
      </c>
      <c r="E661" s="26" t="s">
        <v>144</v>
      </c>
      <c r="F661" s="30" t="s">
        <v>49</v>
      </c>
      <c r="G661" s="162" t="s">
        <v>2704</v>
      </c>
      <c r="H661" s="162">
        <v>57</v>
      </c>
      <c r="I661" s="162" t="str">
        <f t="shared" si="13"/>
        <v>с ЛН</v>
      </c>
      <c r="J661" s="164">
        <v>11</v>
      </c>
      <c r="K661" s="164" t="s">
        <v>528</v>
      </c>
      <c r="L661" s="164" t="s">
        <v>528</v>
      </c>
      <c r="M661" s="164" t="s">
        <v>2705</v>
      </c>
      <c r="N661" s="164" t="s">
        <v>2705</v>
      </c>
      <c r="O661" s="162">
        <v>2599</v>
      </c>
      <c r="P661" s="162" t="s">
        <v>2706</v>
      </c>
      <c r="Q661" s="162">
        <v>2644</v>
      </c>
      <c r="R661" s="162" t="s">
        <v>2706</v>
      </c>
      <c r="S661" s="162">
        <v>1093</v>
      </c>
      <c r="T661" s="162" t="s">
        <v>2706</v>
      </c>
      <c r="U661" s="162">
        <v>1292</v>
      </c>
      <c r="V661" s="162" t="s">
        <v>2706</v>
      </c>
      <c r="W661" s="162">
        <v>1393</v>
      </c>
      <c r="X661" s="162" t="s">
        <v>2706</v>
      </c>
      <c r="Y661" s="162">
        <v>803</v>
      </c>
      <c r="Z661" s="162" t="s">
        <v>2706</v>
      </c>
      <c r="AA661" s="162">
        <v>808</v>
      </c>
      <c r="AB661" s="162" t="s">
        <v>2706</v>
      </c>
      <c r="AC661" s="162">
        <v>1188</v>
      </c>
      <c r="AD661" s="162" t="s">
        <v>2706</v>
      </c>
      <c r="AE661" s="162">
        <v>997</v>
      </c>
      <c r="AF661" s="162" t="s">
        <v>2706</v>
      </c>
      <c r="AG661" s="162">
        <v>1299</v>
      </c>
      <c r="AH661" s="162" t="s">
        <v>2706</v>
      </c>
      <c r="AI661" s="162">
        <v>3194</v>
      </c>
      <c r="AJ661" s="162" t="s">
        <v>2706</v>
      </c>
      <c r="AK661" s="162">
        <v>1267</v>
      </c>
      <c r="AL661" s="162" t="s">
        <v>2706</v>
      </c>
      <c r="AM661" s="162">
        <v>17389</v>
      </c>
      <c r="AN661" s="162"/>
    </row>
    <row r="662" spans="1:40" s="100" customFormat="1" ht="46.8" x14ac:dyDescent="0.3">
      <c r="A662" s="161"/>
      <c r="B662" s="167"/>
      <c r="C662" s="98" t="s">
        <v>2708</v>
      </c>
      <c r="D662" s="163"/>
      <c r="E662" s="26" t="s">
        <v>48</v>
      </c>
      <c r="F662" s="30" t="s">
        <v>49</v>
      </c>
      <c r="G662" s="163"/>
      <c r="H662" s="163"/>
      <c r="I662" s="163"/>
      <c r="J662" s="165"/>
      <c r="K662" s="165"/>
      <c r="L662" s="165"/>
      <c r="M662" s="165"/>
      <c r="N662" s="165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  <c r="AA662" s="163"/>
      <c r="AB662" s="163"/>
      <c r="AC662" s="163"/>
      <c r="AD662" s="163"/>
      <c r="AE662" s="163"/>
      <c r="AF662" s="163"/>
      <c r="AG662" s="163"/>
      <c r="AH662" s="163"/>
      <c r="AI662" s="163"/>
      <c r="AJ662" s="163"/>
      <c r="AK662" s="163"/>
      <c r="AL662" s="163"/>
      <c r="AM662" s="163"/>
      <c r="AN662" s="163"/>
    </row>
    <row r="663" spans="1:40" s="100" customFormat="1" ht="46.8" x14ac:dyDescent="0.3">
      <c r="A663" s="160">
        <v>551</v>
      </c>
      <c r="B663" s="166" t="s">
        <v>1280</v>
      </c>
      <c r="C663" s="98" t="s">
        <v>2708</v>
      </c>
      <c r="D663" s="162" t="s">
        <v>2712</v>
      </c>
      <c r="E663" s="26" t="s">
        <v>144</v>
      </c>
      <c r="F663" s="30" t="s">
        <v>49</v>
      </c>
      <c r="G663" s="162"/>
      <c r="H663" s="162"/>
      <c r="I663" s="162"/>
      <c r="J663" s="164"/>
      <c r="K663" s="164" t="s">
        <v>528</v>
      </c>
      <c r="L663" s="164" t="s">
        <v>528</v>
      </c>
      <c r="M663" s="164" t="s">
        <v>2705</v>
      </c>
      <c r="N663" s="164" t="s">
        <v>2705</v>
      </c>
      <c r="O663" s="162">
        <v>1085</v>
      </c>
      <c r="P663" s="162" t="s">
        <v>2706</v>
      </c>
      <c r="Q663" s="162">
        <v>1086</v>
      </c>
      <c r="R663" s="162" t="s">
        <v>2706</v>
      </c>
      <c r="S663" s="162">
        <v>705</v>
      </c>
      <c r="T663" s="162" t="s">
        <v>2706</v>
      </c>
      <c r="U663" s="162">
        <v>814</v>
      </c>
      <c r="V663" s="162" t="s">
        <v>2706</v>
      </c>
      <c r="W663" s="162">
        <v>612</v>
      </c>
      <c r="X663" s="162" t="s">
        <v>2706</v>
      </c>
      <c r="Y663" s="162">
        <v>233</v>
      </c>
      <c r="Z663" s="162" t="s">
        <v>2706</v>
      </c>
      <c r="AA663" s="162">
        <v>202</v>
      </c>
      <c r="AB663" s="162" t="s">
        <v>2706</v>
      </c>
      <c r="AC663" s="162">
        <v>252</v>
      </c>
      <c r="AD663" s="162" t="s">
        <v>2706</v>
      </c>
      <c r="AE663" s="162">
        <v>223</v>
      </c>
      <c r="AF663" s="162" t="s">
        <v>2706</v>
      </c>
      <c r="AG663" s="162">
        <v>571</v>
      </c>
      <c r="AH663" s="162" t="s">
        <v>2706</v>
      </c>
      <c r="AI663" s="162">
        <v>434</v>
      </c>
      <c r="AJ663" s="162" t="s">
        <v>2706</v>
      </c>
      <c r="AK663" s="162">
        <v>677</v>
      </c>
      <c r="AL663" s="162" t="s">
        <v>2706</v>
      </c>
      <c r="AM663" s="162">
        <v>6642</v>
      </c>
      <c r="AN663" s="162"/>
    </row>
    <row r="664" spans="1:40" s="100" customFormat="1" ht="46.8" x14ac:dyDescent="0.3">
      <c r="A664" s="161"/>
      <c r="B664" s="167"/>
      <c r="C664" s="98" t="s">
        <v>2708</v>
      </c>
      <c r="D664" s="163"/>
      <c r="E664" s="26" t="s">
        <v>48</v>
      </c>
      <c r="F664" s="30" t="s">
        <v>49</v>
      </c>
      <c r="G664" s="163"/>
      <c r="H664" s="163"/>
      <c r="I664" s="163"/>
      <c r="J664" s="165"/>
      <c r="K664" s="165"/>
      <c r="L664" s="165"/>
      <c r="M664" s="165"/>
      <c r="N664" s="165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  <c r="AA664" s="163"/>
      <c r="AB664" s="163"/>
      <c r="AC664" s="163"/>
      <c r="AD664" s="163"/>
      <c r="AE664" s="163"/>
      <c r="AF664" s="163"/>
      <c r="AG664" s="163"/>
      <c r="AH664" s="163"/>
      <c r="AI664" s="163"/>
      <c r="AJ664" s="163"/>
      <c r="AK664" s="163"/>
      <c r="AL664" s="163"/>
      <c r="AM664" s="163"/>
      <c r="AN664" s="163"/>
    </row>
    <row r="665" spans="1:40" s="100" customFormat="1" ht="46.8" x14ac:dyDescent="0.3">
      <c r="A665" s="160">
        <v>552</v>
      </c>
      <c r="B665" s="166" t="s">
        <v>1282</v>
      </c>
      <c r="C665" s="98" t="s">
        <v>2708</v>
      </c>
      <c r="D665" s="162" t="s">
        <v>2712</v>
      </c>
      <c r="E665" s="26" t="s">
        <v>144</v>
      </c>
      <c r="F665" s="30" t="s">
        <v>49</v>
      </c>
      <c r="G665" s="162"/>
      <c r="H665" s="162"/>
      <c r="I665" s="162"/>
      <c r="J665" s="164"/>
      <c r="K665" s="164" t="s">
        <v>528</v>
      </c>
      <c r="L665" s="164" t="s">
        <v>528</v>
      </c>
      <c r="M665" s="164" t="s">
        <v>2705</v>
      </c>
      <c r="N665" s="164" t="s">
        <v>2705</v>
      </c>
      <c r="O665" s="162">
        <v>730</v>
      </c>
      <c r="P665" s="162" t="s">
        <v>2706</v>
      </c>
      <c r="Q665" s="162">
        <v>946</v>
      </c>
      <c r="R665" s="162" t="s">
        <v>2706</v>
      </c>
      <c r="S665" s="162">
        <v>719</v>
      </c>
      <c r="T665" s="162" t="s">
        <v>2706</v>
      </c>
      <c r="U665" s="162">
        <v>1064</v>
      </c>
      <c r="V665" s="162" t="s">
        <v>2706</v>
      </c>
      <c r="W665" s="162">
        <v>1091</v>
      </c>
      <c r="X665" s="162" t="s">
        <v>2706</v>
      </c>
      <c r="Y665" s="162">
        <v>704</v>
      </c>
      <c r="Z665" s="162" t="s">
        <v>2706</v>
      </c>
      <c r="AA665" s="162">
        <v>651</v>
      </c>
      <c r="AB665" s="162" t="s">
        <v>2706</v>
      </c>
      <c r="AC665" s="162">
        <v>803</v>
      </c>
      <c r="AD665" s="162" t="s">
        <v>2706</v>
      </c>
      <c r="AE665" s="162">
        <v>861</v>
      </c>
      <c r="AF665" s="162" t="s">
        <v>2706</v>
      </c>
      <c r="AG665" s="162">
        <v>852</v>
      </c>
      <c r="AH665" s="162" t="s">
        <v>2706</v>
      </c>
      <c r="AI665" s="162">
        <v>827</v>
      </c>
      <c r="AJ665" s="162" t="s">
        <v>2706</v>
      </c>
      <c r="AK665" s="162">
        <v>973</v>
      </c>
      <c r="AL665" s="162" t="s">
        <v>2706</v>
      </c>
      <c r="AM665" s="162">
        <v>9418</v>
      </c>
      <c r="AN665" s="162"/>
    </row>
    <row r="666" spans="1:40" s="100" customFormat="1" ht="46.8" x14ac:dyDescent="0.3">
      <c r="A666" s="161"/>
      <c r="B666" s="167"/>
      <c r="C666" s="98" t="s">
        <v>2708</v>
      </c>
      <c r="D666" s="163"/>
      <c r="E666" s="26" t="s">
        <v>48</v>
      </c>
      <c r="F666" s="30" t="s">
        <v>49</v>
      </c>
      <c r="G666" s="163"/>
      <c r="H666" s="163"/>
      <c r="I666" s="163"/>
      <c r="J666" s="165"/>
      <c r="K666" s="165"/>
      <c r="L666" s="165"/>
      <c r="M666" s="165"/>
      <c r="N666" s="165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  <c r="AA666" s="163"/>
      <c r="AB666" s="163"/>
      <c r="AC666" s="163"/>
      <c r="AD666" s="163"/>
      <c r="AE666" s="163"/>
      <c r="AF666" s="163"/>
      <c r="AG666" s="163"/>
      <c r="AH666" s="163"/>
      <c r="AI666" s="163"/>
      <c r="AJ666" s="163"/>
      <c r="AK666" s="163"/>
      <c r="AL666" s="163"/>
      <c r="AM666" s="163"/>
      <c r="AN666" s="163"/>
    </row>
    <row r="667" spans="1:40" s="100" customFormat="1" ht="46.8" x14ac:dyDescent="0.3">
      <c r="A667" s="160">
        <v>553</v>
      </c>
      <c r="B667" s="166" t="s">
        <v>1283</v>
      </c>
      <c r="C667" s="98" t="s">
        <v>2708</v>
      </c>
      <c r="D667" s="162" t="s">
        <v>2712</v>
      </c>
      <c r="E667" s="26" t="s">
        <v>144</v>
      </c>
      <c r="F667" s="30" t="s">
        <v>49</v>
      </c>
      <c r="G667" s="162" t="s">
        <v>2704</v>
      </c>
      <c r="H667" s="162">
        <v>32</v>
      </c>
      <c r="I667" s="162" t="str">
        <f t="shared" ref="I667" si="16">G667</f>
        <v>с ЛН</v>
      </c>
      <c r="J667" s="164">
        <v>6</v>
      </c>
      <c r="K667" s="164" t="s">
        <v>528</v>
      </c>
      <c r="L667" s="164" t="s">
        <v>528</v>
      </c>
      <c r="M667" s="164" t="s">
        <v>2705</v>
      </c>
      <c r="N667" s="164" t="s">
        <v>2705</v>
      </c>
      <c r="O667" s="162">
        <v>605</v>
      </c>
      <c r="P667" s="162" t="s">
        <v>2706</v>
      </c>
      <c r="Q667" s="162">
        <v>846</v>
      </c>
      <c r="R667" s="162" t="s">
        <v>2706</v>
      </c>
      <c r="S667" s="162">
        <v>560</v>
      </c>
      <c r="T667" s="162" t="s">
        <v>2706</v>
      </c>
      <c r="U667" s="162">
        <v>735</v>
      </c>
      <c r="V667" s="162" t="s">
        <v>2706</v>
      </c>
      <c r="W667" s="162">
        <v>939</v>
      </c>
      <c r="X667" s="162" t="s">
        <v>2706</v>
      </c>
      <c r="Y667" s="162">
        <v>972</v>
      </c>
      <c r="Z667" s="162" t="s">
        <v>2706</v>
      </c>
      <c r="AA667" s="162">
        <v>841</v>
      </c>
      <c r="AB667" s="162" t="s">
        <v>2706</v>
      </c>
      <c r="AC667" s="162">
        <v>953</v>
      </c>
      <c r="AD667" s="162" t="s">
        <v>2706</v>
      </c>
      <c r="AE667" s="162">
        <v>1080</v>
      </c>
      <c r="AF667" s="162" t="s">
        <v>2706</v>
      </c>
      <c r="AG667" s="162">
        <v>1015</v>
      </c>
      <c r="AH667" s="162" t="s">
        <v>2706</v>
      </c>
      <c r="AI667" s="162">
        <v>993</v>
      </c>
      <c r="AJ667" s="162" t="s">
        <v>2706</v>
      </c>
      <c r="AK667" s="162">
        <v>1064</v>
      </c>
      <c r="AL667" s="162" t="s">
        <v>2706</v>
      </c>
      <c r="AM667" s="162">
        <v>9650</v>
      </c>
      <c r="AN667" s="162"/>
    </row>
    <row r="668" spans="1:40" s="100" customFormat="1" ht="46.8" x14ac:dyDescent="0.3">
      <c r="A668" s="161"/>
      <c r="B668" s="167"/>
      <c r="C668" s="98" t="s">
        <v>2708</v>
      </c>
      <c r="D668" s="163"/>
      <c r="E668" s="26" t="s">
        <v>48</v>
      </c>
      <c r="F668" s="30" t="s">
        <v>49</v>
      </c>
      <c r="G668" s="163"/>
      <c r="H668" s="163"/>
      <c r="I668" s="163"/>
      <c r="J668" s="165"/>
      <c r="K668" s="165"/>
      <c r="L668" s="165"/>
      <c r="M668" s="165"/>
      <c r="N668" s="165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  <c r="AA668" s="163"/>
      <c r="AB668" s="163"/>
      <c r="AC668" s="163"/>
      <c r="AD668" s="163"/>
      <c r="AE668" s="163"/>
      <c r="AF668" s="163"/>
      <c r="AG668" s="163"/>
      <c r="AH668" s="163"/>
      <c r="AI668" s="163"/>
      <c r="AJ668" s="163"/>
      <c r="AK668" s="163"/>
      <c r="AL668" s="163"/>
      <c r="AM668" s="163"/>
      <c r="AN668" s="163"/>
    </row>
    <row r="669" spans="1:40" s="100" customFormat="1" ht="46.8" x14ac:dyDescent="0.3">
      <c r="A669" s="160">
        <v>554</v>
      </c>
      <c r="B669" s="166" t="s">
        <v>1284</v>
      </c>
      <c r="C669" s="98" t="s">
        <v>2708</v>
      </c>
      <c r="D669" s="162" t="s">
        <v>2712</v>
      </c>
      <c r="E669" s="26" t="s">
        <v>144</v>
      </c>
      <c r="F669" s="30" t="s">
        <v>49</v>
      </c>
      <c r="G669" s="162" t="s">
        <v>2707</v>
      </c>
      <c r="H669" s="162">
        <v>52</v>
      </c>
      <c r="I669" s="162" t="s">
        <v>2704</v>
      </c>
      <c r="J669" s="164">
        <v>10</v>
      </c>
      <c r="K669" s="164" t="s">
        <v>528</v>
      </c>
      <c r="L669" s="164" t="s">
        <v>528</v>
      </c>
      <c r="M669" s="164" t="s">
        <v>2705</v>
      </c>
      <c r="N669" s="164" t="s">
        <v>2705</v>
      </c>
      <c r="O669" s="162">
        <v>3191</v>
      </c>
      <c r="P669" s="162" t="s">
        <v>2706</v>
      </c>
      <c r="Q669" s="162">
        <v>3513</v>
      </c>
      <c r="R669" s="162" t="s">
        <v>2706</v>
      </c>
      <c r="S669" s="162">
        <v>2519</v>
      </c>
      <c r="T669" s="162" t="s">
        <v>2706</v>
      </c>
      <c r="U669" s="162">
        <v>2647</v>
      </c>
      <c r="V669" s="162" t="s">
        <v>2706</v>
      </c>
      <c r="W669" s="162">
        <v>2891</v>
      </c>
      <c r="X669" s="162" t="s">
        <v>2706</v>
      </c>
      <c r="Y669" s="162">
        <v>2029</v>
      </c>
      <c r="Z669" s="162" t="s">
        <v>2706</v>
      </c>
      <c r="AA669" s="162">
        <v>2027</v>
      </c>
      <c r="AB669" s="162" t="s">
        <v>2706</v>
      </c>
      <c r="AC669" s="162">
        <v>2918</v>
      </c>
      <c r="AD669" s="162" t="s">
        <v>2706</v>
      </c>
      <c r="AE669" s="162">
        <v>2601</v>
      </c>
      <c r="AF669" s="162" t="s">
        <v>2706</v>
      </c>
      <c r="AG669" s="162">
        <v>1075</v>
      </c>
      <c r="AH669" s="162" t="s">
        <v>2706</v>
      </c>
      <c r="AI669" s="162">
        <v>2827</v>
      </c>
      <c r="AJ669" s="162" t="s">
        <v>2706</v>
      </c>
      <c r="AK669" s="162">
        <v>2726</v>
      </c>
      <c r="AL669" s="162" t="s">
        <v>2706</v>
      </c>
      <c r="AM669" s="162">
        <v>28046</v>
      </c>
      <c r="AN669" s="162"/>
    </row>
    <row r="670" spans="1:40" s="100" customFormat="1" ht="46.8" x14ac:dyDescent="0.3">
      <c r="A670" s="161"/>
      <c r="B670" s="167"/>
      <c r="C670" s="98" t="s">
        <v>2708</v>
      </c>
      <c r="D670" s="163"/>
      <c r="E670" s="26" t="s">
        <v>48</v>
      </c>
      <c r="F670" s="30" t="s">
        <v>49</v>
      </c>
      <c r="G670" s="163"/>
      <c r="H670" s="163"/>
      <c r="I670" s="163"/>
      <c r="J670" s="165"/>
      <c r="K670" s="165"/>
      <c r="L670" s="165"/>
      <c r="M670" s="165"/>
      <c r="N670" s="165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  <c r="AA670" s="163"/>
      <c r="AB670" s="163"/>
      <c r="AC670" s="163"/>
      <c r="AD670" s="163"/>
      <c r="AE670" s="163"/>
      <c r="AF670" s="163"/>
      <c r="AG670" s="163"/>
      <c r="AH670" s="163"/>
      <c r="AI670" s="163"/>
      <c r="AJ670" s="163"/>
      <c r="AK670" s="163"/>
      <c r="AL670" s="163"/>
      <c r="AM670" s="163"/>
      <c r="AN670" s="163"/>
    </row>
    <row r="671" spans="1:40" s="100" customFormat="1" ht="46.8" x14ac:dyDescent="0.3">
      <c r="A671" s="160">
        <v>555</v>
      </c>
      <c r="B671" s="166" t="s">
        <v>1286</v>
      </c>
      <c r="C671" s="98" t="s">
        <v>2708</v>
      </c>
      <c r="D671" s="162" t="s">
        <v>2712</v>
      </c>
      <c r="E671" s="26" t="s">
        <v>144</v>
      </c>
      <c r="F671" s="30" t="s">
        <v>49</v>
      </c>
      <c r="G671" s="162" t="s">
        <v>2704</v>
      </c>
      <c r="H671" s="162">
        <v>30</v>
      </c>
      <c r="I671" s="162" t="str">
        <f>G671</f>
        <v>с ЛН</v>
      </c>
      <c r="J671" s="164">
        <v>5</v>
      </c>
      <c r="K671" s="164" t="s">
        <v>528</v>
      </c>
      <c r="L671" s="164" t="s">
        <v>528</v>
      </c>
      <c r="M671" s="164" t="s">
        <v>2705</v>
      </c>
      <c r="N671" s="164" t="s">
        <v>2705</v>
      </c>
      <c r="O671" s="162">
        <v>0</v>
      </c>
      <c r="P671" s="162" t="s">
        <v>2706</v>
      </c>
      <c r="Q671" s="162">
        <v>0</v>
      </c>
      <c r="R671" s="162" t="s">
        <v>2706</v>
      </c>
      <c r="S671" s="162">
        <v>150</v>
      </c>
      <c r="T671" s="162" t="s">
        <v>2706</v>
      </c>
      <c r="U671" s="162">
        <v>921</v>
      </c>
      <c r="V671" s="162" t="s">
        <v>2706</v>
      </c>
      <c r="W671" s="162">
        <v>944</v>
      </c>
      <c r="X671" s="162" t="s">
        <v>2706</v>
      </c>
      <c r="Y671" s="162">
        <v>774</v>
      </c>
      <c r="Z671" s="162" t="s">
        <v>2706</v>
      </c>
      <c r="AA671" s="162">
        <v>785</v>
      </c>
      <c r="AB671" s="162" t="s">
        <v>2706</v>
      </c>
      <c r="AC671" s="162">
        <v>782</v>
      </c>
      <c r="AD671" s="162" t="s">
        <v>2706</v>
      </c>
      <c r="AE671" s="162">
        <v>1011</v>
      </c>
      <c r="AF671" s="162" t="s">
        <v>2706</v>
      </c>
      <c r="AG671" s="162">
        <v>965</v>
      </c>
      <c r="AH671" s="162" t="s">
        <v>2706</v>
      </c>
      <c r="AI671" s="162">
        <v>789</v>
      </c>
      <c r="AJ671" s="162" t="s">
        <v>2706</v>
      </c>
      <c r="AK671" s="162">
        <v>966</v>
      </c>
      <c r="AL671" s="162" t="s">
        <v>2706</v>
      </c>
      <c r="AM671" s="162">
        <v>7305</v>
      </c>
      <c r="AN671" s="162"/>
    </row>
    <row r="672" spans="1:40" s="100" customFormat="1" ht="46.8" x14ac:dyDescent="0.3">
      <c r="A672" s="161"/>
      <c r="B672" s="167"/>
      <c r="C672" s="98" t="s">
        <v>2708</v>
      </c>
      <c r="D672" s="163"/>
      <c r="E672" s="26" t="s">
        <v>48</v>
      </c>
      <c r="F672" s="30" t="s">
        <v>49</v>
      </c>
      <c r="G672" s="163"/>
      <c r="H672" s="163"/>
      <c r="I672" s="163"/>
      <c r="J672" s="165"/>
      <c r="K672" s="165"/>
      <c r="L672" s="165"/>
      <c r="M672" s="165"/>
      <c r="N672" s="165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  <c r="AA672" s="163"/>
      <c r="AB672" s="163"/>
      <c r="AC672" s="163"/>
      <c r="AD672" s="163"/>
      <c r="AE672" s="163"/>
      <c r="AF672" s="163"/>
      <c r="AG672" s="163"/>
      <c r="AH672" s="163"/>
      <c r="AI672" s="163"/>
      <c r="AJ672" s="163"/>
      <c r="AK672" s="163"/>
      <c r="AL672" s="163"/>
      <c r="AM672" s="163"/>
      <c r="AN672" s="163"/>
    </row>
    <row r="673" spans="1:40" s="100" customFormat="1" ht="46.8" x14ac:dyDescent="0.3">
      <c r="A673" s="160">
        <v>556</v>
      </c>
      <c r="B673" s="166" t="s">
        <v>1287</v>
      </c>
      <c r="C673" s="98" t="s">
        <v>2708</v>
      </c>
      <c r="D673" s="162" t="s">
        <v>2712</v>
      </c>
      <c r="E673" s="26" t="s">
        <v>144</v>
      </c>
      <c r="F673" s="30" t="s">
        <v>49</v>
      </c>
      <c r="G673" s="162" t="s">
        <v>2704</v>
      </c>
      <c r="H673" s="162">
        <v>42</v>
      </c>
      <c r="I673" s="162" t="str">
        <f t="shared" ref="I673" si="17">G673</f>
        <v>с ЛН</v>
      </c>
      <c r="J673" s="164">
        <v>8</v>
      </c>
      <c r="K673" s="164" t="s">
        <v>528</v>
      </c>
      <c r="L673" s="164" t="s">
        <v>528</v>
      </c>
      <c r="M673" s="164" t="s">
        <v>2705</v>
      </c>
      <c r="N673" s="164" t="s">
        <v>2705</v>
      </c>
      <c r="O673" s="162">
        <v>1411</v>
      </c>
      <c r="P673" s="162" t="s">
        <v>2706</v>
      </c>
      <c r="Q673" s="162">
        <v>1945</v>
      </c>
      <c r="R673" s="162" t="s">
        <v>2706</v>
      </c>
      <c r="S673" s="162">
        <v>1005</v>
      </c>
      <c r="T673" s="162" t="s">
        <v>2706</v>
      </c>
      <c r="U673" s="162">
        <v>1350</v>
      </c>
      <c r="V673" s="162" t="s">
        <v>2706</v>
      </c>
      <c r="W673" s="162">
        <v>1454</v>
      </c>
      <c r="X673" s="162" t="s">
        <v>2706</v>
      </c>
      <c r="Y673" s="162">
        <v>922</v>
      </c>
      <c r="Z673" s="162" t="s">
        <v>2706</v>
      </c>
      <c r="AA673" s="162">
        <v>885</v>
      </c>
      <c r="AB673" s="162" t="s">
        <v>2706</v>
      </c>
      <c r="AC673" s="162">
        <v>1323</v>
      </c>
      <c r="AD673" s="162" t="s">
        <v>2706</v>
      </c>
      <c r="AE673" s="162">
        <v>1315</v>
      </c>
      <c r="AF673" s="162" t="s">
        <v>2706</v>
      </c>
      <c r="AG673" s="162">
        <v>1298</v>
      </c>
      <c r="AH673" s="162" t="s">
        <v>2706</v>
      </c>
      <c r="AI673" s="162">
        <v>1205</v>
      </c>
      <c r="AJ673" s="162" t="s">
        <v>2706</v>
      </c>
      <c r="AK673" s="162">
        <v>1921</v>
      </c>
      <c r="AL673" s="162" t="s">
        <v>2706</v>
      </c>
      <c r="AM673" s="162">
        <v>14711</v>
      </c>
      <c r="AN673" s="162"/>
    </row>
    <row r="674" spans="1:40" s="100" customFormat="1" ht="46.8" x14ac:dyDescent="0.3">
      <c r="A674" s="161"/>
      <c r="B674" s="167"/>
      <c r="C674" s="98" t="s">
        <v>2708</v>
      </c>
      <c r="D674" s="163"/>
      <c r="E674" s="26" t="s">
        <v>48</v>
      </c>
      <c r="F674" s="30" t="s">
        <v>49</v>
      </c>
      <c r="G674" s="163"/>
      <c r="H674" s="163"/>
      <c r="I674" s="163"/>
      <c r="J674" s="165"/>
      <c r="K674" s="165"/>
      <c r="L674" s="165"/>
      <c r="M674" s="165"/>
      <c r="N674" s="165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  <c r="AA674" s="163"/>
      <c r="AB674" s="163"/>
      <c r="AC674" s="163"/>
      <c r="AD674" s="163"/>
      <c r="AE674" s="163"/>
      <c r="AF674" s="163"/>
      <c r="AG674" s="163"/>
      <c r="AH674" s="163"/>
      <c r="AI674" s="163"/>
      <c r="AJ674" s="163"/>
      <c r="AK674" s="163"/>
      <c r="AL674" s="163"/>
      <c r="AM674" s="163"/>
      <c r="AN674" s="163"/>
    </row>
    <row r="675" spans="1:40" s="100" customFormat="1" ht="46.8" x14ac:dyDescent="0.3">
      <c r="A675" s="160">
        <v>557</v>
      </c>
      <c r="B675" s="166" t="s">
        <v>1289</v>
      </c>
      <c r="C675" s="98" t="s">
        <v>2708</v>
      </c>
      <c r="D675" s="162" t="s">
        <v>2712</v>
      </c>
      <c r="E675" s="26" t="s">
        <v>144</v>
      </c>
      <c r="F675" s="30" t="s">
        <v>49</v>
      </c>
      <c r="G675" s="162" t="s">
        <v>2704</v>
      </c>
      <c r="H675" s="162">
        <v>24</v>
      </c>
      <c r="I675" s="162" t="str">
        <f t="shared" ref="I675" si="18">G675</f>
        <v>с ЛН</v>
      </c>
      <c r="J675" s="164">
        <v>5</v>
      </c>
      <c r="K675" s="164" t="s">
        <v>528</v>
      </c>
      <c r="L675" s="164" t="s">
        <v>528</v>
      </c>
      <c r="M675" s="164" t="s">
        <v>2705</v>
      </c>
      <c r="N675" s="164" t="s">
        <v>2705</v>
      </c>
      <c r="O675" s="162">
        <v>768</v>
      </c>
      <c r="P675" s="162" t="s">
        <v>2706</v>
      </c>
      <c r="Q675" s="162">
        <v>1291</v>
      </c>
      <c r="R675" s="162" t="s">
        <v>2706</v>
      </c>
      <c r="S675" s="162">
        <v>653</v>
      </c>
      <c r="T675" s="162" t="s">
        <v>2706</v>
      </c>
      <c r="U675" s="162">
        <v>767</v>
      </c>
      <c r="V675" s="162" t="s">
        <v>2706</v>
      </c>
      <c r="W675" s="162">
        <v>684</v>
      </c>
      <c r="X675" s="162" t="s">
        <v>2706</v>
      </c>
      <c r="Y675" s="162">
        <v>574</v>
      </c>
      <c r="Z675" s="162" t="s">
        <v>2706</v>
      </c>
      <c r="AA675" s="162">
        <v>544</v>
      </c>
      <c r="AB675" s="162" t="s">
        <v>2706</v>
      </c>
      <c r="AC675" s="162">
        <v>620</v>
      </c>
      <c r="AD675" s="162" t="s">
        <v>2706</v>
      </c>
      <c r="AE675" s="162">
        <v>920</v>
      </c>
      <c r="AF675" s="162" t="s">
        <v>2706</v>
      </c>
      <c r="AG675" s="162">
        <v>0</v>
      </c>
      <c r="AH675" s="162" t="s">
        <v>2706</v>
      </c>
      <c r="AI675" s="162">
        <v>931</v>
      </c>
      <c r="AJ675" s="162" t="s">
        <v>2706</v>
      </c>
      <c r="AK675" s="162">
        <v>1488</v>
      </c>
      <c r="AL675" s="162" t="s">
        <v>2706</v>
      </c>
      <c r="AM675" s="162">
        <v>8472</v>
      </c>
      <c r="AN675" s="162"/>
    </row>
    <row r="676" spans="1:40" s="100" customFormat="1" ht="46.8" x14ac:dyDescent="0.3">
      <c r="A676" s="161"/>
      <c r="B676" s="167"/>
      <c r="C676" s="98" t="s">
        <v>2708</v>
      </c>
      <c r="D676" s="163"/>
      <c r="E676" s="26" t="s">
        <v>48</v>
      </c>
      <c r="F676" s="30" t="s">
        <v>49</v>
      </c>
      <c r="G676" s="163"/>
      <c r="H676" s="163"/>
      <c r="I676" s="163"/>
      <c r="J676" s="165"/>
      <c r="K676" s="165"/>
      <c r="L676" s="165"/>
      <c r="M676" s="165"/>
      <c r="N676" s="165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  <c r="AA676" s="163"/>
      <c r="AB676" s="163"/>
      <c r="AC676" s="163"/>
      <c r="AD676" s="163"/>
      <c r="AE676" s="163"/>
      <c r="AF676" s="163"/>
      <c r="AG676" s="163"/>
      <c r="AH676" s="163"/>
      <c r="AI676" s="163"/>
      <c r="AJ676" s="163"/>
      <c r="AK676" s="163"/>
      <c r="AL676" s="163"/>
      <c r="AM676" s="163"/>
      <c r="AN676" s="163"/>
    </row>
    <row r="677" spans="1:40" s="100" customFormat="1" ht="46.8" x14ac:dyDescent="0.3">
      <c r="A677" s="160">
        <v>558</v>
      </c>
      <c r="B677" s="166" t="s">
        <v>1290</v>
      </c>
      <c r="C677" s="98" t="s">
        <v>2708</v>
      </c>
      <c r="D677" s="162" t="s">
        <v>2712</v>
      </c>
      <c r="E677" s="26" t="s">
        <v>144</v>
      </c>
      <c r="F677" s="30" t="s">
        <v>49</v>
      </c>
      <c r="G677" s="162" t="s">
        <v>2704</v>
      </c>
      <c r="H677" s="162">
        <v>20</v>
      </c>
      <c r="I677" s="162" t="str">
        <f t="shared" ref="I677" si="19">G677</f>
        <v>с ЛН</v>
      </c>
      <c r="J677" s="164">
        <v>4</v>
      </c>
      <c r="K677" s="164" t="s">
        <v>528</v>
      </c>
      <c r="L677" s="164" t="s">
        <v>528</v>
      </c>
      <c r="M677" s="164" t="s">
        <v>2705</v>
      </c>
      <c r="N677" s="164" t="s">
        <v>2705</v>
      </c>
      <c r="O677" s="162">
        <v>0</v>
      </c>
      <c r="P677" s="162" t="s">
        <v>2706</v>
      </c>
      <c r="Q677" s="162">
        <v>0</v>
      </c>
      <c r="R677" s="162" t="s">
        <v>2706</v>
      </c>
      <c r="S677" s="162">
        <v>0</v>
      </c>
      <c r="T677" s="162" t="s">
        <v>2706</v>
      </c>
      <c r="U677" s="162">
        <v>0</v>
      </c>
      <c r="V677" s="162" t="s">
        <v>2706</v>
      </c>
      <c r="W677" s="162">
        <v>684</v>
      </c>
      <c r="X677" s="162" t="s">
        <v>2706</v>
      </c>
      <c r="Y677" s="162">
        <v>0</v>
      </c>
      <c r="Z677" s="162" t="s">
        <v>2706</v>
      </c>
      <c r="AA677" s="162">
        <v>544</v>
      </c>
      <c r="AB677" s="162" t="s">
        <v>2706</v>
      </c>
      <c r="AC677" s="162">
        <v>0</v>
      </c>
      <c r="AD677" s="162" t="s">
        <v>2706</v>
      </c>
      <c r="AE677" s="162">
        <v>920</v>
      </c>
      <c r="AF677" s="162" t="s">
        <v>2706</v>
      </c>
      <c r="AG677" s="162">
        <v>0</v>
      </c>
      <c r="AH677" s="162" t="s">
        <v>2706</v>
      </c>
      <c r="AI677" s="162">
        <v>0</v>
      </c>
      <c r="AJ677" s="162" t="s">
        <v>2706</v>
      </c>
      <c r="AK677" s="162">
        <v>0</v>
      </c>
      <c r="AL677" s="162" t="s">
        <v>2706</v>
      </c>
      <c r="AM677" s="162">
        <v>2148</v>
      </c>
      <c r="AN677" s="162"/>
    </row>
    <row r="678" spans="1:40" s="100" customFormat="1" ht="46.8" x14ac:dyDescent="0.3">
      <c r="A678" s="161"/>
      <c r="B678" s="167"/>
      <c r="C678" s="98" t="s">
        <v>2708</v>
      </c>
      <c r="D678" s="163"/>
      <c r="E678" s="26" t="s">
        <v>48</v>
      </c>
      <c r="F678" s="30" t="s">
        <v>49</v>
      </c>
      <c r="G678" s="163"/>
      <c r="H678" s="163"/>
      <c r="I678" s="163"/>
      <c r="J678" s="165"/>
      <c r="K678" s="165"/>
      <c r="L678" s="165"/>
      <c r="M678" s="165"/>
      <c r="N678" s="165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  <c r="AA678" s="163"/>
      <c r="AB678" s="163"/>
      <c r="AC678" s="163"/>
      <c r="AD678" s="163"/>
      <c r="AE678" s="163"/>
      <c r="AF678" s="163"/>
      <c r="AG678" s="163"/>
      <c r="AH678" s="163"/>
      <c r="AI678" s="163"/>
      <c r="AJ678" s="163"/>
      <c r="AK678" s="163"/>
      <c r="AL678" s="163"/>
      <c r="AM678" s="163"/>
      <c r="AN678" s="163"/>
    </row>
    <row r="679" spans="1:40" s="100" customFormat="1" ht="46.8" x14ac:dyDescent="0.3">
      <c r="A679" s="160">
        <v>559</v>
      </c>
      <c r="B679" s="166" t="s">
        <v>1292</v>
      </c>
      <c r="C679" s="98" t="s">
        <v>2708</v>
      </c>
      <c r="D679" s="162" t="s">
        <v>2712</v>
      </c>
      <c r="E679" s="26" t="s">
        <v>144</v>
      </c>
      <c r="F679" s="30" t="s">
        <v>49</v>
      </c>
      <c r="G679" s="162" t="s">
        <v>2704</v>
      </c>
      <c r="H679" s="162">
        <v>42</v>
      </c>
      <c r="I679" s="162" t="str">
        <f t="shared" ref="I679" si="20">G679</f>
        <v>с ЛН</v>
      </c>
      <c r="J679" s="164">
        <v>7</v>
      </c>
      <c r="K679" s="164" t="s">
        <v>528</v>
      </c>
      <c r="L679" s="164" t="s">
        <v>528</v>
      </c>
      <c r="M679" s="164" t="s">
        <v>2705</v>
      </c>
      <c r="N679" s="164" t="s">
        <v>2705</v>
      </c>
      <c r="O679" s="162">
        <v>743</v>
      </c>
      <c r="P679" s="162" t="s">
        <v>2706</v>
      </c>
      <c r="Q679" s="162">
        <v>1095</v>
      </c>
      <c r="R679" s="162" t="s">
        <v>2706</v>
      </c>
      <c r="S679" s="162">
        <v>694</v>
      </c>
      <c r="T679" s="162" t="s">
        <v>2706</v>
      </c>
      <c r="U679" s="162">
        <v>852</v>
      </c>
      <c r="V679" s="162" t="s">
        <v>2706</v>
      </c>
      <c r="W679" s="162">
        <v>898</v>
      </c>
      <c r="X679" s="162" t="s">
        <v>2706</v>
      </c>
      <c r="Y679" s="162">
        <v>568</v>
      </c>
      <c r="Z679" s="162" t="s">
        <v>2706</v>
      </c>
      <c r="AA679" s="162">
        <v>495</v>
      </c>
      <c r="AB679" s="162" t="s">
        <v>2706</v>
      </c>
      <c r="AC679" s="162">
        <v>1146</v>
      </c>
      <c r="AD679" s="162" t="s">
        <v>2706</v>
      </c>
      <c r="AE679" s="162">
        <v>1043</v>
      </c>
      <c r="AF679" s="162" t="s">
        <v>2706</v>
      </c>
      <c r="AG679" s="162">
        <v>1011</v>
      </c>
      <c r="AH679" s="162" t="s">
        <v>2706</v>
      </c>
      <c r="AI679" s="162">
        <v>751</v>
      </c>
      <c r="AJ679" s="162" t="s">
        <v>2706</v>
      </c>
      <c r="AK679" s="162">
        <v>1310</v>
      </c>
      <c r="AL679" s="162" t="s">
        <v>2706</v>
      </c>
      <c r="AM679" s="162">
        <v>9460</v>
      </c>
      <c r="AN679" s="162"/>
    </row>
    <row r="680" spans="1:40" s="100" customFormat="1" ht="46.8" x14ac:dyDescent="0.3">
      <c r="A680" s="161"/>
      <c r="B680" s="167"/>
      <c r="C680" s="98" t="s">
        <v>2708</v>
      </c>
      <c r="D680" s="163"/>
      <c r="E680" s="26" t="s">
        <v>48</v>
      </c>
      <c r="F680" s="30" t="s">
        <v>49</v>
      </c>
      <c r="G680" s="163"/>
      <c r="H680" s="163"/>
      <c r="I680" s="163"/>
      <c r="J680" s="165"/>
      <c r="K680" s="165"/>
      <c r="L680" s="165"/>
      <c r="M680" s="165"/>
      <c r="N680" s="165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  <c r="AA680" s="163"/>
      <c r="AB680" s="163"/>
      <c r="AC680" s="163"/>
      <c r="AD680" s="163"/>
      <c r="AE680" s="163"/>
      <c r="AF680" s="163"/>
      <c r="AG680" s="163"/>
      <c r="AH680" s="163"/>
      <c r="AI680" s="163"/>
      <c r="AJ680" s="163"/>
      <c r="AK680" s="163"/>
      <c r="AL680" s="163"/>
      <c r="AM680" s="163"/>
      <c r="AN680" s="163"/>
    </row>
    <row r="681" spans="1:40" s="100" customFormat="1" ht="46.8" x14ac:dyDescent="0.3">
      <c r="A681" s="160">
        <v>560</v>
      </c>
      <c r="B681" s="166" t="s">
        <v>1294</v>
      </c>
      <c r="C681" s="98" t="s">
        <v>2708</v>
      </c>
      <c r="D681" s="162" t="s">
        <v>2712</v>
      </c>
      <c r="E681" s="26" t="s">
        <v>144</v>
      </c>
      <c r="F681" s="30" t="s">
        <v>49</v>
      </c>
      <c r="G681" s="162" t="s">
        <v>2704</v>
      </c>
      <c r="H681" s="162">
        <v>15</v>
      </c>
      <c r="I681" s="162" t="str">
        <f t="shared" ref="I681" si="21">G681</f>
        <v>с ЛН</v>
      </c>
      <c r="J681" s="164">
        <v>3</v>
      </c>
      <c r="K681" s="164" t="s">
        <v>528</v>
      </c>
      <c r="L681" s="164" t="s">
        <v>528</v>
      </c>
      <c r="M681" s="164" t="s">
        <v>2705</v>
      </c>
      <c r="N681" s="164" t="s">
        <v>2705</v>
      </c>
      <c r="O681" s="162">
        <v>188</v>
      </c>
      <c r="P681" s="162" t="s">
        <v>2706</v>
      </c>
      <c r="Q681" s="162">
        <v>242</v>
      </c>
      <c r="R681" s="162" t="s">
        <v>2706</v>
      </c>
      <c r="S681" s="162">
        <v>148</v>
      </c>
      <c r="T681" s="162" t="s">
        <v>2706</v>
      </c>
      <c r="U681" s="162">
        <v>167</v>
      </c>
      <c r="V681" s="162" t="s">
        <v>2706</v>
      </c>
      <c r="W681" s="162">
        <v>167</v>
      </c>
      <c r="X681" s="162" t="s">
        <v>2706</v>
      </c>
      <c r="Y681" s="162">
        <v>137</v>
      </c>
      <c r="Z681" s="162" t="s">
        <v>2706</v>
      </c>
      <c r="AA681" s="162">
        <v>88</v>
      </c>
      <c r="AB681" s="162" t="s">
        <v>2706</v>
      </c>
      <c r="AC681" s="162">
        <v>170</v>
      </c>
      <c r="AD681" s="162" t="s">
        <v>2706</v>
      </c>
      <c r="AE681" s="162">
        <v>150</v>
      </c>
      <c r="AF681" s="162" t="s">
        <v>2706</v>
      </c>
      <c r="AG681" s="162">
        <v>157</v>
      </c>
      <c r="AH681" s="162" t="s">
        <v>2706</v>
      </c>
      <c r="AI681" s="162">
        <v>174</v>
      </c>
      <c r="AJ681" s="162" t="s">
        <v>2706</v>
      </c>
      <c r="AK681" s="162">
        <v>196</v>
      </c>
      <c r="AL681" s="162" t="s">
        <v>2706</v>
      </c>
      <c r="AM681" s="162">
        <v>1814</v>
      </c>
      <c r="AN681" s="162"/>
    </row>
    <row r="682" spans="1:40" s="100" customFormat="1" ht="46.8" x14ac:dyDescent="0.3">
      <c r="A682" s="161"/>
      <c r="B682" s="167"/>
      <c r="C682" s="98" t="s">
        <v>2708</v>
      </c>
      <c r="D682" s="163"/>
      <c r="E682" s="26" t="s">
        <v>48</v>
      </c>
      <c r="F682" s="30" t="s">
        <v>49</v>
      </c>
      <c r="G682" s="163"/>
      <c r="H682" s="163"/>
      <c r="I682" s="163"/>
      <c r="J682" s="165"/>
      <c r="K682" s="165"/>
      <c r="L682" s="165"/>
      <c r="M682" s="165"/>
      <c r="N682" s="165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  <c r="AA682" s="163"/>
      <c r="AB682" s="163"/>
      <c r="AC682" s="163"/>
      <c r="AD682" s="163"/>
      <c r="AE682" s="163"/>
      <c r="AF682" s="163"/>
      <c r="AG682" s="163"/>
      <c r="AH682" s="163"/>
      <c r="AI682" s="163"/>
      <c r="AJ682" s="163"/>
      <c r="AK682" s="163"/>
      <c r="AL682" s="163"/>
      <c r="AM682" s="163"/>
      <c r="AN682" s="163"/>
    </row>
    <row r="683" spans="1:40" s="100" customFormat="1" ht="46.8" x14ac:dyDescent="0.3">
      <c r="A683" s="160">
        <v>561</v>
      </c>
      <c r="B683" s="166" t="s">
        <v>1295</v>
      </c>
      <c r="C683" s="98" t="s">
        <v>2708</v>
      </c>
      <c r="D683" s="162" t="s">
        <v>2712</v>
      </c>
      <c r="E683" s="26" t="s">
        <v>144</v>
      </c>
      <c r="F683" s="30" t="s">
        <v>49</v>
      </c>
      <c r="G683" s="162" t="s">
        <v>2704</v>
      </c>
      <c r="H683" s="162">
        <v>54</v>
      </c>
      <c r="I683" s="162" t="str">
        <f t="shared" ref="I683" si="22">G683</f>
        <v>с ЛН</v>
      </c>
      <c r="J683" s="164">
        <v>9</v>
      </c>
      <c r="K683" s="164" t="s">
        <v>528</v>
      </c>
      <c r="L683" s="164" t="s">
        <v>528</v>
      </c>
      <c r="M683" s="164" t="s">
        <v>2705</v>
      </c>
      <c r="N683" s="164" t="s">
        <v>2705</v>
      </c>
      <c r="O683" s="162">
        <v>1972</v>
      </c>
      <c r="P683" s="162" t="s">
        <v>2706</v>
      </c>
      <c r="Q683" s="162">
        <v>2194</v>
      </c>
      <c r="R683" s="162" t="s">
        <v>2706</v>
      </c>
      <c r="S683" s="162">
        <v>2026</v>
      </c>
      <c r="T683" s="162" t="s">
        <v>2706</v>
      </c>
      <c r="U683" s="162">
        <v>2162</v>
      </c>
      <c r="V683" s="162" t="s">
        <v>2706</v>
      </c>
      <c r="W683" s="162">
        <v>2170</v>
      </c>
      <c r="X683" s="162" t="s">
        <v>2706</v>
      </c>
      <c r="Y683" s="162">
        <v>3183</v>
      </c>
      <c r="Z683" s="162" t="s">
        <v>2706</v>
      </c>
      <c r="AA683" s="162">
        <v>3184</v>
      </c>
      <c r="AB683" s="162" t="s">
        <v>2706</v>
      </c>
      <c r="AC683" s="162">
        <v>3353</v>
      </c>
      <c r="AD683" s="162" t="s">
        <v>2706</v>
      </c>
      <c r="AE683" s="162">
        <v>3323</v>
      </c>
      <c r="AF683" s="162" t="s">
        <v>2706</v>
      </c>
      <c r="AG683" s="162">
        <v>3264</v>
      </c>
      <c r="AH683" s="162" t="s">
        <v>2706</v>
      </c>
      <c r="AI683" s="162">
        <v>3181</v>
      </c>
      <c r="AJ683" s="162" t="s">
        <v>2706</v>
      </c>
      <c r="AK683" s="162">
        <v>3222</v>
      </c>
      <c r="AL683" s="162" t="s">
        <v>2706</v>
      </c>
      <c r="AM683" s="162">
        <v>29881</v>
      </c>
      <c r="AN683" s="162"/>
    </row>
    <row r="684" spans="1:40" s="100" customFormat="1" ht="46.8" x14ac:dyDescent="0.3">
      <c r="A684" s="161"/>
      <c r="B684" s="167"/>
      <c r="C684" s="98" t="s">
        <v>2708</v>
      </c>
      <c r="D684" s="163"/>
      <c r="E684" s="26" t="s">
        <v>48</v>
      </c>
      <c r="F684" s="30" t="s">
        <v>49</v>
      </c>
      <c r="G684" s="163"/>
      <c r="H684" s="163"/>
      <c r="I684" s="163"/>
      <c r="J684" s="165"/>
      <c r="K684" s="165"/>
      <c r="L684" s="165"/>
      <c r="M684" s="165"/>
      <c r="N684" s="165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  <c r="AA684" s="163"/>
      <c r="AB684" s="163"/>
      <c r="AC684" s="163"/>
      <c r="AD684" s="163"/>
      <c r="AE684" s="163"/>
      <c r="AF684" s="163"/>
      <c r="AG684" s="163"/>
      <c r="AH684" s="163"/>
      <c r="AI684" s="163"/>
      <c r="AJ684" s="163"/>
      <c r="AK684" s="163"/>
      <c r="AL684" s="163"/>
      <c r="AM684" s="163"/>
      <c r="AN684" s="163"/>
    </row>
    <row r="685" spans="1:40" s="100" customFormat="1" ht="46.8" x14ac:dyDescent="0.3">
      <c r="A685" s="160">
        <v>562</v>
      </c>
      <c r="B685" s="166" t="s">
        <v>1296</v>
      </c>
      <c r="C685" s="98" t="s">
        <v>2708</v>
      </c>
      <c r="D685" s="162" t="s">
        <v>2712</v>
      </c>
      <c r="E685" s="26" t="s">
        <v>144</v>
      </c>
      <c r="F685" s="30" t="s">
        <v>49</v>
      </c>
      <c r="G685" s="162" t="s">
        <v>2704</v>
      </c>
      <c r="H685" s="162">
        <v>20</v>
      </c>
      <c r="I685" s="162" t="str">
        <f t="shared" ref="I685" si="23">G685</f>
        <v>с ЛН</v>
      </c>
      <c r="J685" s="164">
        <v>4</v>
      </c>
      <c r="K685" s="164" t="s">
        <v>528</v>
      </c>
      <c r="L685" s="164" t="s">
        <v>528</v>
      </c>
      <c r="M685" s="164" t="s">
        <v>2705</v>
      </c>
      <c r="N685" s="164" t="s">
        <v>2705</v>
      </c>
      <c r="O685" s="162">
        <v>0</v>
      </c>
      <c r="P685" s="162" t="s">
        <v>2706</v>
      </c>
      <c r="Q685" s="162">
        <v>0</v>
      </c>
      <c r="R685" s="162" t="s">
        <v>2706</v>
      </c>
      <c r="S685" s="162">
        <v>0</v>
      </c>
      <c r="T685" s="162" t="s">
        <v>2706</v>
      </c>
      <c r="U685" s="162">
        <v>0</v>
      </c>
      <c r="V685" s="162" t="s">
        <v>2706</v>
      </c>
      <c r="W685" s="162">
        <v>0</v>
      </c>
      <c r="X685" s="162" t="s">
        <v>2706</v>
      </c>
      <c r="Y685" s="162">
        <v>0</v>
      </c>
      <c r="Z685" s="162" t="s">
        <v>2706</v>
      </c>
      <c r="AA685" s="162">
        <v>0</v>
      </c>
      <c r="AB685" s="162" t="s">
        <v>2706</v>
      </c>
      <c r="AC685" s="162">
        <v>0</v>
      </c>
      <c r="AD685" s="162" t="s">
        <v>2706</v>
      </c>
      <c r="AE685" s="162">
        <v>0</v>
      </c>
      <c r="AF685" s="162" t="s">
        <v>2706</v>
      </c>
      <c r="AG685" s="162">
        <v>0</v>
      </c>
      <c r="AH685" s="162" t="s">
        <v>2706</v>
      </c>
      <c r="AI685" s="162">
        <v>0</v>
      </c>
      <c r="AJ685" s="162" t="s">
        <v>2706</v>
      </c>
      <c r="AK685" s="162">
        <v>0</v>
      </c>
      <c r="AL685" s="162" t="s">
        <v>2706</v>
      </c>
      <c r="AM685" s="162">
        <v>0</v>
      </c>
      <c r="AN685" s="162"/>
    </row>
    <row r="686" spans="1:40" s="100" customFormat="1" ht="46.8" x14ac:dyDescent="0.3">
      <c r="A686" s="161"/>
      <c r="B686" s="167"/>
      <c r="C686" s="98" t="s">
        <v>2708</v>
      </c>
      <c r="D686" s="163"/>
      <c r="E686" s="26" t="s">
        <v>48</v>
      </c>
      <c r="F686" s="30" t="s">
        <v>49</v>
      </c>
      <c r="G686" s="163"/>
      <c r="H686" s="163"/>
      <c r="I686" s="163"/>
      <c r="J686" s="165"/>
      <c r="K686" s="165"/>
      <c r="L686" s="165"/>
      <c r="M686" s="165"/>
      <c r="N686" s="165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  <c r="AA686" s="163"/>
      <c r="AB686" s="163"/>
      <c r="AC686" s="163"/>
      <c r="AD686" s="163"/>
      <c r="AE686" s="163"/>
      <c r="AF686" s="163"/>
      <c r="AG686" s="163"/>
      <c r="AH686" s="163"/>
      <c r="AI686" s="163"/>
      <c r="AJ686" s="163"/>
      <c r="AK686" s="163"/>
      <c r="AL686" s="163"/>
      <c r="AM686" s="163"/>
      <c r="AN686" s="163"/>
    </row>
    <row r="687" spans="1:40" s="100" customFormat="1" ht="46.8" x14ac:dyDescent="0.3">
      <c r="A687" s="160">
        <v>563</v>
      </c>
      <c r="B687" s="166" t="s">
        <v>1297</v>
      </c>
      <c r="C687" s="98" t="s">
        <v>2708</v>
      </c>
      <c r="D687" s="162" t="s">
        <v>2712</v>
      </c>
      <c r="E687" s="26" t="s">
        <v>144</v>
      </c>
      <c r="F687" s="30" t="s">
        <v>49</v>
      </c>
      <c r="G687" s="162"/>
      <c r="H687" s="162"/>
      <c r="I687" s="162"/>
      <c r="J687" s="164"/>
      <c r="K687" s="164" t="s">
        <v>528</v>
      </c>
      <c r="L687" s="164" t="s">
        <v>528</v>
      </c>
      <c r="M687" s="164" t="s">
        <v>2705</v>
      </c>
      <c r="N687" s="164" t="s">
        <v>2705</v>
      </c>
      <c r="O687" s="162">
        <v>157</v>
      </c>
      <c r="P687" s="162" t="s">
        <v>2706</v>
      </c>
      <c r="Q687" s="162">
        <v>257</v>
      </c>
      <c r="R687" s="162" t="s">
        <v>2706</v>
      </c>
      <c r="S687" s="162">
        <v>123</v>
      </c>
      <c r="T687" s="162" t="s">
        <v>2706</v>
      </c>
      <c r="U687" s="162">
        <v>104</v>
      </c>
      <c r="V687" s="162" t="s">
        <v>2706</v>
      </c>
      <c r="W687" s="162">
        <v>109</v>
      </c>
      <c r="X687" s="162" t="s">
        <v>2706</v>
      </c>
      <c r="Y687" s="162">
        <v>82</v>
      </c>
      <c r="Z687" s="162" t="s">
        <v>2706</v>
      </c>
      <c r="AA687" s="162">
        <v>59</v>
      </c>
      <c r="AB687" s="162" t="s">
        <v>2706</v>
      </c>
      <c r="AC687" s="162">
        <v>36</v>
      </c>
      <c r="AD687" s="162" t="s">
        <v>2706</v>
      </c>
      <c r="AE687" s="162">
        <v>67</v>
      </c>
      <c r="AF687" s="162" t="s">
        <v>2706</v>
      </c>
      <c r="AG687" s="162">
        <v>98</v>
      </c>
      <c r="AH687" s="162" t="s">
        <v>2706</v>
      </c>
      <c r="AI687" s="162">
        <v>156</v>
      </c>
      <c r="AJ687" s="162" t="s">
        <v>2706</v>
      </c>
      <c r="AK687" s="162">
        <v>152</v>
      </c>
      <c r="AL687" s="162" t="s">
        <v>2706</v>
      </c>
      <c r="AM687" s="162">
        <v>1364</v>
      </c>
      <c r="AN687" s="162"/>
    </row>
    <row r="688" spans="1:40" s="100" customFormat="1" ht="46.8" x14ac:dyDescent="0.3">
      <c r="A688" s="161"/>
      <c r="B688" s="167"/>
      <c r="C688" s="98" t="s">
        <v>2708</v>
      </c>
      <c r="D688" s="163"/>
      <c r="E688" s="26" t="s">
        <v>48</v>
      </c>
      <c r="F688" s="30" t="s">
        <v>49</v>
      </c>
      <c r="G688" s="163"/>
      <c r="H688" s="163"/>
      <c r="I688" s="163"/>
      <c r="J688" s="165"/>
      <c r="K688" s="165"/>
      <c r="L688" s="165"/>
      <c r="M688" s="165"/>
      <c r="N688" s="165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  <c r="AA688" s="163"/>
      <c r="AB688" s="163"/>
      <c r="AC688" s="163"/>
      <c r="AD688" s="163"/>
      <c r="AE688" s="163"/>
      <c r="AF688" s="163"/>
      <c r="AG688" s="163"/>
      <c r="AH688" s="163"/>
      <c r="AI688" s="163"/>
      <c r="AJ688" s="163"/>
      <c r="AK688" s="163"/>
      <c r="AL688" s="163"/>
      <c r="AM688" s="163"/>
      <c r="AN688" s="163"/>
    </row>
    <row r="689" spans="1:40" s="100" customFormat="1" ht="46.8" x14ac:dyDescent="0.3">
      <c r="A689" s="160">
        <v>564</v>
      </c>
      <c r="B689" s="166" t="s">
        <v>1298</v>
      </c>
      <c r="C689" s="98" t="s">
        <v>2708</v>
      </c>
      <c r="D689" s="162" t="s">
        <v>2712</v>
      </c>
      <c r="E689" s="26" t="s">
        <v>144</v>
      </c>
      <c r="F689" s="30" t="s">
        <v>49</v>
      </c>
      <c r="G689" s="162" t="s">
        <v>2704</v>
      </c>
      <c r="H689" s="162">
        <v>22</v>
      </c>
      <c r="I689" s="162" t="str">
        <f t="shared" ref="I689" si="24">G689</f>
        <v>с ЛН</v>
      </c>
      <c r="J689" s="164">
        <v>4</v>
      </c>
      <c r="K689" s="164" t="s">
        <v>529</v>
      </c>
      <c r="L689" s="164" t="s">
        <v>529</v>
      </c>
      <c r="M689" s="164" t="s">
        <v>2705</v>
      </c>
      <c r="N689" s="164" t="s">
        <v>2705</v>
      </c>
      <c r="O689" s="162">
        <v>493</v>
      </c>
      <c r="P689" s="162" t="s">
        <v>2706</v>
      </c>
      <c r="Q689" s="162">
        <v>767</v>
      </c>
      <c r="R689" s="162" t="s">
        <v>2706</v>
      </c>
      <c r="S689" s="162">
        <v>355</v>
      </c>
      <c r="T689" s="162" t="s">
        <v>2706</v>
      </c>
      <c r="U689" s="162">
        <v>504</v>
      </c>
      <c r="V689" s="162" t="s">
        <v>2706</v>
      </c>
      <c r="W689" s="162">
        <v>477</v>
      </c>
      <c r="X689" s="162" t="s">
        <v>2706</v>
      </c>
      <c r="Y689" s="162">
        <v>188</v>
      </c>
      <c r="Z689" s="162" t="s">
        <v>2706</v>
      </c>
      <c r="AA689" s="162">
        <v>218</v>
      </c>
      <c r="AB689" s="162" t="s">
        <v>2706</v>
      </c>
      <c r="AC689" s="162">
        <v>0</v>
      </c>
      <c r="AD689" s="162" t="s">
        <v>2706</v>
      </c>
      <c r="AE689" s="162">
        <v>474</v>
      </c>
      <c r="AF689" s="162" t="s">
        <v>2706</v>
      </c>
      <c r="AG689" s="162">
        <v>512</v>
      </c>
      <c r="AH689" s="162" t="s">
        <v>2706</v>
      </c>
      <c r="AI689" s="162">
        <v>669</v>
      </c>
      <c r="AJ689" s="162" t="s">
        <v>2706</v>
      </c>
      <c r="AK689" s="162">
        <v>744</v>
      </c>
      <c r="AL689" s="162" t="s">
        <v>2706</v>
      </c>
      <c r="AM689" s="162">
        <v>5401</v>
      </c>
      <c r="AN689" s="162"/>
    </row>
    <row r="690" spans="1:40" s="100" customFormat="1" ht="46.8" x14ac:dyDescent="0.3">
      <c r="A690" s="161"/>
      <c r="B690" s="167"/>
      <c r="C690" s="98" t="s">
        <v>2708</v>
      </c>
      <c r="D690" s="163"/>
      <c r="E690" s="26" t="s">
        <v>48</v>
      </c>
      <c r="F690" s="30" t="s">
        <v>49</v>
      </c>
      <c r="G690" s="163"/>
      <c r="H690" s="163"/>
      <c r="I690" s="163"/>
      <c r="J690" s="165"/>
      <c r="K690" s="165"/>
      <c r="L690" s="165"/>
      <c r="M690" s="165"/>
      <c r="N690" s="165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  <c r="AA690" s="163"/>
      <c r="AB690" s="163"/>
      <c r="AC690" s="163"/>
      <c r="AD690" s="163"/>
      <c r="AE690" s="163"/>
      <c r="AF690" s="163"/>
      <c r="AG690" s="163"/>
      <c r="AH690" s="163"/>
      <c r="AI690" s="163"/>
      <c r="AJ690" s="163"/>
      <c r="AK690" s="163"/>
      <c r="AL690" s="163"/>
      <c r="AM690" s="163"/>
      <c r="AN690" s="163"/>
    </row>
    <row r="691" spans="1:40" s="100" customFormat="1" ht="46.8" x14ac:dyDescent="0.3">
      <c r="A691" s="160">
        <v>565</v>
      </c>
      <c r="B691" s="166" t="s">
        <v>1300</v>
      </c>
      <c r="C691" s="98" t="s">
        <v>2708</v>
      </c>
      <c r="D691" s="162" t="s">
        <v>2712</v>
      </c>
      <c r="E691" s="26" t="s">
        <v>144</v>
      </c>
      <c r="F691" s="30" t="s">
        <v>49</v>
      </c>
      <c r="G691" s="162" t="s">
        <v>2704</v>
      </c>
      <c r="H691" s="162">
        <v>16</v>
      </c>
      <c r="I691" s="162" t="str">
        <f t="shared" ref="I691" si="25">G691</f>
        <v>с ЛН</v>
      </c>
      <c r="J691" s="164">
        <v>3</v>
      </c>
      <c r="K691" s="164" t="s">
        <v>528</v>
      </c>
      <c r="L691" s="164" t="s">
        <v>528</v>
      </c>
      <c r="M691" s="164" t="s">
        <v>2705</v>
      </c>
      <c r="N691" s="164" t="s">
        <v>2705</v>
      </c>
      <c r="O691" s="162">
        <v>0</v>
      </c>
      <c r="P691" s="162" t="s">
        <v>2706</v>
      </c>
      <c r="Q691" s="162">
        <v>0</v>
      </c>
      <c r="R691" s="162" t="s">
        <v>2706</v>
      </c>
      <c r="S691" s="162">
        <v>0</v>
      </c>
      <c r="T691" s="162" t="s">
        <v>2706</v>
      </c>
      <c r="U691" s="162">
        <v>0</v>
      </c>
      <c r="V691" s="162" t="s">
        <v>2706</v>
      </c>
      <c r="W691" s="162">
        <v>0</v>
      </c>
      <c r="X691" s="162" t="s">
        <v>2706</v>
      </c>
      <c r="Y691" s="162">
        <v>0</v>
      </c>
      <c r="Z691" s="162" t="s">
        <v>2706</v>
      </c>
      <c r="AA691" s="162">
        <v>0</v>
      </c>
      <c r="AB691" s="162" t="s">
        <v>2706</v>
      </c>
      <c r="AC691" s="162">
        <v>0</v>
      </c>
      <c r="AD691" s="162" t="s">
        <v>2706</v>
      </c>
      <c r="AE691" s="162">
        <v>0</v>
      </c>
      <c r="AF691" s="162" t="s">
        <v>2706</v>
      </c>
      <c r="AG691" s="162">
        <v>0</v>
      </c>
      <c r="AH691" s="162" t="s">
        <v>2706</v>
      </c>
      <c r="AI691" s="162">
        <v>0</v>
      </c>
      <c r="AJ691" s="162" t="s">
        <v>2706</v>
      </c>
      <c r="AK691" s="162">
        <v>0</v>
      </c>
      <c r="AL691" s="162" t="s">
        <v>2706</v>
      </c>
      <c r="AM691" s="162">
        <v>0</v>
      </c>
      <c r="AN691" s="162"/>
    </row>
    <row r="692" spans="1:40" s="100" customFormat="1" ht="46.8" x14ac:dyDescent="0.3">
      <c r="A692" s="161"/>
      <c r="B692" s="167"/>
      <c r="C692" s="98" t="s">
        <v>2708</v>
      </c>
      <c r="D692" s="163"/>
      <c r="E692" s="26" t="s">
        <v>48</v>
      </c>
      <c r="F692" s="30" t="s">
        <v>49</v>
      </c>
      <c r="G692" s="163"/>
      <c r="H692" s="163"/>
      <c r="I692" s="163"/>
      <c r="J692" s="165"/>
      <c r="K692" s="165"/>
      <c r="L692" s="165"/>
      <c r="M692" s="165"/>
      <c r="N692" s="165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  <c r="AA692" s="163"/>
      <c r="AB692" s="163"/>
      <c r="AC692" s="163"/>
      <c r="AD692" s="163"/>
      <c r="AE692" s="163"/>
      <c r="AF692" s="163"/>
      <c r="AG692" s="163"/>
      <c r="AH692" s="163"/>
      <c r="AI692" s="163"/>
      <c r="AJ692" s="163"/>
      <c r="AK692" s="163"/>
      <c r="AL692" s="163"/>
      <c r="AM692" s="163"/>
      <c r="AN692" s="163"/>
    </row>
    <row r="693" spans="1:40" s="100" customFormat="1" ht="46.8" x14ac:dyDescent="0.3">
      <c r="A693" s="160">
        <v>566</v>
      </c>
      <c r="B693" s="166" t="s">
        <v>1301</v>
      </c>
      <c r="C693" s="98" t="s">
        <v>2708</v>
      </c>
      <c r="D693" s="162" t="s">
        <v>2712</v>
      </c>
      <c r="E693" s="26" t="s">
        <v>144</v>
      </c>
      <c r="F693" s="30" t="s">
        <v>49</v>
      </c>
      <c r="G693" s="162" t="s">
        <v>2704</v>
      </c>
      <c r="H693" s="162">
        <v>33</v>
      </c>
      <c r="I693" s="162" t="str">
        <f t="shared" ref="I693" si="26">G693</f>
        <v>с ЛН</v>
      </c>
      <c r="J693" s="164">
        <v>5</v>
      </c>
      <c r="K693" s="164" t="s">
        <v>528</v>
      </c>
      <c r="L693" s="164" t="s">
        <v>528</v>
      </c>
      <c r="M693" s="164" t="s">
        <v>2705</v>
      </c>
      <c r="N693" s="164" t="s">
        <v>2705</v>
      </c>
      <c r="O693" s="162">
        <v>429</v>
      </c>
      <c r="P693" s="162" t="s">
        <v>2706</v>
      </c>
      <c r="Q693" s="162">
        <v>581</v>
      </c>
      <c r="R693" s="162" t="s">
        <v>2706</v>
      </c>
      <c r="S693" s="162">
        <v>407</v>
      </c>
      <c r="T693" s="162" t="s">
        <v>2706</v>
      </c>
      <c r="U693" s="162">
        <v>659</v>
      </c>
      <c r="V693" s="162" t="s">
        <v>2706</v>
      </c>
      <c r="W693" s="162">
        <v>686</v>
      </c>
      <c r="X693" s="162" t="s">
        <v>2706</v>
      </c>
      <c r="Y693" s="162">
        <v>409</v>
      </c>
      <c r="Z693" s="162" t="s">
        <v>2706</v>
      </c>
      <c r="AA693" s="162">
        <v>505</v>
      </c>
      <c r="AB693" s="162" t="s">
        <v>2706</v>
      </c>
      <c r="AC693" s="162">
        <v>604</v>
      </c>
      <c r="AD693" s="162" t="s">
        <v>2706</v>
      </c>
      <c r="AE693" s="162">
        <v>736</v>
      </c>
      <c r="AF693" s="162" t="s">
        <v>2706</v>
      </c>
      <c r="AG693" s="162">
        <v>571</v>
      </c>
      <c r="AH693" s="162" t="s">
        <v>2706</v>
      </c>
      <c r="AI693" s="162">
        <v>707</v>
      </c>
      <c r="AJ693" s="162" t="s">
        <v>2706</v>
      </c>
      <c r="AK693" s="162">
        <v>571</v>
      </c>
      <c r="AL693" s="162" t="s">
        <v>2706</v>
      </c>
      <c r="AM693" s="162">
        <v>6261</v>
      </c>
      <c r="AN693" s="162"/>
    </row>
    <row r="694" spans="1:40" s="100" customFormat="1" ht="46.8" x14ac:dyDescent="0.3">
      <c r="A694" s="161"/>
      <c r="B694" s="167"/>
      <c r="C694" s="98" t="s">
        <v>2708</v>
      </c>
      <c r="D694" s="163"/>
      <c r="E694" s="26" t="s">
        <v>48</v>
      </c>
      <c r="F694" s="30" t="s">
        <v>49</v>
      </c>
      <c r="G694" s="163"/>
      <c r="H694" s="163"/>
      <c r="I694" s="163"/>
      <c r="J694" s="165"/>
      <c r="K694" s="165"/>
      <c r="L694" s="165"/>
      <c r="M694" s="165"/>
      <c r="N694" s="165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  <c r="AA694" s="163"/>
      <c r="AB694" s="163"/>
      <c r="AC694" s="163"/>
      <c r="AD694" s="163"/>
      <c r="AE694" s="163"/>
      <c r="AF694" s="163"/>
      <c r="AG694" s="163"/>
      <c r="AH694" s="163"/>
      <c r="AI694" s="163"/>
      <c r="AJ694" s="163"/>
      <c r="AK694" s="163"/>
      <c r="AL694" s="163"/>
      <c r="AM694" s="163"/>
      <c r="AN694" s="163"/>
    </row>
    <row r="695" spans="1:40" s="100" customFormat="1" ht="46.8" x14ac:dyDescent="0.3">
      <c r="A695" s="160">
        <v>567</v>
      </c>
      <c r="B695" s="166" t="s">
        <v>1302</v>
      </c>
      <c r="C695" s="98" t="s">
        <v>2708</v>
      </c>
      <c r="D695" s="162" t="s">
        <v>2712</v>
      </c>
      <c r="E695" s="26" t="s">
        <v>144</v>
      </c>
      <c r="F695" s="30" t="s">
        <v>49</v>
      </c>
      <c r="G695" s="162" t="s">
        <v>2704</v>
      </c>
      <c r="H695" s="162">
        <v>42</v>
      </c>
      <c r="I695" s="162" t="str">
        <f t="shared" ref="I695:I755" si="27">G695</f>
        <v>с ЛН</v>
      </c>
      <c r="J695" s="164">
        <v>7</v>
      </c>
      <c r="K695" s="164" t="s">
        <v>528</v>
      </c>
      <c r="L695" s="164" t="s">
        <v>528</v>
      </c>
      <c r="M695" s="164" t="s">
        <v>2705</v>
      </c>
      <c r="N695" s="164" t="s">
        <v>2705</v>
      </c>
      <c r="O695" s="162">
        <v>321</v>
      </c>
      <c r="P695" s="162" t="s">
        <v>2706</v>
      </c>
      <c r="Q695" s="162">
        <v>368</v>
      </c>
      <c r="R695" s="162" t="s">
        <v>2706</v>
      </c>
      <c r="S695" s="162">
        <v>162</v>
      </c>
      <c r="T695" s="162" t="s">
        <v>2706</v>
      </c>
      <c r="U695" s="162">
        <v>405</v>
      </c>
      <c r="V695" s="162" t="s">
        <v>2706</v>
      </c>
      <c r="W695" s="162">
        <v>309</v>
      </c>
      <c r="X695" s="162" t="s">
        <v>2706</v>
      </c>
      <c r="Y695" s="162">
        <v>259</v>
      </c>
      <c r="Z695" s="162" t="s">
        <v>2706</v>
      </c>
      <c r="AA695" s="162">
        <v>173</v>
      </c>
      <c r="AB695" s="162" t="s">
        <v>2706</v>
      </c>
      <c r="AC695" s="162">
        <v>314</v>
      </c>
      <c r="AD695" s="162" t="s">
        <v>2706</v>
      </c>
      <c r="AE695" s="162">
        <v>295</v>
      </c>
      <c r="AF695" s="162" t="s">
        <v>2706</v>
      </c>
      <c r="AG695" s="162">
        <v>276</v>
      </c>
      <c r="AH695" s="162" t="s">
        <v>2706</v>
      </c>
      <c r="AI695" s="162">
        <v>1196</v>
      </c>
      <c r="AJ695" s="162" t="s">
        <v>2706</v>
      </c>
      <c r="AK695" s="162">
        <v>671</v>
      </c>
      <c r="AL695" s="162" t="s">
        <v>2706</v>
      </c>
      <c r="AM695" s="162">
        <v>4435</v>
      </c>
      <c r="AN695" s="162"/>
    </row>
    <row r="696" spans="1:40" s="100" customFormat="1" ht="46.8" x14ac:dyDescent="0.3">
      <c r="A696" s="161"/>
      <c r="B696" s="167"/>
      <c r="C696" s="98" t="s">
        <v>2708</v>
      </c>
      <c r="D696" s="163"/>
      <c r="E696" s="26" t="s">
        <v>48</v>
      </c>
      <c r="F696" s="30" t="s">
        <v>49</v>
      </c>
      <c r="G696" s="163"/>
      <c r="H696" s="163"/>
      <c r="I696" s="163"/>
      <c r="J696" s="165"/>
      <c r="K696" s="165"/>
      <c r="L696" s="165"/>
      <c r="M696" s="165"/>
      <c r="N696" s="165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  <c r="AA696" s="163"/>
      <c r="AB696" s="163"/>
      <c r="AC696" s="163"/>
      <c r="AD696" s="163"/>
      <c r="AE696" s="163"/>
      <c r="AF696" s="163"/>
      <c r="AG696" s="163"/>
      <c r="AH696" s="163"/>
      <c r="AI696" s="163"/>
      <c r="AJ696" s="163"/>
      <c r="AK696" s="163"/>
      <c r="AL696" s="163"/>
      <c r="AM696" s="163"/>
      <c r="AN696" s="163"/>
    </row>
    <row r="697" spans="1:40" s="100" customFormat="1" ht="46.8" x14ac:dyDescent="0.3">
      <c r="A697" s="160">
        <v>568</v>
      </c>
      <c r="B697" s="166" t="s">
        <v>1303</v>
      </c>
      <c r="C697" s="98" t="s">
        <v>2708</v>
      </c>
      <c r="D697" s="162" t="s">
        <v>2712</v>
      </c>
      <c r="E697" s="26" t="s">
        <v>144</v>
      </c>
      <c r="F697" s="30" t="s">
        <v>49</v>
      </c>
      <c r="G697" s="162" t="s">
        <v>2704</v>
      </c>
      <c r="H697" s="162">
        <v>37</v>
      </c>
      <c r="I697" s="162" t="str">
        <f t="shared" si="27"/>
        <v>с ЛН</v>
      </c>
      <c r="J697" s="164">
        <v>7</v>
      </c>
      <c r="K697" s="164" t="s">
        <v>528</v>
      </c>
      <c r="L697" s="164" t="s">
        <v>528</v>
      </c>
      <c r="M697" s="164" t="s">
        <v>2705</v>
      </c>
      <c r="N697" s="164" t="s">
        <v>2705</v>
      </c>
      <c r="O697" s="162">
        <v>993</v>
      </c>
      <c r="P697" s="162" t="s">
        <v>2706</v>
      </c>
      <c r="Q697" s="162">
        <v>1149</v>
      </c>
      <c r="R697" s="162" t="s">
        <v>2706</v>
      </c>
      <c r="S697" s="162">
        <v>792</v>
      </c>
      <c r="T697" s="162" t="s">
        <v>2706</v>
      </c>
      <c r="U697" s="162">
        <v>890</v>
      </c>
      <c r="V697" s="162" t="s">
        <v>2706</v>
      </c>
      <c r="W697" s="162">
        <v>953</v>
      </c>
      <c r="X697" s="162" t="s">
        <v>2706</v>
      </c>
      <c r="Y697" s="162">
        <v>644</v>
      </c>
      <c r="Z697" s="162" t="s">
        <v>2706</v>
      </c>
      <c r="AA697" s="162">
        <v>591</v>
      </c>
      <c r="AB697" s="162" t="s">
        <v>2706</v>
      </c>
      <c r="AC697" s="162">
        <v>807</v>
      </c>
      <c r="AD697" s="162" t="s">
        <v>2706</v>
      </c>
      <c r="AE697" s="162">
        <v>1008</v>
      </c>
      <c r="AF697" s="162" t="s">
        <v>2706</v>
      </c>
      <c r="AG697" s="162">
        <v>829</v>
      </c>
      <c r="AH697" s="162" t="s">
        <v>2706</v>
      </c>
      <c r="AI697" s="162">
        <v>362</v>
      </c>
      <c r="AJ697" s="162" t="s">
        <v>2706</v>
      </c>
      <c r="AK697" s="162">
        <v>1180</v>
      </c>
      <c r="AL697" s="162" t="s">
        <v>2706</v>
      </c>
      <c r="AM697" s="162">
        <v>9391</v>
      </c>
      <c r="AN697" s="162"/>
    </row>
    <row r="698" spans="1:40" s="100" customFormat="1" ht="46.8" x14ac:dyDescent="0.3">
      <c r="A698" s="161"/>
      <c r="B698" s="167"/>
      <c r="C698" s="98" t="s">
        <v>2708</v>
      </c>
      <c r="D698" s="163"/>
      <c r="E698" s="26" t="s">
        <v>48</v>
      </c>
      <c r="F698" s="30" t="s">
        <v>49</v>
      </c>
      <c r="G698" s="163"/>
      <c r="H698" s="163"/>
      <c r="I698" s="163"/>
      <c r="J698" s="165"/>
      <c r="K698" s="165"/>
      <c r="L698" s="165"/>
      <c r="M698" s="165"/>
      <c r="N698" s="165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  <c r="AA698" s="163"/>
      <c r="AB698" s="163"/>
      <c r="AC698" s="163"/>
      <c r="AD698" s="163"/>
      <c r="AE698" s="163"/>
      <c r="AF698" s="163"/>
      <c r="AG698" s="163"/>
      <c r="AH698" s="163"/>
      <c r="AI698" s="163"/>
      <c r="AJ698" s="163"/>
      <c r="AK698" s="163"/>
      <c r="AL698" s="163"/>
      <c r="AM698" s="163"/>
      <c r="AN698" s="163"/>
    </row>
    <row r="699" spans="1:40" s="100" customFormat="1" ht="46.8" x14ac:dyDescent="0.3">
      <c r="A699" s="160">
        <v>569</v>
      </c>
      <c r="B699" s="166" t="s">
        <v>1304</v>
      </c>
      <c r="C699" s="98" t="s">
        <v>2708</v>
      </c>
      <c r="D699" s="162" t="s">
        <v>2712</v>
      </c>
      <c r="E699" s="26" t="s">
        <v>144</v>
      </c>
      <c r="F699" s="30" t="s">
        <v>49</v>
      </c>
      <c r="G699" s="162" t="s">
        <v>2704</v>
      </c>
      <c r="H699" s="162">
        <v>33</v>
      </c>
      <c r="I699" s="162" t="str">
        <f t="shared" si="27"/>
        <v>с ЛН</v>
      </c>
      <c r="J699" s="164">
        <v>5</v>
      </c>
      <c r="K699" s="164" t="s">
        <v>528</v>
      </c>
      <c r="L699" s="164" t="s">
        <v>528</v>
      </c>
      <c r="M699" s="164" t="s">
        <v>2705</v>
      </c>
      <c r="N699" s="164" t="s">
        <v>2705</v>
      </c>
      <c r="O699" s="162">
        <v>305</v>
      </c>
      <c r="P699" s="162" t="s">
        <v>2706</v>
      </c>
      <c r="Q699" s="162">
        <v>419</v>
      </c>
      <c r="R699" s="162" t="s">
        <v>2706</v>
      </c>
      <c r="S699" s="162">
        <v>166</v>
      </c>
      <c r="T699" s="162" t="s">
        <v>2706</v>
      </c>
      <c r="U699" s="162">
        <v>330</v>
      </c>
      <c r="V699" s="162" t="s">
        <v>2706</v>
      </c>
      <c r="W699" s="162">
        <v>318</v>
      </c>
      <c r="X699" s="162" t="s">
        <v>2706</v>
      </c>
      <c r="Y699" s="162">
        <v>290</v>
      </c>
      <c r="Z699" s="162" t="s">
        <v>2706</v>
      </c>
      <c r="AA699" s="162">
        <v>311</v>
      </c>
      <c r="AB699" s="162" t="s">
        <v>2706</v>
      </c>
      <c r="AC699" s="162">
        <v>356</v>
      </c>
      <c r="AD699" s="162" t="s">
        <v>2706</v>
      </c>
      <c r="AE699" s="162">
        <v>319</v>
      </c>
      <c r="AF699" s="162" t="s">
        <v>2706</v>
      </c>
      <c r="AG699" s="162">
        <v>557</v>
      </c>
      <c r="AH699" s="162" t="s">
        <v>2706</v>
      </c>
      <c r="AI699" s="162">
        <v>2711</v>
      </c>
      <c r="AJ699" s="162" t="s">
        <v>2706</v>
      </c>
      <c r="AK699" s="162">
        <v>289</v>
      </c>
      <c r="AL699" s="162" t="s">
        <v>2706</v>
      </c>
      <c r="AM699" s="162">
        <v>6015</v>
      </c>
      <c r="AN699" s="162"/>
    </row>
    <row r="700" spans="1:40" s="100" customFormat="1" ht="46.8" x14ac:dyDescent="0.3">
      <c r="A700" s="161"/>
      <c r="B700" s="167"/>
      <c r="C700" s="98" t="s">
        <v>2708</v>
      </c>
      <c r="D700" s="163"/>
      <c r="E700" s="26" t="s">
        <v>48</v>
      </c>
      <c r="F700" s="30" t="s">
        <v>49</v>
      </c>
      <c r="G700" s="163"/>
      <c r="H700" s="163"/>
      <c r="I700" s="163"/>
      <c r="J700" s="165"/>
      <c r="K700" s="165"/>
      <c r="L700" s="165"/>
      <c r="M700" s="165"/>
      <c r="N700" s="165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  <c r="AA700" s="163"/>
      <c r="AB700" s="163"/>
      <c r="AC700" s="163"/>
      <c r="AD700" s="163"/>
      <c r="AE700" s="163"/>
      <c r="AF700" s="163"/>
      <c r="AG700" s="163"/>
      <c r="AH700" s="163"/>
      <c r="AI700" s="163"/>
      <c r="AJ700" s="163"/>
      <c r="AK700" s="163"/>
      <c r="AL700" s="163"/>
      <c r="AM700" s="163"/>
      <c r="AN700" s="163"/>
    </row>
    <row r="701" spans="1:40" s="100" customFormat="1" ht="46.8" x14ac:dyDescent="0.3">
      <c r="A701" s="160">
        <v>570</v>
      </c>
      <c r="B701" s="166" t="s">
        <v>1305</v>
      </c>
      <c r="C701" s="98" t="s">
        <v>2708</v>
      </c>
      <c r="D701" s="162" t="s">
        <v>2712</v>
      </c>
      <c r="E701" s="26" t="s">
        <v>144</v>
      </c>
      <c r="F701" s="30" t="s">
        <v>49</v>
      </c>
      <c r="G701" s="162" t="s">
        <v>2704</v>
      </c>
      <c r="H701" s="162">
        <v>16</v>
      </c>
      <c r="I701" s="162" t="str">
        <f t="shared" si="27"/>
        <v>с ЛН</v>
      </c>
      <c r="J701" s="164">
        <v>3</v>
      </c>
      <c r="K701" s="164" t="s">
        <v>528</v>
      </c>
      <c r="L701" s="164" t="s">
        <v>528</v>
      </c>
      <c r="M701" s="164" t="s">
        <v>2705</v>
      </c>
      <c r="N701" s="164" t="s">
        <v>2705</v>
      </c>
      <c r="O701" s="162">
        <v>143</v>
      </c>
      <c r="P701" s="162" t="s">
        <v>2706</v>
      </c>
      <c r="Q701" s="162">
        <v>193</v>
      </c>
      <c r="R701" s="162" t="s">
        <v>2706</v>
      </c>
      <c r="S701" s="162">
        <v>98</v>
      </c>
      <c r="T701" s="162" t="s">
        <v>2706</v>
      </c>
      <c r="U701" s="162">
        <v>127</v>
      </c>
      <c r="V701" s="162" t="s">
        <v>2706</v>
      </c>
      <c r="W701" s="162">
        <v>95</v>
      </c>
      <c r="X701" s="162" t="s">
        <v>2706</v>
      </c>
      <c r="Y701" s="162">
        <v>68</v>
      </c>
      <c r="Z701" s="162" t="s">
        <v>2706</v>
      </c>
      <c r="AA701" s="162">
        <v>104</v>
      </c>
      <c r="AB701" s="162" t="s">
        <v>2706</v>
      </c>
      <c r="AC701" s="162">
        <v>199</v>
      </c>
      <c r="AD701" s="162" t="s">
        <v>2706</v>
      </c>
      <c r="AE701" s="162">
        <v>184</v>
      </c>
      <c r="AF701" s="162" t="s">
        <v>2706</v>
      </c>
      <c r="AG701" s="162">
        <v>161</v>
      </c>
      <c r="AH701" s="162" t="s">
        <v>2706</v>
      </c>
      <c r="AI701" s="162">
        <v>1430</v>
      </c>
      <c r="AJ701" s="162" t="s">
        <v>2706</v>
      </c>
      <c r="AK701" s="162">
        <v>211</v>
      </c>
      <c r="AL701" s="162" t="s">
        <v>2706</v>
      </c>
      <c r="AM701" s="162">
        <v>2814</v>
      </c>
      <c r="AN701" s="162"/>
    </row>
    <row r="702" spans="1:40" s="100" customFormat="1" ht="46.8" x14ac:dyDescent="0.3">
      <c r="A702" s="161"/>
      <c r="B702" s="167"/>
      <c r="C702" s="98" t="s">
        <v>2708</v>
      </c>
      <c r="D702" s="163"/>
      <c r="E702" s="26" t="s">
        <v>48</v>
      </c>
      <c r="F702" s="30" t="s">
        <v>49</v>
      </c>
      <c r="G702" s="163"/>
      <c r="H702" s="163"/>
      <c r="I702" s="163"/>
      <c r="J702" s="165"/>
      <c r="K702" s="165"/>
      <c r="L702" s="165"/>
      <c r="M702" s="165"/>
      <c r="N702" s="165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  <c r="AA702" s="163"/>
      <c r="AB702" s="163"/>
      <c r="AC702" s="163"/>
      <c r="AD702" s="163"/>
      <c r="AE702" s="163"/>
      <c r="AF702" s="163"/>
      <c r="AG702" s="163"/>
      <c r="AH702" s="163"/>
      <c r="AI702" s="163"/>
      <c r="AJ702" s="163"/>
      <c r="AK702" s="163"/>
      <c r="AL702" s="163"/>
      <c r="AM702" s="163"/>
      <c r="AN702" s="163"/>
    </row>
    <row r="703" spans="1:40" s="100" customFormat="1" ht="46.8" x14ac:dyDescent="0.3">
      <c r="A703" s="160">
        <v>571</v>
      </c>
      <c r="B703" s="166" t="s">
        <v>1306</v>
      </c>
      <c r="C703" s="98" t="s">
        <v>2708</v>
      </c>
      <c r="D703" s="162" t="s">
        <v>2712</v>
      </c>
      <c r="E703" s="26" t="s">
        <v>144</v>
      </c>
      <c r="F703" s="30" t="s">
        <v>49</v>
      </c>
      <c r="G703" s="162" t="s">
        <v>2704</v>
      </c>
      <c r="H703" s="162">
        <v>17</v>
      </c>
      <c r="I703" s="162" t="str">
        <f t="shared" si="27"/>
        <v>с ЛН</v>
      </c>
      <c r="J703" s="164">
        <v>3</v>
      </c>
      <c r="K703" s="164" t="s">
        <v>528</v>
      </c>
      <c r="L703" s="164" t="s">
        <v>528</v>
      </c>
      <c r="M703" s="164" t="s">
        <v>2705</v>
      </c>
      <c r="N703" s="164" t="s">
        <v>2705</v>
      </c>
      <c r="O703" s="162">
        <v>139</v>
      </c>
      <c r="P703" s="162" t="s">
        <v>2706</v>
      </c>
      <c r="Q703" s="162">
        <v>198</v>
      </c>
      <c r="R703" s="162" t="s">
        <v>2706</v>
      </c>
      <c r="S703" s="162">
        <v>153</v>
      </c>
      <c r="T703" s="162" t="s">
        <v>2706</v>
      </c>
      <c r="U703" s="162">
        <v>207</v>
      </c>
      <c r="V703" s="162" t="s">
        <v>2706</v>
      </c>
      <c r="W703" s="162">
        <v>187</v>
      </c>
      <c r="X703" s="162" t="s">
        <v>2706</v>
      </c>
      <c r="Y703" s="162">
        <v>366</v>
      </c>
      <c r="Z703" s="162" t="s">
        <v>2706</v>
      </c>
      <c r="AA703" s="162">
        <v>82</v>
      </c>
      <c r="AB703" s="162" t="s">
        <v>2706</v>
      </c>
      <c r="AC703" s="162">
        <v>98</v>
      </c>
      <c r="AD703" s="162" t="s">
        <v>2706</v>
      </c>
      <c r="AE703" s="162">
        <v>44</v>
      </c>
      <c r="AF703" s="162" t="s">
        <v>2706</v>
      </c>
      <c r="AG703" s="162">
        <v>192</v>
      </c>
      <c r="AH703" s="162" t="s">
        <v>2706</v>
      </c>
      <c r="AI703" s="162">
        <v>638</v>
      </c>
      <c r="AJ703" s="162" t="s">
        <v>2706</v>
      </c>
      <c r="AK703" s="162">
        <v>479</v>
      </c>
      <c r="AL703" s="162" t="s">
        <v>2706</v>
      </c>
      <c r="AM703" s="162">
        <v>2685</v>
      </c>
      <c r="AN703" s="162"/>
    </row>
    <row r="704" spans="1:40" s="100" customFormat="1" ht="46.8" x14ac:dyDescent="0.3">
      <c r="A704" s="161"/>
      <c r="B704" s="167"/>
      <c r="C704" s="98" t="s">
        <v>2708</v>
      </c>
      <c r="D704" s="163"/>
      <c r="E704" s="26" t="s">
        <v>48</v>
      </c>
      <c r="F704" s="30" t="s">
        <v>49</v>
      </c>
      <c r="G704" s="163"/>
      <c r="H704" s="163"/>
      <c r="I704" s="163"/>
      <c r="J704" s="165"/>
      <c r="K704" s="165"/>
      <c r="L704" s="165"/>
      <c r="M704" s="165"/>
      <c r="N704" s="165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  <c r="AA704" s="163"/>
      <c r="AB704" s="163"/>
      <c r="AC704" s="163"/>
      <c r="AD704" s="163"/>
      <c r="AE704" s="163"/>
      <c r="AF704" s="163"/>
      <c r="AG704" s="163"/>
      <c r="AH704" s="163"/>
      <c r="AI704" s="163"/>
      <c r="AJ704" s="163"/>
      <c r="AK704" s="163"/>
      <c r="AL704" s="163"/>
      <c r="AM704" s="163"/>
      <c r="AN704" s="163"/>
    </row>
    <row r="705" spans="1:40" s="100" customFormat="1" ht="46.8" x14ac:dyDescent="0.3">
      <c r="A705" s="160">
        <v>572</v>
      </c>
      <c r="B705" s="166" t="s">
        <v>1308</v>
      </c>
      <c r="C705" s="98" t="s">
        <v>2708</v>
      </c>
      <c r="D705" s="162" t="s">
        <v>2712</v>
      </c>
      <c r="E705" s="26" t="s">
        <v>144</v>
      </c>
      <c r="F705" s="30" t="s">
        <v>49</v>
      </c>
      <c r="G705" s="162" t="s">
        <v>2704</v>
      </c>
      <c r="H705" s="162">
        <v>22</v>
      </c>
      <c r="I705" s="162" t="str">
        <f t="shared" si="27"/>
        <v>с ЛН</v>
      </c>
      <c r="J705" s="164">
        <v>4</v>
      </c>
      <c r="K705" s="164" t="s">
        <v>528</v>
      </c>
      <c r="L705" s="164" t="s">
        <v>528</v>
      </c>
      <c r="M705" s="164" t="s">
        <v>2705</v>
      </c>
      <c r="N705" s="164" t="s">
        <v>2705</v>
      </c>
      <c r="O705" s="162">
        <v>527</v>
      </c>
      <c r="P705" s="162" t="s">
        <v>2706</v>
      </c>
      <c r="Q705" s="162">
        <v>874</v>
      </c>
      <c r="R705" s="162" t="s">
        <v>2706</v>
      </c>
      <c r="S705" s="162">
        <v>386</v>
      </c>
      <c r="T705" s="162" t="s">
        <v>2706</v>
      </c>
      <c r="U705" s="162">
        <v>561</v>
      </c>
      <c r="V705" s="162" t="s">
        <v>2706</v>
      </c>
      <c r="W705" s="162">
        <v>547</v>
      </c>
      <c r="X705" s="162" t="s">
        <v>2706</v>
      </c>
      <c r="Y705" s="162">
        <v>483</v>
      </c>
      <c r="Z705" s="162" t="s">
        <v>2706</v>
      </c>
      <c r="AA705" s="162">
        <v>423</v>
      </c>
      <c r="AB705" s="162" t="s">
        <v>2706</v>
      </c>
      <c r="AC705" s="162">
        <v>344</v>
      </c>
      <c r="AD705" s="162" t="s">
        <v>2706</v>
      </c>
      <c r="AE705" s="162">
        <v>689</v>
      </c>
      <c r="AF705" s="162" t="s">
        <v>2706</v>
      </c>
      <c r="AG705" s="162">
        <v>898</v>
      </c>
      <c r="AH705" s="162" t="s">
        <v>2706</v>
      </c>
      <c r="AI705" s="162">
        <v>1</v>
      </c>
      <c r="AJ705" s="162" t="s">
        <v>2706</v>
      </c>
      <c r="AK705" s="162">
        <v>446</v>
      </c>
      <c r="AL705" s="162" t="s">
        <v>2706</v>
      </c>
      <c r="AM705" s="162">
        <v>5835</v>
      </c>
      <c r="AN705" s="162"/>
    </row>
    <row r="706" spans="1:40" s="100" customFormat="1" ht="46.8" x14ac:dyDescent="0.3">
      <c r="A706" s="161"/>
      <c r="B706" s="167"/>
      <c r="C706" s="98" t="s">
        <v>2708</v>
      </c>
      <c r="D706" s="163"/>
      <c r="E706" s="26" t="s">
        <v>48</v>
      </c>
      <c r="F706" s="30" t="s">
        <v>49</v>
      </c>
      <c r="G706" s="163"/>
      <c r="H706" s="163"/>
      <c r="I706" s="163"/>
      <c r="J706" s="165"/>
      <c r="K706" s="165"/>
      <c r="L706" s="165"/>
      <c r="M706" s="165"/>
      <c r="N706" s="165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  <c r="AA706" s="163"/>
      <c r="AB706" s="163"/>
      <c r="AC706" s="163"/>
      <c r="AD706" s="163"/>
      <c r="AE706" s="163"/>
      <c r="AF706" s="163"/>
      <c r="AG706" s="163"/>
      <c r="AH706" s="163"/>
      <c r="AI706" s="163"/>
      <c r="AJ706" s="163"/>
      <c r="AK706" s="163"/>
      <c r="AL706" s="163"/>
      <c r="AM706" s="163"/>
      <c r="AN706" s="163"/>
    </row>
    <row r="707" spans="1:40" s="100" customFormat="1" ht="46.8" x14ac:dyDescent="0.3">
      <c r="A707" s="160">
        <v>573</v>
      </c>
      <c r="B707" s="166" t="s">
        <v>1309</v>
      </c>
      <c r="C707" s="98" t="s">
        <v>2708</v>
      </c>
      <c r="D707" s="162" t="s">
        <v>2712</v>
      </c>
      <c r="E707" s="26" t="s">
        <v>144</v>
      </c>
      <c r="F707" s="30" t="s">
        <v>49</v>
      </c>
      <c r="G707" s="162" t="s">
        <v>2704</v>
      </c>
      <c r="H707" s="162">
        <v>36</v>
      </c>
      <c r="I707" s="162" t="str">
        <f t="shared" si="27"/>
        <v>с ЛН</v>
      </c>
      <c r="J707" s="164">
        <v>6</v>
      </c>
      <c r="K707" s="164" t="s">
        <v>528</v>
      </c>
      <c r="L707" s="164" t="s">
        <v>528</v>
      </c>
      <c r="M707" s="164" t="s">
        <v>2705</v>
      </c>
      <c r="N707" s="164" t="s">
        <v>2705</v>
      </c>
      <c r="O707" s="162">
        <v>953</v>
      </c>
      <c r="P707" s="162" t="s">
        <v>2706</v>
      </c>
      <c r="Q707" s="162">
        <v>1092</v>
      </c>
      <c r="R707" s="162" t="s">
        <v>2706</v>
      </c>
      <c r="S707" s="162">
        <v>643</v>
      </c>
      <c r="T707" s="162" t="s">
        <v>2706</v>
      </c>
      <c r="U707" s="162">
        <v>807</v>
      </c>
      <c r="V707" s="162" t="s">
        <v>2706</v>
      </c>
      <c r="W707" s="162">
        <v>808</v>
      </c>
      <c r="X707" s="162" t="s">
        <v>2706</v>
      </c>
      <c r="Y707" s="162">
        <v>953</v>
      </c>
      <c r="Z707" s="162" t="s">
        <v>2706</v>
      </c>
      <c r="AA707" s="162">
        <v>724</v>
      </c>
      <c r="AB707" s="162" t="s">
        <v>2706</v>
      </c>
      <c r="AC707" s="162">
        <v>1128</v>
      </c>
      <c r="AD707" s="162" t="s">
        <v>2706</v>
      </c>
      <c r="AE707" s="162">
        <v>1022</v>
      </c>
      <c r="AF707" s="162" t="s">
        <v>2706</v>
      </c>
      <c r="AG707" s="162">
        <v>831</v>
      </c>
      <c r="AH707" s="162" t="s">
        <v>2706</v>
      </c>
      <c r="AI707" s="162">
        <v>884</v>
      </c>
      <c r="AJ707" s="162" t="s">
        <v>2706</v>
      </c>
      <c r="AK707" s="162">
        <v>1156</v>
      </c>
      <c r="AL707" s="162" t="s">
        <v>2706</v>
      </c>
      <c r="AM707" s="162">
        <v>9873</v>
      </c>
      <c r="AN707" s="162"/>
    </row>
    <row r="708" spans="1:40" s="100" customFormat="1" ht="46.8" x14ac:dyDescent="0.3">
      <c r="A708" s="161"/>
      <c r="B708" s="167"/>
      <c r="C708" s="98" t="s">
        <v>2708</v>
      </c>
      <c r="D708" s="163"/>
      <c r="E708" s="26" t="s">
        <v>48</v>
      </c>
      <c r="F708" s="30" t="s">
        <v>49</v>
      </c>
      <c r="G708" s="163"/>
      <c r="H708" s="163"/>
      <c r="I708" s="163"/>
      <c r="J708" s="165"/>
      <c r="K708" s="165"/>
      <c r="L708" s="165"/>
      <c r="M708" s="165"/>
      <c r="N708" s="165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  <c r="AA708" s="163"/>
      <c r="AB708" s="163"/>
      <c r="AC708" s="163"/>
      <c r="AD708" s="163"/>
      <c r="AE708" s="163"/>
      <c r="AF708" s="163"/>
      <c r="AG708" s="163"/>
      <c r="AH708" s="163"/>
      <c r="AI708" s="163"/>
      <c r="AJ708" s="163"/>
      <c r="AK708" s="163"/>
      <c r="AL708" s="163"/>
      <c r="AM708" s="163"/>
      <c r="AN708" s="163"/>
    </row>
    <row r="709" spans="1:40" s="100" customFormat="1" ht="46.8" x14ac:dyDescent="0.3">
      <c r="A709" s="160">
        <v>574</v>
      </c>
      <c r="B709" s="166" t="s">
        <v>1311</v>
      </c>
      <c r="C709" s="98" t="s">
        <v>2708</v>
      </c>
      <c r="D709" s="162" t="s">
        <v>2712</v>
      </c>
      <c r="E709" s="26" t="s">
        <v>144</v>
      </c>
      <c r="F709" s="30" t="s">
        <v>49</v>
      </c>
      <c r="G709" s="162"/>
      <c r="H709" s="162"/>
      <c r="I709" s="162"/>
      <c r="J709" s="164"/>
      <c r="K709" s="164" t="s">
        <v>528</v>
      </c>
      <c r="L709" s="164" t="s">
        <v>528</v>
      </c>
      <c r="M709" s="164" t="s">
        <v>2705</v>
      </c>
      <c r="N709" s="164" t="s">
        <v>2705</v>
      </c>
      <c r="O709" s="162">
        <v>1650</v>
      </c>
      <c r="P709" s="162" t="s">
        <v>2706</v>
      </c>
      <c r="Q709" s="162">
        <v>2107</v>
      </c>
      <c r="R709" s="162" t="s">
        <v>2706</v>
      </c>
      <c r="S709" s="162">
        <v>1370</v>
      </c>
      <c r="T709" s="162" t="s">
        <v>2706</v>
      </c>
      <c r="U709" s="162">
        <v>1443</v>
      </c>
      <c r="V709" s="162" t="s">
        <v>2706</v>
      </c>
      <c r="W709" s="162">
        <v>1402</v>
      </c>
      <c r="X709" s="162" t="s">
        <v>2706</v>
      </c>
      <c r="Y709" s="162">
        <v>831</v>
      </c>
      <c r="Z709" s="162" t="s">
        <v>2706</v>
      </c>
      <c r="AA709" s="162">
        <v>655</v>
      </c>
      <c r="AB709" s="162" t="s">
        <v>2706</v>
      </c>
      <c r="AC709" s="162">
        <v>775</v>
      </c>
      <c r="AD709" s="162" t="s">
        <v>2706</v>
      </c>
      <c r="AE709" s="162">
        <v>1121</v>
      </c>
      <c r="AF709" s="162" t="s">
        <v>2706</v>
      </c>
      <c r="AG709" s="162">
        <v>1561</v>
      </c>
      <c r="AH709" s="162" t="s">
        <v>2706</v>
      </c>
      <c r="AI709" s="162">
        <v>1298</v>
      </c>
      <c r="AJ709" s="162" t="s">
        <v>2706</v>
      </c>
      <c r="AK709" s="162">
        <v>2108</v>
      </c>
      <c r="AL709" s="162" t="s">
        <v>2706</v>
      </c>
      <c r="AM709" s="162">
        <v>15546</v>
      </c>
      <c r="AN709" s="162"/>
    </row>
    <row r="710" spans="1:40" s="100" customFormat="1" ht="46.8" x14ac:dyDescent="0.3">
      <c r="A710" s="161"/>
      <c r="B710" s="167"/>
      <c r="C710" s="98" t="s">
        <v>2708</v>
      </c>
      <c r="D710" s="163"/>
      <c r="E710" s="26" t="s">
        <v>48</v>
      </c>
      <c r="F710" s="30" t="s">
        <v>49</v>
      </c>
      <c r="G710" s="163"/>
      <c r="H710" s="163"/>
      <c r="I710" s="163"/>
      <c r="J710" s="165"/>
      <c r="K710" s="165"/>
      <c r="L710" s="165"/>
      <c r="M710" s="165"/>
      <c r="N710" s="165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  <c r="AA710" s="163"/>
      <c r="AB710" s="163"/>
      <c r="AC710" s="163"/>
      <c r="AD710" s="163"/>
      <c r="AE710" s="163"/>
      <c r="AF710" s="163"/>
      <c r="AG710" s="163"/>
      <c r="AH710" s="163"/>
      <c r="AI710" s="163"/>
      <c r="AJ710" s="163"/>
      <c r="AK710" s="163"/>
      <c r="AL710" s="163"/>
      <c r="AM710" s="163"/>
      <c r="AN710" s="163"/>
    </row>
    <row r="711" spans="1:40" s="100" customFormat="1" ht="46.8" x14ac:dyDescent="0.3">
      <c r="A711" s="160">
        <v>575</v>
      </c>
      <c r="B711" s="166" t="s">
        <v>1312</v>
      </c>
      <c r="C711" s="98" t="s">
        <v>2708</v>
      </c>
      <c r="D711" s="162" t="s">
        <v>2712</v>
      </c>
      <c r="E711" s="26" t="s">
        <v>144</v>
      </c>
      <c r="F711" s="30" t="s">
        <v>49</v>
      </c>
      <c r="G711" s="162"/>
      <c r="H711" s="162"/>
      <c r="I711" s="162"/>
      <c r="J711" s="164"/>
      <c r="K711" s="164" t="s">
        <v>528</v>
      </c>
      <c r="L711" s="164" t="s">
        <v>528</v>
      </c>
      <c r="M711" s="164" t="s">
        <v>2705</v>
      </c>
      <c r="N711" s="164" t="s">
        <v>2705</v>
      </c>
      <c r="O711" s="162">
        <v>0</v>
      </c>
      <c r="P711" s="162" t="s">
        <v>2706</v>
      </c>
      <c r="Q711" s="162">
        <v>0</v>
      </c>
      <c r="R711" s="162" t="s">
        <v>2706</v>
      </c>
      <c r="S711" s="162">
        <v>0</v>
      </c>
      <c r="T711" s="162" t="s">
        <v>2706</v>
      </c>
      <c r="U711" s="162">
        <v>0</v>
      </c>
      <c r="V711" s="162" t="s">
        <v>2706</v>
      </c>
      <c r="W711" s="162">
        <v>0</v>
      </c>
      <c r="X711" s="162" t="s">
        <v>2706</v>
      </c>
      <c r="Y711" s="162">
        <v>0</v>
      </c>
      <c r="Z711" s="162" t="s">
        <v>2706</v>
      </c>
      <c r="AA711" s="162">
        <v>0</v>
      </c>
      <c r="AB711" s="162" t="s">
        <v>2706</v>
      </c>
      <c r="AC711" s="162">
        <v>0</v>
      </c>
      <c r="AD711" s="162" t="s">
        <v>2706</v>
      </c>
      <c r="AE711" s="162">
        <v>0</v>
      </c>
      <c r="AF711" s="162" t="s">
        <v>2706</v>
      </c>
      <c r="AG711" s="162">
        <v>0</v>
      </c>
      <c r="AH711" s="162" t="s">
        <v>2706</v>
      </c>
      <c r="AI711" s="162">
        <v>0</v>
      </c>
      <c r="AJ711" s="162" t="s">
        <v>2706</v>
      </c>
      <c r="AK711" s="162">
        <v>0</v>
      </c>
      <c r="AL711" s="162" t="s">
        <v>2706</v>
      </c>
      <c r="AM711" s="162">
        <v>0</v>
      </c>
      <c r="AN711" s="162"/>
    </row>
    <row r="712" spans="1:40" s="100" customFormat="1" ht="46.8" x14ac:dyDescent="0.3">
      <c r="A712" s="161"/>
      <c r="B712" s="167"/>
      <c r="C712" s="98" t="s">
        <v>2708</v>
      </c>
      <c r="D712" s="163"/>
      <c r="E712" s="26" t="s">
        <v>48</v>
      </c>
      <c r="F712" s="30" t="s">
        <v>49</v>
      </c>
      <c r="G712" s="163"/>
      <c r="H712" s="163"/>
      <c r="I712" s="163"/>
      <c r="J712" s="165"/>
      <c r="K712" s="165"/>
      <c r="L712" s="165"/>
      <c r="M712" s="165"/>
      <c r="N712" s="165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  <c r="AA712" s="163"/>
      <c r="AB712" s="163"/>
      <c r="AC712" s="163"/>
      <c r="AD712" s="163"/>
      <c r="AE712" s="163"/>
      <c r="AF712" s="163"/>
      <c r="AG712" s="163"/>
      <c r="AH712" s="163"/>
      <c r="AI712" s="163"/>
      <c r="AJ712" s="163"/>
      <c r="AK712" s="163"/>
      <c r="AL712" s="163"/>
      <c r="AM712" s="163"/>
      <c r="AN712" s="163"/>
    </row>
    <row r="713" spans="1:40" s="100" customFormat="1" ht="46.8" x14ac:dyDescent="0.3">
      <c r="A713" s="160">
        <v>576</v>
      </c>
      <c r="B713" s="166" t="s">
        <v>1313</v>
      </c>
      <c r="C713" s="98" t="s">
        <v>2708</v>
      </c>
      <c r="D713" s="162" t="s">
        <v>2712</v>
      </c>
      <c r="E713" s="26" t="s">
        <v>144</v>
      </c>
      <c r="F713" s="30" t="s">
        <v>49</v>
      </c>
      <c r="G713" s="162"/>
      <c r="H713" s="162"/>
      <c r="I713" s="162"/>
      <c r="J713" s="164"/>
      <c r="K713" s="164" t="s">
        <v>528</v>
      </c>
      <c r="L713" s="164" t="s">
        <v>528</v>
      </c>
      <c r="M713" s="164" t="s">
        <v>2705</v>
      </c>
      <c r="N713" s="164" t="s">
        <v>2705</v>
      </c>
      <c r="O713" s="162">
        <v>0</v>
      </c>
      <c r="P713" s="162" t="s">
        <v>2706</v>
      </c>
      <c r="Q713" s="162">
        <v>0</v>
      </c>
      <c r="R713" s="162" t="s">
        <v>2706</v>
      </c>
      <c r="S713" s="162">
        <v>0</v>
      </c>
      <c r="T713" s="162" t="s">
        <v>2706</v>
      </c>
      <c r="U713" s="162">
        <v>0</v>
      </c>
      <c r="V713" s="162" t="s">
        <v>2706</v>
      </c>
      <c r="W713" s="162">
        <v>0</v>
      </c>
      <c r="X713" s="162" t="s">
        <v>2706</v>
      </c>
      <c r="Y713" s="162">
        <v>0</v>
      </c>
      <c r="Z713" s="162" t="s">
        <v>2706</v>
      </c>
      <c r="AA713" s="162">
        <v>0</v>
      </c>
      <c r="AB713" s="162" t="s">
        <v>2706</v>
      </c>
      <c r="AC713" s="162">
        <v>0</v>
      </c>
      <c r="AD713" s="162" t="s">
        <v>2706</v>
      </c>
      <c r="AE713" s="162">
        <v>0</v>
      </c>
      <c r="AF713" s="162" t="s">
        <v>2706</v>
      </c>
      <c r="AG713" s="162">
        <v>0</v>
      </c>
      <c r="AH713" s="162" t="s">
        <v>2706</v>
      </c>
      <c r="AI713" s="162">
        <v>0</v>
      </c>
      <c r="AJ713" s="162" t="s">
        <v>2706</v>
      </c>
      <c r="AK713" s="162">
        <v>0</v>
      </c>
      <c r="AL713" s="162" t="s">
        <v>2706</v>
      </c>
      <c r="AM713" s="162">
        <v>0</v>
      </c>
      <c r="AN713" s="162"/>
    </row>
    <row r="714" spans="1:40" s="100" customFormat="1" ht="46.8" x14ac:dyDescent="0.3">
      <c r="A714" s="161"/>
      <c r="B714" s="167"/>
      <c r="C714" s="98" t="s">
        <v>2708</v>
      </c>
      <c r="D714" s="163"/>
      <c r="E714" s="26" t="s">
        <v>48</v>
      </c>
      <c r="F714" s="30" t="s">
        <v>49</v>
      </c>
      <c r="G714" s="163"/>
      <c r="H714" s="163"/>
      <c r="I714" s="163"/>
      <c r="J714" s="165"/>
      <c r="K714" s="165"/>
      <c r="L714" s="165"/>
      <c r="M714" s="165"/>
      <c r="N714" s="165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  <c r="AA714" s="163"/>
      <c r="AB714" s="163"/>
      <c r="AC714" s="163"/>
      <c r="AD714" s="163"/>
      <c r="AE714" s="163"/>
      <c r="AF714" s="163"/>
      <c r="AG714" s="163"/>
      <c r="AH714" s="163"/>
      <c r="AI714" s="163"/>
      <c r="AJ714" s="163"/>
      <c r="AK714" s="163"/>
      <c r="AL714" s="163"/>
      <c r="AM714" s="163"/>
      <c r="AN714" s="163"/>
    </row>
    <row r="715" spans="1:40" s="100" customFormat="1" ht="46.8" x14ac:dyDescent="0.3">
      <c r="A715" s="160">
        <v>577</v>
      </c>
      <c r="B715" s="166" t="s">
        <v>1315</v>
      </c>
      <c r="C715" s="98" t="s">
        <v>2708</v>
      </c>
      <c r="D715" s="162" t="s">
        <v>2712</v>
      </c>
      <c r="E715" s="26" t="s">
        <v>144</v>
      </c>
      <c r="F715" s="30" t="s">
        <v>49</v>
      </c>
      <c r="G715" s="162" t="s">
        <v>2704</v>
      </c>
      <c r="H715" s="162">
        <v>47</v>
      </c>
      <c r="I715" s="162" t="str">
        <f t="shared" si="27"/>
        <v>с ЛН</v>
      </c>
      <c r="J715" s="164">
        <v>9</v>
      </c>
      <c r="K715" s="164" t="s">
        <v>528</v>
      </c>
      <c r="L715" s="164" t="s">
        <v>528</v>
      </c>
      <c r="M715" s="164" t="s">
        <v>2705</v>
      </c>
      <c r="N715" s="164" t="s">
        <v>2705</v>
      </c>
      <c r="O715" s="162">
        <v>2633</v>
      </c>
      <c r="P715" s="162" t="s">
        <v>2706</v>
      </c>
      <c r="Q715" s="162">
        <v>2517</v>
      </c>
      <c r="R715" s="162" t="s">
        <v>2706</v>
      </c>
      <c r="S715" s="162">
        <v>2527</v>
      </c>
      <c r="T715" s="162" t="s">
        <v>2706</v>
      </c>
      <c r="U715" s="162">
        <v>2577</v>
      </c>
      <c r="V715" s="162" t="s">
        <v>2706</v>
      </c>
      <c r="W715" s="162">
        <v>2343</v>
      </c>
      <c r="X715" s="162" t="s">
        <v>2706</v>
      </c>
      <c r="Y715" s="162">
        <v>1602</v>
      </c>
      <c r="Z715" s="162" t="s">
        <v>2706</v>
      </c>
      <c r="AA715" s="162">
        <v>1847</v>
      </c>
      <c r="AB715" s="162" t="s">
        <v>2706</v>
      </c>
      <c r="AC715" s="162">
        <v>1915</v>
      </c>
      <c r="AD715" s="162" t="s">
        <v>2706</v>
      </c>
      <c r="AE715" s="162">
        <v>2488</v>
      </c>
      <c r="AF715" s="162" t="s">
        <v>2706</v>
      </c>
      <c r="AG715" s="162">
        <v>2041</v>
      </c>
      <c r="AH715" s="162" t="s">
        <v>2706</v>
      </c>
      <c r="AI715" s="162">
        <v>103</v>
      </c>
      <c r="AJ715" s="162" t="s">
        <v>2706</v>
      </c>
      <c r="AK715" s="162">
        <v>2277</v>
      </c>
      <c r="AL715" s="162" t="s">
        <v>2706</v>
      </c>
      <c r="AM715" s="162">
        <v>22955</v>
      </c>
      <c r="AN715" s="162"/>
    </row>
    <row r="716" spans="1:40" s="100" customFormat="1" ht="46.8" x14ac:dyDescent="0.3">
      <c r="A716" s="161"/>
      <c r="B716" s="167"/>
      <c r="C716" s="98" t="s">
        <v>2708</v>
      </c>
      <c r="D716" s="163"/>
      <c r="E716" s="26" t="s">
        <v>48</v>
      </c>
      <c r="F716" s="30" t="s">
        <v>49</v>
      </c>
      <c r="G716" s="163"/>
      <c r="H716" s="163"/>
      <c r="I716" s="163"/>
      <c r="J716" s="165"/>
      <c r="K716" s="165"/>
      <c r="L716" s="165"/>
      <c r="M716" s="165"/>
      <c r="N716" s="165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  <c r="AA716" s="163"/>
      <c r="AB716" s="163"/>
      <c r="AC716" s="163"/>
      <c r="AD716" s="163"/>
      <c r="AE716" s="163"/>
      <c r="AF716" s="163"/>
      <c r="AG716" s="163"/>
      <c r="AH716" s="163"/>
      <c r="AI716" s="163"/>
      <c r="AJ716" s="163"/>
      <c r="AK716" s="163"/>
      <c r="AL716" s="163"/>
      <c r="AM716" s="163"/>
      <c r="AN716" s="163"/>
    </row>
    <row r="717" spans="1:40" s="100" customFormat="1" ht="46.8" x14ac:dyDescent="0.3">
      <c r="A717" s="160">
        <v>578</v>
      </c>
      <c r="B717" s="166" t="s">
        <v>1317</v>
      </c>
      <c r="C717" s="98" t="s">
        <v>2708</v>
      </c>
      <c r="D717" s="162" t="s">
        <v>2712</v>
      </c>
      <c r="E717" s="26" t="s">
        <v>144</v>
      </c>
      <c r="F717" s="30" t="s">
        <v>49</v>
      </c>
      <c r="G717" s="162" t="s">
        <v>2704</v>
      </c>
      <c r="H717" s="162">
        <v>17</v>
      </c>
      <c r="I717" s="162" t="str">
        <f t="shared" si="27"/>
        <v>с ЛН</v>
      </c>
      <c r="J717" s="164">
        <v>3</v>
      </c>
      <c r="K717" s="164" t="s">
        <v>528</v>
      </c>
      <c r="L717" s="164" t="s">
        <v>528</v>
      </c>
      <c r="M717" s="164" t="s">
        <v>2705</v>
      </c>
      <c r="N717" s="164" t="s">
        <v>2705</v>
      </c>
      <c r="O717" s="162">
        <v>147</v>
      </c>
      <c r="P717" s="162" t="s">
        <v>2706</v>
      </c>
      <c r="Q717" s="162">
        <v>110</v>
      </c>
      <c r="R717" s="162" t="s">
        <v>2706</v>
      </c>
      <c r="S717" s="162">
        <v>142</v>
      </c>
      <c r="T717" s="162" t="s">
        <v>2706</v>
      </c>
      <c r="U717" s="162">
        <v>156</v>
      </c>
      <c r="V717" s="162" t="s">
        <v>2706</v>
      </c>
      <c r="W717" s="162">
        <v>101</v>
      </c>
      <c r="X717" s="162" t="s">
        <v>2706</v>
      </c>
      <c r="Y717" s="162">
        <v>109</v>
      </c>
      <c r="Z717" s="162" t="s">
        <v>2706</v>
      </c>
      <c r="AA717" s="162">
        <v>57</v>
      </c>
      <c r="AB717" s="162" t="s">
        <v>2706</v>
      </c>
      <c r="AC717" s="162">
        <v>79</v>
      </c>
      <c r="AD717" s="162" t="s">
        <v>2706</v>
      </c>
      <c r="AE717" s="162">
        <v>129</v>
      </c>
      <c r="AF717" s="162" t="s">
        <v>2706</v>
      </c>
      <c r="AG717" s="162">
        <v>135</v>
      </c>
      <c r="AH717" s="162" t="s">
        <v>2706</v>
      </c>
      <c r="AI717" s="162">
        <v>773</v>
      </c>
      <c r="AJ717" s="162" t="s">
        <v>2706</v>
      </c>
      <c r="AK717" s="162">
        <v>85</v>
      </c>
      <c r="AL717" s="162" t="s">
        <v>2706</v>
      </c>
      <c r="AM717" s="162">
        <v>1944</v>
      </c>
      <c r="AN717" s="162"/>
    </row>
    <row r="718" spans="1:40" s="100" customFormat="1" ht="46.8" x14ac:dyDescent="0.3">
      <c r="A718" s="161"/>
      <c r="B718" s="167"/>
      <c r="C718" s="98" t="s">
        <v>2708</v>
      </c>
      <c r="D718" s="163"/>
      <c r="E718" s="26" t="s">
        <v>48</v>
      </c>
      <c r="F718" s="30" t="s">
        <v>49</v>
      </c>
      <c r="G718" s="163"/>
      <c r="H718" s="163"/>
      <c r="I718" s="163"/>
      <c r="J718" s="165"/>
      <c r="K718" s="165"/>
      <c r="L718" s="165"/>
      <c r="M718" s="165"/>
      <c r="N718" s="165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  <c r="AA718" s="163"/>
      <c r="AB718" s="163"/>
      <c r="AC718" s="163"/>
      <c r="AD718" s="163"/>
      <c r="AE718" s="163"/>
      <c r="AF718" s="163"/>
      <c r="AG718" s="163"/>
      <c r="AH718" s="163"/>
      <c r="AI718" s="163"/>
      <c r="AJ718" s="163"/>
      <c r="AK718" s="163"/>
      <c r="AL718" s="163"/>
      <c r="AM718" s="163"/>
      <c r="AN718" s="163"/>
    </row>
    <row r="719" spans="1:40" s="100" customFormat="1" ht="46.8" x14ac:dyDescent="0.3">
      <c r="A719" s="160">
        <v>579</v>
      </c>
      <c r="B719" s="166" t="s">
        <v>1319</v>
      </c>
      <c r="C719" s="98" t="s">
        <v>2708</v>
      </c>
      <c r="D719" s="162" t="s">
        <v>2712</v>
      </c>
      <c r="E719" s="26" t="s">
        <v>144</v>
      </c>
      <c r="F719" s="30" t="s">
        <v>49</v>
      </c>
      <c r="G719" s="162" t="s">
        <v>2704</v>
      </c>
      <c r="H719" s="162">
        <v>32</v>
      </c>
      <c r="I719" s="162" t="str">
        <f t="shared" si="27"/>
        <v>с ЛН</v>
      </c>
      <c r="J719" s="164">
        <v>6</v>
      </c>
      <c r="K719" s="164" t="s">
        <v>528</v>
      </c>
      <c r="L719" s="164" t="s">
        <v>528</v>
      </c>
      <c r="M719" s="164" t="s">
        <v>2705</v>
      </c>
      <c r="N719" s="164" t="s">
        <v>2705</v>
      </c>
      <c r="O719" s="162">
        <v>965</v>
      </c>
      <c r="P719" s="162" t="s">
        <v>2706</v>
      </c>
      <c r="Q719" s="162">
        <v>793</v>
      </c>
      <c r="R719" s="162" t="s">
        <v>2706</v>
      </c>
      <c r="S719" s="162">
        <v>474</v>
      </c>
      <c r="T719" s="162" t="s">
        <v>2706</v>
      </c>
      <c r="U719" s="162">
        <v>776</v>
      </c>
      <c r="V719" s="162" t="s">
        <v>2706</v>
      </c>
      <c r="W719" s="162">
        <v>878</v>
      </c>
      <c r="X719" s="162" t="s">
        <v>2706</v>
      </c>
      <c r="Y719" s="162">
        <v>654</v>
      </c>
      <c r="Z719" s="162" t="s">
        <v>2706</v>
      </c>
      <c r="AA719" s="162">
        <v>743</v>
      </c>
      <c r="AB719" s="162" t="s">
        <v>2706</v>
      </c>
      <c r="AC719" s="162">
        <v>753</v>
      </c>
      <c r="AD719" s="162" t="s">
        <v>2706</v>
      </c>
      <c r="AE719" s="162">
        <v>950</v>
      </c>
      <c r="AF719" s="162" t="s">
        <v>2706</v>
      </c>
      <c r="AG719" s="162">
        <v>546</v>
      </c>
      <c r="AH719" s="162" t="s">
        <v>2706</v>
      </c>
      <c r="AI719" s="162">
        <v>712</v>
      </c>
      <c r="AJ719" s="162" t="s">
        <v>2706</v>
      </c>
      <c r="AK719" s="162">
        <v>721</v>
      </c>
      <c r="AL719" s="162" t="s">
        <v>2706</v>
      </c>
      <c r="AM719" s="162">
        <v>8212</v>
      </c>
      <c r="AN719" s="162"/>
    </row>
    <row r="720" spans="1:40" s="100" customFormat="1" ht="46.8" x14ac:dyDescent="0.3">
      <c r="A720" s="161"/>
      <c r="B720" s="167"/>
      <c r="C720" s="98" t="s">
        <v>2708</v>
      </c>
      <c r="D720" s="163"/>
      <c r="E720" s="26" t="s">
        <v>48</v>
      </c>
      <c r="F720" s="30" t="s">
        <v>49</v>
      </c>
      <c r="G720" s="163"/>
      <c r="H720" s="163"/>
      <c r="I720" s="163"/>
      <c r="J720" s="165"/>
      <c r="K720" s="165"/>
      <c r="L720" s="165"/>
      <c r="M720" s="165"/>
      <c r="N720" s="165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  <c r="AA720" s="163"/>
      <c r="AB720" s="163"/>
      <c r="AC720" s="163"/>
      <c r="AD720" s="163"/>
      <c r="AE720" s="163"/>
      <c r="AF720" s="163"/>
      <c r="AG720" s="163"/>
      <c r="AH720" s="163"/>
      <c r="AI720" s="163"/>
      <c r="AJ720" s="163"/>
      <c r="AK720" s="163"/>
      <c r="AL720" s="163"/>
      <c r="AM720" s="163"/>
      <c r="AN720" s="163"/>
    </row>
    <row r="721" spans="1:40" s="100" customFormat="1" ht="46.8" x14ac:dyDescent="0.3">
      <c r="A721" s="160">
        <v>580</v>
      </c>
      <c r="B721" s="166" t="s">
        <v>1321</v>
      </c>
      <c r="C721" s="98" t="s">
        <v>2708</v>
      </c>
      <c r="D721" s="162" t="s">
        <v>2712</v>
      </c>
      <c r="E721" s="26" t="s">
        <v>144</v>
      </c>
      <c r="F721" s="30" t="s">
        <v>49</v>
      </c>
      <c r="G721" s="162"/>
      <c r="H721" s="162"/>
      <c r="I721" s="162"/>
      <c r="J721" s="164"/>
      <c r="K721" s="164" t="s">
        <v>528</v>
      </c>
      <c r="L721" s="164" t="s">
        <v>528</v>
      </c>
      <c r="M721" s="164" t="s">
        <v>2705</v>
      </c>
      <c r="N721" s="164" t="s">
        <v>2705</v>
      </c>
      <c r="O721" s="162">
        <v>942</v>
      </c>
      <c r="P721" s="162" t="s">
        <v>2706</v>
      </c>
      <c r="Q721" s="162">
        <v>887</v>
      </c>
      <c r="R721" s="162" t="s">
        <v>2706</v>
      </c>
      <c r="S721" s="162">
        <v>497</v>
      </c>
      <c r="T721" s="162" t="s">
        <v>2706</v>
      </c>
      <c r="U721" s="162">
        <v>827</v>
      </c>
      <c r="V721" s="162" t="s">
        <v>2706</v>
      </c>
      <c r="W721" s="162">
        <v>749</v>
      </c>
      <c r="X721" s="162" t="s">
        <v>2706</v>
      </c>
      <c r="Y721" s="162">
        <v>533</v>
      </c>
      <c r="Z721" s="162" t="s">
        <v>2706</v>
      </c>
      <c r="AA721" s="162">
        <v>582</v>
      </c>
      <c r="AB721" s="162" t="s">
        <v>2706</v>
      </c>
      <c r="AC721" s="162">
        <v>620</v>
      </c>
      <c r="AD721" s="162" t="s">
        <v>2706</v>
      </c>
      <c r="AE721" s="162">
        <v>821</v>
      </c>
      <c r="AF721" s="162" t="s">
        <v>2706</v>
      </c>
      <c r="AG721" s="162">
        <v>768</v>
      </c>
      <c r="AH721" s="162" t="s">
        <v>2706</v>
      </c>
      <c r="AI721" s="162">
        <v>585</v>
      </c>
      <c r="AJ721" s="162" t="s">
        <v>2706</v>
      </c>
      <c r="AK721" s="162">
        <v>789</v>
      </c>
      <c r="AL721" s="162" t="s">
        <v>2706</v>
      </c>
      <c r="AM721" s="162">
        <v>7980</v>
      </c>
      <c r="AN721" s="162"/>
    </row>
    <row r="722" spans="1:40" s="100" customFormat="1" ht="46.8" x14ac:dyDescent="0.3">
      <c r="A722" s="161"/>
      <c r="B722" s="167"/>
      <c r="C722" s="98" t="s">
        <v>2708</v>
      </c>
      <c r="D722" s="163"/>
      <c r="E722" s="26" t="s">
        <v>48</v>
      </c>
      <c r="F722" s="30" t="s">
        <v>49</v>
      </c>
      <c r="G722" s="163"/>
      <c r="H722" s="163"/>
      <c r="I722" s="163"/>
      <c r="J722" s="165"/>
      <c r="K722" s="165"/>
      <c r="L722" s="165"/>
      <c r="M722" s="165"/>
      <c r="N722" s="165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  <c r="AA722" s="163"/>
      <c r="AB722" s="163"/>
      <c r="AC722" s="163"/>
      <c r="AD722" s="163"/>
      <c r="AE722" s="163"/>
      <c r="AF722" s="163"/>
      <c r="AG722" s="163"/>
      <c r="AH722" s="163"/>
      <c r="AI722" s="163"/>
      <c r="AJ722" s="163"/>
      <c r="AK722" s="163"/>
      <c r="AL722" s="163"/>
      <c r="AM722" s="163"/>
      <c r="AN722" s="163"/>
    </row>
    <row r="723" spans="1:40" s="100" customFormat="1" ht="46.8" x14ac:dyDescent="0.3">
      <c r="A723" s="160">
        <v>581</v>
      </c>
      <c r="B723" s="166" t="s">
        <v>1323</v>
      </c>
      <c r="C723" s="98" t="s">
        <v>2708</v>
      </c>
      <c r="D723" s="162" t="s">
        <v>2712</v>
      </c>
      <c r="E723" s="26" t="s">
        <v>144</v>
      </c>
      <c r="F723" s="30" t="s">
        <v>49</v>
      </c>
      <c r="G723" s="162"/>
      <c r="H723" s="162"/>
      <c r="I723" s="162"/>
      <c r="J723" s="164"/>
      <c r="K723" s="164" t="s">
        <v>528</v>
      </c>
      <c r="L723" s="164" t="s">
        <v>528</v>
      </c>
      <c r="M723" s="164" t="s">
        <v>2705</v>
      </c>
      <c r="N723" s="164" t="s">
        <v>2705</v>
      </c>
      <c r="O723" s="162">
        <v>0</v>
      </c>
      <c r="P723" s="162" t="s">
        <v>2706</v>
      </c>
      <c r="Q723" s="162">
        <v>0</v>
      </c>
      <c r="R723" s="162" t="s">
        <v>2706</v>
      </c>
      <c r="S723" s="162">
        <v>0</v>
      </c>
      <c r="T723" s="162" t="s">
        <v>2706</v>
      </c>
      <c r="U723" s="162">
        <v>0</v>
      </c>
      <c r="V723" s="162" t="s">
        <v>2706</v>
      </c>
      <c r="W723" s="162">
        <v>0</v>
      </c>
      <c r="X723" s="162" t="s">
        <v>2706</v>
      </c>
      <c r="Y723" s="162">
        <v>0</v>
      </c>
      <c r="Z723" s="162" t="s">
        <v>2706</v>
      </c>
      <c r="AA723" s="162">
        <v>0</v>
      </c>
      <c r="AB723" s="162" t="s">
        <v>2706</v>
      </c>
      <c r="AC723" s="162">
        <v>0</v>
      </c>
      <c r="AD723" s="162" t="s">
        <v>2706</v>
      </c>
      <c r="AE723" s="162">
        <v>0</v>
      </c>
      <c r="AF723" s="162" t="s">
        <v>2706</v>
      </c>
      <c r="AG723" s="162">
        <v>0</v>
      </c>
      <c r="AH723" s="162" t="s">
        <v>2706</v>
      </c>
      <c r="AI723" s="162">
        <v>0</v>
      </c>
      <c r="AJ723" s="162" t="s">
        <v>2706</v>
      </c>
      <c r="AK723" s="162">
        <v>0</v>
      </c>
      <c r="AL723" s="162" t="s">
        <v>2706</v>
      </c>
      <c r="AM723" s="162">
        <v>0</v>
      </c>
      <c r="AN723" s="162"/>
    </row>
    <row r="724" spans="1:40" s="100" customFormat="1" ht="46.8" x14ac:dyDescent="0.3">
      <c r="A724" s="161"/>
      <c r="B724" s="167"/>
      <c r="C724" s="98" t="s">
        <v>2708</v>
      </c>
      <c r="D724" s="163"/>
      <c r="E724" s="26" t="s">
        <v>48</v>
      </c>
      <c r="F724" s="30" t="s">
        <v>49</v>
      </c>
      <c r="G724" s="163"/>
      <c r="H724" s="163"/>
      <c r="I724" s="163"/>
      <c r="J724" s="165"/>
      <c r="K724" s="165"/>
      <c r="L724" s="165"/>
      <c r="M724" s="165"/>
      <c r="N724" s="165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  <c r="AA724" s="163"/>
      <c r="AB724" s="163"/>
      <c r="AC724" s="163"/>
      <c r="AD724" s="163"/>
      <c r="AE724" s="163"/>
      <c r="AF724" s="163"/>
      <c r="AG724" s="163"/>
      <c r="AH724" s="163"/>
      <c r="AI724" s="163"/>
      <c r="AJ724" s="163"/>
      <c r="AK724" s="163"/>
      <c r="AL724" s="163"/>
      <c r="AM724" s="163"/>
      <c r="AN724" s="163"/>
    </row>
    <row r="725" spans="1:40" s="100" customFormat="1" ht="46.8" x14ac:dyDescent="0.3">
      <c r="A725" s="160">
        <v>582</v>
      </c>
      <c r="B725" s="166" t="s">
        <v>1325</v>
      </c>
      <c r="C725" s="98" t="s">
        <v>2708</v>
      </c>
      <c r="D725" s="162" t="s">
        <v>2712</v>
      </c>
      <c r="E725" s="26" t="s">
        <v>144</v>
      </c>
      <c r="F725" s="30" t="s">
        <v>49</v>
      </c>
      <c r="G725" s="162" t="s">
        <v>2704</v>
      </c>
      <c r="H725" s="162">
        <v>37</v>
      </c>
      <c r="I725" s="162" t="str">
        <f t="shared" si="27"/>
        <v>с ЛН</v>
      </c>
      <c r="J725" s="164">
        <v>7</v>
      </c>
      <c r="K725" s="164" t="s">
        <v>528</v>
      </c>
      <c r="L725" s="164" t="s">
        <v>528</v>
      </c>
      <c r="M725" s="164" t="s">
        <v>2705</v>
      </c>
      <c r="N725" s="164" t="s">
        <v>2705</v>
      </c>
      <c r="O725" s="162">
        <v>688</v>
      </c>
      <c r="P725" s="162" t="s">
        <v>2706</v>
      </c>
      <c r="Q725" s="162">
        <v>575</v>
      </c>
      <c r="R725" s="162" t="s">
        <v>2706</v>
      </c>
      <c r="S725" s="162">
        <v>380</v>
      </c>
      <c r="T725" s="162" t="s">
        <v>2706</v>
      </c>
      <c r="U725" s="162">
        <v>674</v>
      </c>
      <c r="V725" s="162" t="s">
        <v>2706</v>
      </c>
      <c r="W725" s="162">
        <v>494</v>
      </c>
      <c r="X725" s="162" t="s">
        <v>2706</v>
      </c>
      <c r="Y725" s="162">
        <v>354</v>
      </c>
      <c r="Z725" s="162" t="s">
        <v>2706</v>
      </c>
      <c r="AA725" s="162">
        <v>343</v>
      </c>
      <c r="AB725" s="162" t="s">
        <v>2706</v>
      </c>
      <c r="AC725" s="162">
        <v>420</v>
      </c>
      <c r="AD725" s="162" t="s">
        <v>2706</v>
      </c>
      <c r="AE725" s="162">
        <v>394</v>
      </c>
      <c r="AF725" s="162" t="s">
        <v>2706</v>
      </c>
      <c r="AG725" s="162">
        <v>513</v>
      </c>
      <c r="AH725" s="162" t="s">
        <v>2706</v>
      </c>
      <c r="AI725" s="162">
        <v>759</v>
      </c>
      <c r="AJ725" s="162" t="s">
        <v>2706</v>
      </c>
      <c r="AK725" s="162">
        <v>619</v>
      </c>
      <c r="AL725" s="162" t="s">
        <v>2706</v>
      </c>
      <c r="AM725" s="162">
        <v>5793</v>
      </c>
      <c r="AN725" s="162"/>
    </row>
    <row r="726" spans="1:40" s="100" customFormat="1" ht="46.8" x14ac:dyDescent="0.3">
      <c r="A726" s="161"/>
      <c r="B726" s="167"/>
      <c r="C726" s="98" t="s">
        <v>2708</v>
      </c>
      <c r="D726" s="163"/>
      <c r="E726" s="26" t="s">
        <v>48</v>
      </c>
      <c r="F726" s="30" t="s">
        <v>49</v>
      </c>
      <c r="G726" s="163"/>
      <c r="H726" s="163"/>
      <c r="I726" s="163"/>
      <c r="J726" s="165"/>
      <c r="K726" s="165"/>
      <c r="L726" s="165"/>
      <c r="M726" s="165"/>
      <c r="N726" s="165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  <c r="AA726" s="163"/>
      <c r="AB726" s="163"/>
      <c r="AC726" s="163"/>
      <c r="AD726" s="163"/>
      <c r="AE726" s="163"/>
      <c r="AF726" s="163"/>
      <c r="AG726" s="163"/>
      <c r="AH726" s="163"/>
      <c r="AI726" s="163"/>
      <c r="AJ726" s="163"/>
      <c r="AK726" s="163"/>
      <c r="AL726" s="163"/>
      <c r="AM726" s="163"/>
      <c r="AN726" s="163"/>
    </row>
    <row r="727" spans="1:40" s="100" customFormat="1" ht="46.8" x14ac:dyDescent="0.3">
      <c r="A727" s="160">
        <v>583</v>
      </c>
      <c r="B727" s="166" t="s">
        <v>1327</v>
      </c>
      <c r="C727" s="98" t="s">
        <v>2708</v>
      </c>
      <c r="D727" s="162" t="s">
        <v>2712</v>
      </c>
      <c r="E727" s="26" t="s">
        <v>144</v>
      </c>
      <c r="F727" s="30" t="s">
        <v>49</v>
      </c>
      <c r="G727" s="162" t="s">
        <v>2704</v>
      </c>
      <c r="H727" s="162">
        <v>24</v>
      </c>
      <c r="I727" s="162" t="str">
        <f t="shared" si="27"/>
        <v>с ЛН</v>
      </c>
      <c r="J727" s="164">
        <v>4</v>
      </c>
      <c r="K727" s="164" t="s">
        <v>528</v>
      </c>
      <c r="L727" s="164" t="s">
        <v>528</v>
      </c>
      <c r="M727" s="164" t="s">
        <v>2705</v>
      </c>
      <c r="N727" s="164" t="s">
        <v>2705</v>
      </c>
      <c r="O727" s="162">
        <v>288</v>
      </c>
      <c r="P727" s="162" t="s">
        <v>2706</v>
      </c>
      <c r="Q727" s="162">
        <v>458</v>
      </c>
      <c r="R727" s="162" t="s">
        <v>2706</v>
      </c>
      <c r="S727" s="162">
        <v>263</v>
      </c>
      <c r="T727" s="162" t="s">
        <v>2706</v>
      </c>
      <c r="U727" s="162">
        <v>400</v>
      </c>
      <c r="V727" s="162" t="s">
        <v>2706</v>
      </c>
      <c r="W727" s="162">
        <v>407</v>
      </c>
      <c r="X727" s="162" t="s">
        <v>2706</v>
      </c>
      <c r="Y727" s="162">
        <v>200</v>
      </c>
      <c r="Z727" s="162" t="s">
        <v>2706</v>
      </c>
      <c r="AA727" s="162">
        <v>198</v>
      </c>
      <c r="AB727" s="162" t="s">
        <v>2706</v>
      </c>
      <c r="AC727" s="162">
        <v>345</v>
      </c>
      <c r="AD727" s="162" t="s">
        <v>2706</v>
      </c>
      <c r="AE727" s="162">
        <v>535</v>
      </c>
      <c r="AF727" s="162" t="s">
        <v>2706</v>
      </c>
      <c r="AG727" s="162">
        <v>403</v>
      </c>
      <c r="AH727" s="162" t="s">
        <v>2706</v>
      </c>
      <c r="AI727" s="162">
        <v>1612</v>
      </c>
      <c r="AJ727" s="162" t="s">
        <v>2706</v>
      </c>
      <c r="AK727" s="162">
        <v>573</v>
      </c>
      <c r="AL727" s="162" t="s">
        <v>2706</v>
      </c>
      <c r="AM727" s="162">
        <v>5337</v>
      </c>
      <c r="AN727" s="162"/>
    </row>
    <row r="728" spans="1:40" s="100" customFormat="1" ht="46.8" x14ac:dyDescent="0.3">
      <c r="A728" s="161"/>
      <c r="B728" s="167"/>
      <c r="C728" s="98" t="s">
        <v>2708</v>
      </c>
      <c r="D728" s="163"/>
      <c r="E728" s="26" t="s">
        <v>48</v>
      </c>
      <c r="F728" s="30" t="s">
        <v>49</v>
      </c>
      <c r="G728" s="163"/>
      <c r="H728" s="163"/>
      <c r="I728" s="163"/>
      <c r="J728" s="165"/>
      <c r="K728" s="165"/>
      <c r="L728" s="165"/>
      <c r="M728" s="165"/>
      <c r="N728" s="165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  <c r="AA728" s="163"/>
      <c r="AB728" s="163"/>
      <c r="AC728" s="163"/>
      <c r="AD728" s="163"/>
      <c r="AE728" s="163"/>
      <c r="AF728" s="163"/>
      <c r="AG728" s="163"/>
      <c r="AH728" s="163"/>
      <c r="AI728" s="163"/>
      <c r="AJ728" s="163"/>
      <c r="AK728" s="163"/>
      <c r="AL728" s="163"/>
      <c r="AM728" s="163"/>
      <c r="AN728" s="163"/>
    </row>
    <row r="729" spans="1:40" s="100" customFormat="1" ht="46.8" x14ac:dyDescent="0.3">
      <c r="A729" s="160">
        <v>584</v>
      </c>
      <c r="B729" s="166" t="s">
        <v>1328</v>
      </c>
      <c r="C729" s="98" t="s">
        <v>2708</v>
      </c>
      <c r="D729" s="162" t="s">
        <v>2712</v>
      </c>
      <c r="E729" s="26" t="s">
        <v>144</v>
      </c>
      <c r="F729" s="30" t="s">
        <v>49</v>
      </c>
      <c r="G729" s="162"/>
      <c r="H729" s="162"/>
      <c r="I729" s="162"/>
      <c r="J729" s="164"/>
      <c r="K729" s="164" t="s">
        <v>528</v>
      </c>
      <c r="L729" s="164" t="s">
        <v>528</v>
      </c>
      <c r="M729" s="164" t="s">
        <v>2705</v>
      </c>
      <c r="N729" s="164" t="s">
        <v>2705</v>
      </c>
      <c r="O729" s="162">
        <v>850</v>
      </c>
      <c r="P729" s="162" t="s">
        <v>2706</v>
      </c>
      <c r="Q729" s="162">
        <v>850</v>
      </c>
      <c r="R729" s="162" t="s">
        <v>2706</v>
      </c>
      <c r="S729" s="162">
        <v>850</v>
      </c>
      <c r="T729" s="162" t="s">
        <v>2706</v>
      </c>
      <c r="U729" s="162">
        <v>850</v>
      </c>
      <c r="V729" s="162" t="s">
        <v>2706</v>
      </c>
      <c r="W729" s="162">
        <v>850</v>
      </c>
      <c r="X729" s="162" t="s">
        <v>2706</v>
      </c>
      <c r="Y729" s="162">
        <v>2711</v>
      </c>
      <c r="Z729" s="162" t="s">
        <v>2706</v>
      </c>
      <c r="AA729" s="162">
        <v>2711</v>
      </c>
      <c r="AB729" s="162" t="s">
        <v>2706</v>
      </c>
      <c r="AC729" s="162">
        <v>2711</v>
      </c>
      <c r="AD729" s="162" t="s">
        <v>2706</v>
      </c>
      <c r="AE729" s="162">
        <v>2711</v>
      </c>
      <c r="AF729" s="162" t="s">
        <v>2706</v>
      </c>
      <c r="AG729" s="162">
        <v>2711</v>
      </c>
      <c r="AH729" s="162" t="s">
        <v>2706</v>
      </c>
      <c r="AI729" s="162">
        <v>1473</v>
      </c>
      <c r="AJ729" s="162" t="s">
        <v>2706</v>
      </c>
      <c r="AK729" s="162">
        <v>2711</v>
      </c>
      <c r="AL729" s="162" t="s">
        <v>2706</v>
      </c>
      <c r="AM729" s="162">
        <v>19278</v>
      </c>
      <c r="AN729" s="162"/>
    </row>
    <row r="730" spans="1:40" s="100" customFormat="1" ht="46.8" x14ac:dyDescent="0.3">
      <c r="A730" s="161"/>
      <c r="B730" s="167"/>
      <c r="C730" s="98" t="s">
        <v>2708</v>
      </c>
      <c r="D730" s="163"/>
      <c r="E730" s="26" t="s">
        <v>48</v>
      </c>
      <c r="F730" s="30" t="s">
        <v>49</v>
      </c>
      <c r="G730" s="163"/>
      <c r="H730" s="163"/>
      <c r="I730" s="163"/>
      <c r="J730" s="165"/>
      <c r="K730" s="165"/>
      <c r="L730" s="165"/>
      <c r="M730" s="165"/>
      <c r="N730" s="165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  <c r="AA730" s="163"/>
      <c r="AB730" s="163"/>
      <c r="AC730" s="163"/>
      <c r="AD730" s="163"/>
      <c r="AE730" s="163"/>
      <c r="AF730" s="163"/>
      <c r="AG730" s="163"/>
      <c r="AH730" s="163"/>
      <c r="AI730" s="163"/>
      <c r="AJ730" s="163"/>
      <c r="AK730" s="163"/>
      <c r="AL730" s="163"/>
      <c r="AM730" s="163"/>
      <c r="AN730" s="163"/>
    </row>
    <row r="731" spans="1:40" s="100" customFormat="1" ht="46.8" x14ac:dyDescent="0.3">
      <c r="A731" s="160">
        <v>585</v>
      </c>
      <c r="B731" s="166" t="s">
        <v>1329</v>
      </c>
      <c r="C731" s="98" t="s">
        <v>2708</v>
      </c>
      <c r="D731" s="162" t="s">
        <v>2712</v>
      </c>
      <c r="E731" s="26" t="s">
        <v>144</v>
      </c>
      <c r="F731" s="30" t="s">
        <v>49</v>
      </c>
      <c r="G731" s="162" t="s">
        <v>2704</v>
      </c>
      <c r="H731" s="162">
        <v>27</v>
      </c>
      <c r="I731" s="162" t="str">
        <f t="shared" si="27"/>
        <v>с ЛН</v>
      </c>
      <c r="J731" s="164">
        <v>5</v>
      </c>
      <c r="K731" s="164" t="s">
        <v>528</v>
      </c>
      <c r="L731" s="164" t="s">
        <v>528</v>
      </c>
      <c r="M731" s="164" t="s">
        <v>2705</v>
      </c>
      <c r="N731" s="164" t="s">
        <v>2705</v>
      </c>
      <c r="O731" s="162">
        <v>812</v>
      </c>
      <c r="P731" s="162" t="s">
        <v>2706</v>
      </c>
      <c r="Q731" s="162">
        <v>812</v>
      </c>
      <c r="R731" s="162" t="s">
        <v>2706</v>
      </c>
      <c r="S731" s="162">
        <v>812</v>
      </c>
      <c r="T731" s="162" t="s">
        <v>2706</v>
      </c>
      <c r="U731" s="162">
        <v>812</v>
      </c>
      <c r="V731" s="162" t="s">
        <v>2706</v>
      </c>
      <c r="W731" s="162">
        <v>812</v>
      </c>
      <c r="X731" s="162" t="s">
        <v>2706</v>
      </c>
      <c r="Y731" s="162">
        <v>1473</v>
      </c>
      <c r="Z731" s="162" t="s">
        <v>2706</v>
      </c>
      <c r="AA731" s="162">
        <v>1473</v>
      </c>
      <c r="AB731" s="162" t="s">
        <v>2706</v>
      </c>
      <c r="AC731" s="162">
        <v>1473</v>
      </c>
      <c r="AD731" s="162" t="s">
        <v>2706</v>
      </c>
      <c r="AE731" s="162">
        <v>1473</v>
      </c>
      <c r="AF731" s="162" t="s">
        <v>2706</v>
      </c>
      <c r="AG731" s="162">
        <v>1473</v>
      </c>
      <c r="AH731" s="162" t="s">
        <v>2706</v>
      </c>
      <c r="AI731" s="162">
        <v>1072</v>
      </c>
      <c r="AJ731" s="162" t="s">
        <v>2706</v>
      </c>
      <c r="AK731" s="162">
        <v>1473</v>
      </c>
      <c r="AL731" s="162" t="s">
        <v>2706</v>
      </c>
      <c r="AM731" s="162">
        <v>12497</v>
      </c>
      <c r="AN731" s="162"/>
    </row>
    <row r="732" spans="1:40" s="100" customFormat="1" ht="46.8" x14ac:dyDescent="0.3">
      <c r="A732" s="161"/>
      <c r="B732" s="167"/>
      <c r="C732" s="98" t="s">
        <v>2708</v>
      </c>
      <c r="D732" s="163"/>
      <c r="E732" s="26" t="s">
        <v>48</v>
      </c>
      <c r="F732" s="30" t="s">
        <v>49</v>
      </c>
      <c r="G732" s="163"/>
      <c r="H732" s="163"/>
      <c r="I732" s="163"/>
      <c r="J732" s="165"/>
      <c r="K732" s="165"/>
      <c r="L732" s="165"/>
      <c r="M732" s="165"/>
      <c r="N732" s="165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  <c r="AA732" s="163"/>
      <c r="AB732" s="163"/>
      <c r="AC732" s="163"/>
      <c r="AD732" s="163"/>
      <c r="AE732" s="163"/>
      <c r="AF732" s="163"/>
      <c r="AG732" s="163"/>
      <c r="AH732" s="163"/>
      <c r="AI732" s="163"/>
      <c r="AJ732" s="163"/>
      <c r="AK732" s="163"/>
      <c r="AL732" s="163"/>
      <c r="AM732" s="163"/>
      <c r="AN732" s="163"/>
    </row>
    <row r="733" spans="1:40" s="100" customFormat="1" ht="46.8" x14ac:dyDescent="0.3">
      <c r="A733" s="160">
        <v>586</v>
      </c>
      <c r="B733" s="166" t="s">
        <v>1330</v>
      </c>
      <c r="C733" s="98" t="s">
        <v>2708</v>
      </c>
      <c r="D733" s="162" t="s">
        <v>2712</v>
      </c>
      <c r="E733" s="26" t="s">
        <v>144</v>
      </c>
      <c r="F733" s="30" t="s">
        <v>49</v>
      </c>
      <c r="G733" s="162" t="s">
        <v>2704</v>
      </c>
      <c r="H733" s="162">
        <v>61</v>
      </c>
      <c r="I733" s="162" t="str">
        <f t="shared" si="27"/>
        <v>с ЛН</v>
      </c>
      <c r="J733" s="164">
        <v>9</v>
      </c>
      <c r="K733" s="164" t="s">
        <v>528</v>
      </c>
      <c r="L733" s="164" t="s">
        <v>528</v>
      </c>
      <c r="M733" s="164" t="s">
        <v>2705</v>
      </c>
      <c r="N733" s="164" t="s">
        <v>2705</v>
      </c>
      <c r="O733" s="162">
        <v>995</v>
      </c>
      <c r="P733" s="162" t="s">
        <v>2706</v>
      </c>
      <c r="Q733" s="162">
        <v>1478</v>
      </c>
      <c r="R733" s="162" t="s">
        <v>2706</v>
      </c>
      <c r="S733" s="162">
        <v>640</v>
      </c>
      <c r="T733" s="162" t="s">
        <v>2706</v>
      </c>
      <c r="U733" s="162">
        <v>1268</v>
      </c>
      <c r="V733" s="162" t="s">
        <v>2706</v>
      </c>
      <c r="W733" s="162">
        <v>1340</v>
      </c>
      <c r="X733" s="162" t="s">
        <v>2706</v>
      </c>
      <c r="Y733" s="162">
        <v>1263</v>
      </c>
      <c r="Z733" s="162" t="s">
        <v>2706</v>
      </c>
      <c r="AA733" s="162">
        <v>1071</v>
      </c>
      <c r="AB733" s="162" t="s">
        <v>2706</v>
      </c>
      <c r="AC733" s="162">
        <v>861</v>
      </c>
      <c r="AD733" s="162" t="s">
        <v>2706</v>
      </c>
      <c r="AE733" s="162">
        <v>1388</v>
      </c>
      <c r="AF733" s="162" t="s">
        <v>2706</v>
      </c>
      <c r="AG733" s="162">
        <v>1054</v>
      </c>
      <c r="AH733" s="162" t="s">
        <v>2706</v>
      </c>
      <c r="AI733" s="162">
        <v>209</v>
      </c>
      <c r="AJ733" s="162" t="s">
        <v>2706</v>
      </c>
      <c r="AK733" s="162">
        <v>1448</v>
      </c>
      <c r="AL733" s="162" t="s">
        <v>2706</v>
      </c>
      <c r="AM733" s="162">
        <v>12154</v>
      </c>
      <c r="AN733" s="162"/>
    </row>
    <row r="734" spans="1:40" s="100" customFormat="1" ht="46.8" x14ac:dyDescent="0.3">
      <c r="A734" s="161"/>
      <c r="B734" s="167"/>
      <c r="C734" s="98" t="s">
        <v>2708</v>
      </c>
      <c r="D734" s="163"/>
      <c r="E734" s="26" t="s">
        <v>48</v>
      </c>
      <c r="F734" s="30" t="s">
        <v>49</v>
      </c>
      <c r="G734" s="163"/>
      <c r="H734" s="163"/>
      <c r="I734" s="163"/>
      <c r="J734" s="165"/>
      <c r="K734" s="165"/>
      <c r="L734" s="165"/>
      <c r="M734" s="165"/>
      <c r="N734" s="165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  <c r="AA734" s="163"/>
      <c r="AB734" s="163"/>
      <c r="AC734" s="163"/>
      <c r="AD734" s="163"/>
      <c r="AE734" s="163"/>
      <c r="AF734" s="163"/>
      <c r="AG734" s="163"/>
      <c r="AH734" s="163"/>
      <c r="AI734" s="163"/>
      <c r="AJ734" s="163"/>
      <c r="AK734" s="163"/>
      <c r="AL734" s="163"/>
      <c r="AM734" s="163"/>
      <c r="AN734" s="163"/>
    </row>
    <row r="735" spans="1:40" s="100" customFormat="1" ht="46.8" x14ac:dyDescent="0.3">
      <c r="A735" s="160">
        <v>587</v>
      </c>
      <c r="B735" s="166" t="s">
        <v>1331</v>
      </c>
      <c r="C735" s="98" t="s">
        <v>2708</v>
      </c>
      <c r="D735" s="162" t="s">
        <v>2712</v>
      </c>
      <c r="E735" s="26" t="s">
        <v>144</v>
      </c>
      <c r="F735" s="30" t="s">
        <v>49</v>
      </c>
      <c r="G735" s="162" t="s">
        <v>2704</v>
      </c>
      <c r="H735" s="162">
        <v>16</v>
      </c>
      <c r="I735" s="162" t="str">
        <f t="shared" si="27"/>
        <v>с ЛН</v>
      </c>
      <c r="J735" s="164">
        <v>3</v>
      </c>
      <c r="K735" s="164" t="s">
        <v>528</v>
      </c>
      <c r="L735" s="164" t="s">
        <v>528</v>
      </c>
      <c r="M735" s="164" t="s">
        <v>2705</v>
      </c>
      <c r="N735" s="164" t="s">
        <v>2705</v>
      </c>
      <c r="O735" s="162">
        <v>17</v>
      </c>
      <c r="P735" s="162" t="s">
        <v>2706</v>
      </c>
      <c r="Q735" s="162">
        <v>28</v>
      </c>
      <c r="R735" s="162" t="s">
        <v>2706</v>
      </c>
      <c r="S735" s="162">
        <v>26</v>
      </c>
      <c r="T735" s="162" t="s">
        <v>2706</v>
      </c>
      <c r="U735" s="162">
        <v>9</v>
      </c>
      <c r="V735" s="162" t="s">
        <v>2706</v>
      </c>
      <c r="W735" s="162">
        <v>9</v>
      </c>
      <c r="X735" s="162" t="s">
        <v>2706</v>
      </c>
      <c r="Y735" s="162">
        <v>35</v>
      </c>
      <c r="Z735" s="162" t="s">
        <v>2706</v>
      </c>
      <c r="AA735" s="162">
        <v>8</v>
      </c>
      <c r="AB735" s="162" t="s">
        <v>2706</v>
      </c>
      <c r="AC735" s="162">
        <v>10</v>
      </c>
      <c r="AD735" s="162" t="s">
        <v>2706</v>
      </c>
      <c r="AE735" s="162">
        <v>0</v>
      </c>
      <c r="AF735" s="162" t="s">
        <v>2706</v>
      </c>
      <c r="AG735" s="162">
        <v>14</v>
      </c>
      <c r="AH735" s="162" t="s">
        <v>2706</v>
      </c>
      <c r="AI735" s="162">
        <v>1175</v>
      </c>
      <c r="AJ735" s="162" t="s">
        <v>2706</v>
      </c>
      <c r="AK735" s="162">
        <v>4</v>
      </c>
      <c r="AL735" s="162" t="s">
        <v>2706</v>
      </c>
      <c r="AM735" s="162">
        <v>1325</v>
      </c>
      <c r="AN735" s="162"/>
    </row>
    <row r="736" spans="1:40" s="100" customFormat="1" ht="46.8" x14ac:dyDescent="0.3">
      <c r="A736" s="161"/>
      <c r="B736" s="167"/>
      <c r="C736" s="98" t="s">
        <v>2708</v>
      </c>
      <c r="D736" s="163"/>
      <c r="E736" s="26" t="s">
        <v>48</v>
      </c>
      <c r="F736" s="30" t="s">
        <v>49</v>
      </c>
      <c r="G736" s="163"/>
      <c r="H736" s="163"/>
      <c r="I736" s="163"/>
      <c r="J736" s="165"/>
      <c r="K736" s="165"/>
      <c r="L736" s="165"/>
      <c r="M736" s="165"/>
      <c r="N736" s="165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  <c r="AA736" s="163"/>
      <c r="AB736" s="163"/>
      <c r="AC736" s="163"/>
      <c r="AD736" s="163"/>
      <c r="AE736" s="163"/>
      <c r="AF736" s="163"/>
      <c r="AG736" s="163"/>
      <c r="AH736" s="163"/>
      <c r="AI736" s="163"/>
      <c r="AJ736" s="163"/>
      <c r="AK736" s="163"/>
      <c r="AL736" s="163"/>
      <c r="AM736" s="163"/>
      <c r="AN736" s="163"/>
    </row>
    <row r="737" spans="1:40" s="100" customFormat="1" ht="46.8" x14ac:dyDescent="0.3">
      <c r="A737" s="160">
        <v>588</v>
      </c>
      <c r="B737" s="166" t="s">
        <v>1333</v>
      </c>
      <c r="C737" s="98" t="s">
        <v>2708</v>
      </c>
      <c r="D737" s="162" t="s">
        <v>2712</v>
      </c>
      <c r="E737" s="26" t="s">
        <v>144</v>
      </c>
      <c r="F737" s="30" t="s">
        <v>49</v>
      </c>
      <c r="G737" s="162" t="s">
        <v>2704</v>
      </c>
      <c r="H737" s="162">
        <v>37</v>
      </c>
      <c r="I737" s="162" t="str">
        <f t="shared" si="27"/>
        <v>с ЛН</v>
      </c>
      <c r="J737" s="164">
        <v>7</v>
      </c>
      <c r="K737" s="164" t="s">
        <v>528</v>
      </c>
      <c r="L737" s="164" t="s">
        <v>528</v>
      </c>
      <c r="M737" s="164" t="s">
        <v>2705</v>
      </c>
      <c r="N737" s="164" t="s">
        <v>2705</v>
      </c>
      <c r="O737" s="162">
        <v>0</v>
      </c>
      <c r="P737" s="162" t="s">
        <v>2706</v>
      </c>
      <c r="Q737" s="162">
        <v>0</v>
      </c>
      <c r="R737" s="162" t="s">
        <v>2706</v>
      </c>
      <c r="S737" s="162">
        <v>0</v>
      </c>
      <c r="T737" s="162" t="s">
        <v>2706</v>
      </c>
      <c r="U737" s="162">
        <v>0</v>
      </c>
      <c r="V737" s="162" t="s">
        <v>2706</v>
      </c>
      <c r="W737" s="162">
        <v>0</v>
      </c>
      <c r="X737" s="162" t="s">
        <v>2706</v>
      </c>
      <c r="Y737" s="162">
        <v>0</v>
      </c>
      <c r="Z737" s="162" t="s">
        <v>2706</v>
      </c>
      <c r="AA737" s="162">
        <v>0</v>
      </c>
      <c r="AB737" s="162" t="s">
        <v>2706</v>
      </c>
      <c r="AC737" s="162">
        <v>287</v>
      </c>
      <c r="AD737" s="162" t="s">
        <v>2706</v>
      </c>
      <c r="AE737" s="162">
        <v>382</v>
      </c>
      <c r="AF737" s="162" t="s">
        <v>2706</v>
      </c>
      <c r="AG737" s="162">
        <v>467</v>
      </c>
      <c r="AH737" s="162" t="s">
        <v>2706</v>
      </c>
      <c r="AI737" s="162">
        <v>136</v>
      </c>
      <c r="AJ737" s="162" t="s">
        <v>2706</v>
      </c>
      <c r="AK737" s="162">
        <v>2561</v>
      </c>
      <c r="AL737" s="162" t="s">
        <v>2706</v>
      </c>
      <c r="AM737" s="162">
        <v>3546</v>
      </c>
      <c r="AN737" s="162"/>
    </row>
    <row r="738" spans="1:40" s="100" customFormat="1" ht="46.8" x14ac:dyDescent="0.3">
      <c r="A738" s="161"/>
      <c r="B738" s="167"/>
      <c r="C738" s="98" t="s">
        <v>2708</v>
      </c>
      <c r="D738" s="163"/>
      <c r="E738" s="26" t="s">
        <v>48</v>
      </c>
      <c r="F738" s="30" t="s">
        <v>49</v>
      </c>
      <c r="G738" s="163"/>
      <c r="H738" s="163"/>
      <c r="I738" s="163"/>
      <c r="J738" s="165"/>
      <c r="K738" s="165"/>
      <c r="L738" s="165"/>
      <c r="M738" s="165"/>
      <c r="N738" s="165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  <c r="AA738" s="163"/>
      <c r="AB738" s="163"/>
      <c r="AC738" s="163"/>
      <c r="AD738" s="163"/>
      <c r="AE738" s="163"/>
      <c r="AF738" s="163"/>
      <c r="AG738" s="163"/>
      <c r="AH738" s="163"/>
      <c r="AI738" s="163"/>
      <c r="AJ738" s="163"/>
      <c r="AK738" s="163"/>
      <c r="AL738" s="163"/>
      <c r="AM738" s="163"/>
      <c r="AN738" s="163"/>
    </row>
    <row r="739" spans="1:40" s="100" customFormat="1" ht="46.8" x14ac:dyDescent="0.3">
      <c r="A739" s="160">
        <v>589</v>
      </c>
      <c r="B739" s="166" t="s">
        <v>1335</v>
      </c>
      <c r="C739" s="98" t="s">
        <v>2708</v>
      </c>
      <c r="D739" s="162" t="s">
        <v>2712</v>
      </c>
      <c r="E739" s="26" t="s">
        <v>144</v>
      </c>
      <c r="F739" s="30" t="s">
        <v>49</v>
      </c>
      <c r="G739" s="162" t="s">
        <v>2704</v>
      </c>
      <c r="H739" s="162">
        <v>16</v>
      </c>
      <c r="I739" s="162" t="str">
        <f t="shared" si="27"/>
        <v>с ЛН</v>
      </c>
      <c r="J739" s="164">
        <v>3</v>
      </c>
      <c r="K739" s="164" t="s">
        <v>529</v>
      </c>
      <c r="L739" s="164" t="s">
        <v>529</v>
      </c>
      <c r="M739" s="164" t="s">
        <v>2705</v>
      </c>
      <c r="N739" s="164" t="s">
        <v>2705</v>
      </c>
      <c r="O739" s="162">
        <v>329</v>
      </c>
      <c r="P739" s="162" t="s">
        <v>2706</v>
      </c>
      <c r="Q739" s="162">
        <v>417</v>
      </c>
      <c r="R739" s="162" t="s">
        <v>2706</v>
      </c>
      <c r="S739" s="162">
        <v>231</v>
      </c>
      <c r="T739" s="162" t="s">
        <v>2706</v>
      </c>
      <c r="U739" s="162">
        <v>259</v>
      </c>
      <c r="V739" s="162" t="s">
        <v>2706</v>
      </c>
      <c r="W739" s="162">
        <v>243</v>
      </c>
      <c r="X739" s="162" t="s">
        <v>2706</v>
      </c>
      <c r="Y739" s="162">
        <v>157</v>
      </c>
      <c r="Z739" s="162" t="s">
        <v>2706</v>
      </c>
      <c r="AA739" s="162">
        <v>179</v>
      </c>
      <c r="AB739" s="162" t="s">
        <v>2706</v>
      </c>
      <c r="AC739" s="162">
        <v>266</v>
      </c>
      <c r="AD739" s="162" t="s">
        <v>2706</v>
      </c>
      <c r="AE739" s="162">
        <v>306</v>
      </c>
      <c r="AF739" s="162" t="s">
        <v>2706</v>
      </c>
      <c r="AG739" s="162">
        <v>305</v>
      </c>
      <c r="AH739" s="162" t="s">
        <v>2706</v>
      </c>
      <c r="AI739" s="162">
        <v>906</v>
      </c>
      <c r="AJ739" s="162" t="s">
        <v>2706</v>
      </c>
      <c r="AK739" s="162">
        <v>318</v>
      </c>
      <c r="AL739" s="162" t="s">
        <v>2706</v>
      </c>
      <c r="AM739" s="162">
        <v>3650</v>
      </c>
      <c r="AN739" s="162"/>
    </row>
    <row r="740" spans="1:40" s="100" customFormat="1" ht="46.8" x14ac:dyDescent="0.3">
      <c r="A740" s="161"/>
      <c r="B740" s="167"/>
      <c r="C740" s="98" t="s">
        <v>2708</v>
      </c>
      <c r="D740" s="163"/>
      <c r="E740" s="26" t="s">
        <v>48</v>
      </c>
      <c r="F740" s="30" t="s">
        <v>49</v>
      </c>
      <c r="G740" s="163"/>
      <c r="H740" s="163"/>
      <c r="I740" s="163"/>
      <c r="J740" s="165"/>
      <c r="K740" s="165"/>
      <c r="L740" s="165"/>
      <c r="M740" s="165"/>
      <c r="N740" s="165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  <c r="AA740" s="163"/>
      <c r="AB740" s="163"/>
      <c r="AC740" s="163"/>
      <c r="AD740" s="163"/>
      <c r="AE740" s="163"/>
      <c r="AF740" s="163"/>
      <c r="AG740" s="163"/>
      <c r="AH740" s="163"/>
      <c r="AI740" s="163"/>
      <c r="AJ740" s="163"/>
      <c r="AK740" s="163"/>
      <c r="AL740" s="163"/>
      <c r="AM740" s="163"/>
      <c r="AN740" s="163"/>
    </row>
    <row r="741" spans="1:40" s="100" customFormat="1" ht="46.8" x14ac:dyDescent="0.3">
      <c r="A741" s="160">
        <v>590</v>
      </c>
      <c r="B741" s="166" t="s">
        <v>1336</v>
      </c>
      <c r="C741" s="98" t="s">
        <v>2708</v>
      </c>
      <c r="D741" s="162" t="s">
        <v>2712</v>
      </c>
      <c r="E741" s="26" t="s">
        <v>144</v>
      </c>
      <c r="F741" s="30" t="s">
        <v>49</v>
      </c>
      <c r="G741" s="162" t="s">
        <v>2704</v>
      </c>
      <c r="H741" s="162">
        <v>27</v>
      </c>
      <c r="I741" s="162" t="str">
        <f t="shared" si="27"/>
        <v>с ЛН</v>
      </c>
      <c r="J741" s="164">
        <v>5</v>
      </c>
      <c r="K741" s="164" t="s">
        <v>528</v>
      </c>
      <c r="L741" s="164" t="s">
        <v>528</v>
      </c>
      <c r="M741" s="164" t="s">
        <v>2705</v>
      </c>
      <c r="N741" s="164" t="s">
        <v>2705</v>
      </c>
      <c r="O741" s="162">
        <v>655</v>
      </c>
      <c r="P741" s="162" t="s">
        <v>2706</v>
      </c>
      <c r="Q741" s="162">
        <v>804</v>
      </c>
      <c r="R741" s="162" t="s">
        <v>2706</v>
      </c>
      <c r="S741" s="162">
        <v>446</v>
      </c>
      <c r="T741" s="162" t="s">
        <v>2706</v>
      </c>
      <c r="U741" s="162">
        <v>609</v>
      </c>
      <c r="V741" s="162" t="s">
        <v>2706</v>
      </c>
      <c r="W741" s="162">
        <v>548</v>
      </c>
      <c r="X741" s="162" t="s">
        <v>2706</v>
      </c>
      <c r="Y741" s="162">
        <v>460</v>
      </c>
      <c r="Z741" s="162" t="s">
        <v>2706</v>
      </c>
      <c r="AA741" s="162">
        <v>391</v>
      </c>
      <c r="AB741" s="162" t="s">
        <v>2706</v>
      </c>
      <c r="AC741" s="162">
        <v>530</v>
      </c>
      <c r="AD741" s="162" t="s">
        <v>2706</v>
      </c>
      <c r="AE741" s="162">
        <v>534</v>
      </c>
      <c r="AF741" s="162" t="s">
        <v>2706</v>
      </c>
      <c r="AG741" s="162">
        <v>703</v>
      </c>
      <c r="AH741" s="162" t="s">
        <v>2706</v>
      </c>
      <c r="AI741" s="162">
        <v>0</v>
      </c>
      <c r="AJ741" s="162" t="s">
        <v>2706</v>
      </c>
      <c r="AK741" s="162">
        <v>733</v>
      </c>
      <c r="AL741" s="162" t="s">
        <v>2706</v>
      </c>
      <c r="AM741" s="162">
        <v>5883</v>
      </c>
      <c r="AN741" s="162"/>
    </row>
    <row r="742" spans="1:40" s="100" customFormat="1" ht="46.8" x14ac:dyDescent="0.3">
      <c r="A742" s="161"/>
      <c r="B742" s="167"/>
      <c r="C742" s="98" t="s">
        <v>2708</v>
      </c>
      <c r="D742" s="163"/>
      <c r="E742" s="26" t="s">
        <v>48</v>
      </c>
      <c r="F742" s="30" t="s">
        <v>49</v>
      </c>
      <c r="G742" s="163"/>
      <c r="H742" s="163"/>
      <c r="I742" s="163"/>
      <c r="J742" s="165"/>
      <c r="K742" s="165"/>
      <c r="L742" s="165"/>
      <c r="M742" s="165"/>
      <c r="N742" s="165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  <c r="AA742" s="163"/>
      <c r="AB742" s="163"/>
      <c r="AC742" s="163"/>
      <c r="AD742" s="163"/>
      <c r="AE742" s="163"/>
      <c r="AF742" s="163"/>
      <c r="AG742" s="163"/>
      <c r="AH742" s="163"/>
      <c r="AI742" s="163"/>
      <c r="AJ742" s="163"/>
      <c r="AK742" s="163"/>
      <c r="AL742" s="163"/>
      <c r="AM742" s="163"/>
      <c r="AN742" s="163"/>
    </row>
    <row r="743" spans="1:40" s="100" customFormat="1" ht="46.8" x14ac:dyDescent="0.3">
      <c r="A743" s="160">
        <v>591</v>
      </c>
      <c r="B743" s="166" t="s">
        <v>1337</v>
      </c>
      <c r="C743" s="98" t="s">
        <v>2708</v>
      </c>
      <c r="D743" s="162" t="s">
        <v>2712</v>
      </c>
      <c r="E743" s="26" t="s">
        <v>144</v>
      </c>
      <c r="F743" s="30" t="s">
        <v>49</v>
      </c>
      <c r="G743" s="162" t="s">
        <v>2704</v>
      </c>
      <c r="H743" s="162">
        <v>20</v>
      </c>
      <c r="I743" s="162" t="str">
        <f t="shared" si="27"/>
        <v>с ЛН</v>
      </c>
      <c r="J743" s="164">
        <v>4</v>
      </c>
      <c r="K743" s="164" t="s">
        <v>528</v>
      </c>
      <c r="L743" s="164" t="s">
        <v>528</v>
      </c>
      <c r="M743" s="164" t="s">
        <v>2705</v>
      </c>
      <c r="N743" s="164" t="s">
        <v>2705</v>
      </c>
      <c r="O743" s="162">
        <v>0</v>
      </c>
      <c r="P743" s="162" t="s">
        <v>2706</v>
      </c>
      <c r="Q743" s="162">
        <v>0</v>
      </c>
      <c r="R743" s="162" t="s">
        <v>2706</v>
      </c>
      <c r="S743" s="162">
        <v>0</v>
      </c>
      <c r="T743" s="162" t="s">
        <v>2706</v>
      </c>
      <c r="U743" s="162">
        <v>0</v>
      </c>
      <c r="V743" s="162" t="s">
        <v>2706</v>
      </c>
      <c r="W743" s="162">
        <v>0</v>
      </c>
      <c r="X743" s="162" t="s">
        <v>2706</v>
      </c>
      <c r="Y743" s="162">
        <v>0</v>
      </c>
      <c r="Z743" s="162" t="s">
        <v>2706</v>
      </c>
      <c r="AA743" s="162">
        <v>0</v>
      </c>
      <c r="AB743" s="162" t="s">
        <v>2706</v>
      </c>
      <c r="AC743" s="162">
        <v>0</v>
      </c>
      <c r="AD743" s="162" t="s">
        <v>2706</v>
      </c>
      <c r="AE743" s="162">
        <v>0</v>
      </c>
      <c r="AF743" s="162" t="s">
        <v>2706</v>
      </c>
      <c r="AG743" s="162">
        <v>0</v>
      </c>
      <c r="AH743" s="162" t="s">
        <v>2706</v>
      </c>
      <c r="AI743" s="162">
        <v>0</v>
      </c>
      <c r="AJ743" s="162" t="s">
        <v>2706</v>
      </c>
      <c r="AK743" s="162">
        <v>0</v>
      </c>
      <c r="AL743" s="162" t="s">
        <v>2706</v>
      </c>
      <c r="AM743" s="162">
        <v>0</v>
      </c>
      <c r="AN743" s="162"/>
    </row>
    <row r="744" spans="1:40" s="100" customFormat="1" ht="46.8" x14ac:dyDescent="0.3">
      <c r="A744" s="161"/>
      <c r="B744" s="167"/>
      <c r="C744" s="98" t="s">
        <v>2708</v>
      </c>
      <c r="D744" s="163"/>
      <c r="E744" s="26" t="s">
        <v>48</v>
      </c>
      <c r="F744" s="30" t="s">
        <v>49</v>
      </c>
      <c r="G744" s="163"/>
      <c r="H744" s="163"/>
      <c r="I744" s="163"/>
      <c r="J744" s="165"/>
      <c r="K744" s="165"/>
      <c r="L744" s="165"/>
      <c r="M744" s="165"/>
      <c r="N744" s="165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  <c r="AA744" s="163"/>
      <c r="AB744" s="163"/>
      <c r="AC744" s="163"/>
      <c r="AD744" s="163"/>
      <c r="AE744" s="163"/>
      <c r="AF744" s="163"/>
      <c r="AG744" s="163"/>
      <c r="AH744" s="163"/>
      <c r="AI744" s="163"/>
      <c r="AJ744" s="163"/>
      <c r="AK744" s="163"/>
      <c r="AL744" s="163"/>
      <c r="AM744" s="163"/>
      <c r="AN744" s="163"/>
    </row>
    <row r="745" spans="1:40" s="100" customFormat="1" ht="46.8" x14ac:dyDescent="0.3">
      <c r="A745" s="160">
        <v>592</v>
      </c>
      <c r="B745" s="166" t="s">
        <v>1338</v>
      </c>
      <c r="C745" s="98" t="s">
        <v>2708</v>
      </c>
      <c r="D745" s="162" t="s">
        <v>2712</v>
      </c>
      <c r="E745" s="26" t="s">
        <v>144</v>
      </c>
      <c r="F745" s="30" t="s">
        <v>49</v>
      </c>
      <c r="G745" s="162" t="s">
        <v>2704</v>
      </c>
      <c r="H745" s="162">
        <v>18</v>
      </c>
      <c r="I745" s="162" t="str">
        <f t="shared" si="27"/>
        <v>с ЛН</v>
      </c>
      <c r="J745" s="164">
        <v>4</v>
      </c>
      <c r="K745" s="164" t="s">
        <v>528</v>
      </c>
      <c r="L745" s="164" t="s">
        <v>528</v>
      </c>
      <c r="M745" s="164" t="s">
        <v>2705</v>
      </c>
      <c r="N745" s="164" t="s">
        <v>2705</v>
      </c>
      <c r="O745" s="162">
        <v>58</v>
      </c>
      <c r="P745" s="162" t="s">
        <v>2706</v>
      </c>
      <c r="Q745" s="162">
        <v>63</v>
      </c>
      <c r="R745" s="162" t="s">
        <v>2706</v>
      </c>
      <c r="S745" s="162">
        <v>35</v>
      </c>
      <c r="T745" s="162" t="s">
        <v>2706</v>
      </c>
      <c r="U745" s="162">
        <v>68</v>
      </c>
      <c r="V745" s="162" t="s">
        <v>2706</v>
      </c>
      <c r="W745" s="162">
        <v>134</v>
      </c>
      <c r="X745" s="162" t="s">
        <v>2706</v>
      </c>
      <c r="Y745" s="162">
        <v>48</v>
      </c>
      <c r="Z745" s="162" t="s">
        <v>2706</v>
      </c>
      <c r="AA745" s="162">
        <v>73</v>
      </c>
      <c r="AB745" s="162" t="s">
        <v>2706</v>
      </c>
      <c r="AC745" s="162">
        <v>92</v>
      </c>
      <c r="AD745" s="162" t="s">
        <v>2706</v>
      </c>
      <c r="AE745" s="162">
        <v>76</v>
      </c>
      <c r="AF745" s="162" t="s">
        <v>2706</v>
      </c>
      <c r="AG745" s="162">
        <v>75</v>
      </c>
      <c r="AH745" s="162" t="s">
        <v>2706</v>
      </c>
      <c r="AI745" s="162">
        <v>118</v>
      </c>
      <c r="AJ745" s="162" t="s">
        <v>2706</v>
      </c>
      <c r="AK745" s="162">
        <v>113</v>
      </c>
      <c r="AL745" s="162" t="s">
        <v>2706</v>
      </c>
      <c r="AM745" s="162">
        <v>861</v>
      </c>
      <c r="AN745" s="162"/>
    </row>
    <row r="746" spans="1:40" s="100" customFormat="1" ht="46.8" x14ac:dyDescent="0.3">
      <c r="A746" s="161"/>
      <c r="B746" s="167"/>
      <c r="C746" s="98" t="s">
        <v>2708</v>
      </c>
      <c r="D746" s="163"/>
      <c r="E746" s="26" t="s">
        <v>48</v>
      </c>
      <c r="F746" s="30" t="s">
        <v>49</v>
      </c>
      <c r="G746" s="163"/>
      <c r="H746" s="163"/>
      <c r="I746" s="163"/>
      <c r="J746" s="165"/>
      <c r="K746" s="165"/>
      <c r="L746" s="165"/>
      <c r="M746" s="165"/>
      <c r="N746" s="165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  <c r="AA746" s="163"/>
      <c r="AB746" s="163"/>
      <c r="AC746" s="163"/>
      <c r="AD746" s="163"/>
      <c r="AE746" s="163"/>
      <c r="AF746" s="163"/>
      <c r="AG746" s="163"/>
      <c r="AH746" s="163"/>
      <c r="AI746" s="163"/>
      <c r="AJ746" s="163"/>
      <c r="AK746" s="163"/>
      <c r="AL746" s="163"/>
      <c r="AM746" s="163"/>
      <c r="AN746" s="163"/>
    </row>
    <row r="747" spans="1:40" s="100" customFormat="1" ht="46.8" x14ac:dyDescent="0.3">
      <c r="A747" s="160">
        <v>593</v>
      </c>
      <c r="B747" s="166" t="s">
        <v>1340</v>
      </c>
      <c r="C747" s="98" t="s">
        <v>2708</v>
      </c>
      <c r="D747" s="162" t="s">
        <v>2712</v>
      </c>
      <c r="E747" s="26" t="s">
        <v>144</v>
      </c>
      <c r="F747" s="30" t="s">
        <v>49</v>
      </c>
      <c r="G747" s="162" t="s">
        <v>2704</v>
      </c>
      <c r="H747" s="162">
        <v>27</v>
      </c>
      <c r="I747" s="162" t="str">
        <f t="shared" si="27"/>
        <v>с ЛН</v>
      </c>
      <c r="J747" s="164">
        <v>5</v>
      </c>
      <c r="K747" s="164" t="s">
        <v>529</v>
      </c>
      <c r="L747" s="164" t="s">
        <v>529</v>
      </c>
      <c r="M747" s="164" t="s">
        <v>2705</v>
      </c>
      <c r="N747" s="164" t="s">
        <v>2705</v>
      </c>
      <c r="O747" s="162">
        <v>784</v>
      </c>
      <c r="P747" s="162" t="s">
        <v>2706</v>
      </c>
      <c r="Q747" s="162">
        <v>966</v>
      </c>
      <c r="R747" s="162" t="s">
        <v>2706</v>
      </c>
      <c r="S747" s="162">
        <v>785</v>
      </c>
      <c r="T747" s="162" t="s">
        <v>2706</v>
      </c>
      <c r="U747" s="162">
        <v>823</v>
      </c>
      <c r="V747" s="162" t="s">
        <v>2706</v>
      </c>
      <c r="W747" s="162">
        <v>836</v>
      </c>
      <c r="X747" s="162" t="s">
        <v>2706</v>
      </c>
      <c r="Y747" s="162">
        <v>621</v>
      </c>
      <c r="Z747" s="162" t="s">
        <v>2706</v>
      </c>
      <c r="AA747" s="162">
        <v>481</v>
      </c>
      <c r="AB747" s="162" t="s">
        <v>2706</v>
      </c>
      <c r="AC747" s="162">
        <v>678</v>
      </c>
      <c r="AD747" s="162" t="s">
        <v>2706</v>
      </c>
      <c r="AE747" s="162">
        <v>773</v>
      </c>
      <c r="AF747" s="162" t="s">
        <v>2706</v>
      </c>
      <c r="AG747" s="162">
        <v>854</v>
      </c>
      <c r="AH747" s="162" t="s">
        <v>2706</v>
      </c>
      <c r="AI747" s="162">
        <v>371</v>
      </c>
      <c r="AJ747" s="162" t="s">
        <v>2706</v>
      </c>
      <c r="AK747" s="162">
        <v>1263</v>
      </c>
      <c r="AL747" s="162" t="s">
        <v>2706</v>
      </c>
      <c r="AM747" s="162">
        <v>8557</v>
      </c>
      <c r="AN747" s="162"/>
    </row>
    <row r="748" spans="1:40" s="100" customFormat="1" ht="46.8" x14ac:dyDescent="0.3">
      <c r="A748" s="161"/>
      <c r="B748" s="167"/>
      <c r="C748" s="98" t="s">
        <v>2708</v>
      </c>
      <c r="D748" s="163"/>
      <c r="E748" s="26" t="s">
        <v>48</v>
      </c>
      <c r="F748" s="30" t="s">
        <v>49</v>
      </c>
      <c r="G748" s="163"/>
      <c r="H748" s="163"/>
      <c r="I748" s="163"/>
      <c r="J748" s="165"/>
      <c r="K748" s="165"/>
      <c r="L748" s="165"/>
      <c r="M748" s="165"/>
      <c r="N748" s="165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  <c r="AA748" s="163"/>
      <c r="AB748" s="163"/>
      <c r="AC748" s="163"/>
      <c r="AD748" s="163"/>
      <c r="AE748" s="163"/>
      <c r="AF748" s="163"/>
      <c r="AG748" s="163"/>
      <c r="AH748" s="163"/>
      <c r="AI748" s="163"/>
      <c r="AJ748" s="163"/>
      <c r="AK748" s="163"/>
      <c r="AL748" s="163"/>
      <c r="AM748" s="163"/>
      <c r="AN748" s="163"/>
    </row>
    <row r="749" spans="1:40" s="100" customFormat="1" ht="46.8" x14ac:dyDescent="0.3">
      <c r="A749" s="160">
        <v>594</v>
      </c>
      <c r="B749" s="166" t="s">
        <v>1341</v>
      </c>
      <c r="C749" s="98" t="s">
        <v>2708</v>
      </c>
      <c r="D749" s="162" t="s">
        <v>2712</v>
      </c>
      <c r="E749" s="26" t="s">
        <v>144</v>
      </c>
      <c r="F749" s="30" t="s">
        <v>49</v>
      </c>
      <c r="G749" s="162"/>
      <c r="H749" s="162"/>
      <c r="I749" s="162"/>
      <c r="J749" s="164"/>
      <c r="K749" s="164" t="s">
        <v>528</v>
      </c>
      <c r="L749" s="164" t="s">
        <v>528</v>
      </c>
      <c r="M749" s="164" t="s">
        <v>2705</v>
      </c>
      <c r="N749" s="164" t="s">
        <v>2705</v>
      </c>
      <c r="O749" s="162">
        <v>1362</v>
      </c>
      <c r="P749" s="162" t="s">
        <v>2706</v>
      </c>
      <c r="Q749" s="162">
        <v>1438</v>
      </c>
      <c r="R749" s="162" t="s">
        <v>2706</v>
      </c>
      <c r="S749" s="162">
        <v>1354</v>
      </c>
      <c r="T749" s="162" t="s">
        <v>2706</v>
      </c>
      <c r="U749" s="162">
        <v>1386</v>
      </c>
      <c r="V749" s="162" t="s">
        <v>2706</v>
      </c>
      <c r="W749" s="162">
        <v>1404</v>
      </c>
      <c r="X749" s="162" t="s">
        <v>2706</v>
      </c>
      <c r="Y749" s="162">
        <v>2035</v>
      </c>
      <c r="Z749" s="162" t="s">
        <v>2706</v>
      </c>
      <c r="AA749" s="162">
        <v>2026</v>
      </c>
      <c r="AB749" s="162" t="s">
        <v>2706</v>
      </c>
      <c r="AC749" s="162">
        <v>2093</v>
      </c>
      <c r="AD749" s="162" t="s">
        <v>2706</v>
      </c>
      <c r="AE749" s="162">
        <v>2112</v>
      </c>
      <c r="AF749" s="162" t="s">
        <v>2706</v>
      </c>
      <c r="AG749" s="162">
        <v>2061</v>
      </c>
      <c r="AH749" s="162" t="s">
        <v>2706</v>
      </c>
      <c r="AI749" s="162">
        <v>1904</v>
      </c>
      <c r="AJ749" s="162" t="s">
        <v>2706</v>
      </c>
      <c r="AK749" s="162">
        <v>2294</v>
      </c>
      <c r="AL749" s="162" t="s">
        <v>2706</v>
      </c>
      <c r="AM749" s="162">
        <v>19376</v>
      </c>
      <c r="AN749" s="162"/>
    </row>
    <row r="750" spans="1:40" s="100" customFormat="1" ht="46.8" x14ac:dyDescent="0.3">
      <c r="A750" s="161"/>
      <c r="B750" s="167"/>
      <c r="C750" s="98" t="s">
        <v>2708</v>
      </c>
      <c r="D750" s="163"/>
      <c r="E750" s="26" t="s">
        <v>48</v>
      </c>
      <c r="F750" s="30" t="s">
        <v>49</v>
      </c>
      <c r="G750" s="163"/>
      <c r="H750" s="163"/>
      <c r="I750" s="163"/>
      <c r="J750" s="165"/>
      <c r="K750" s="165"/>
      <c r="L750" s="165"/>
      <c r="M750" s="165"/>
      <c r="N750" s="165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  <c r="AA750" s="163"/>
      <c r="AB750" s="163"/>
      <c r="AC750" s="163"/>
      <c r="AD750" s="163"/>
      <c r="AE750" s="163"/>
      <c r="AF750" s="163"/>
      <c r="AG750" s="163"/>
      <c r="AH750" s="163"/>
      <c r="AI750" s="163"/>
      <c r="AJ750" s="163"/>
      <c r="AK750" s="163"/>
      <c r="AL750" s="163"/>
      <c r="AM750" s="163"/>
      <c r="AN750" s="163"/>
    </row>
    <row r="751" spans="1:40" s="100" customFormat="1" ht="46.8" x14ac:dyDescent="0.3">
      <c r="A751" s="160">
        <v>595</v>
      </c>
      <c r="B751" s="166" t="s">
        <v>1342</v>
      </c>
      <c r="C751" s="98" t="s">
        <v>2708</v>
      </c>
      <c r="D751" s="162" t="s">
        <v>2712</v>
      </c>
      <c r="E751" s="26" t="s">
        <v>144</v>
      </c>
      <c r="F751" s="30" t="s">
        <v>49</v>
      </c>
      <c r="G751" s="162" t="s">
        <v>2704</v>
      </c>
      <c r="H751" s="162">
        <v>16</v>
      </c>
      <c r="I751" s="162" t="str">
        <f t="shared" si="27"/>
        <v>с ЛН</v>
      </c>
      <c r="J751" s="164">
        <v>3</v>
      </c>
      <c r="K751" s="164" t="s">
        <v>528</v>
      </c>
      <c r="L751" s="164" t="s">
        <v>528</v>
      </c>
      <c r="M751" s="164" t="s">
        <v>2705</v>
      </c>
      <c r="N751" s="164" t="s">
        <v>2705</v>
      </c>
      <c r="O751" s="162">
        <v>0</v>
      </c>
      <c r="P751" s="162" t="s">
        <v>2706</v>
      </c>
      <c r="Q751" s="162">
        <v>0</v>
      </c>
      <c r="R751" s="162" t="s">
        <v>2706</v>
      </c>
      <c r="S751" s="162">
        <v>0</v>
      </c>
      <c r="T751" s="162" t="s">
        <v>2706</v>
      </c>
      <c r="U751" s="162">
        <v>0</v>
      </c>
      <c r="V751" s="162" t="s">
        <v>2706</v>
      </c>
      <c r="W751" s="162">
        <v>0</v>
      </c>
      <c r="X751" s="162" t="s">
        <v>2706</v>
      </c>
      <c r="Y751" s="162">
        <v>0</v>
      </c>
      <c r="Z751" s="162" t="s">
        <v>2706</v>
      </c>
      <c r="AA751" s="162">
        <v>0</v>
      </c>
      <c r="AB751" s="162" t="s">
        <v>2706</v>
      </c>
      <c r="AC751" s="162">
        <v>0</v>
      </c>
      <c r="AD751" s="162" t="s">
        <v>2706</v>
      </c>
      <c r="AE751" s="162">
        <v>0</v>
      </c>
      <c r="AF751" s="162" t="s">
        <v>2706</v>
      </c>
      <c r="AG751" s="162">
        <v>0</v>
      </c>
      <c r="AH751" s="162" t="s">
        <v>2706</v>
      </c>
      <c r="AI751" s="162">
        <v>0</v>
      </c>
      <c r="AJ751" s="162" t="s">
        <v>2706</v>
      </c>
      <c r="AK751" s="162">
        <v>0</v>
      </c>
      <c r="AL751" s="162" t="s">
        <v>2706</v>
      </c>
      <c r="AM751" s="162">
        <v>0</v>
      </c>
      <c r="AN751" s="162"/>
    </row>
    <row r="752" spans="1:40" s="100" customFormat="1" ht="46.8" x14ac:dyDescent="0.3">
      <c r="A752" s="161"/>
      <c r="B752" s="167"/>
      <c r="C752" s="98" t="s">
        <v>2708</v>
      </c>
      <c r="D752" s="163"/>
      <c r="E752" s="26" t="s">
        <v>48</v>
      </c>
      <c r="F752" s="30" t="s">
        <v>49</v>
      </c>
      <c r="G752" s="163"/>
      <c r="H752" s="163"/>
      <c r="I752" s="163"/>
      <c r="J752" s="165"/>
      <c r="K752" s="165"/>
      <c r="L752" s="165"/>
      <c r="M752" s="165"/>
      <c r="N752" s="165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  <c r="AA752" s="163"/>
      <c r="AB752" s="163"/>
      <c r="AC752" s="163"/>
      <c r="AD752" s="163"/>
      <c r="AE752" s="163"/>
      <c r="AF752" s="163"/>
      <c r="AG752" s="163"/>
      <c r="AH752" s="163"/>
      <c r="AI752" s="163"/>
      <c r="AJ752" s="163"/>
      <c r="AK752" s="163"/>
      <c r="AL752" s="163"/>
      <c r="AM752" s="163"/>
      <c r="AN752" s="163"/>
    </row>
    <row r="753" spans="1:40" s="100" customFormat="1" ht="46.8" x14ac:dyDescent="0.3">
      <c r="A753" s="160">
        <v>596</v>
      </c>
      <c r="B753" s="166" t="s">
        <v>1343</v>
      </c>
      <c r="C753" s="98" t="s">
        <v>2708</v>
      </c>
      <c r="D753" s="162" t="s">
        <v>2712</v>
      </c>
      <c r="E753" s="26" t="s">
        <v>144</v>
      </c>
      <c r="F753" s="30" t="s">
        <v>49</v>
      </c>
      <c r="G753" s="162" t="s">
        <v>2704</v>
      </c>
      <c r="H753" s="162">
        <v>32</v>
      </c>
      <c r="I753" s="162" t="str">
        <f t="shared" si="27"/>
        <v>с ЛН</v>
      </c>
      <c r="J753" s="164">
        <v>6</v>
      </c>
      <c r="K753" s="164" t="s">
        <v>528</v>
      </c>
      <c r="L753" s="164" t="s">
        <v>528</v>
      </c>
      <c r="M753" s="164" t="s">
        <v>2705</v>
      </c>
      <c r="N753" s="164" t="s">
        <v>2705</v>
      </c>
      <c r="O753" s="162">
        <v>485</v>
      </c>
      <c r="P753" s="162" t="s">
        <v>2706</v>
      </c>
      <c r="Q753" s="162">
        <v>523</v>
      </c>
      <c r="R753" s="162" t="s">
        <v>2706</v>
      </c>
      <c r="S753" s="162">
        <v>340</v>
      </c>
      <c r="T753" s="162" t="s">
        <v>2706</v>
      </c>
      <c r="U753" s="162">
        <v>306</v>
      </c>
      <c r="V753" s="162" t="s">
        <v>2706</v>
      </c>
      <c r="W753" s="162">
        <v>316</v>
      </c>
      <c r="X753" s="162" t="s">
        <v>2706</v>
      </c>
      <c r="Y753" s="162">
        <v>287</v>
      </c>
      <c r="Z753" s="162" t="s">
        <v>2706</v>
      </c>
      <c r="AA753" s="162">
        <v>263</v>
      </c>
      <c r="AB753" s="162" t="s">
        <v>2706</v>
      </c>
      <c r="AC753" s="162">
        <v>346</v>
      </c>
      <c r="AD753" s="162" t="s">
        <v>2706</v>
      </c>
      <c r="AE753" s="162">
        <v>453</v>
      </c>
      <c r="AF753" s="162" t="s">
        <v>2706</v>
      </c>
      <c r="AG753" s="162">
        <v>365</v>
      </c>
      <c r="AH753" s="162" t="s">
        <v>2706</v>
      </c>
      <c r="AI753" s="162">
        <v>462</v>
      </c>
      <c r="AJ753" s="162" t="s">
        <v>2706</v>
      </c>
      <c r="AK753" s="162">
        <v>519</v>
      </c>
      <c r="AL753" s="162" t="s">
        <v>2706</v>
      </c>
      <c r="AM753" s="162">
        <v>4319</v>
      </c>
      <c r="AN753" s="162"/>
    </row>
    <row r="754" spans="1:40" s="100" customFormat="1" ht="46.8" x14ac:dyDescent="0.3">
      <c r="A754" s="161"/>
      <c r="B754" s="167"/>
      <c r="C754" s="98" t="s">
        <v>2708</v>
      </c>
      <c r="D754" s="163"/>
      <c r="E754" s="26" t="s">
        <v>48</v>
      </c>
      <c r="F754" s="30" t="s">
        <v>49</v>
      </c>
      <c r="G754" s="163"/>
      <c r="H754" s="163"/>
      <c r="I754" s="163"/>
      <c r="J754" s="165"/>
      <c r="K754" s="165"/>
      <c r="L754" s="165"/>
      <c r="M754" s="165"/>
      <c r="N754" s="165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  <c r="AA754" s="163"/>
      <c r="AB754" s="163"/>
      <c r="AC754" s="163"/>
      <c r="AD754" s="163"/>
      <c r="AE754" s="163"/>
      <c r="AF754" s="163"/>
      <c r="AG754" s="163"/>
      <c r="AH754" s="163"/>
      <c r="AI754" s="163"/>
      <c r="AJ754" s="163"/>
      <c r="AK754" s="163"/>
      <c r="AL754" s="163"/>
      <c r="AM754" s="163"/>
      <c r="AN754" s="163"/>
    </row>
    <row r="755" spans="1:40" s="100" customFormat="1" ht="46.8" x14ac:dyDescent="0.3">
      <c r="A755" s="160">
        <v>597</v>
      </c>
      <c r="B755" s="166" t="s">
        <v>1344</v>
      </c>
      <c r="C755" s="98" t="s">
        <v>2708</v>
      </c>
      <c r="D755" s="162" t="s">
        <v>2712</v>
      </c>
      <c r="E755" s="26" t="s">
        <v>144</v>
      </c>
      <c r="F755" s="30" t="s">
        <v>49</v>
      </c>
      <c r="G755" s="162" t="s">
        <v>2704</v>
      </c>
      <c r="H755" s="162">
        <v>17</v>
      </c>
      <c r="I755" s="162" t="str">
        <f t="shared" si="27"/>
        <v>с ЛН</v>
      </c>
      <c r="J755" s="164">
        <v>3</v>
      </c>
      <c r="K755" s="164" t="s">
        <v>528</v>
      </c>
      <c r="L755" s="164" t="s">
        <v>528</v>
      </c>
      <c r="M755" s="164" t="s">
        <v>2705</v>
      </c>
      <c r="N755" s="164" t="s">
        <v>2705</v>
      </c>
      <c r="O755" s="162">
        <v>139</v>
      </c>
      <c r="P755" s="162" t="s">
        <v>2706</v>
      </c>
      <c r="Q755" s="162">
        <v>179</v>
      </c>
      <c r="R755" s="162" t="s">
        <v>2706</v>
      </c>
      <c r="S755" s="162">
        <v>108</v>
      </c>
      <c r="T755" s="162" t="s">
        <v>2706</v>
      </c>
      <c r="U755" s="162">
        <v>131</v>
      </c>
      <c r="V755" s="162" t="s">
        <v>2706</v>
      </c>
      <c r="W755" s="162">
        <v>125</v>
      </c>
      <c r="X755" s="162" t="s">
        <v>2706</v>
      </c>
      <c r="Y755" s="162">
        <v>72</v>
      </c>
      <c r="Z755" s="162" t="s">
        <v>2706</v>
      </c>
      <c r="AA755" s="162">
        <v>119</v>
      </c>
      <c r="AB755" s="162" t="s">
        <v>2706</v>
      </c>
      <c r="AC755" s="162">
        <v>128</v>
      </c>
      <c r="AD755" s="162" t="s">
        <v>2706</v>
      </c>
      <c r="AE755" s="162">
        <v>190</v>
      </c>
      <c r="AF755" s="162" t="s">
        <v>2706</v>
      </c>
      <c r="AG755" s="162">
        <v>190</v>
      </c>
      <c r="AH755" s="162" t="s">
        <v>2706</v>
      </c>
      <c r="AI755" s="162">
        <v>152</v>
      </c>
      <c r="AJ755" s="162" t="s">
        <v>2706</v>
      </c>
      <c r="AK755" s="162">
        <v>183</v>
      </c>
      <c r="AL755" s="162" t="s">
        <v>2706</v>
      </c>
      <c r="AM755" s="162">
        <v>1588</v>
      </c>
      <c r="AN755" s="162"/>
    </row>
    <row r="756" spans="1:40" s="100" customFormat="1" ht="46.8" x14ac:dyDescent="0.3">
      <c r="A756" s="161"/>
      <c r="B756" s="167"/>
      <c r="C756" s="98" t="s">
        <v>2708</v>
      </c>
      <c r="D756" s="163"/>
      <c r="E756" s="26" t="s">
        <v>48</v>
      </c>
      <c r="F756" s="30" t="s">
        <v>49</v>
      </c>
      <c r="G756" s="163"/>
      <c r="H756" s="163"/>
      <c r="I756" s="163"/>
      <c r="J756" s="165"/>
      <c r="K756" s="165"/>
      <c r="L756" s="165"/>
      <c r="M756" s="165"/>
      <c r="N756" s="165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  <c r="AA756" s="163"/>
      <c r="AB756" s="163"/>
      <c r="AC756" s="163"/>
      <c r="AD756" s="163"/>
      <c r="AE756" s="163"/>
      <c r="AF756" s="163"/>
      <c r="AG756" s="163"/>
      <c r="AH756" s="163"/>
      <c r="AI756" s="163"/>
      <c r="AJ756" s="163"/>
      <c r="AK756" s="163"/>
      <c r="AL756" s="163"/>
      <c r="AM756" s="163"/>
      <c r="AN756" s="163"/>
    </row>
    <row r="757" spans="1:40" s="100" customFormat="1" ht="46.8" x14ac:dyDescent="0.3">
      <c r="A757" s="160">
        <v>598</v>
      </c>
      <c r="B757" s="166" t="s">
        <v>1346</v>
      </c>
      <c r="C757" s="98" t="s">
        <v>2708</v>
      </c>
      <c r="D757" s="162" t="s">
        <v>2712</v>
      </c>
      <c r="E757" s="26" t="s">
        <v>144</v>
      </c>
      <c r="F757" s="30" t="s">
        <v>49</v>
      </c>
      <c r="G757" s="162"/>
      <c r="H757" s="162"/>
      <c r="I757" s="162"/>
      <c r="J757" s="164"/>
      <c r="K757" s="164" t="s">
        <v>528</v>
      </c>
      <c r="L757" s="164" t="s">
        <v>528</v>
      </c>
      <c r="M757" s="164" t="s">
        <v>2705</v>
      </c>
      <c r="N757" s="164" t="s">
        <v>2705</v>
      </c>
      <c r="O757" s="162">
        <v>1191</v>
      </c>
      <c r="P757" s="162" t="s">
        <v>2706</v>
      </c>
      <c r="Q757" s="162">
        <v>1196</v>
      </c>
      <c r="R757" s="162" t="s">
        <v>2706</v>
      </c>
      <c r="S757" s="162">
        <v>726</v>
      </c>
      <c r="T757" s="162" t="s">
        <v>2706</v>
      </c>
      <c r="U757" s="162">
        <v>855</v>
      </c>
      <c r="V757" s="162" t="s">
        <v>2706</v>
      </c>
      <c r="W757" s="162">
        <v>750</v>
      </c>
      <c r="X757" s="162" t="s">
        <v>2706</v>
      </c>
      <c r="Y757" s="162">
        <v>451</v>
      </c>
      <c r="Z757" s="162" t="s">
        <v>2706</v>
      </c>
      <c r="AA757" s="162">
        <v>451</v>
      </c>
      <c r="AB757" s="162" t="s">
        <v>2706</v>
      </c>
      <c r="AC757" s="162">
        <v>447</v>
      </c>
      <c r="AD757" s="162" t="s">
        <v>2706</v>
      </c>
      <c r="AE757" s="162">
        <v>1031</v>
      </c>
      <c r="AF757" s="162" t="s">
        <v>2706</v>
      </c>
      <c r="AG757" s="162">
        <v>654</v>
      </c>
      <c r="AH757" s="162" t="s">
        <v>2706</v>
      </c>
      <c r="AI757" s="162">
        <v>825</v>
      </c>
      <c r="AJ757" s="162" t="s">
        <v>2706</v>
      </c>
      <c r="AK757" s="162">
        <v>929</v>
      </c>
      <c r="AL757" s="162" t="s">
        <v>2706</v>
      </c>
      <c r="AM757" s="162">
        <v>9059</v>
      </c>
      <c r="AN757" s="162"/>
    </row>
    <row r="758" spans="1:40" s="100" customFormat="1" ht="46.8" x14ac:dyDescent="0.3">
      <c r="A758" s="161"/>
      <c r="B758" s="167"/>
      <c r="C758" s="98" t="s">
        <v>2708</v>
      </c>
      <c r="D758" s="163"/>
      <c r="E758" s="26" t="s">
        <v>48</v>
      </c>
      <c r="F758" s="30" t="s">
        <v>49</v>
      </c>
      <c r="G758" s="163"/>
      <c r="H758" s="163"/>
      <c r="I758" s="163"/>
      <c r="J758" s="165"/>
      <c r="K758" s="165"/>
      <c r="L758" s="165"/>
      <c r="M758" s="165"/>
      <c r="N758" s="165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  <c r="AA758" s="163"/>
      <c r="AB758" s="163"/>
      <c r="AC758" s="163"/>
      <c r="AD758" s="163"/>
      <c r="AE758" s="163"/>
      <c r="AF758" s="163"/>
      <c r="AG758" s="163"/>
      <c r="AH758" s="163"/>
      <c r="AI758" s="163"/>
      <c r="AJ758" s="163"/>
      <c r="AK758" s="163"/>
      <c r="AL758" s="163"/>
      <c r="AM758" s="163"/>
      <c r="AN758" s="163"/>
    </row>
    <row r="759" spans="1:40" s="100" customFormat="1" ht="46.8" x14ac:dyDescent="0.3">
      <c r="A759" s="160">
        <v>599</v>
      </c>
      <c r="B759" s="166" t="s">
        <v>1348</v>
      </c>
      <c r="C759" s="98" t="s">
        <v>2708</v>
      </c>
      <c r="D759" s="162" t="s">
        <v>2712</v>
      </c>
      <c r="E759" s="26" t="s">
        <v>144</v>
      </c>
      <c r="F759" s="30" t="s">
        <v>49</v>
      </c>
      <c r="G759" s="162" t="s">
        <v>2704</v>
      </c>
      <c r="H759" s="162">
        <v>22</v>
      </c>
      <c r="I759" s="162" t="str">
        <f t="shared" ref="I759:I787" si="28">G759</f>
        <v>с ЛН</v>
      </c>
      <c r="J759" s="164">
        <v>4</v>
      </c>
      <c r="K759" s="164" t="s">
        <v>528</v>
      </c>
      <c r="L759" s="164" t="s">
        <v>528</v>
      </c>
      <c r="M759" s="164" t="s">
        <v>2705</v>
      </c>
      <c r="N759" s="164" t="s">
        <v>2705</v>
      </c>
      <c r="O759" s="162">
        <v>742</v>
      </c>
      <c r="P759" s="162" t="s">
        <v>2706</v>
      </c>
      <c r="Q759" s="162">
        <v>834</v>
      </c>
      <c r="R759" s="162" t="s">
        <v>2706</v>
      </c>
      <c r="S759" s="162">
        <v>772</v>
      </c>
      <c r="T759" s="162" t="s">
        <v>2706</v>
      </c>
      <c r="U759" s="162">
        <v>783</v>
      </c>
      <c r="V759" s="162" t="s">
        <v>2706</v>
      </c>
      <c r="W759" s="162">
        <v>0</v>
      </c>
      <c r="X759" s="162" t="s">
        <v>2706</v>
      </c>
      <c r="Y759" s="162">
        <v>300</v>
      </c>
      <c r="Z759" s="162" t="s">
        <v>2706</v>
      </c>
      <c r="AA759" s="162">
        <v>87</v>
      </c>
      <c r="AB759" s="162" t="s">
        <v>2706</v>
      </c>
      <c r="AC759" s="162">
        <v>218</v>
      </c>
      <c r="AD759" s="162" t="s">
        <v>2706</v>
      </c>
      <c r="AE759" s="162">
        <v>451</v>
      </c>
      <c r="AF759" s="162" t="s">
        <v>2706</v>
      </c>
      <c r="AG759" s="162">
        <v>363</v>
      </c>
      <c r="AH759" s="162" t="s">
        <v>2706</v>
      </c>
      <c r="AI759" s="162">
        <v>17718</v>
      </c>
      <c r="AJ759" s="162" t="s">
        <v>2706</v>
      </c>
      <c r="AK759" s="162">
        <v>400</v>
      </c>
      <c r="AL759" s="162" t="s">
        <v>2706</v>
      </c>
      <c r="AM759" s="162">
        <v>22450</v>
      </c>
      <c r="AN759" s="162"/>
    </row>
    <row r="760" spans="1:40" s="100" customFormat="1" ht="46.8" x14ac:dyDescent="0.3">
      <c r="A760" s="161"/>
      <c r="B760" s="167"/>
      <c r="C760" s="98" t="s">
        <v>2708</v>
      </c>
      <c r="D760" s="163"/>
      <c r="E760" s="26" t="s">
        <v>48</v>
      </c>
      <c r="F760" s="30" t="s">
        <v>49</v>
      </c>
      <c r="G760" s="163"/>
      <c r="H760" s="163"/>
      <c r="I760" s="163"/>
      <c r="J760" s="165"/>
      <c r="K760" s="165"/>
      <c r="L760" s="165"/>
      <c r="M760" s="165"/>
      <c r="N760" s="165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  <c r="AA760" s="163"/>
      <c r="AB760" s="163"/>
      <c r="AC760" s="163"/>
      <c r="AD760" s="163"/>
      <c r="AE760" s="163"/>
      <c r="AF760" s="163"/>
      <c r="AG760" s="163"/>
      <c r="AH760" s="163"/>
      <c r="AI760" s="163"/>
      <c r="AJ760" s="163"/>
      <c r="AK760" s="163"/>
      <c r="AL760" s="163"/>
      <c r="AM760" s="163"/>
      <c r="AN760" s="163"/>
    </row>
    <row r="761" spans="1:40" s="100" customFormat="1" ht="46.8" x14ac:dyDescent="0.3">
      <c r="A761" s="160">
        <v>600</v>
      </c>
      <c r="B761" s="166" t="s">
        <v>1349</v>
      </c>
      <c r="C761" s="98" t="s">
        <v>2708</v>
      </c>
      <c r="D761" s="162" t="s">
        <v>2712</v>
      </c>
      <c r="E761" s="26" t="s">
        <v>144</v>
      </c>
      <c r="F761" s="30" t="s">
        <v>49</v>
      </c>
      <c r="G761" s="162" t="s">
        <v>2704</v>
      </c>
      <c r="H761" s="162">
        <v>17</v>
      </c>
      <c r="I761" s="162" t="str">
        <f t="shared" si="28"/>
        <v>с ЛН</v>
      </c>
      <c r="J761" s="164">
        <v>3</v>
      </c>
      <c r="K761" s="164" t="s">
        <v>528</v>
      </c>
      <c r="L761" s="164" t="s">
        <v>528</v>
      </c>
      <c r="M761" s="164" t="s">
        <v>2705</v>
      </c>
      <c r="N761" s="164" t="s">
        <v>2705</v>
      </c>
      <c r="O761" s="162">
        <v>0</v>
      </c>
      <c r="P761" s="162" t="s">
        <v>2706</v>
      </c>
      <c r="Q761" s="162">
        <v>0</v>
      </c>
      <c r="R761" s="162" t="s">
        <v>2706</v>
      </c>
      <c r="S761" s="162">
        <v>0</v>
      </c>
      <c r="T761" s="162" t="s">
        <v>2706</v>
      </c>
      <c r="U761" s="162">
        <v>0</v>
      </c>
      <c r="V761" s="162" t="s">
        <v>2706</v>
      </c>
      <c r="W761" s="162">
        <v>0</v>
      </c>
      <c r="X761" s="162" t="s">
        <v>2706</v>
      </c>
      <c r="Y761" s="162">
        <v>0</v>
      </c>
      <c r="Z761" s="162" t="s">
        <v>2706</v>
      </c>
      <c r="AA761" s="162">
        <v>0</v>
      </c>
      <c r="AB761" s="162" t="s">
        <v>2706</v>
      </c>
      <c r="AC761" s="162">
        <v>0</v>
      </c>
      <c r="AD761" s="162" t="s">
        <v>2706</v>
      </c>
      <c r="AE761" s="162">
        <v>0</v>
      </c>
      <c r="AF761" s="162" t="s">
        <v>2706</v>
      </c>
      <c r="AG761" s="162">
        <v>0</v>
      </c>
      <c r="AH761" s="162" t="s">
        <v>2706</v>
      </c>
      <c r="AI761" s="162">
        <v>0</v>
      </c>
      <c r="AJ761" s="162" t="s">
        <v>2706</v>
      </c>
      <c r="AK761" s="162">
        <v>0</v>
      </c>
      <c r="AL761" s="162" t="s">
        <v>2706</v>
      </c>
      <c r="AM761" s="162">
        <v>0</v>
      </c>
      <c r="AN761" s="162"/>
    </row>
    <row r="762" spans="1:40" s="100" customFormat="1" ht="46.8" x14ac:dyDescent="0.3">
      <c r="A762" s="161"/>
      <c r="B762" s="167"/>
      <c r="C762" s="98" t="s">
        <v>2708</v>
      </c>
      <c r="D762" s="163"/>
      <c r="E762" s="26" t="s">
        <v>48</v>
      </c>
      <c r="F762" s="30" t="s">
        <v>49</v>
      </c>
      <c r="G762" s="163"/>
      <c r="H762" s="163"/>
      <c r="I762" s="163"/>
      <c r="J762" s="165"/>
      <c r="K762" s="165"/>
      <c r="L762" s="165"/>
      <c r="M762" s="165"/>
      <c r="N762" s="165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  <c r="AA762" s="163"/>
      <c r="AB762" s="163"/>
      <c r="AC762" s="163"/>
      <c r="AD762" s="163"/>
      <c r="AE762" s="163"/>
      <c r="AF762" s="163"/>
      <c r="AG762" s="163"/>
      <c r="AH762" s="163"/>
      <c r="AI762" s="163"/>
      <c r="AJ762" s="163"/>
      <c r="AK762" s="163"/>
      <c r="AL762" s="163"/>
      <c r="AM762" s="163"/>
      <c r="AN762" s="163"/>
    </row>
    <row r="763" spans="1:40" s="100" customFormat="1" ht="46.8" x14ac:dyDescent="0.3">
      <c r="A763" s="160">
        <v>601</v>
      </c>
      <c r="B763" s="166" t="s">
        <v>1350</v>
      </c>
      <c r="C763" s="98" t="s">
        <v>2708</v>
      </c>
      <c r="D763" s="162" t="s">
        <v>2712</v>
      </c>
      <c r="E763" s="26" t="s">
        <v>144</v>
      </c>
      <c r="F763" s="30" t="s">
        <v>49</v>
      </c>
      <c r="G763" s="162" t="s">
        <v>2704</v>
      </c>
      <c r="H763" s="162">
        <v>48</v>
      </c>
      <c r="I763" s="162" t="str">
        <f t="shared" si="28"/>
        <v>с ЛН</v>
      </c>
      <c r="J763" s="164">
        <v>8</v>
      </c>
      <c r="K763" s="164" t="s">
        <v>528</v>
      </c>
      <c r="L763" s="164" t="s">
        <v>528</v>
      </c>
      <c r="M763" s="164" t="s">
        <v>2705</v>
      </c>
      <c r="N763" s="164" t="s">
        <v>2705</v>
      </c>
      <c r="O763" s="162">
        <v>1477</v>
      </c>
      <c r="P763" s="162" t="s">
        <v>2706</v>
      </c>
      <c r="Q763" s="162">
        <v>1783</v>
      </c>
      <c r="R763" s="162" t="s">
        <v>2706</v>
      </c>
      <c r="S763" s="162">
        <v>1320</v>
      </c>
      <c r="T763" s="162" t="s">
        <v>2706</v>
      </c>
      <c r="U763" s="162">
        <v>1537</v>
      </c>
      <c r="V763" s="162" t="s">
        <v>2706</v>
      </c>
      <c r="W763" s="162">
        <v>1993</v>
      </c>
      <c r="X763" s="162" t="s">
        <v>2706</v>
      </c>
      <c r="Y763" s="162">
        <v>1491</v>
      </c>
      <c r="Z763" s="162" t="s">
        <v>2706</v>
      </c>
      <c r="AA763" s="162">
        <v>1483</v>
      </c>
      <c r="AB763" s="162" t="s">
        <v>2706</v>
      </c>
      <c r="AC763" s="162">
        <v>1643</v>
      </c>
      <c r="AD763" s="162" t="s">
        <v>2706</v>
      </c>
      <c r="AE763" s="162">
        <v>2139</v>
      </c>
      <c r="AF763" s="162" t="s">
        <v>2706</v>
      </c>
      <c r="AG763" s="162">
        <v>1724</v>
      </c>
      <c r="AH763" s="162" t="s">
        <v>2706</v>
      </c>
      <c r="AI763" s="162">
        <v>1662</v>
      </c>
      <c r="AJ763" s="162" t="s">
        <v>2706</v>
      </c>
      <c r="AK763" s="162">
        <v>2025</v>
      </c>
      <c r="AL763" s="162" t="s">
        <v>2706</v>
      </c>
      <c r="AM763" s="162">
        <v>18634</v>
      </c>
      <c r="AN763" s="162"/>
    </row>
    <row r="764" spans="1:40" s="100" customFormat="1" ht="46.8" x14ac:dyDescent="0.3">
      <c r="A764" s="161"/>
      <c r="B764" s="167"/>
      <c r="C764" s="98" t="s">
        <v>2708</v>
      </c>
      <c r="D764" s="163"/>
      <c r="E764" s="26" t="s">
        <v>48</v>
      </c>
      <c r="F764" s="30" t="s">
        <v>49</v>
      </c>
      <c r="G764" s="163"/>
      <c r="H764" s="163"/>
      <c r="I764" s="163"/>
      <c r="J764" s="165"/>
      <c r="K764" s="165"/>
      <c r="L764" s="165"/>
      <c r="M764" s="165"/>
      <c r="N764" s="165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  <c r="AA764" s="163"/>
      <c r="AB764" s="163"/>
      <c r="AC764" s="163"/>
      <c r="AD764" s="163"/>
      <c r="AE764" s="163"/>
      <c r="AF764" s="163"/>
      <c r="AG764" s="163"/>
      <c r="AH764" s="163"/>
      <c r="AI764" s="163"/>
      <c r="AJ764" s="163"/>
      <c r="AK764" s="163"/>
      <c r="AL764" s="163"/>
      <c r="AM764" s="163"/>
      <c r="AN764" s="163"/>
    </row>
    <row r="765" spans="1:40" s="100" customFormat="1" ht="46.8" x14ac:dyDescent="0.3">
      <c r="A765" s="160">
        <v>602</v>
      </c>
      <c r="B765" s="166" t="s">
        <v>1351</v>
      </c>
      <c r="C765" s="98" t="s">
        <v>2708</v>
      </c>
      <c r="D765" s="162" t="s">
        <v>2712</v>
      </c>
      <c r="E765" s="26" t="s">
        <v>144</v>
      </c>
      <c r="F765" s="30" t="s">
        <v>49</v>
      </c>
      <c r="G765" s="162" t="s">
        <v>2704</v>
      </c>
      <c r="H765" s="162">
        <v>60</v>
      </c>
      <c r="I765" s="162" t="str">
        <f t="shared" si="28"/>
        <v>с ЛН</v>
      </c>
      <c r="J765" s="164">
        <v>10</v>
      </c>
      <c r="K765" s="164" t="s">
        <v>528</v>
      </c>
      <c r="L765" s="164" t="s">
        <v>528</v>
      </c>
      <c r="M765" s="164" t="s">
        <v>2705</v>
      </c>
      <c r="N765" s="164" t="s">
        <v>2705</v>
      </c>
      <c r="O765" s="162">
        <v>1312</v>
      </c>
      <c r="P765" s="162" t="s">
        <v>2706</v>
      </c>
      <c r="Q765" s="162">
        <v>1576</v>
      </c>
      <c r="R765" s="162" t="s">
        <v>2706</v>
      </c>
      <c r="S765" s="162">
        <v>1200</v>
      </c>
      <c r="T765" s="162" t="s">
        <v>2706</v>
      </c>
      <c r="U765" s="162">
        <v>1288</v>
      </c>
      <c r="V765" s="162" t="s">
        <v>2706</v>
      </c>
      <c r="W765" s="162">
        <v>1531</v>
      </c>
      <c r="X765" s="162" t="s">
        <v>2706</v>
      </c>
      <c r="Y765" s="162">
        <v>1129</v>
      </c>
      <c r="Z765" s="162" t="s">
        <v>2706</v>
      </c>
      <c r="AA765" s="162">
        <v>1284</v>
      </c>
      <c r="AB765" s="162" t="s">
        <v>2706</v>
      </c>
      <c r="AC765" s="162">
        <v>1514</v>
      </c>
      <c r="AD765" s="162" t="s">
        <v>2706</v>
      </c>
      <c r="AE765" s="162">
        <v>1449</v>
      </c>
      <c r="AF765" s="162" t="s">
        <v>2706</v>
      </c>
      <c r="AG765" s="162">
        <v>2143</v>
      </c>
      <c r="AH765" s="162" t="s">
        <v>2706</v>
      </c>
      <c r="AI765" s="162">
        <v>1540</v>
      </c>
      <c r="AJ765" s="162" t="s">
        <v>2706</v>
      </c>
      <c r="AK765" s="162">
        <v>1812</v>
      </c>
      <c r="AL765" s="162" t="s">
        <v>2706</v>
      </c>
      <c r="AM765" s="162">
        <v>16264</v>
      </c>
      <c r="AN765" s="162"/>
    </row>
    <row r="766" spans="1:40" s="100" customFormat="1" ht="46.8" x14ac:dyDescent="0.3">
      <c r="A766" s="161"/>
      <c r="B766" s="167"/>
      <c r="C766" s="98" t="s">
        <v>2708</v>
      </c>
      <c r="D766" s="163"/>
      <c r="E766" s="26" t="s">
        <v>48</v>
      </c>
      <c r="F766" s="30" t="s">
        <v>49</v>
      </c>
      <c r="G766" s="163"/>
      <c r="H766" s="163"/>
      <c r="I766" s="163"/>
      <c r="J766" s="165"/>
      <c r="K766" s="165"/>
      <c r="L766" s="165"/>
      <c r="M766" s="165"/>
      <c r="N766" s="165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  <c r="AA766" s="163"/>
      <c r="AB766" s="163"/>
      <c r="AC766" s="163"/>
      <c r="AD766" s="163"/>
      <c r="AE766" s="163"/>
      <c r="AF766" s="163"/>
      <c r="AG766" s="163"/>
      <c r="AH766" s="163"/>
      <c r="AI766" s="163"/>
      <c r="AJ766" s="163"/>
      <c r="AK766" s="163"/>
      <c r="AL766" s="163"/>
      <c r="AM766" s="163"/>
      <c r="AN766" s="163"/>
    </row>
    <row r="767" spans="1:40" s="100" customFormat="1" ht="46.8" x14ac:dyDescent="0.3">
      <c r="A767" s="160">
        <v>603</v>
      </c>
      <c r="B767" s="166" t="s">
        <v>1353</v>
      </c>
      <c r="C767" s="98" t="s">
        <v>2708</v>
      </c>
      <c r="D767" s="162" t="s">
        <v>2712</v>
      </c>
      <c r="E767" s="26" t="s">
        <v>144</v>
      </c>
      <c r="F767" s="30" t="s">
        <v>49</v>
      </c>
      <c r="G767" s="162" t="s">
        <v>2704</v>
      </c>
      <c r="H767" s="162">
        <v>17</v>
      </c>
      <c r="I767" s="162" t="str">
        <f t="shared" si="28"/>
        <v>с ЛН</v>
      </c>
      <c r="J767" s="164">
        <v>3</v>
      </c>
      <c r="K767" s="164" t="s">
        <v>528</v>
      </c>
      <c r="L767" s="164" t="s">
        <v>528</v>
      </c>
      <c r="M767" s="164" t="s">
        <v>2705</v>
      </c>
      <c r="N767" s="164" t="s">
        <v>2705</v>
      </c>
      <c r="O767" s="162">
        <v>173</v>
      </c>
      <c r="P767" s="162" t="s">
        <v>2706</v>
      </c>
      <c r="Q767" s="162">
        <v>196</v>
      </c>
      <c r="R767" s="162" t="s">
        <v>2706</v>
      </c>
      <c r="S767" s="162">
        <v>131</v>
      </c>
      <c r="T767" s="162" t="s">
        <v>2706</v>
      </c>
      <c r="U767" s="162">
        <v>139</v>
      </c>
      <c r="V767" s="162" t="s">
        <v>2706</v>
      </c>
      <c r="W767" s="162">
        <v>176</v>
      </c>
      <c r="X767" s="162" t="s">
        <v>2706</v>
      </c>
      <c r="Y767" s="162">
        <v>94</v>
      </c>
      <c r="Z767" s="162" t="s">
        <v>2706</v>
      </c>
      <c r="AA767" s="162">
        <v>128</v>
      </c>
      <c r="AB767" s="162" t="s">
        <v>2706</v>
      </c>
      <c r="AC767" s="162">
        <v>164</v>
      </c>
      <c r="AD767" s="162" t="s">
        <v>2706</v>
      </c>
      <c r="AE767" s="162">
        <v>190</v>
      </c>
      <c r="AF767" s="162" t="s">
        <v>2706</v>
      </c>
      <c r="AG767" s="162">
        <v>158</v>
      </c>
      <c r="AH767" s="162" t="s">
        <v>2706</v>
      </c>
      <c r="AI767" s="162">
        <v>3091</v>
      </c>
      <c r="AJ767" s="162" t="s">
        <v>2706</v>
      </c>
      <c r="AK767" s="162">
        <v>70</v>
      </c>
      <c r="AL767" s="162" t="s">
        <v>2706</v>
      </c>
      <c r="AM767" s="162">
        <v>4546</v>
      </c>
      <c r="AN767" s="162"/>
    </row>
    <row r="768" spans="1:40" s="100" customFormat="1" ht="46.8" x14ac:dyDescent="0.3">
      <c r="A768" s="161"/>
      <c r="B768" s="167"/>
      <c r="C768" s="98" t="s">
        <v>2708</v>
      </c>
      <c r="D768" s="163"/>
      <c r="E768" s="26" t="s">
        <v>48</v>
      </c>
      <c r="F768" s="30" t="s">
        <v>49</v>
      </c>
      <c r="G768" s="163"/>
      <c r="H768" s="163"/>
      <c r="I768" s="163"/>
      <c r="J768" s="165"/>
      <c r="K768" s="165"/>
      <c r="L768" s="165"/>
      <c r="M768" s="165"/>
      <c r="N768" s="165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  <c r="AA768" s="163"/>
      <c r="AB768" s="163"/>
      <c r="AC768" s="163"/>
      <c r="AD768" s="163"/>
      <c r="AE768" s="163"/>
      <c r="AF768" s="163"/>
      <c r="AG768" s="163"/>
      <c r="AH768" s="163"/>
      <c r="AI768" s="163"/>
      <c r="AJ768" s="163"/>
      <c r="AK768" s="163"/>
      <c r="AL768" s="163"/>
      <c r="AM768" s="163"/>
      <c r="AN768" s="163"/>
    </row>
    <row r="769" spans="1:40" s="100" customFormat="1" ht="46.8" x14ac:dyDescent="0.3">
      <c r="A769" s="160">
        <v>604</v>
      </c>
      <c r="B769" s="166" t="s">
        <v>1354</v>
      </c>
      <c r="C769" s="98" t="s">
        <v>2708</v>
      </c>
      <c r="D769" s="162" t="s">
        <v>2712</v>
      </c>
      <c r="E769" s="26" t="s">
        <v>144</v>
      </c>
      <c r="F769" s="30" t="s">
        <v>49</v>
      </c>
      <c r="G769" s="162" t="s">
        <v>2704</v>
      </c>
      <c r="H769" s="162">
        <v>24</v>
      </c>
      <c r="I769" s="162" t="str">
        <f t="shared" si="28"/>
        <v>с ЛН</v>
      </c>
      <c r="J769" s="164">
        <v>5</v>
      </c>
      <c r="K769" s="164" t="s">
        <v>528</v>
      </c>
      <c r="L769" s="164" t="s">
        <v>528</v>
      </c>
      <c r="M769" s="164" t="s">
        <v>2705</v>
      </c>
      <c r="N769" s="164" t="s">
        <v>2705</v>
      </c>
      <c r="O769" s="162">
        <v>319</v>
      </c>
      <c r="P769" s="162" t="s">
        <v>2706</v>
      </c>
      <c r="Q769" s="162">
        <v>395</v>
      </c>
      <c r="R769" s="162" t="s">
        <v>2706</v>
      </c>
      <c r="S769" s="162">
        <v>263</v>
      </c>
      <c r="T769" s="162" t="s">
        <v>2706</v>
      </c>
      <c r="U769" s="162">
        <v>164</v>
      </c>
      <c r="V769" s="162" t="s">
        <v>2706</v>
      </c>
      <c r="W769" s="162">
        <v>187</v>
      </c>
      <c r="X769" s="162" t="s">
        <v>2706</v>
      </c>
      <c r="Y769" s="162">
        <v>123</v>
      </c>
      <c r="Z769" s="162" t="s">
        <v>2706</v>
      </c>
      <c r="AA769" s="162">
        <v>151</v>
      </c>
      <c r="AB769" s="162" t="s">
        <v>2706</v>
      </c>
      <c r="AC769" s="162">
        <v>185</v>
      </c>
      <c r="AD769" s="162" t="s">
        <v>2706</v>
      </c>
      <c r="AE769" s="162">
        <v>223</v>
      </c>
      <c r="AF769" s="162" t="s">
        <v>2706</v>
      </c>
      <c r="AG769" s="162">
        <v>235</v>
      </c>
      <c r="AH769" s="162" t="s">
        <v>2706</v>
      </c>
      <c r="AI769" s="162">
        <v>400</v>
      </c>
      <c r="AJ769" s="162" t="s">
        <v>2706</v>
      </c>
      <c r="AK769" s="162">
        <v>345</v>
      </c>
      <c r="AL769" s="162" t="s">
        <v>2706</v>
      </c>
      <c r="AM769" s="162">
        <v>2805</v>
      </c>
      <c r="AN769" s="162"/>
    </row>
    <row r="770" spans="1:40" s="100" customFormat="1" ht="46.8" x14ac:dyDescent="0.3">
      <c r="A770" s="161"/>
      <c r="B770" s="167"/>
      <c r="C770" s="98" t="s">
        <v>2708</v>
      </c>
      <c r="D770" s="163"/>
      <c r="E770" s="26" t="s">
        <v>48</v>
      </c>
      <c r="F770" s="30" t="s">
        <v>49</v>
      </c>
      <c r="G770" s="163"/>
      <c r="H770" s="163"/>
      <c r="I770" s="163"/>
      <c r="J770" s="165"/>
      <c r="K770" s="165"/>
      <c r="L770" s="165"/>
      <c r="M770" s="165"/>
      <c r="N770" s="165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  <c r="AA770" s="163"/>
      <c r="AB770" s="163"/>
      <c r="AC770" s="163"/>
      <c r="AD770" s="163"/>
      <c r="AE770" s="163"/>
      <c r="AF770" s="163"/>
      <c r="AG770" s="163"/>
      <c r="AH770" s="163"/>
      <c r="AI770" s="163"/>
      <c r="AJ770" s="163"/>
      <c r="AK770" s="163"/>
      <c r="AL770" s="163"/>
      <c r="AM770" s="163"/>
      <c r="AN770" s="163"/>
    </row>
    <row r="771" spans="1:40" s="100" customFormat="1" ht="46.8" x14ac:dyDescent="0.3">
      <c r="A771" s="160">
        <v>605</v>
      </c>
      <c r="B771" s="166" t="s">
        <v>1355</v>
      </c>
      <c r="C771" s="98" t="s">
        <v>2708</v>
      </c>
      <c r="D771" s="162" t="s">
        <v>2712</v>
      </c>
      <c r="E771" s="26" t="s">
        <v>144</v>
      </c>
      <c r="F771" s="30" t="s">
        <v>49</v>
      </c>
      <c r="G771" s="162" t="s">
        <v>2704</v>
      </c>
      <c r="H771" s="162">
        <v>22</v>
      </c>
      <c r="I771" s="162" t="str">
        <f t="shared" si="28"/>
        <v>с ЛН</v>
      </c>
      <c r="J771" s="164">
        <v>4</v>
      </c>
      <c r="K771" s="164" t="s">
        <v>528</v>
      </c>
      <c r="L771" s="164" t="s">
        <v>528</v>
      </c>
      <c r="M771" s="164" t="s">
        <v>2705</v>
      </c>
      <c r="N771" s="164" t="s">
        <v>2705</v>
      </c>
      <c r="O771" s="162">
        <v>242</v>
      </c>
      <c r="P771" s="162" t="s">
        <v>2706</v>
      </c>
      <c r="Q771" s="162">
        <v>336</v>
      </c>
      <c r="R771" s="162" t="s">
        <v>2706</v>
      </c>
      <c r="S771" s="162">
        <v>220</v>
      </c>
      <c r="T771" s="162" t="s">
        <v>2706</v>
      </c>
      <c r="U771" s="162">
        <v>266</v>
      </c>
      <c r="V771" s="162" t="s">
        <v>2706</v>
      </c>
      <c r="W771" s="162">
        <v>283</v>
      </c>
      <c r="X771" s="162" t="s">
        <v>2706</v>
      </c>
      <c r="Y771" s="162">
        <v>225</v>
      </c>
      <c r="Z771" s="162" t="s">
        <v>2706</v>
      </c>
      <c r="AA771" s="162">
        <v>218</v>
      </c>
      <c r="AB771" s="162" t="s">
        <v>2706</v>
      </c>
      <c r="AC771" s="162">
        <v>222</v>
      </c>
      <c r="AD771" s="162" t="s">
        <v>2706</v>
      </c>
      <c r="AE771" s="162">
        <v>335</v>
      </c>
      <c r="AF771" s="162" t="s">
        <v>2706</v>
      </c>
      <c r="AG771" s="162">
        <v>268</v>
      </c>
      <c r="AH771" s="162" t="s">
        <v>2706</v>
      </c>
      <c r="AI771" s="162">
        <v>1373</v>
      </c>
      <c r="AJ771" s="162" t="s">
        <v>2706</v>
      </c>
      <c r="AK771" s="162">
        <v>389</v>
      </c>
      <c r="AL771" s="162" t="s">
        <v>2706</v>
      </c>
      <c r="AM771" s="162">
        <v>4155</v>
      </c>
      <c r="AN771" s="162"/>
    </row>
    <row r="772" spans="1:40" s="100" customFormat="1" ht="46.8" x14ac:dyDescent="0.3">
      <c r="A772" s="161"/>
      <c r="B772" s="167"/>
      <c r="C772" s="98" t="s">
        <v>2708</v>
      </c>
      <c r="D772" s="163"/>
      <c r="E772" s="26" t="s">
        <v>48</v>
      </c>
      <c r="F772" s="30" t="s">
        <v>49</v>
      </c>
      <c r="G772" s="163"/>
      <c r="H772" s="163"/>
      <c r="I772" s="163"/>
      <c r="J772" s="165"/>
      <c r="K772" s="165"/>
      <c r="L772" s="165"/>
      <c r="M772" s="165"/>
      <c r="N772" s="165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  <c r="AA772" s="163"/>
      <c r="AB772" s="163"/>
      <c r="AC772" s="163"/>
      <c r="AD772" s="163"/>
      <c r="AE772" s="163"/>
      <c r="AF772" s="163"/>
      <c r="AG772" s="163"/>
      <c r="AH772" s="163"/>
      <c r="AI772" s="163"/>
      <c r="AJ772" s="163"/>
      <c r="AK772" s="163"/>
      <c r="AL772" s="163"/>
      <c r="AM772" s="163"/>
      <c r="AN772" s="163"/>
    </row>
    <row r="773" spans="1:40" s="100" customFormat="1" ht="46.8" x14ac:dyDescent="0.3">
      <c r="A773" s="160">
        <v>606</v>
      </c>
      <c r="B773" s="166" t="s">
        <v>1356</v>
      </c>
      <c r="C773" s="98" t="s">
        <v>2708</v>
      </c>
      <c r="D773" s="162" t="s">
        <v>2712</v>
      </c>
      <c r="E773" s="26" t="s">
        <v>144</v>
      </c>
      <c r="F773" s="30" t="s">
        <v>49</v>
      </c>
      <c r="G773" s="162" t="s">
        <v>2704</v>
      </c>
      <c r="H773" s="162">
        <v>24</v>
      </c>
      <c r="I773" s="162" t="str">
        <f t="shared" si="28"/>
        <v>с ЛН</v>
      </c>
      <c r="J773" s="164">
        <v>5</v>
      </c>
      <c r="K773" s="164" t="s">
        <v>528</v>
      </c>
      <c r="L773" s="164" t="s">
        <v>528</v>
      </c>
      <c r="M773" s="164" t="s">
        <v>2705</v>
      </c>
      <c r="N773" s="164" t="s">
        <v>2705</v>
      </c>
      <c r="O773" s="162">
        <v>792</v>
      </c>
      <c r="P773" s="162" t="s">
        <v>2706</v>
      </c>
      <c r="Q773" s="162">
        <v>940</v>
      </c>
      <c r="R773" s="162" t="s">
        <v>2706</v>
      </c>
      <c r="S773" s="162">
        <v>441</v>
      </c>
      <c r="T773" s="162" t="s">
        <v>2706</v>
      </c>
      <c r="U773" s="162">
        <v>539</v>
      </c>
      <c r="V773" s="162" t="s">
        <v>2706</v>
      </c>
      <c r="W773" s="162">
        <v>474</v>
      </c>
      <c r="X773" s="162" t="s">
        <v>2706</v>
      </c>
      <c r="Y773" s="162">
        <v>237</v>
      </c>
      <c r="Z773" s="162" t="s">
        <v>2706</v>
      </c>
      <c r="AA773" s="162">
        <v>320</v>
      </c>
      <c r="AB773" s="162" t="s">
        <v>2706</v>
      </c>
      <c r="AC773" s="162">
        <v>264</v>
      </c>
      <c r="AD773" s="162" t="s">
        <v>2706</v>
      </c>
      <c r="AE773" s="162">
        <v>527</v>
      </c>
      <c r="AF773" s="162" t="s">
        <v>2706</v>
      </c>
      <c r="AG773" s="162">
        <v>696</v>
      </c>
      <c r="AH773" s="162" t="s">
        <v>2706</v>
      </c>
      <c r="AI773" s="162">
        <v>556</v>
      </c>
      <c r="AJ773" s="162" t="s">
        <v>2706</v>
      </c>
      <c r="AK773" s="162">
        <v>736</v>
      </c>
      <c r="AL773" s="162" t="s">
        <v>2706</v>
      </c>
      <c r="AM773" s="162">
        <v>6258</v>
      </c>
      <c r="AN773" s="162"/>
    </row>
    <row r="774" spans="1:40" s="100" customFormat="1" ht="46.8" x14ac:dyDescent="0.3">
      <c r="A774" s="161"/>
      <c r="B774" s="167"/>
      <c r="C774" s="98" t="s">
        <v>2708</v>
      </c>
      <c r="D774" s="163"/>
      <c r="E774" s="26" t="s">
        <v>48</v>
      </c>
      <c r="F774" s="30" t="s">
        <v>49</v>
      </c>
      <c r="G774" s="163"/>
      <c r="H774" s="163"/>
      <c r="I774" s="163"/>
      <c r="J774" s="165"/>
      <c r="K774" s="165"/>
      <c r="L774" s="165"/>
      <c r="M774" s="165"/>
      <c r="N774" s="165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  <c r="AA774" s="163"/>
      <c r="AB774" s="163"/>
      <c r="AC774" s="163"/>
      <c r="AD774" s="163"/>
      <c r="AE774" s="163"/>
      <c r="AF774" s="163"/>
      <c r="AG774" s="163"/>
      <c r="AH774" s="163"/>
      <c r="AI774" s="163"/>
      <c r="AJ774" s="163"/>
      <c r="AK774" s="163"/>
      <c r="AL774" s="163"/>
      <c r="AM774" s="163"/>
      <c r="AN774" s="163"/>
    </row>
    <row r="775" spans="1:40" s="100" customFormat="1" ht="46.8" x14ac:dyDescent="0.3">
      <c r="A775" s="160">
        <v>607</v>
      </c>
      <c r="B775" s="166" t="s">
        <v>1357</v>
      </c>
      <c r="C775" s="98" t="s">
        <v>2708</v>
      </c>
      <c r="D775" s="162" t="s">
        <v>2712</v>
      </c>
      <c r="E775" s="26" t="s">
        <v>144</v>
      </c>
      <c r="F775" s="30" t="s">
        <v>49</v>
      </c>
      <c r="G775" s="162"/>
      <c r="H775" s="162"/>
      <c r="I775" s="162"/>
      <c r="J775" s="164"/>
      <c r="K775" s="164" t="s">
        <v>528</v>
      </c>
      <c r="L775" s="164" t="s">
        <v>528</v>
      </c>
      <c r="M775" s="164" t="s">
        <v>2705</v>
      </c>
      <c r="N775" s="164" t="s">
        <v>2705</v>
      </c>
      <c r="O775" s="162">
        <v>0</v>
      </c>
      <c r="P775" s="162" t="s">
        <v>2706</v>
      </c>
      <c r="Q775" s="162">
        <v>0</v>
      </c>
      <c r="R775" s="162" t="s">
        <v>2706</v>
      </c>
      <c r="S775" s="162">
        <v>0</v>
      </c>
      <c r="T775" s="162" t="s">
        <v>2706</v>
      </c>
      <c r="U775" s="162">
        <v>0</v>
      </c>
      <c r="V775" s="162" t="s">
        <v>2706</v>
      </c>
      <c r="W775" s="162">
        <v>0</v>
      </c>
      <c r="X775" s="162" t="s">
        <v>2706</v>
      </c>
      <c r="Y775" s="162">
        <v>0</v>
      </c>
      <c r="Z775" s="162" t="s">
        <v>2706</v>
      </c>
      <c r="AA775" s="162">
        <v>0</v>
      </c>
      <c r="AB775" s="162" t="s">
        <v>2706</v>
      </c>
      <c r="AC775" s="162" t="s">
        <v>2624</v>
      </c>
      <c r="AD775" s="162" t="s">
        <v>2706</v>
      </c>
      <c r="AE775" s="162" t="s">
        <v>2624</v>
      </c>
      <c r="AF775" s="162" t="s">
        <v>2706</v>
      </c>
      <c r="AG775" s="162">
        <v>80</v>
      </c>
      <c r="AH775" s="162" t="s">
        <v>2706</v>
      </c>
      <c r="AI775" s="162">
        <v>118</v>
      </c>
      <c r="AJ775" s="162" t="s">
        <v>2706</v>
      </c>
      <c r="AK775" s="162">
        <v>160</v>
      </c>
      <c r="AL775" s="162" t="s">
        <v>2706</v>
      </c>
      <c r="AM775" s="162">
        <v>358</v>
      </c>
      <c r="AN775" s="162"/>
    </row>
    <row r="776" spans="1:40" s="100" customFormat="1" ht="46.8" x14ac:dyDescent="0.3">
      <c r="A776" s="161"/>
      <c r="B776" s="167"/>
      <c r="C776" s="98" t="s">
        <v>2708</v>
      </c>
      <c r="D776" s="163"/>
      <c r="E776" s="26" t="s">
        <v>48</v>
      </c>
      <c r="F776" s="30" t="s">
        <v>49</v>
      </c>
      <c r="G776" s="163"/>
      <c r="H776" s="163"/>
      <c r="I776" s="163"/>
      <c r="J776" s="165"/>
      <c r="K776" s="165"/>
      <c r="L776" s="165"/>
      <c r="M776" s="165"/>
      <c r="N776" s="165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  <c r="AA776" s="163"/>
      <c r="AB776" s="163"/>
      <c r="AC776" s="163"/>
      <c r="AD776" s="163"/>
      <c r="AE776" s="163"/>
      <c r="AF776" s="163"/>
      <c r="AG776" s="163"/>
      <c r="AH776" s="163"/>
      <c r="AI776" s="163"/>
      <c r="AJ776" s="163"/>
      <c r="AK776" s="163"/>
      <c r="AL776" s="163"/>
      <c r="AM776" s="163"/>
      <c r="AN776" s="163"/>
    </row>
    <row r="777" spans="1:40" s="100" customFormat="1" ht="46.8" x14ac:dyDescent="0.3">
      <c r="A777" s="160">
        <v>608</v>
      </c>
      <c r="B777" s="166" t="s">
        <v>1358</v>
      </c>
      <c r="C777" s="98" t="s">
        <v>2708</v>
      </c>
      <c r="D777" s="162" t="s">
        <v>2712</v>
      </c>
      <c r="E777" s="26" t="s">
        <v>144</v>
      </c>
      <c r="F777" s="30" t="s">
        <v>49</v>
      </c>
      <c r="G777" s="162" t="s">
        <v>2704</v>
      </c>
      <c r="H777" s="162">
        <v>40</v>
      </c>
      <c r="I777" s="162" t="str">
        <f t="shared" si="28"/>
        <v>с ЛН</v>
      </c>
      <c r="J777" s="164">
        <v>6</v>
      </c>
      <c r="K777" s="164" t="s">
        <v>528</v>
      </c>
      <c r="L777" s="164" t="s">
        <v>528</v>
      </c>
      <c r="M777" s="164" t="s">
        <v>2705</v>
      </c>
      <c r="N777" s="164" t="s">
        <v>2705</v>
      </c>
      <c r="O777" s="162">
        <v>1271</v>
      </c>
      <c r="P777" s="162" t="s">
        <v>2706</v>
      </c>
      <c r="Q777" s="162">
        <v>1548</v>
      </c>
      <c r="R777" s="162" t="s">
        <v>2706</v>
      </c>
      <c r="S777" s="162">
        <v>787</v>
      </c>
      <c r="T777" s="162" t="s">
        <v>2706</v>
      </c>
      <c r="U777" s="162">
        <v>1199</v>
      </c>
      <c r="V777" s="162" t="s">
        <v>2706</v>
      </c>
      <c r="W777" s="162">
        <v>1030</v>
      </c>
      <c r="X777" s="162" t="s">
        <v>2706</v>
      </c>
      <c r="Y777" s="162">
        <v>797</v>
      </c>
      <c r="Z777" s="162" t="s">
        <v>2706</v>
      </c>
      <c r="AA777" s="162">
        <v>738</v>
      </c>
      <c r="AB777" s="162" t="s">
        <v>2706</v>
      </c>
      <c r="AC777" s="162">
        <v>821</v>
      </c>
      <c r="AD777" s="162" t="s">
        <v>2706</v>
      </c>
      <c r="AE777" s="162">
        <v>895</v>
      </c>
      <c r="AF777" s="162" t="s">
        <v>2706</v>
      </c>
      <c r="AG777" s="162">
        <v>972</v>
      </c>
      <c r="AH777" s="162" t="s">
        <v>2706</v>
      </c>
      <c r="AI777" s="162">
        <v>685</v>
      </c>
      <c r="AJ777" s="162" t="s">
        <v>2706</v>
      </c>
      <c r="AK777" s="162">
        <v>1209</v>
      </c>
      <c r="AL777" s="162" t="s">
        <v>2706</v>
      </c>
      <c r="AM777" s="162">
        <v>11131</v>
      </c>
      <c r="AN777" s="162"/>
    </row>
    <row r="778" spans="1:40" s="100" customFormat="1" ht="46.8" x14ac:dyDescent="0.3">
      <c r="A778" s="161"/>
      <c r="B778" s="167"/>
      <c r="C778" s="98" t="s">
        <v>2708</v>
      </c>
      <c r="D778" s="163"/>
      <c r="E778" s="26" t="s">
        <v>48</v>
      </c>
      <c r="F778" s="30" t="s">
        <v>49</v>
      </c>
      <c r="G778" s="163"/>
      <c r="H778" s="163"/>
      <c r="I778" s="163"/>
      <c r="J778" s="165"/>
      <c r="K778" s="165"/>
      <c r="L778" s="165"/>
      <c r="M778" s="165"/>
      <c r="N778" s="165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  <c r="AA778" s="163"/>
      <c r="AB778" s="163"/>
      <c r="AC778" s="163"/>
      <c r="AD778" s="163"/>
      <c r="AE778" s="163"/>
      <c r="AF778" s="163"/>
      <c r="AG778" s="163"/>
      <c r="AH778" s="163"/>
      <c r="AI778" s="163"/>
      <c r="AJ778" s="163"/>
      <c r="AK778" s="163"/>
      <c r="AL778" s="163"/>
      <c r="AM778" s="163"/>
      <c r="AN778" s="163"/>
    </row>
    <row r="779" spans="1:40" s="100" customFormat="1" ht="46.8" x14ac:dyDescent="0.3">
      <c r="A779" s="160">
        <v>609</v>
      </c>
      <c r="B779" s="166" t="s">
        <v>1359</v>
      </c>
      <c r="C779" s="98" t="s">
        <v>2708</v>
      </c>
      <c r="D779" s="162" t="s">
        <v>2712</v>
      </c>
      <c r="E779" s="26" t="s">
        <v>144</v>
      </c>
      <c r="F779" s="30" t="s">
        <v>49</v>
      </c>
      <c r="G779" s="162"/>
      <c r="H779" s="162"/>
      <c r="I779" s="162"/>
      <c r="J779" s="164"/>
      <c r="K779" s="164" t="s">
        <v>528</v>
      </c>
      <c r="L779" s="164" t="s">
        <v>528</v>
      </c>
      <c r="M779" s="164" t="s">
        <v>2705</v>
      </c>
      <c r="N779" s="164" t="s">
        <v>2705</v>
      </c>
      <c r="O779" s="162">
        <v>143</v>
      </c>
      <c r="P779" s="162" t="s">
        <v>2706</v>
      </c>
      <c r="Q779" s="162">
        <v>143</v>
      </c>
      <c r="R779" s="162" t="s">
        <v>2706</v>
      </c>
      <c r="S779" s="162">
        <v>143</v>
      </c>
      <c r="T779" s="162" t="s">
        <v>2706</v>
      </c>
      <c r="U779" s="162">
        <v>143</v>
      </c>
      <c r="V779" s="162" t="s">
        <v>2706</v>
      </c>
      <c r="W779" s="162">
        <v>143</v>
      </c>
      <c r="X779" s="162" t="s">
        <v>2706</v>
      </c>
      <c r="Y779" s="162">
        <v>4106</v>
      </c>
      <c r="Z779" s="162" t="s">
        <v>2706</v>
      </c>
      <c r="AA779" s="162">
        <v>4106</v>
      </c>
      <c r="AB779" s="162" t="s">
        <v>2706</v>
      </c>
      <c r="AC779" s="162">
        <v>4106</v>
      </c>
      <c r="AD779" s="162" t="s">
        <v>2706</v>
      </c>
      <c r="AE779" s="162">
        <v>4106</v>
      </c>
      <c r="AF779" s="162" t="s">
        <v>2706</v>
      </c>
      <c r="AG779" s="162">
        <v>4106</v>
      </c>
      <c r="AH779" s="162" t="s">
        <v>2706</v>
      </c>
      <c r="AI779" s="162">
        <v>4106</v>
      </c>
      <c r="AJ779" s="162" t="s">
        <v>2706</v>
      </c>
      <c r="AK779" s="162">
        <v>4106</v>
      </c>
      <c r="AL779" s="162" t="s">
        <v>2706</v>
      </c>
      <c r="AM779" s="162">
        <v>25351</v>
      </c>
      <c r="AN779" s="162"/>
    </row>
    <row r="780" spans="1:40" s="100" customFormat="1" ht="46.8" x14ac:dyDescent="0.3">
      <c r="A780" s="161"/>
      <c r="B780" s="167"/>
      <c r="C780" s="98" t="s">
        <v>2708</v>
      </c>
      <c r="D780" s="163"/>
      <c r="E780" s="26" t="s">
        <v>48</v>
      </c>
      <c r="F780" s="30" t="s">
        <v>49</v>
      </c>
      <c r="G780" s="163"/>
      <c r="H780" s="163"/>
      <c r="I780" s="163"/>
      <c r="J780" s="165"/>
      <c r="K780" s="165"/>
      <c r="L780" s="165"/>
      <c r="M780" s="165"/>
      <c r="N780" s="165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  <c r="AA780" s="163"/>
      <c r="AB780" s="163"/>
      <c r="AC780" s="163"/>
      <c r="AD780" s="163"/>
      <c r="AE780" s="163"/>
      <c r="AF780" s="163"/>
      <c r="AG780" s="163"/>
      <c r="AH780" s="163"/>
      <c r="AI780" s="163"/>
      <c r="AJ780" s="163"/>
      <c r="AK780" s="163"/>
      <c r="AL780" s="163"/>
      <c r="AM780" s="163"/>
      <c r="AN780" s="163"/>
    </row>
    <row r="781" spans="1:40" s="100" customFormat="1" ht="46.8" x14ac:dyDescent="0.3">
      <c r="A781" s="160">
        <v>610</v>
      </c>
      <c r="B781" s="166" t="s">
        <v>1363</v>
      </c>
      <c r="C781" s="98" t="s">
        <v>2708</v>
      </c>
      <c r="D781" s="162" t="s">
        <v>2712</v>
      </c>
      <c r="E781" s="26" t="s">
        <v>144</v>
      </c>
      <c r="F781" s="30" t="s">
        <v>49</v>
      </c>
      <c r="G781" s="162" t="s">
        <v>2704</v>
      </c>
      <c r="H781" s="162">
        <v>24</v>
      </c>
      <c r="I781" s="162" t="str">
        <f t="shared" si="28"/>
        <v>с ЛН</v>
      </c>
      <c r="J781" s="164">
        <v>5</v>
      </c>
      <c r="K781" s="164" t="s">
        <v>528</v>
      </c>
      <c r="L781" s="164" t="s">
        <v>528</v>
      </c>
      <c r="M781" s="164" t="s">
        <v>2705</v>
      </c>
      <c r="N781" s="164" t="s">
        <v>2705</v>
      </c>
      <c r="O781" s="162">
        <v>369</v>
      </c>
      <c r="P781" s="162" t="s">
        <v>2706</v>
      </c>
      <c r="Q781" s="162">
        <v>369</v>
      </c>
      <c r="R781" s="162" t="s">
        <v>2706</v>
      </c>
      <c r="S781" s="162">
        <v>299</v>
      </c>
      <c r="T781" s="162" t="s">
        <v>2706</v>
      </c>
      <c r="U781" s="162">
        <v>381</v>
      </c>
      <c r="V781" s="162" t="s">
        <v>2706</v>
      </c>
      <c r="W781" s="162">
        <v>240</v>
      </c>
      <c r="X781" s="162" t="s">
        <v>2706</v>
      </c>
      <c r="Y781" s="162">
        <v>328</v>
      </c>
      <c r="Z781" s="162" t="s">
        <v>2706</v>
      </c>
      <c r="AA781" s="162">
        <v>256</v>
      </c>
      <c r="AB781" s="162" t="s">
        <v>2706</v>
      </c>
      <c r="AC781" s="162">
        <v>184</v>
      </c>
      <c r="AD781" s="162" t="s">
        <v>2706</v>
      </c>
      <c r="AE781" s="162">
        <v>453</v>
      </c>
      <c r="AF781" s="162" t="s">
        <v>2706</v>
      </c>
      <c r="AG781" s="162">
        <v>221</v>
      </c>
      <c r="AH781" s="162" t="s">
        <v>2706</v>
      </c>
      <c r="AI781" s="162">
        <v>488</v>
      </c>
      <c r="AJ781" s="162" t="s">
        <v>2706</v>
      </c>
      <c r="AK781" s="162">
        <v>369</v>
      </c>
      <c r="AL781" s="162" t="s">
        <v>2706</v>
      </c>
      <c r="AM781" s="162">
        <v>3773</v>
      </c>
      <c r="AN781" s="162"/>
    </row>
    <row r="782" spans="1:40" s="100" customFormat="1" ht="46.8" x14ac:dyDescent="0.3">
      <c r="A782" s="161"/>
      <c r="B782" s="167"/>
      <c r="C782" s="98" t="s">
        <v>2708</v>
      </c>
      <c r="D782" s="163"/>
      <c r="E782" s="26" t="s">
        <v>48</v>
      </c>
      <c r="F782" s="30" t="s">
        <v>49</v>
      </c>
      <c r="G782" s="163"/>
      <c r="H782" s="163"/>
      <c r="I782" s="163"/>
      <c r="J782" s="165"/>
      <c r="K782" s="165"/>
      <c r="L782" s="165"/>
      <c r="M782" s="165"/>
      <c r="N782" s="165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  <c r="AA782" s="163"/>
      <c r="AB782" s="163"/>
      <c r="AC782" s="163"/>
      <c r="AD782" s="163"/>
      <c r="AE782" s="163"/>
      <c r="AF782" s="163"/>
      <c r="AG782" s="163"/>
      <c r="AH782" s="163"/>
      <c r="AI782" s="163"/>
      <c r="AJ782" s="163"/>
      <c r="AK782" s="163"/>
      <c r="AL782" s="163"/>
      <c r="AM782" s="163"/>
      <c r="AN782" s="163"/>
    </row>
    <row r="783" spans="1:40" s="100" customFormat="1" ht="46.8" x14ac:dyDescent="0.3">
      <c r="A783" s="160">
        <v>611</v>
      </c>
      <c r="B783" s="166" t="s">
        <v>1365</v>
      </c>
      <c r="C783" s="98" t="s">
        <v>2708</v>
      </c>
      <c r="D783" s="162" t="s">
        <v>2712</v>
      </c>
      <c r="E783" s="26" t="s">
        <v>144</v>
      </c>
      <c r="F783" s="30" t="s">
        <v>49</v>
      </c>
      <c r="G783" s="162" t="s">
        <v>2704</v>
      </c>
      <c r="H783" s="162">
        <v>24</v>
      </c>
      <c r="I783" s="162" t="str">
        <f t="shared" si="28"/>
        <v>с ЛН</v>
      </c>
      <c r="J783" s="164">
        <v>4</v>
      </c>
      <c r="K783" s="164" t="s">
        <v>528</v>
      </c>
      <c r="L783" s="164" t="s">
        <v>528</v>
      </c>
      <c r="M783" s="164" t="s">
        <v>2705</v>
      </c>
      <c r="N783" s="164" t="s">
        <v>2705</v>
      </c>
      <c r="O783" s="162">
        <v>2140</v>
      </c>
      <c r="P783" s="162" t="s">
        <v>2706</v>
      </c>
      <c r="Q783" s="162">
        <v>1484</v>
      </c>
      <c r="R783" s="162" t="s">
        <v>2706</v>
      </c>
      <c r="S783" s="162">
        <v>1475</v>
      </c>
      <c r="T783" s="162" t="s">
        <v>2706</v>
      </c>
      <c r="U783" s="162">
        <v>2034</v>
      </c>
      <c r="V783" s="162" t="s">
        <v>2706</v>
      </c>
      <c r="W783" s="162">
        <v>1543</v>
      </c>
      <c r="X783" s="162" t="s">
        <v>2706</v>
      </c>
      <c r="Y783" s="162">
        <v>1842</v>
      </c>
      <c r="Z783" s="162" t="s">
        <v>2706</v>
      </c>
      <c r="AA783" s="162">
        <v>1530</v>
      </c>
      <c r="AB783" s="162" t="s">
        <v>2706</v>
      </c>
      <c r="AC783" s="162">
        <v>1401</v>
      </c>
      <c r="AD783" s="162" t="s">
        <v>2706</v>
      </c>
      <c r="AE783" s="162">
        <v>2686</v>
      </c>
      <c r="AF783" s="162" t="s">
        <v>2706</v>
      </c>
      <c r="AG783" s="162">
        <v>1227</v>
      </c>
      <c r="AH783" s="162" t="s">
        <v>2706</v>
      </c>
      <c r="AI783" s="162">
        <v>2323</v>
      </c>
      <c r="AJ783" s="162" t="s">
        <v>2706</v>
      </c>
      <c r="AK783" s="162">
        <v>1787</v>
      </c>
      <c r="AL783" s="162" t="s">
        <v>2706</v>
      </c>
      <c r="AM783" s="162">
        <v>20071</v>
      </c>
      <c r="AN783" s="162"/>
    </row>
    <row r="784" spans="1:40" s="100" customFormat="1" ht="46.8" x14ac:dyDescent="0.3">
      <c r="A784" s="161"/>
      <c r="B784" s="167"/>
      <c r="C784" s="98" t="s">
        <v>2708</v>
      </c>
      <c r="D784" s="163"/>
      <c r="E784" s="26" t="s">
        <v>48</v>
      </c>
      <c r="F784" s="30" t="s">
        <v>49</v>
      </c>
      <c r="G784" s="163"/>
      <c r="H784" s="163"/>
      <c r="I784" s="163"/>
      <c r="J784" s="165"/>
      <c r="K784" s="165"/>
      <c r="L784" s="165"/>
      <c r="M784" s="165"/>
      <c r="N784" s="165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  <c r="AA784" s="163"/>
      <c r="AB784" s="163"/>
      <c r="AC784" s="163"/>
      <c r="AD784" s="163"/>
      <c r="AE784" s="163"/>
      <c r="AF784" s="163"/>
      <c r="AG784" s="163"/>
      <c r="AH784" s="163"/>
      <c r="AI784" s="163"/>
      <c r="AJ784" s="163"/>
      <c r="AK784" s="163"/>
      <c r="AL784" s="163"/>
      <c r="AM784" s="163"/>
      <c r="AN784" s="163"/>
    </row>
    <row r="785" spans="1:40" s="100" customFormat="1" ht="46.8" x14ac:dyDescent="0.3">
      <c r="A785" s="160">
        <v>612</v>
      </c>
      <c r="B785" s="166" t="s">
        <v>1367</v>
      </c>
      <c r="C785" s="98" t="s">
        <v>2708</v>
      </c>
      <c r="D785" s="162" t="s">
        <v>2712</v>
      </c>
      <c r="E785" s="26" t="s">
        <v>144</v>
      </c>
      <c r="F785" s="30" t="s">
        <v>49</v>
      </c>
      <c r="G785" s="162" t="s">
        <v>2704</v>
      </c>
      <c r="H785" s="162">
        <v>24</v>
      </c>
      <c r="I785" s="162" t="str">
        <f t="shared" si="28"/>
        <v>с ЛН</v>
      </c>
      <c r="J785" s="164">
        <v>4</v>
      </c>
      <c r="K785" s="164" t="s">
        <v>528</v>
      </c>
      <c r="L785" s="164" t="s">
        <v>528</v>
      </c>
      <c r="M785" s="164" t="s">
        <v>2705</v>
      </c>
      <c r="N785" s="164" t="s">
        <v>2705</v>
      </c>
      <c r="O785" s="162">
        <v>1352</v>
      </c>
      <c r="P785" s="162" t="s">
        <v>2706</v>
      </c>
      <c r="Q785" s="162">
        <v>901</v>
      </c>
      <c r="R785" s="162" t="s">
        <v>2706</v>
      </c>
      <c r="S785" s="162">
        <v>795</v>
      </c>
      <c r="T785" s="162" t="s">
        <v>2706</v>
      </c>
      <c r="U785" s="162">
        <v>1109</v>
      </c>
      <c r="V785" s="162" t="s">
        <v>2706</v>
      </c>
      <c r="W785" s="162">
        <v>818</v>
      </c>
      <c r="X785" s="162" t="s">
        <v>2706</v>
      </c>
      <c r="Y785" s="162">
        <v>867</v>
      </c>
      <c r="Z785" s="162" t="s">
        <v>2706</v>
      </c>
      <c r="AA785" s="162">
        <v>683</v>
      </c>
      <c r="AB785" s="162" t="s">
        <v>2706</v>
      </c>
      <c r="AC785" s="162">
        <v>649</v>
      </c>
      <c r="AD785" s="162" t="s">
        <v>2706</v>
      </c>
      <c r="AE785" s="162">
        <v>1180</v>
      </c>
      <c r="AF785" s="162" t="s">
        <v>2706</v>
      </c>
      <c r="AG785" s="162">
        <v>621</v>
      </c>
      <c r="AH785" s="162" t="s">
        <v>2706</v>
      </c>
      <c r="AI785" s="162">
        <v>1194</v>
      </c>
      <c r="AJ785" s="162" t="s">
        <v>2706</v>
      </c>
      <c r="AK785" s="162">
        <v>1007</v>
      </c>
      <c r="AL785" s="162" t="s">
        <v>2706</v>
      </c>
      <c r="AM785" s="162">
        <v>10527</v>
      </c>
      <c r="AN785" s="162"/>
    </row>
    <row r="786" spans="1:40" s="100" customFormat="1" ht="46.8" x14ac:dyDescent="0.3">
      <c r="A786" s="161"/>
      <c r="B786" s="167"/>
      <c r="C786" s="98" t="s">
        <v>2708</v>
      </c>
      <c r="D786" s="163"/>
      <c r="E786" s="26" t="s">
        <v>48</v>
      </c>
      <c r="F786" s="30" t="s">
        <v>49</v>
      </c>
      <c r="G786" s="163"/>
      <c r="H786" s="163"/>
      <c r="I786" s="163"/>
      <c r="J786" s="165"/>
      <c r="K786" s="165"/>
      <c r="L786" s="165"/>
      <c r="M786" s="165"/>
      <c r="N786" s="165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  <c r="AA786" s="163"/>
      <c r="AB786" s="163"/>
      <c r="AC786" s="163"/>
      <c r="AD786" s="163"/>
      <c r="AE786" s="163"/>
      <c r="AF786" s="163"/>
      <c r="AG786" s="163"/>
      <c r="AH786" s="163"/>
      <c r="AI786" s="163"/>
      <c r="AJ786" s="163"/>
      <c r="AK786" s="163"/>
      <c r="AL786" s="163"/>
      <c r="AM786" s="163"/>
      <c r="AN786" s="163"/>
    </row>
    <row r="787" spans="1:40" s="100" customFormat="1" ht="46.8" x14ac:dyDescent="0.3">
      <c r="A787" s="160">
        <v>613</v>
      </c>
      <c r="B787" s="166" t="s">
        <v>1368</v>
      </c>
      <c r="C787" s="98" t="s">
        <v>2708</v>
      </c>
      <c r="D787" s="162" t="s">
        <v>2712</v>
      </c>
      <c r="E787" s="26" t="s">
        <v>144</v>
      </c>
      <c r="F787" s="30" t="s">
        <v>49</v>
      </c>
      <c r="G787" s="162" t="s">
        <v>2704</v>
      </c>
      <c r="H787" s="162">
        <v>54</v>
      </c>
      <c r="I787" s="162" t="str">
        <f t="shared" si="28"/>
        <v>с ЛН</v>
      </c>
      <c r="J787" s="164">
        <v>8</v>
      </c>
      <c r="K787" s="164" t="s">
        <v>528</v>
      </c>
      <c r="L787" s="164" t="s">
        <v>528</v>
      </c>
      <c r="M787" s="164" t="s">
        <v>2705</v>
      </c>
      <c r="N787" s="164" t="s">
        <v>2705</v>
      </c>
      <c r="O787" s="162">
        <v>348</v>
      </c>
      <c r="P787" s="162" t="s">
        <v>2706</v>
      </c>
      <c r="Q787" s="162">
        <v>356</v>
      </c>
      <c r="R787" s="162" t="s">
        <v>2706</v>
      </c>
      <c r="S787" s="162">
        <v>225</v>
      </c>
      <c r="T787" s="162" t="s">
        <v>2706</v>
      </c>
      <c r="U787" s="162">
        <v>380</v>
      </c>
      <c r="V787" s="162" t="s">
        <v>2706</v>
      </c>
      <c r="W787" s="162">
        <v>342</v>
      </c>
      <c r="X787" s="162" t="s">
        <v>2706</v>
      </c>
      <c r="Y787" s="162">
        <v>373</v>
      </c>
      <c r="Z787" s="162" t="s">
        <v>2706</v>
      </c>
      <c r="AA787" s="162">
        <v>321</v>
      </c>
      <c r="AB787" s="162" t="s">
        <v>2706</v>
      </c>
      <c r="AC787" s="162">
        <v>266</v>
      </c>
      <c r="AD787" s="162" t="s">
        <v>2706</v>
      </c>
      <c r="AE787" s="162">
        <v>302</v>
      </c>
      <c r="AF787" s="162" t="s">
        <v>2706</v>
      </c>
      <c r="AG787" s="162">
        <v>211</v>
      </c>
      <c r="AH787" s="162" t="s">
        <v>2706</v>
      </c>
      <c r="AI787" s="162">
        <v>328</v>
      </c>
      <c r="AJ787" s="162" t="s">
        <v>2706</v>
      </c>
      <c r="AK787" s="162">
        <v>342</v>
      </c>
      <c r="AL787" s="162" t="s">
        <v>2706</v>
      </c>
      <c r="AM787" s="162">
        <v>3528</v>
      </c>
      <c r="AN787" s="162"/>
    </row>
    <row r="788" spans="1:40" s="100" customFormat="1" ht="46.8" x14ac:dyDescent="0.3">
      <c r="A788" s="161"/>
      <c r="B788" s="167"/>
      <c r="C788" s="98" t="s">
        <v>2708</v>
      </c>
      <c r="D788" s="163"/>
      <c r="E788" s="26" t="s">
        <v>48</v>
      </c>
      <c r="F788" s="30" t="s">
        <v>49</v>
      </c>
      <c r="G788" s="163"/>
      <c r="H788" s="163"/>
      <c r="I788" s="163"/>
      <c r="J788" s="165"/>
      <c r="K788" s="165"/>
      <c r="L788" s="165"/>
      <c r="M788" s="165"/>
      <c r="N788" s="165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  <c r="AA788" s="163"/>
      <c r="AB788" s="163"/>
      <c r="AC788" s="163"/>
      <c r="AD788" s="163"/>
      <c r="AE788" s="163"/>
      <c r="AF788" s="163"/>
      <c r="AG788" s="163"/>
      <c r="AH788" s="163"/>
      <c r="AI788" s="163"/>
      <c r="AJ788" s="163"/>
      <c r="AK788" s="163"/>
      <c r="AL788" s="163"/>
      <c r="AM788" s="163"/>
      <c r="AN788" s="163"/>
    </row>
    <row r="789" spans="1:40" s="100" customFormat="1" ht="46.8" x14ac:dyDescent="0.3">
      <c r="A789" s="160">
        <v>614</v>
      </c>
      <c r="B789" s="166" t="s">
        <v>1369</v>
      </c>
      <c r="C789" s="98" t="s">
        <v>2708</v>
      </c>
      <c r="D789" s="162" t="s">
        <v>2712</v>
      </c>
      <c r="E789" s="26" t="s">
        <v>144</v>
      </c>
      <c r="F789" s="30" t="s">
        <v>49</v>
      </c>
      <c r="G789" s="162" t="s">
        <v>2707</v>
      </c>
      <c r="H789" s="162">
        <v>32</v>
      </c>
      <c r="I789" s="162" t="s">
        <v>2704</v>
      </c>
      <c r="J789" s="164">
        <v>6</v>
      </c>
      <c r="K789" s="164" t="s">
        <v>528</v>
      </c>
      <c r="L789" s="164" t="s">
        <v>528</v>
      </c>
      <c r="M789" s="164" t="s">
        <v>2705</v>
      </c>
      <c r="N789" s="164" t="s">
        <v>2705</v>
      </c>
      <c r="O789" s="162">
        <v>948</v>
      </c>
      <c r="P789" s="162" t="s">
        <v>2706</v>
      </c>
      <c r="Q789" s="162">
        <v>836</v>
      </c>
      <c r="R789" s="162" t="s">
        <v>2706</v>
      </c>
      <c r="S789" s="162">
        <v>445</v>
      </c>
      <c r="T789" s="162" t="s">
        <v>2706</v>
      </c>
      <c r="U789" s="162">
        <v>630</v>
      </c>
      <c r="V789" s="162" t="s">
        <v>2706</v>
      </c>
      <c r="W789" s="162">
        <v>467</v>
      </c>
      <c r="X789" s="162" t="s">
        <v>2706</v>
      </c>
      <c r="Y789" s="162">
        <v>469</v>
      </c>
      <c r="Z789" s="162" t="s">
        <v>2706</v>
      </c>
      <c r="AA789" s="162">
        <v>320</v>
      </c>
      <c r="AB789" s="162" t="s">
        <v>2706</v>
      </c>
      <c r="AC789" s="162">
        <v>484</v>
      </c>
      <c r="AD789" s="162" t="s">
        <v>2706</v>
      </c>
      <c r="AE789" s="162">
        <v>424</v>
      </c>
      <c r="AF789" s="162" t="s">
        <v>2706</v>
      </c>
      <c r="AG789" s="162">
        <v>424</v>
      </c>
      <c r="AH789" s="162" t="s">
        <v>2706</v>
      </c>
      <c r="AI789" s="162">
        <v>435</v>
      </c>
      <c r="AJ789" s="162" t="s">
        <v>2706</v>
      </c>
      <c r="AK789" s="162">
        <v>450</v>
      </c>
      <c r="AL789" s="162" t="s">
        <v>2706</v>
      </c>
      <c r="AM789" s="162">
        <v>5848</v>
      </c>
      <c r="AN789" s="162"/>
    </row>
    <row r="790" spans="1:40" s="100" customFormat="1" ht="46.8" x14ac:dyDescent="0.3">
      <c r="A790" s="161"/>
      <c r="B790" s="167"/>
      <c r="C790" s="98" t="s">
        <v>2708</v>
      </c>
      <c r="D790" s="163"/>
      <c r="E790" s="26" t="s">
        <v>48</v>
      </c>
      <c r="F790" s="30" t="s">
        <v>49</v>
      </c>
      <c r="G790" s="163"/>
      <c r="H790" s="163"/>
      <c r="I790" s="163"/>
      <c r="J790" s="165"/>
      <c r="K790" s="165"/>
      <c r="L790" s="165"/>
      <c r="M790" s="165"/>
      <c r="N790" s="165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  <c r="AA790" s="163"/>
      <c r="AB790" s="163"/>
      <c r="AC790" s="163"/>
      <c r="AD790" s="163"/>
      <c r="AE790" s="163"/>
      <c r="AF790" s="163"/>
      <c r="AG790" s="163"/>
      <c r="AH790" s="163"/>
      <c r="AI790" s="163"/>
      <c r="AJ790" s="163"/>
      <c r="AK790" s="163"/>
      <c r="AL790" s="163"/>
      <c r="AM790" s="163"/>
      <c r="AN790" s="163"/>
    </row>
    <row r="791" spans="1:40" s="100" customFormat="1" ht="46.8" x14ac:dyDescent="0.3">
      <c r="A791" s="160">
        <v>615</v>
      </c>
      <c r="B791" s="166" t="s">
        <v>1370</v>
      </c>
      <c r="C791" s="98" t="s">
        <v>2708</v>
      </c>
      <c r="D791" s="162" t="s">
        <v>2712</v>
      </c>
      <c r="E791" s="26" t="s">
        <v>144</v>
      </c>
      <c r="F791" s="30" t="s">
        <v>49</v>
      </c>
      <c r="G791" s="162" t="s">
        <v>2704</v>
      </c>
      <c r="H791" s="162">
        <v>27</v>
      </c>
      <c r="I791" s="162" t="str">
        <f>G791</f>
        <v>с ЛН</v>
      </c>
      <c r="J791" s="164">
        <v>5</v>
      </c>
      <c r="K791" s="164" t="s">
        <v>528</v>
      </c>
      <c r="L791" s="164" t="s">
        <v>528</v>
      </c>
      <c r="M791" s="164" t="s">
        <v>2705</v>
      </c>
      <c r="N791" s="164" t="s">
        <v>2705</v>
      </c>
      <c r="O791" s="162">
        <v>385</v>
      </c>
      <c r="P791" s="162" t="s">
        <v>2706</v>
      </c>
      <c r="Q791" s="162">
        <v>344</v>
      </c>
      <c r="R791" s="162" t="s">
        <v>2706</v>
      </c>
      <c r="S791" s="162">
        <v>234</v>
      </c>
      <c r="T791" s="162" t="s">
        <v>2706</v>
      </c>
      <c r="U791" s="162">
        <v>324</v>
      </c>
      <c r="V791" s="162" t="s">
        <v>2706</v>
      </c>
      <c r="W791" s="162">
        <v>246</v>
      </c>
      <c r="X791" s="162" t="s">
        <v>2706</v>
      </c>
      <c r="Y791" s="162">
        <v>345</v>
      </c>
      <c r="Z791" s="162" t="s">
        <v>2706</v>
      </c>
      <c r="AA791" s="162">
        <v>117</v>
      </c>
      <c r="AB791" s="162" t="s">
        <v>2706</v>
      </c>
      <c r="AC791" s="162">
        <v>228</v>
      </c>
      <c r="AD791" s="162" t="s">
        <v>2706</v>
      </c>
      <c r="AE791" s="162">
        <v>207</v>
      </c>
      <c r="AF791" s="162" t="s">
        <v>2706</v>
      </c>
      <c r="AG791" s="162">
        <v>260</v>
      </c>
      <c r="AH791" s="162" t="s">
        <v>2706</v>
      </c>
      <c r="AI791" s="162">
        <v>456</v>
      </c>
      <c r="AJ791" s="162" t="s">
        <v>2706</v>
      </c>
      <c r="AK791" s="162">
        <v>341</v>
      </c>
      <c r="AL791" s="162" t="s">
        <v>2706</v>
      </c>
      <c r="AM791" s="162">
        <v>3259</v>
      </c>
      <c r="AN791" s="162"/>
    </row>
    <row r="792" spans="1:40" s="100" customFormat="1" ht="46.8" x14ac:dyDescent="0.3">
      <c r="A792" s="161"/>
      <c r="B792" s="167"/>
      <c r="C792" s="98" t="s">
        <v>2708</v>
      </c>
      <c r="D792" s="163"/>
      <c r="E792" s="26" t="s">
        <v>48</v>
      </c>
      <c r="F792" s="30" t="s">
        <v>49</v>
      </c>
      <c r="G792" s="163"/>
      <c r="H792" s="163"/>
      <c r="I792" s="163"/>
      <c r="J792" s="165"/>
      <c r="K792" s="165"/>
      <c r="L792" s="165"/>
      <c r="M792" s="165"/>
      <c r="N792" s="165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  <c r="AA792" s="163"/>
      <c r="AB792" s="163"/>
      <c r="AC792" s="163"/>
      <c r="AD792" s="163"/>
      <c r="AE792" s="163"/>
      <c r="AF792" s="163"/>
      <c r="AG792" s="163"/>
      <c r="AH792" s="163"/>
      <c r="AI792" s="163"/>
      <c r="AJ792" s="163"/>
      <c r="AK792" s="163"/>
      <c r="AL792" s="163"/>
      <c r="AM792" s="163"/>
      <c r="AN792" s="163"/>
    </row>
    <row r="793" spans="1:40" s="100" customFormat="1" ht="46.8" x14ac:dyDescent="0.3">
      <c r="A793" s="160">
        <v>616</v>
      </c>
      <c r="B793" s="166" t="s">
        <v>1371</v>
      </c>
      <c r="C793" s="98" t="s">
        <v>2708</v>
      </c>
      <c r="D793" s="162" t="s">
        <v>2712</v>
      </c>
      <c r="E793" s="26" t="s">
        <v>144</v>
      </c>
      <c r="F793" s="30" t="s">
        <v>49</v>
      </c>
      <c r="G793" s="162" t="s">
        <v>2704</v>
      </c>
      <c r="H793" s="162">
        <v>16</v>
      </c>
      <c r="I793" s="162" t="str">
        <f t="shared" ref="I793" si="29">G793</f>
        <v>с ЛН</v>
      </c>
      <c r="J793" s="164">
        <v>3</v>
      </c>
      <c r="K793" s="164" t="s">
        <v>528</v>
      </c>
      <c r="L793" s="164" t="s">
        <v>528</v>
      </c>
      <c r="M793" s="164" t="s">
        <v>2705</v>
      </c>
      <c r="N793" s="164" t="s">
        <v>2705</v>
      </c>
      <c r="O793" s="162">
        <v>0</v>
      </c>
      <c r="P793" s="162" t="s">
        <v>2706</v>
      </c>
      <c r="Q793" s="162">
        <v>0</v>
      </c>
      <c r="R793" s="162" t="s">
        <v>2706</v>
      </c>
      <c r="S793" s="162">
        <v>0</v>
      </c>
      <c r="T793" s="162" t="s">
        <v>2706</v>
      </c>
      <c r="U793" s="162">
        <v>0</v>
      </c>
      <c r="V793" s="162" t="s">
        <v>2706</v>
      </c>
      <c r="W793" s="162">
        <v>0</v>
      </c>
      <c r="X793" s="162" t="s">
        <v>2706</v>
      </c>
      <c r="Y793" s="162">
        <v>0</v>
      </c>
      <c r="Z793" s="162" t="s">
        <v>2706</v>
      </c>
      <c r="AA793" s="162">
        <v>0</v>
      </c>
      <c r="AB793" s="162" t="s">
        <v>2706</v>
      </c>
      <c r="AC793" s="162">
        <v>0</v>
      </c>
      <c r="AD793" s="162" t="s">
        <v>2706</v>
      </c>
      <c r="AE793" s="162">
        <v>0</v>
      </c>
      <c r="AF793" s="162" t="s">
        <v>2706</v>
      </c>
      <c r="AG793" s="162">
        <v>0</v>
      </c>
      <c r="AH793" s="162" t="s">
        <v>2706</v>
      </c>
      <c r="AI793" s="162">
        <v>0</v>
      </c>
      <c r="AJ793" s="162" t="s">
        <v>2706</v>
      </c>
      <c r="AK793" s="162">
        <v>0</v>
      </c>
      <c r="AL793" s="162" t="s">
        <v>2706</v>
      </c>
      <c r="AM793" s="162">
        <v>0</v>
      </c>
      <c r="AN793" s="162"/>
    </row>
    <row r="794" spans="1:40" s="100" customFormat="1" ht="46.8" x14ac:dyDescent="0.3">
      <c r="A794" s="161"/>
      <c r="B794" s="167"/>
      <c r="C794" s="98" t="s">
        <v>2708</v>
      </c>
      <c r="D794" s="163"/>
      <c r="E794" s="26" t="s">
        <v>48</v>
      </c>
      <c r="F794" s="30" t="s">
        <v>49</v>
      </c>
      <c r="G794" s="163"/>
      <c r="H794" s="163"/>
      <c r="I794" s="163"/>
      <c r="J794" s="165"/>
      <c r="K794" s="165"/>
      <c r="L794" s="165"/>
      <c r="M794" s="165"/>
      <c r="N794" s="165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  <c r="AA794" s="163"/>
      <c r="AB794" s="163"/>
      <c r="AC794" s="163"/>
      <c r="AD794" s="163"/>
      <c r="AE794" s="163"/>
      <c r="AF794" s="163"/>
      <c r="AG794" s="163"/>
      <c r="AH794" s="163"/>
      <c r="AI794" s="163"/>
      <c r="AJ794" s="163"/>
      <c r="AK794" s="163"/>
      <c r="AL794" s="163"/>
      <c r="AM794" s="163"/>
      <c r="AN794" s="163"/>
    </row>
    <row r="795" spans="1:40" s="100" customFormat="1" ht="46.8" x14ac:dyDescent="0.3">
      <c r="A795" s="160">
        <v>617</v>
      </c>
      <c r="B795" s="166" t="s">
        <v>1372</v>
      </c>
      <c r="C795" s="98" t="s">
        <v>2708</v>
      </c>
      <c r="D795" s="162" t="s">
        <v>2712</v>
      </c>
      <c r="E795" s="26" t="s">
        <v>144</v>
      </c>
      <c r="F795" s="30" t="s">
        <v>49</v>
      </c>
      <c r="G795" s="162" t="s">
        <v>2704</v>
      </c>
      <c r="H795" s="162">
        <v>22</v>
      </c>
      <c r="I795" s="162" t="str">
        <f t="shared" ref="I795" si="30">G795</f>
        <v>с ЛН</v>
      </c>
      <c r="J795" s="164">
        <v>4</v>
      </c>
      <c r="K795" s="164" t="s">
        <v>528</v>
      </c>
      <c r="L795" s="164" t="s">
        <v>528</v>
      </c>
      <c r="M795" s="164" t="s">
        <v>2705</v>
      </c>
      <c r="N795" s="164" t="s">
        <v>2705</v>
      </c>
      <c r="O795" s="162">
        <v>470</v>
      </c>
      <c r="P795" s="162" t="s">
        <v>2706</v>
      </c>
      <c r="Q795" s="162">
        <v>484</v>
      </c>
      <c r="R795" s="162" t="s">
        <v>2706</v>
      </c>
      <c r="S795" s="162">
        <v>365</v>
      </c>
      <c r="T795" s="162" t="s">
        <v>2706</v>
      </c>
      <c r="U795" s="162">
        <v>571</v>
      </c>
      <c r="V795" s="162" t="s">
        <v>2706</v>
      </c>
      <c r="W795" s="162">
        <v>410</v>
      </c>
      <c r="X795" s="162" t="s">
        <v>2706</v>
      </c>
      <c r="Y795" s="162">
        <v>460</v>
      </c>
      <c r="Z795" s="162" t="s">
        <v>2706</v>
      </c>
      <c r="AA795" s="162">
        <v>329</v>
      </c>
      <c r="AB795" s="162" t="s">
        <v>2706</v>
      </c>
      <c r="AC795" s="162">
        <v>343</v>
      </c>
      <c r="AD795" s="162" t="s">
        <v>2706</v>
      </c>
      <c r="AE795" s="162">
        <v>369</v>
      </c>
      <c r="AF795" s="162" t="s">
        <v>2706</v>
      </c>
      <c r="AG795" s="162">
        <v>335</v>
      </c>
      <c r="AH795" s="162" t="s">
        <v>2706</v>
      </c>
      <c r="AI795" s="162">
        <v>845</v>
      </c>
      <c r="AJ795" s="162" t="s">
        <v>2706</v>
      </c>
      <c r="AK795" s="162">
        <v>394</v>
      </c>
      <c r="AL795" s="162" t="s">
        <v>2706</v>
      </c>
      <c r="AM795" s="162">
        <v>5032</v>
      </c>
      <c r="AN795" s="162"/>
    </row>
    <row r="796" spans="1:40" s="100" customFormat="1" ht="46.8" x14ac:dyDescent="0.3">
      <c r="A796" s="161"/>
      <c r="B796" s="167"/>
      <c r="C796" s="98" t="s">
        <v>2708</v>
      </c>
      <c r="D796" s="163"/>
      <c r="E796" s="26" t="s">
        <v>48</v>
      </c>
      <c r="F796" s="30" t="s">
        <v>49</v>
      </c>
      <c r="G796" s="163"/>
      <c r="H796" s="163"/>
      <c r="I796" s="163"/>
      <c r="J796" s="165"/>
      <c r="K796" s="165"/>
      <c r="L796" s="165"/>
      <c r="M796" s="165"/>
      <c r="N796" s="165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  <c r="AA796" s="163"/>
      <c r="AB796" s="163"/>
      <c r="AC796" s="163"/>
      <c r="AD796" s="163"/>
      <c r="AE796" s="163"/>
      <c r="AF796" s="163"/>
      <c r="AG796" s="163"/>
      <c r="AH796" s="163"/>
      <c r="AI796" s="163"/>
      <c r="AJ796" s="163"/>
      <c r="AK796" s="163"/>
      <c r="AL796" s="163"/>
      <c r="AM796" s="163"/>
      <c r="AN796" s="163"/>
    </row>
    <row r="797" spans="1:40" s="100" customFormat="1" ht="46.8" x14ac:dyDescent="0.3">
      <c r="A797" s="160">
        <v>618</v>
      </c>
      <c r="B797" s="166" t="s">
        <v>1373</v>
      </c>
      <c r="C797" s="98" t="s">
        <v>2708</v>
      </c>
      <c r="D797" s="162" t="s">
        <v>2712</v>
      </c>
      <c r="E797" s="26" t="s">
        <v>144</v>
      </c>
      <c r="F797" s="30" t="s">
        <v>49</v>
      </c>
      <c r="G797" s="162" t="s">
        <v>2704</v>
      </c>
      <c r="H797" s="162">
        <v>36</v>
      </c>
      <c r="I797" s="162" t="str">
        <f t="shared" ref="I797" si="31">G797</f>
        <v>с ЛН</v>
      </c>
      <c r="J797" s="164">
        <v>6</v>
      </c>
      <c r="K797" s="164" t="s">
        <v>528</v>
      </c>
      <c r="L797" s="164" t="s">
        <v>528</v>
      </c>
      <c r="M797" s="164" t="s">
        <v>2705</v>
      </c>
      <c r="N797" s="164" t="s">
        <v>2705</v>
      </c>
      <c r="O797" s="162">
        <v>1222</v>
      </c>
      <c r="P797" s="162" t="s">
        <v>2706</v>
      </c>
      <c r="Q797" s="162">
        <v>1096</v>
      </c>
      <c r="R797" s="162" t="s">
        <v>2706</v>
      </c>
      <c r="S797" s="162">
        <v>597</v>
      </c>
      <c r="T797" s="162" t="s">
        <v>2706</v>
      </c>
      <c r="U797" s="162">
        <v>951</v>
      </c>
      <c r="V797" s="162" t="s">
        <v>2706</v>
      </c>
      <c r="W797" s="162">
        <v>714</v>
      </c>
      <c r="X797" s="162" t="s">
        <v>2706</v>
      </c>
      <c r="Y797" s="162">
        <v>752</v>
      </c>
      <c r="Z797" s="162" t="s">
        <v>2706</v>
      </c>
      <c r="AA797" s="162">
        <v>597</v>
      </c>
      <c r="AB797" s="162" t="s">
        <v>2706</v>
      </c>
      <c r="AC797" s="162">
        <v>628</v>
      </c>
      <c r="AD797" s="162" t="s">
        <v>2706</v>
      </c>
      <c r="AE797" s="162">
        <v>622</v>
      </c>
      <c r="AF797" s="162" t="s">
        <v>2706</v>
      </c>
      <c r="AG797" s="162">
        <v>583</v>
      </c>
      <c r="AH797" s="162" t="s">
        <v>2706</v>
      </c>
      <c r="AI797" s="162">
        <v>546</v>
      </c>
      <c r="AJ797" s="162" t="s">
        <v>2706</v>
      </c>
      <c r="AK797" s="162">
        <v>774</v>
      </c>
      <c r="AL797" s="162" t="s">
        <v>2706</v>
      </c>
      <c r="AM797" s="162">
        <v>8454</v>
      </c>
      <c r="AN797" s="162"/>
    </row>
    <row r="798" spans="1:40" s="100" customFormat="1" ht="46.8" x14ac:dyDescent="0.3">
      <c r="A798" s="161"/>
      <c r="B798" s="167"/>
      <c r="C798" s="98" t="s">
        <v>2708</v>
      </c>
      <c r="D798" s="163"/>
      <c r="E798" s="26" t="s">
        <v>48</v>
      </c>
      <c r="F798" s="30" t="s">
        <v>49</v>
      </c>
      <c r="G798" s="163"/>
      <c r="H798" s="163"/>
      <c r="I798" s="163"/>
      <c r="J798" s="165"/>
      <c r="K798" s="165"/>
      <c r="L798" s="165"/>
      <c r="M798" s="165"/>
      <c r="N798" s="165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  <c r="AA798" s="163"/>
      <c r="AB798" s="163"/>
      <c r="AC798" s="163"/>
      <c r="AD798" s="163"/>
      <c r="AE798" s="163"/>
      <c r="AF798" s="163"/>
      <c r="AG798" s="163"/>
      <c r="AH798" s="163"/>
      <c r="AI798" s="163"/>
      <c r="AJ798" s="163"/>
      <c r="AK798" s="163"/>
      <c r="AL798" s="163"/>
      <c r="AM798" s="163"/>
      <c r="AN798" s="163"/>
    </row>
    <row r="799" spans="1:40" s="100" customFormat="1" ht="46.8" x14ac:dyDescent="0.3">
      <c r="A799" s="160">
        <v>619</v>
      </c>
      <c r="B799" s="166" t="s">
        <v>1375</v>
      </c>
      <c r="C799" s="98" t="s">
        <v>2708</v>
      </c>
      <c r="D799" s="162" t="s">
        <v>2712</v>
      </c>
      <c r="E799" s="26" t="s">
        <v>144</v>
      </c>
      <c r="F799" s="30" t="s">
        <v>49</v>
      </c>
      <c r="G799" s="162" t="s">
        <v>2704</v>
      </c>
      <c r="H799" s="162">
        <v>32</v>
      </c>
      <c r="I799" s="162" t="str">
        <f t="shared" ref="I799" si="32">G799</f>
        <v>с ЛН</v>
      </c>
      <c r="J799" s="164">
        <v>6</v>
      </c>
      <c r="K799" s="164" t="s">
        <v>528</v>
      </c>
      <c r="L799" s="164" t="s">
        <v>528</v>
      </c>
      <c r="M799" s="164" t="s">
        <v>2705</v>
      </c>
      <c r="N799" s="164" t="s">
        <v>2705</v>
      </c>
      <c r="O799" s="162">
        <v>0</v>
      </c>
      <c r="P799" s="162" t="s">
        <v>2706</v>
      </c>
      <c r="Q799" s="162">
        <v>0</v>
      </c>
      <c r="R799" s="162" t="s">
        <v>2706</v>
      </c>
      <c r="S799" s="162">
        <v>0</v>
      </c>
      <c r="T799" s="162" t="s">
        <v>2706</v>
      </c>
      <c r="U799" s="162">
        <v>0</v>
      </c>
      <c r="V799" s="162" t="s">
        <v>2706</v>
      </c>
      <c r="W799" s="162">
        <v>0</v>
      </c>
      <c r="X799" s="162" t="s">
        <v>2706</v>
      </c>
      <c r="Y799" s="162">
        <v>0</v>
      </c>
      <c r="Z799" s="162" t="s">
        <v>2706</v>
      </c>
      <c r="AA799" s="162">
        <v>0</v>
      </c>
      <c r="AB799" s="162" t="s">
        <v>2706</v>
      </c>
      <c r="AC799" s="162">
        <v>569</v>
      </c>
      <c r="AD799" s="162" t="s">
        <v>2706</v>
      </c>
      <c r="AE799" s="162">
        <v>464</v>
      </c>
      <c r="AF799" s="162" t="s">
        <v>2706</v>
      </c>
      <c r="AG799" s="162">
        <v>321</v>
      </c>
      <c r="AH799" s="162" t="s">
        <v>2706</v>
      </c>
      <c r="AI799" s="162">
        <v>1678</v>
      </c>
      <c r="AJ799" s="162" t="s">
        <v>2706</v>
      </c>
      <c r="AK799" s="162">
        <v>1007</v>
      </c>
      <c r="AL799" s="162" t="s">
        <v>2706</v>
      </c>
      <c r="AM799" s="162">
        <v>3470</v>
      </c>
      <c r="AN799" s="162"/>
    </row>
    <row r="800" spans="1:40" s="100" customFormat="1" ht="46.8" x14ac:dyDescent="0.3">
      <c r="A800" s="161"/>
      <c r="B800" s="167"/>
      <c r="C800" s="98" t="s">
        <v>2708</v>
      </c>
      <c r="D800" s="163"/>
      <c r="E800" s="26" t="s">
        <v>48</v>
      </c>
      <c r="F800" s="30" t="s">
        <v>49</v>
      </c>
      <c r="G800" s="163"/>
      <c r="H800" s="163"/>
      <c r="I800" s="163"/>
      <c r="J800" s="165"/>
      <c r="K800" s="165"/>
      <c r="L800" s="165"/>
      <c r="M800" s="165"/>
      <c r="N800" s="165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  <c r="AA800" s="163"/>
      <c r="AB800" s="163"/>
      <c r="AC800" s="163"/>
      <c r="AD800" s="163"/>
      <c r="AE800" s="163"/>
      <c r="AF800" s="163"/>
      <c r="AG800" s="163"/>
      <c r="AH800" s="163"/>
      <c r="AI800" s="163"/>
      <c r="AJ800" s="163"/>
      <c r="AK800" s="163"/>
      <c r="AL800" s="163"/>
      <c r="AM800" s="163"/>
      <c r="AN800" s="163"/>
    </row>
    <row r="801" spans="1:40" s="100" customFormat="1" ht="46.8" x14ac:dyDescent="0.3">
      <c r="A801" s="160">
        <v>620</v>
      </c>
      <c r="B801" s="166" t="s">
        <v>1377</v>
      </c>
      <c r="C801" s="98" t="s">
        <v>2708</v>
      </c>
      <c r="D801" s="162" t="s">
        <v>2712</v>
      </c>
      <c r="E801" s="26" t="s">
        <v>144</v>
      </c>
      <c r="F801" s="30" t="s">
        <v>49</v>
      </c>
      <c r="G801" s="162" t="s">
        <v>2704</v>
      </c>
      <c r="H801" s="162">
        <v>30</v>
      </c>
      <c r="I801" s="162" t="str">
        <f t="shared" ref="I801" si="33">G801</f>
        <v>с ЛН</v>
      </c>
      <c r="J801" s="164">
        <v>5</v>
      </c>
      <c r="K801" s="164" t="s">
        <v>528</v>
      </c>
      <c r="L801" s="164" t="s">
        <v>528</v>
      </c>
      <c r="M801" s="164" t="s">
        <v>2705</v>
      </c>
      <c r="N801" s="164" t="s">
        <v>2705</v>
      </c>
      <c r="O801" s="162">
        <v>1809</v>
      </c>
      <c r="P801" s="162" t="s">
        <v>2706</v>
      </c>
      <c r="Q801" s="162">
        <v>1607</v>
      </c>
      <c r="R801" s="162" t="s">
        <v>2706</v>
      </c>
      <c r="S801" s="162">
        <v>990</v>
      </c>
      <c r="T801" s="162" t="s">
        <v>2706</v>
      </c>
      <c r="U801" s="162">
        <v>1585</v>
      </c>
      <c r="V801" s="162" t="s">
        <v>2706</v>
      </c>
      <c r="W801" s="162">
        <v>1303</v>
      </c>
      <c r="X801" s="162" t="s">
        <v>2706</v>
      </c>
      <c r="Y801" s="162">
        <v>1493</v>
      </c>
      <c r="Z801" s="162" t="s">
        <v>2706</v>
      </c>
      <c r="AA801" s="162">
        <v>999</v>
      </c>
      <c r="AB801" s="162" t="s">
        <v>2706</v>
      </c>
      <c r="AC801" s="162">
        <v>1240</v>
      </c>
      <c r="AD801" s="162" t="s">
        <v>2706</v>
      </c>
      <c r="AE801" s="162">
        <v>1371</v>
      </c>
      <c r="AF801" s="162" t="s">
        <v>2706</v>
      </c>
      <c r="AG801" s="162">
        <v>1175</v>
      </c>
      <c r="AH801" s="162" t="s">
        <v>2706</v>
      </c>
      <c r="AI801" s="162">
        <v>208</v>
      </c>
      <c r="AJ801" s="162" t="s">
        <v>2706</v>
      </c>
      <c r="AK801" s="162">
        <v>1613</v>
      </c>
      <c r="AL801" s="162" t="s">
        <v>2706</v>
      </c>
      <c r="AM801" s="162">
        <v>14153</v>
      </c>
      <c r="AN801" s="162"/>
    </row>
    <row r="802" spans="1:40" s="100" customFormat="1" ht="46.8" x14ac:dyDescent="0.3">
      <c r="A802" s="161"/>
      <c r="B802" s="167"/>
      <c r="C802" s="98" t="s">
        <v>2708</v>
      </c>
      <c r="D802" s="163"/>
      <c r="E802" s="26" t="s">
        <v>48</v>
      </c>
      <c r="F802" s="30" t="s">
        <v>49</v>
      </c>
      <c r="G802" s="163"/>
      <c r="H802" s="163"/>
      <c r="I802" s="163"/>
      <c r="J802" s="165"/>
      <c r="K802" s="165"/>
      <c r="L802" s="165"/>
      <c r="M802" s="165"/>
      <c r="N802" s="165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  <c r="AA802" s="163"/>
      <c r="AB802" s="163"/>
      <c r="AC802" s="163"/>
      <c r="AD802" s="163"/>
      <c r="AE802" s="163"/>
      <c r="AF802" s="163"/>
      <c r="AG802" s="163"/>
      <c r="AH802" s="163"/>
      <c r="AI802" s="163"/>
      <c r="AJ802" s="163"/>
      <c r="AK802" s="163"/>
      <c r="AL802" s="163"/>
      <c r="AM802" s="163"/>
      <c r="AN802" s="163"/>
    </row>
    <row r="803" spans="1:40" s="100" customFormat="1" ht="46.8" x14ac:dyDescent="0.3">
      <c r="A803" s="160">
        <v>621</v>
      </c>
      <c r="B803" s="166" t="s">
        <v>1379</v>
      </c>
      <c r="C803" s="98" t="s">
        <v>2708</v>
      </c>
      <c r="D803" s="162" t="s">
        <v>2712</v>
      </c>
      <c r="E803" s="26" t="s">
        <v>144</v>
      </c>
      <c r="F803" s="30" t="s">
        <v>49</v>
      </c>
      <c r="G803" s="162" t="s">
        <v>2704</v>
      </c>
      <c r="H803" s="162">
        <v>17</v>
      </c>
      <c r="I803" s="162" t="str">
        <f t="shared" ref="I803" si="34">G803</f>
        <v>с ЛН</v>
      </c>
      <c r="J803" s="164">
        <v>3</v>
      </c>
      <c r="K803" s="164" t="s">
        <v>528</v>
      </c>
      <c r="L803" s="164" t="s">
        <v>528</v>
      </c>
      <c r="M803" s="164" t="s">
        <v>2705</v>
      </c>
      <c r="N803" s="164" t="s">
        <v>2705</v>
      </c>
      <c r="O803" s="162">
        <v>473</v>
      </c>
      <c r="P803" s="162" t="s">
        <v>2706</v>
      </c>
      <c r="Q803" s="162">
        <v>531</v>
      </c>
      <c r="R803" s="162" t="s">
        <v>2706</v>
      </c>
      <c r="S803" s="162">
        <v>302</v>
      </c>
      <c r="T803" s="162" t="s">
        <v>2706</v>
      </c>
      <c r="U803" s="162">
        <v>455</v>
      </c>
      <c r="V803" s="162" t="s">
        <v>2706</v>
      </c>
      <c r="W803" s="162">
        <v>322</v>
      </c>
      <c r="X803" s="162" t="s">
        <v>2706</v>
      </c>
      <c r="Y803" s="162">
        <v>341</v>
      </c>
      <c r="Z803" s="162" t="s">
        <v>2706</v>
      </c>
      <c r="AA803" s="162">
        <v>234</v>
      </c>
      <c r="AB803" s="162" t="s">
        <v>2706</v>
      </c>
      <c r="AC803" s="162">
        <v>239</v>
      </c>
      <c r="AD803" s="162" t="s">
        <v>2706</v>
      </c>
      <c r="AE803" s="162">
        <v>482</v>
      </c>
      <c r="AF803" s="162" t="s">
        <v>2706</v>
      </c>
      <c r="AG803" s="162">
        <v>300</v>
      </c>
      <c r="AH803" s="162" t="s">
        <v>2706</v>
      </c>
      <c r="AI803" s="162">
        <v>375</v>
      </c>
      <c r="AJ803" s="162" t="s">
        <v>2706</v>
      </c>
      <c r="AK803" s="162">
        <v>473</v>
      </c>
      <c r="AL803" s="162" t="s">
        <v>2706</v>
      </c>
      <c r="AM803" s="162">
        <v>4288</v>
      </c>
      <c r="AN803" s="162"/>
    </row>
    <row r="804" spans="1:40" s="100" customFormat="1" ht="46.8" x14ac:dyDescent="0.3">
      <c r="A804" s="161"/>
      <c r="B804" s="167"/>
      <c r="C804" s="98" t="s">
        <v>2708</v>
      </c>
      <c r="D804" s="163"/>
      <c r="E804" s="26" t="s">
        <v>48</v>
      </c>
      <c r="F804" s="30" t="s">
        <v>49</v>
      </c>
      <c r="G804" s="163"/>
      <c r="H804" s="163"/>
      <c r="I804" s="163"/>
      <c r="J804" s="165"/>
      <c r="K804" s="165"/>
      <c r="L804" s="165"/>
      <c r="M804" s="165"/>
      <c r="N804" s="165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  <c r="AA804" s="163"/>
      <c r="AB804" s="163"/>
      <c r="AC804" s="163"/>
      <c r="AD804" s="163"/>
      <c r="AE804" s="163"/>
      <c r="AF804" s="163"/>
      <c r="AG804" s="163"/>
      <c r="AH804" s="163"/>
      <c r="AI804" s="163"/>
      <c r="AJ804" s="163"/>
      <c r="AK804" s="163"/>
      <c r="AL804" s="163"/>
      <c r="AM804" s="163"/>
      <c r="AN804" s="163"/>
    </row>
    <row r="805" spans="1:40" s="100" customFormat="1" ht="46.8" x14ac:dyDescent="0.3">
      <c r="A805" s="160">
        <v>622</v>
      </c>
      <c r="B805" s="166" t="s">
        <v>1380</v>
      </c>
      <c r="C805" s="98" t="s">
        <v>2708</v>
      </c>
      <c r="D805" s="162" t="s">
        <v>2712</v>
      </c>
      <c r="E805" s="26" t="s">
        <v>144</v>
      </c>
      <c r="F805" s="30" t="s">
        <v>49</v>
      </c>
      <c r="G805" s="162" t="s">
        <v>2704</v>
      </c>
      <c r="H805" s="162">
        <v>17</v>
      </c>
      <c r="I805" s="162" t="str">
        <f t="shared" ref="I805" si="35">G805</f>
        <v>с ЛН</v>
      </c>
      <c r="J805" s="164">
        <v>3</v>
      </c>
      <c r="K805" s="164" t="s">
        <v>528</v>
      </c>
      <c r="L805" s="164" t="s">
        <v>528</v>
      </c>
      <c r="M805" s="164" t="s">
        <v>2705</v>
      </c>
      <c r="N805" s="164" t="s">
        <v>2705</v>
      </c>
      <c r="O805" s="162">
        <v>0</v>
      </c>
      <c r="P805" s="162" t="s">
        <v>2706</v>
      </c>
      <c r="Q805" s="162">
        <v>0</v>
      </c>
      <c r="R805" s="162" t="s">
        <v>2706</v>
      </c>
      <c r="S805" s="162">
        <v>0</v>
      </c>
      <c r="T805" s="162" t="s">
        <v>2706</v>
      </c>
      <c r="U805" s="162">
        <v>0</v>
      </c>
      <c r="V805" s="162" t="s">
        <v>2706</v>
      </c>
      <c r="W805" s="162">
        <v>0</v>
      </c>
      <c r="X805" s="162" t="s">
        <v>2706</v>
      </c>
      <c r="Y805" s="162">
        <v>0</v>
      </c>
      <c r="Z805" s="162" t="s">
        <v>2706</v>
      </c>
      <c r="AA805" s="162">
        <v>0</v>
      </c>
      <c r="AB805" s="162" t="s">
        <v>2706</v>
      </c>
      <c r="AC805" s="162">
        <v>0</v>
      </c>
      <c r="AD805" s="162" t="s">
        <v>2706</v>
      </c>
      <c r="AE805" s="162">
        <v>0</v>
      </c>
      <c r="AF805" s="162" t="s">
        <v>2706</v>
      </c>
      <c r="AG805" s="162">
        <v>0</v>
      </c>
      <c r="AH805" s="162" t="s">
        <v>2706</v>
      </c>
      <c r="AI805" s="162">
        <v>0</v>
      </c>
      <c r="AJ805" s="162" t="s">
        <v>2706</v>
      </c>
      <c r="AK805" s="162">
        <v>0</v>
      </c>
      <c r="AL805" s="162" t="s">
        <v>2706</v>
      </c>
      <c r="AM805" s="162">
        <v>0</v>
      </c>
      <c r="AN805" s="162"/>
    </row>
    <row r="806" spans="1:40" s="100" customFormat="1" ht="46.8" x14ac:dyDescent="0.3">
      <c r="A806" s="161"/>
      <c r="B806" s="167"/>
      <c r="C806" s="98" t="s">
        <v>2708</v>
      </c>
      <c r="D806" s="163"/>
      <c r="E806" s="26" t="s">
        <v>48</v>
      </c>
      <c r="F806" s="30" t="s">
        <v>49</v>
      </c>
      <c r="G806" s="163"/>
      <c r="H806" s="163"/>
      <c r="I806" s="163"/>
      <c r="J806" s="165"/>
      <c r="K806" s="165"/>
      <c r="L806" s="165"/>
      <c r="M806" s="165"/>
      <c r="N806" s="165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  <c r="AA806" s="163"/>
      <c r="AB806" s="163"/>
      <c r="AC806" s="163"/>
      <c r="AD806" s="163"/>
      <c r="AE806" s="163"/>
      <c r="AF806" s="163"/>
      <c r="AG806" s="163"/>
      <c r="AH806" s="163"/>
      <c r="AI806" s="163"/>
      <c r="AJ806" s="163"/>
      <c r="AK806" s="163"/>
      <c r="AL806" s="163"/>
      <c r="AM806" s="163"/>
      <c r="AN806" s="163"/>
    </row>
    <row r="807" spans="1:40" s="100" customFormat="1" ht="46.8" x14ac:dyDescent="0.3">
      <c r="A807" s="160">
        <v>623</v>
      </c>
      <c r="B807" s="166" t="s">
        <v>1381</v>
      </c>
      <c r="C807" s="98" t="s">
        <v>2708</v>
      </c>
      <c r="D807" s="162" t="s">
        <v>2712</v>
      </c>
      <c r="E807" s="26" t="s">
        <v>144</v>
      </c>
      <c r="F807" s="30" t="s">
        <v>49</v>
      </c>
      <c r="G807" s="162" t="s">
        <v>2704</v>
      </c>
      <c r="H807" s="162">
        <v>22</v>
      </c>
      <c r="I807" s="162" t="str">
        <f t="shared" ref="I807" si="36">G807</f>
        <v>с ЛН</v>
      </c>
      <c r="J807" s="164">
        <v>4</v>
      </c>
      <c r="K807" s="164" t="s">
        <v>528</v>
      </c>
      <c r="L807" s="164" t="s">
        <v>528</v>
      </c>
      <c r="M807" s="164" t="s">
        <v>2705</v>
      </c>
      <c r="N807" s="164" t="s">
        <v>2705</v>
      </c>
      <c r="O807" s="162">
        <v>370</v>
      </c>
      <c r="P807" s="162" t="s">
        <v>2706</v>
      </c>
      <c r="Q807" s="162">
        <v>312</v>
      </c>
      <c r="R807" s="162" t="s">
        <v>2706</v>
      </c>
      <c r="S807" s="162">
        <v>171</v>
      </c>
      <c r="T807" s="162" t="s">
        <v>2706</v>
      </c>
      <c r="U807" s="162">
        <v>313</v>
      </c>
      <c r="V807" s="162" t="s">
        <v>2706</v>
      </c>
      <c r="W807" s="162">
        <v>186</v>
      </c>
      <c r="X807" s="162" t="s">
        <v>2706</v>
      </c>
      <c r="Y807" s="162">
        <v>202</v>
      </c>
      <c r="Z807" s="162" t="s">
        <v>2706</v>
      </c>
      <c r="AA807" s="162">
        <v>195</v>
      </c>
      <c r="AB807" s="162" t="s">
        <v>2706</v>
      </c>
      <c r="AC807" s="162">
        <v>128</v>
      </c>
      <c r="AD807" s="162" t="s">
        <v>2706</v>
      </c>
      <c r="AE807" s="162">
        <v>216</v>
      </c>
      <c r="AF807" s="162" t="s">
        <v>2706</v>
      </c>
      <c r="AG807" s="162">
        <v>234</v>
      </c>
      <c r="AH807" s="162" t="s">
        <v>2706</v>
      </c>
      <c r="AI807" s="162">
        <v>661</v>
      </c>
      <c r="AJ807" s="162" t="s">
        <v>2706</v>
      </c>
      <c r="AK807" s="162">
        <v>333</v>
      </c>
      <c r="AL807" s="162" t="s">
        <v>2706</v>
      </c>
      <c r="AM807" s="162">
        <v>3193</v>
      </c>
      <c r="AN807" s="162"/>
    </row>
    <row r="808" spans="1:40" s="100" customFormat="1" ht="46.8" x14ac:dyDescent="0.3">
      <c r="A808" s="161"/>
      <c r="B808" s="167"/>
      <c r="C808" s="98" t="s">
        <v>2708</v>
      </c>
      <c r="D808" s="163"/>
      <c r="E808" s="26" t="s">
        <v>48</v>
      </c>
      <c r="F808" s="30" t="s">
        <v>49</v>
      </c>
      <c r="G808" s="163"/>
      <c r="H808" s="163"/>
      <c r="I808" s="163"/>
      <c r="J808" s="165"/>
      <c r="K808" s="165"/>
      <c r="L808" s="165"/>
      <c r="M808" s="165"/>
      <c r="N808" s="165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  <c r="AA808" s="163"/>
      <c r="AB808" s="163"/>
      <c r="AC808" s="163"/>
      <c r="AD808" s="163"/>
      <c r="AE808" s="163"/>
      <c r="AF808" s="163"/>
      <c r="AG808" s="163"/>
      <c r="AH808" s="163"/>
      <c r="AI808" s="163"/>
      <c r="AJ808" s="163"/>
      <c r="AK808" s="163"/>
      <c r="AL808" s="163"/>
      <c r="AM808" s="163"/>
      <c r="AN808" s="163"/>
    </row>
    <row r="809" spans="1:40" s="100" customFormat="1" ht="46.8" x14ac:dyDescent="0.3">
      <c r="A809" s="160">
        <v>624</v>
      </c>
      <c r="B809" s="166" t="s">
        <v>1382</v>
      </c>
      <c r="C809" s="98" t="s">
        <v>2708</v>
      </c>
      <c r="D809" s="162" t="s">
        <v>2712</v>
      </c>
      <c r="E809" s="26" t="s">
        <v>144</v>
      </c>
      <c r="F809" s="30" t="s">
        <v>49</v>
      </c>
      <c r="G809" s="162" t="s">
        <v>2704</v>
      </c>
      <c r="H809" s="162">
        <v>36</v>
      </c>
      <c r="I809" s="162" t="str">
        <f t="shared" ref="I809" si="37">G809</f>
        <v>с ЛН</v>
      </c>
      <c r="J809" s="164">
        <v>6</v>
      </c>
      <c r="K809" s="164" t="s">
        <v>528</v>
      </c>
      <c r="L809" s="164" t="s">
        <v>528</v>
      </c>
      <c r="M809" s="164" t="s">
        <v>2705</v>
      </c>
      <c r="N809" s="164" t="s">
        <v>2705</v>
      </c>
      <c r="O809" s="162">
        <v>926</v>
      </c>
      <c r="P809" s="162" t="s">
        <v>2706</v>
      </c>
      <c r="Q809" s="162">
        <v>663</v>
      </c>
      <c r="R809" s="162" t="s">
        <v>2706</v>
      </c>
      <c r="S809" s="162">
        <v>417</v>
      </c>
      <c r="T809" s="162" t="s">
        <v>2706</v>
      </c>
      <c r="U809" s="162">
        <v>649</v>
      </c>
      <c r="V809" s="162" t="s">
        <v>2706</v>
      </c>
      <c r="W809" s="162">
        <v>617</v>
      </c>
      <c r="X809" s="162" t="s">
        <v>2706</v>
      </c>
      <c r="Y809" s="162">
        <v>753</v>
      </c>
      <c r="Z809" s="162" t="s">
        <v>2706</v>
      </c>
      <c r="AA809" s="162">
        <v>613</v>
      </c>
      <c r="AB809" s="162" t="s">
        <v>2706</v>
      </c>
      <c r="AC809" s="162">
        <v>457</v>
      </c>
      <c r="AD809" s="162" t="s">
        <v>2706</v>
      </c>
      <c r="AE809" s="162">
        <v>865</v>
      </c>
      <c r="AF809" s="162" t="s">
        <v>2706</v>
      </c>
      <c r="AG809" s="162">
        <v>417</v>
      </c>
      <c r="AH809" s="162" t="s">
        <v>2706</v>
      </c>
      <c r="AI809" s="162">
        <v>985</v>
      </c>
      <c r="AJ809" s="162" t="s">
        <v>2706</v>
      </c>
      <c r="AK809" s="162">
        <v>671</v>
      </c>
      <c r="AL809" s="162" t="s">
        <v>2706</v>
      </c>
      <c r="AM809" s="162">
        <v>7576</v>
      </c>
      <c r="AN809" s="162"/>
    </row>
    <row r="810" spans="1:40" s="100" customFormat="1" ht="46.8" x14ac:dyDescent="0.3">
      <c r="A810" s="161"/>
      <c r="B810" s="167"/>
      <c r="C810" s="98" t="s">
        <v>2708</v>
      </c>
      <c r="D810" s="163"/>
      <c r="E810" s="26" t="s">
        <v>48</v>
      </c>
      <c r="F810" s="30" t="s">
        <v>49</v>
      </c>
      <c r="G810" s="163"/>
      <c r="H810" s="163"/>
      <c r="I810" s="163"/>
      <c r="J810" s="165"/>
      <c r="K810" s="165"/>
      <c r="L810" s="165"/>
      <c r="M810" s="165"/>
      <c r="N810" s="165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  <c r="AA810" s="163"/>
      <c r="AB810" s="163"/>
      <c r="AC810" s="163"/>
      <c r="AD810" s="163"/>
      <c r="AE810" s="163"/>
      <c r="AF810" s="163"/>
      <c r="AG810" s="163"/>
      <c r="AH810" s="163"/>
      <c r="AI810" s="163"/>
      <c r="AJ810" s="163"/>
      <c r="AK810" s="163"/>
      <c r="AL810" s="163"/>
      <c r="AM810" s="163"/>
      <c r="AN810" s="163"/>
    </row>
    <row r="811" spans="1:40" s="100" customFormat="1" ht="46.8" x14ac:dyDescent="0.3">
      <c r="A811" s="160">
        <v>625</v>
      </c>
      <c r="B811" s="166" t="s">
        <v>1383</v>
      </c>
      <c r="C811" s="98" t="s">
        <v>2708</v>
      </c>
      <c r="D811" s="162" t="s">
        <v>2712</v>
      </c>
      <c r="E811" s="26" t="s">
        <v>144</v>
      </c>
      <c r="F811" s="30" t="s">
        <v>49</v>
      </c>
      <c r="G811" s="162" t="s">
        <v>2704</v>
      </c>
      <c r="H811" s="162">
        <v>26</v>
      </c>
      <c r="I811" s="162" t="str">
        <f t="shared" ref="I811" si="38">G811</f>
        <v>с ЛН</v>
      </c>
      <c r="J811" s="164">
        <v>4</v>
      </c>
      <c r="K811" s="164" t="s">
        <v>528</v>
      </c>
      <c r="L811" s="164" t="s">
        <v>528</v>
      </c>
      <c r="M811" s="164" t="s">
        <v>2705</v>
      </c>
      <c r="N811" s="164" t="s">
        <v>2705</v>
      </c>
      <c r="O811" s="162">
        <v>1182</v>
      </c>
      <c r="P811" s="162" t="s">
        <v>2706</v>
      </c>
      <c r="Q811" s="162">
        <v>1133</v>
      </c>
      <c r="R811" s="162" t="s">
        <v>2706</v>
      </c>
      <c r="S811" s="162">
        <v>621</v>
      </c>
      <c r="T811" s="162" t="s">
        <v>2706</v>
      </c>
      <c r="U811" s="162">
        <v>934</v>
      </c>
      <c r="V811" s="162" t="s">
        <v>2706</v>
      </c>
      <c r="W811" s="162">
        <v>946</v>
      </c>
      <c r="X811" s="162" t="s">
        <v>2706</v>
      </c>
      <c r="Y811" s="162">
        <v>851</v>
      </c>
      <c r="Z811" s="162" t="s">
        <v>2706</v>
      </c>
      <c r="AA811" s="162">
        <v>522</v>
      </c>
      <c r="AB811" s="162" t="s">
        <v>2706</v>
      </c>
      <c r="AC811" s="162">
        <v>428</v>
      </c>
      <c r="AD811" s="162" t="s">
        <v>2706</v>
      </c>
      <c r="AE811" s="162">
        <v>924</v>
      </c>
      <c r="AF811" s="162" t="s">
        <v>2706</v>
      </c>
      <c r="AG811" s="162">
        <v>828</v>
      </c>
      <c r="AH811" s="162" t="s">
        <v>2706</v>
      </c>
      <c r="AI811" s="162">
        <v>500</v>
      </c>
      <c r="AJ811" s="162" t="s">
        <v>2706</v>
      </c>
      <c r="AK811" s="162">
        <v>1108</v>
      </c>
      <c r="AL811" s="162" t="s">
        <v>2706</v>
      </c>
      <c r="AM811" s="162">
        <v>9549</v>
      </c>
      <c r="AN811" s="162"/>
    </row>
    <row r="812" spans="1:40" s="100" customFormat="1" ht="46.8" x14ac:dyDescent="0.3">
      <c r="A812" s="161"/>
      <c r="B812" s="167"/>
      <c r="C812" s="98" t="s">
        <v>2708</v>
      </c>
      <c r="D812" s="163"/>
      <c r="E812" s="26" t="s">
        <v>48</v>
      </c>
      <c r="F812" s="30" t="s">
        <v>49</v>
      </c>
      <c r="G812" s="163"/>
      <c r="H812" s="163"/>
      <c r="I812" s="163"/>
      <c r="J812" s="165"/>
      <c r="K812" s="165"/>
      <c r="L812" s="165"/>
      <c r="M812" s="165"/>
      <c r="N812" s="165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  <c r="AA812" s="163"/>
      <c r="AB812" s="163"/>
      <c r="AC812" s="163"/>
      <c r="AD812" s="163"/>
      <c r="AE812" s="163"/>
      <c r="AF812" s="163"/>
      <c r="AG812" s="163"/>
      <c r="AH812" s="163"/>
      <c r="AI812" s="163"/>
      <c r="AJ812" s="163"/>
      <c r="AK812" s="163"/>
      <c r="AL812" s="163"/>
      <c r="AM812" s="163"/>
      <c r="AN812" s="163"/>
    </row>
    <row r="813" spans="1:40" s="100" customFormat="1" ht="46.8" x14ac:dyDescent="0.3">
      <c r="A813" s="160">
        <v>626</v>
      </c>
      <c r="B813" s="166" t="s">
        <v>1385</v>
      </c>
      <c r="C813" s="98" t="s">
        <v>2708</v>
      </c>
      <c r="D813" s="162" t="s">
        <v>2712</v>
      </c>
      <c r="E813" s="26" t="s">
        <v>144</v>
      </c>
      <c r="F813" s="30" t="s">
        <v>49</v>
      </c>
      <c r="G813" s="162" t="s">
        <v>2704</v>
      </c>
      <c r="H813" s="162">
        <v>20</v>
      </c>
      <c r="I813" s="162" t="str">
        <f t="shared" ref="I813" si="39">G813</f>
        <v>с ЛН</v>
      </c>
      <c r="J813" s="164">
        <v>4</v>
      </c>
      <c r="K813" s="164" t="s">
        <v>528</v>
      </c>
      <c r="L813" s="164" t="s">
        <v>528</v>
      </c>
      <c r="M813" s="164" t="s">
        <v>2705</v>
      </c>
      <c r="N813" s="164" t="s">
        <v>2705</v>
      </c>
      <c r="O813" s="162">
        <v>493</v>
      </c>
      <c r="P813" s="162" t="s">
        <v>2706</v>
      </c>
      <c r="Q813" s="162">
        <v>517</v>
      </c>
      <c r="R813" s="162" t="s">
        <v>2706</v>
      </c>
      <c r="S813" s="162">
        <v>284</v>
      </c>
      <c r="T813" s="162" t="s">
        <v>2706</v>
      </c>
      <c r="U813" s="162">
        <v>437</v>
      </c>
      <c r="V813" s="162" t="s">
        <v>2706</v>
      </c>
      <c r="W813" s="162">
        <v>317</v>
      </c>
      <c r="X813" s="162" t="s">
        <v>2706</v>
      </c>
      <c r="Y813" s="162">
        <v>269</v>
      </c>
      <c r="Z813" s="162" t="s">
        <v>2706</v>
      </c>
      <c r="AA813" s="162">
        <v>315</v>
      </c>
      <c r="AB813" s="162" t="s">
        <v>2706</v>
      </c>
      <c r="AC813" s="162">
        <v>253</v>
      </c>
      <c r="AD813" s="162" t="s">
        <v>2706</v>
      </c>
      <c r="AE813" s="162">
        <v>545</v>
      </c>
      <c r="AF813" s="162" t="s">
        <v>2706</v>
      </c>
      <c r="AG813" s="162">
        <v>332</v>
      </c>
      <c r="AH813" s="162" t="s">
        <v>2706</v>
      </c>
      <c r="AI813" s="162">
        <v>445</v>
      </c>
      <c r="AJ813" s="162" t="s">
        <v>2706</v>
      </c>
      <c r="AK813" s="162">
        <v>466</v>
      </c>
      <c r="AL813" s="162" t="s">
        <v>2706</v>
      </c>
      <c r="AM813" s="162">
        <v>4420</v>
      </c>
      <c r="AN813" s="162"/>
    </row>
    <row r="814" spans="1:40" s="100" customFormat="1" ht="46.8" x14ac:dyDescent="0.3">
      <c r="A814" s="161"/>
      <c r="B814" s="167"/>
      <c r="C814" s="98" t="s">
        <v>2708</v>
      </c>
      <c r="D814" s="163"/>
      <c r="E814" s="26" t="s">
        <v>48</v>
      </c>
      <c r="F814" s="30" t="s">
        <v>49</v>
      </c>
      <c r="G814" s="163"/>
      <c r="H814" s="163"/>
      <c r="I814" s="163"/>
      <c r="J814" s="165"/>
      <c r="K814" s="165"/>
      <c r="L814" s="165"/>
      <c r="M814" s="165"/>
      <c r="N814" s="165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  <c r="AA814" s="163"/>
      <c r="AB814" s="163"/>
      <c r="AC814" s="163"/>
      <c r="AD814" s="163"/>
      <c r="AE814" s="163"/>
      <c r="AF814" s="163"/>
      <c r="AG814" s="163"/>
      <c r="AH814" s="163"/>
      <c r="AI814" s="163"/>
      <c r="AJ814" s="163"/>
      <c r="AK814" s="163"/>
      <c r="AL814" s="163"/>
      <c r="AM814" s="163"/>
      <c r="AN814" s="163"/>
    </row>
    <row r="815" spans="1:40" s="100" customFormat="1" ht="46.8" x14ac:dyDescent="0.3">
      <c r="A815" s="160">
        <v>627</v>
      </c>
      <c r="B815" s="166" t="s">
        <v>1386</v>
      </c>
      <c r="C815" s="98" t="s">
        <v>2708</v>
      </c>
      <c r="D815" s="162" t="s">
        <v>2712</v>
      </c>
      <c r="E815" s="26" t="s">
        <v>144</v>
      </c>
      <c r="F815" s="30" t="s">
        <v>49</v>
      </c>
      <c r="G815" s="162" t="s">
        <v>2704</v>
      </c>
      <c r="H815" s="162">
        <v>15</v>
      </c>
      <c r="I815" s="162" t="str">
        <f t="shared" ref="I815" si="40">G815</f>
        <v>с ЛН</v>
      </c>
      <c r="J815" s="164">
        <v>3</v>
      </c>
      <c r="K815" s="164" t="s">
        <v>528</v>
      </c>
      <c r="L815" s="164" t="s">
        <v>528</v>
      </c>
      <c r="M815" s="164" t="s">
        <v>2705</v>
      </c>
      <c r="N815" s="164" t="s">
        <v>2705</v>
      </c>
      <c r="O815" s="162">
        <v>0</v>
      </c>
      <c r="P815" s="162" t="s">
        <v>2706</v>
      </c>
      <c r="Q815" s="162">
        <v>0</v>
      </c>
      <c r="R815" s="162" t="s">
        <v>2706</v>
      </c>
      <c r="S815" s="162">
        <v>0</v>
      </c>
      <c r="T815" s="162" t="s">
        <v>2706</v>
      </c>
      <c r="U815" s="162">
        <v>0</v>
      </c>
      <c r="V815" s="162" t="s">
        <v>2706</v>
      </c>
      <c r="W815" s="162">
        <v>0</v>
      </c>
      <c r="X815" s="162" t="s">
        <v>2706</v>
      </c>
      <c r="Y815" s="162">
        <v>0</v>
      </c>
      <c r="Z815" s="162" t="s">
        <v>2706</v>
      </c>
      <c r="AA815" s="162">
        <v>0</v>
      </c>
      <c r="AB815" s="162" t="s">
        <v>2706</v>
      </c>
      <c r="AC815" s="162">
        <v>0</v>
      </c>
      <c r="AD815" s="162" t="s">
        <v>2706</v>
      </c>
      <c r="AE815" s="162">
        <v>0</v>
      </c>
      <c r="AF815" s="162" t="s">
        <v>2706</v>
      </c>
      <c r="AG815" s="162">
        <v>0</v>
      </c>
      <c r="AH815" s="162" t="s">
        <v>2706</v>
      </c>
      <c r="AI815" s="162">
        <v>0</v>
      </c>
      <c r="AJ815" s="162" t="s">
        <v>2706</v>
      </c>
      <c r="AK815" s="162">
        <v>0</v>
      </c>
      <c r="AL815" s="162" t="s">
        <v>2706</v>
      </c>
      <c r="AM815" s="162">
        <v>0</v>
      </c>
      <c r="AN815" s="162"/>
    </row>
    <row r="816" spans="1:40" s="100" customFormat="1" ht="46.8" x14ac:dyDescent="0.3">
      <c r="A816" s="161"/>
      <c r="B816" s="167"/>
      <c r="C816" s="98" t="s">
        <v>2708</v>
      </c>
      <c r="D816" s="163"/>
      <c r="E816" s="26" t="s">
        <v>48</v>
      </c>
      <c r="F816" s="30" t="s">
        <v>49</v>
      </c>
      <c r="G816" s="163"/>
      <c r="H816" s="163"/>
      <c r="I816" s="163"/>
      <c r="J816" s="165"/>
      <c r="K816" s="165"/>
      <c r="L816" s="165"/>
      <c r="M816" s="165"/>
      <c r="N816" s="165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  <c r="AA816" s="163"/>
      <c r="AB816" s="163"/>
      <c r="AC816" s="163"/>
      <c r="AD816" s="163"/>
      <c r="AE816" s="163"/>
      <c r="AF816" s="163"/>
      <c r="AG816" s="163"/>
      <c r="AH816" s="163"/>
      <c r="AI816" s="163"/>
      <c r="AJ816" s="163"/>
      <c r="AK816" s="163"/>
      <c r="AL816" s="163"/>
      <c r="AM816" s="163"/>
      <c r="AN816" s="163"/>
    </row>
    <row r="817" spans="1:40" s="100" customFormat="1" ht="46.8" x14ac:dyDescent="0.3">
      <c r="A817" s="160">
        <v>628</v>
      </c>
      <c r="B817" s="166" t="s">
        <v>1388</v>
      </c>
      <c r="C817" s="98" t="s">
        <v>2708</v>
      </c>
      <c r="D817" s="162" t="s">
        <v>2712</v>
      </c>
      <c r="E817" s="26" t="s">
        <v>144</v>
      </c>
      <c r="F817" s="30" t="s">
        <v>49</v>
      </c>
      <c r="G817" s="162"/>
      <c r="H817" s="162"/>
      <c r="I817" s="162"/>
      <c r="J817" s="164"/>
      <c r="K817" s="164" t="s">
        <v>528</v>
      </c>
      <c r="L817" s="164" t="s">
        <v>528</v>
      </c>
      <c r="M817" s="164" t="s">
        <v>2705</v>
      </c>
      <c r="N817" s="164" t="s">
        <v>2705</v>
      </c>
      <c r="O817" s="162">
        <v>903</v>
      </c>
      <c r="P817" s="162" t="s">
        <v>2706</v>
      </c>
      <c r="Q817" s="162">
        <v>947</v>
      </c>
      <c r="R817" s="162" t="s">
        <v>2706</v>
      </c>
      <c r="S817" s="162">
        <v>531</v>
      </c>
      <c r="T817" s="162" t="s">
        <v>2706</v>
      </c>
      <c r="U817" s="162">
        <v>677</v>
      </c>
      <c r="V817" s="162" t="s">
        <v>2706</v>
      </c>
      <c r="W817" s="162">
        <v>410</v>
      </c>
      <c r="X817" s="162" t="s">
        <v>2706</v>
      </c>
      <c r="Y817" s="162">
        <v>478</v>
      </c>
      <c r="Z817" s="162" t="s">
        <v>2706</v>
      </c>
      <c r="AA817" s="162">
        <v>497</v>
      </c>
      <c r="AB817" s="162" t="s">
        <v>2706</v>
      </c>
      <c r="AC817" s="162">
        <v>480</v>
      </c>
      <c r="AD817" s="162" t="s">
        <v>2706</v>
      </c>
      <c r="AE817" s="162">
        <v>1017</v>
      </c>
      <c r="AF817" s="162" t="s">
        <v>2706</v>
      </c>
      <c r="AG817" s="162">
        <v>398</v>
      </c>
      <c r="AH817" s="162" t="s">
        <v>2706</v>
      </c>
      <c r="AI817" s="162">
        <v>678</v>
      </c>
      <c r="AJ817" s="162" t="s">
        <v>2706</v>
      </c>
      <c r="AK817" s="162">
        <v>364</v>
      </c>
      <c r="AL817" s="162" t="s">
        <v>2706</v>
      </c>
      <c r="AM817" s="162">
        <v>6900</v>
      </c>
      <c r="AN817" s="162"/>
    </row>
    <row r="818" spans="1:40" s="100" customFormat="1" ht="46.8" x14ac:dyDescent="0.3">
      <c r="A818" s="161"/>
      <c r="B818" s="167"/>
      <c r="C818" s="98" t="s">
        <v>2708</v>
      </c>
      <c r="D818" s="163"/>
      <c r="E818" s="26" t="s">
        <v>48</v>
      </c>
      <c r="F818" s="30" t="s">
        <v>49</v>
      </c>
      <c r="G818" s="163"/>
      <c r="H818" s="163"/>
      <c r="I818" s="163"/>
      <c r="J818" s="165"/>
      <c r="K818" s="165"/>
      <c r="L818" s="165"/>
      <c r="M818" s="165"/>
      <c r="N818" s="165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  <c r="AA818" s="163"/>
      <c r="AB818" s="163"/>
      <c r="AC818" s="163"/>
      <c r="AD818" s="163"/>
      <c r="AE818" s="163"/>
      <c r="AF818" s="163"/>
      <c r="AG818" s="163"/>
      <c r="AH818" s="163"/>
      <c r="AI818" s="163"/>
      <c r="AJ818" s="163"/>
      <c r="AK818" s="163"/>
      <c r="AL818" s="163"/>
      <c r="AM818" s="163"/>
      <c r="AN818" s="163"/>
    </row>
    <row r="819" spans="1:40" s="100" customFormat="1" ht="46.8" x14ac:dyDescent="0.3">
      <c r="A819" s="160">
        <v>629</v>
      </c>
      <c r="B819" s="166" t="s">
        <v>1390</v>
      </c>
      <c r="C819" s="98" t="s">
        <v>2708</v>
      </c>
      <c r="D819" s="162" t="s">
        <v>2712</v>
      </c>
      <c r="E819" s="26" t="s">
        <v>144</v>
      </c>
      <c r="F819" s="30" t="s">
        <v>49</v>
      </c>
      <c r="G819" s="162" t="s">
        <v>2704</v>
      </c>
      <c r="H819" s="162">
        <v>30</v>
      </c>
      <c r="I819" s="162" t="str">
        <f>G819</f>
        <v>с ЛН</v>
      </c>
      <c r="J819" s="164">
        <v>5</v>
      </c>
      <c r="K819" s="164" t="s">
        <v>528</v>
      </c>
      <c r="L819" s="164" t="s">
        <v>528</v>
      </c>
      <c r="M819" s="164" t="s">
        <v>2705</v>
      </c>
      <c r="N819" s="164" t="s">
        <v>2705</v>
      </c>
      <c r="O819" s="162">
        <v>520</v>
      </c>
      <c r="P819" s="162" t="s">
        <v>2706</v>
      </c>
      <c r="Q819" s="162">
        <v>539</v>
      </c>
      <c r="R819" s="162" t="s">
        <v>2706</v>
      </c>
      <c r="S819" s="162">
        <v>370</v>
      </c>
      <c r="T819" s="162" t="s">
        <v>2706</v>
      </c>
      <c r="U819" s="162">
        <v>455</v>
      </c>
      <c r="V819" s="162" t="s">
        <v>2706</v>
      </c>
      <c r="W819" s="162">
        <v>301</v>
      </c>
      <c r="X819" s="162" t="s">
        <v>2706</v>
      </c>
      <c r="Y819" s="162">
        <v>206</v>
      </c>
      <c r="Z819" s="162" t="s">
        <v>2706</v>
      </c>
      <c r="AA819" s="162">
        <v>180</v>
      </c>
      <c r="AB819" s="162" t="s">
        <v>2706</v>
      </c>
      <c r="AC819" s="162">
        <v>117</v>
      </c>
      <c r="AD819" s="162" t="s">
        <v>2706</v>
      </c>
      <c r="AE819" s="162">
        <v>383</v>
      </c>
      <c r="AF819" s="162" t="s">
        <v>2706</v>
      </c>
      <c r="AG819" s="162">
        <v>479</v>
      </c>
      <c r="AH819" s="162" t="s">
        <v>2706</v>
      </c>
      <c r="AI819" s="162">
        <v>219</v>
      </c>
      <c r="AJ819" s="162" t="s">
        <v>2706</v>
      </c>
      <c r="AK819" s="162">
        <v>627</v>
      </c>
      <c r="AL819" s="162" t="s">
        <v>2706</v>
      </c>
      <c r="AM819" s="162">
        <v>4279</v>
      </c>
      <c r="AN819" s="162"/>
    </row>
    <row r="820" spans="1:40" s="100" customFormat="1" ht="46.8" x14ac:dyDescent="0.3">
      <c r="A820" s="161"/>
      <c r="B820" s="167"/>
      <c r="C820" s="98" t="s">
        <v>2708</v>
      </c>
      <c r="D820" s="163"/>
      <c r="E820" s="26" t="s">
        <v>48</v>
      </c>
      <c r="F820" s="30" t="s">
        <v>49</v>
      </c>
      <c r="G820" s="163"/>
      <c r="H820" s="163"/>
      <c r="I820" s="163"/>
      <c r="J820" s="165"/>
      <c r="K820" s="165"/>
      <c r="L820" s="165"/>
      <c r="M820" s="165"/>
      <c r="N820" s="165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  <c r="AA820" s="163"/>
      <c r="AB820" s="163"/>
      <c r="AC820" s="163"/>
      <c r="AD820" s="163"/>
      <c r="AE820" s="163"/>
      <c r="AF820" s="163"/>
      <c r="AG820" s="163"/>
      <c r="AH820" s="163"/>
      <c r="AI820" s="163"/>
      <c r="AJ820" s="163"/>
      <c r="AK820" s="163"/>
      <c r="AL820" s="163"/>
      <c r="AM820" s="163"/>
      <c r="AN820" s="163"/>
    </row>
    <row r="821" spans="1:40" s="100" customFormat="1" ht="46.8" x14ac:dyDescent="0.3">
      <c r="A821" s="160">
        <v>630</v>
      </c>
      <c r="B821" s="166" t="s">
        <v>1391</v>
      </c>
      <c r="C821" s="98" t="s">
        <v>2708</v>
      </c>
      <c r="D821" s="162" t="s">
        <v>2712</v>
      </c>
      <c r="E821" s="26" t="s">
        <v>144</v>
      </c>
      <c r="F821" s="30" t="s">
        <v>49</v>
      </c>
      <c r="G821" s="162" t="s">
        <v>2704</v>
      </c>
      <c r="H821" s="162">
        <v>22</v>
      </c>
      <c r="I821" s="162" t="str">
        <f t="shared" ref="I821" si="41">G821</f>
        <v>с ЛН</v>
      </c>
      <c r="J821" s="164">
        <v>4</v>
      </c>
      <c r="K821" s="164" t="s">
        <v>528</v>
      </c>
      <c r="L821" s="164" t="s">
        <v>528</v>
      </c>
      <c r="M821" s="164" t="s">
        <v>2705</v>
      </c>
      <c r="N821" s="164" t="s">
        <v>2705</v>
      </c>
      <c r="O821" s="162">
        <v>231</v>
      </c>
      <c r="P821" s="162" t="s">
        <v>2706</v>
      </c>
      <c r="Q821" s="162">
        <v>287</v>
      </c>
      <c r="R821" s="162" t="s">
        <v>2706</v>
      </c>
      <c r="S821" s="162">
        <v>140</v>
      </c>
      <c r="T821" s="162" t="s">
        <v>2706</v>
      </c>
      <c r="U821" s="162">
        <v>257</v>
      </c>
      <c r="V821" s="162" t="s">
        <v>2706</v>
      </c>
      <c r="W821" s="162">
        <v>141</v>
      </c>
      <c r="X821" s="162" t="s">
        <v>2706</v>
      </c>
      <c r="Y821" s="162">
        <v>148</v>
      </c>
      <c r="Z821" s="162" t="s">
        <v>2706</v>
      </c>
      <c r="AA821" s="162">
        <v>181</v>
      </c>
      <c r="AB821" s="162" t="s">
        <v>2706</v>
      </c>
      <c r="AC821" s="162">
        <v>163</v>
      </c>
      <c r="AD821" s="162" t="s">
        <v>2706</v>
      </c>
      <c r="AE821" s="162">
        <v>247</v>
      </c>
      <c r="AF821" s="162" t="s">
        <v>2706</v>
      </c>
      <c r="AG821" s="162">
        <v>169</v>
      </c>
      <c r="AH821" s="162" t="s">
        <v>2706</v>
      </c>
      <c r="AI821" s="162">
        <v>353</v>
      </c>
      <c r="AJ821" s="162" t="s">
        <v>2706</v>
      </c>
      <c r="AK821" s="162">
        <v>293</v>
      </c>
      <c r="AL821" s="162" t="s">
        <v>2706</v>
      </c>
      <c r="AM821" s="162">
        <v>2447</v>
      </c>
      <c r="AN821" s="162"/>
    </row>
    <row r="822" spans="1:40" s="100" customFormat="1" ht="46.8" x14ac:dyDescent="0.3">
      <c r="A822" s="161"/>
      <c r="B822" s="167"/>
      <c r="C822" s="98" t="s">
        <v>2708</v>
      </c>
      <c r="D822" s="163"/>
      <c r="E822" s="26" t="s">
        <v>48</v>
      </c>
      <c r="F822" s="30" t="s">
        <v>49</v>
      </c>
      <c r="G822" s="163"/>
      <c r="H822" s="163"/>
      <c r="I822" s="163"/>
      <c r="J822" s="165"/>
      <c r="K822" s="165"/>
      <c r="L822" s="165"/>
      <c r="M822" s="165"/>
      <c r="N822" s="165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  <c r="AA822" s="163"/>
      <c r="AB822" s="163"/>
      <c r="AC822" s="163"/>
      <c r="AD822" s="163"/>
      <c r="AE822" s="163"/>
      <c r="AF822" s="163"/>
      <c r="AG822" s="163"/>
      <c r="AH822" s="163"/>
      <c r="AI822" s="163"/>
      <c r="AJ822" s="163"/>
      <c r="AK822" s="163"/>
      <c r="AL822" s="163"/>
      <c r="AM822" s="163"/>
      <c r="AN822" s="163"/>
    </row>
    <row r="823" spans="1:40" s="100" customFormat="1" ht="46.8" x14ac:dyDescent="0.3">
      <c r="A823" s="160">
        <v>631</v>
      </c>
      <c r="B823" s="166" t="s">
        <v>1393</v>
      </c>
      <c r="C823" s="98" t="s">
        <v>2708</v>
      </c>
      <c r="D823" s="162" t="s">
        <v>2712</v>
      </c>
      <c r="E823" s="26" t="s">
        <v>144</v>
      </c>
      <c r="F823" s="30" t="s">
        <v>49</v>
      </c>
      <c r="G823" s="162" t="s">
        <v>2704</v>
      </c>
      <c r="H823" s="162">
        <v>17</v>
      </c>
      <c r="I823" s="162" t="str">
        <f t="shared" ref="I823" si="42">G823</f>
        <v>с ЛН</v>
      </c>
      <c r="J823" s="164">
        <v>3</v>
      </c>
      <c r="K823" s="164" t="s">
        <v>528</v>
      </c>
      <c r="L823" s="164" t="s">
        <v>528</v>
      </c>
      <c r="M823" s="164" t="s">
        <v>2705</v>
      </c>
      <c r="N823" s="164" t="s">
        <v>2705</v>
      </c>
      <c r="O823" s="162">
        <v>296</v>
      </c>
      <c r="P823" s="162" t="s">
        <v>2706</v>
      </c>
      <c r="Q823" s="162">
        <v>303</v>
      </c>
      <c r="R823" s="162" t="s">
        <v>2706</v>
      </c>
      <c r="S823" s="162">
        <v>162</v>
      </c>
      <c r="T823" s="162" t="s">
        <v>2706</v>
      </c>
      <c r="U823" s="162">
        <v>282</v>
      </c>
      <c r="V823" s="162" t="s">
        <v>2706</v>
      </c>
      <c r="W823" s="162">
        <v>235</v>
      </c>
      <c r="X823" s="162" t="s">
        <v>2706</v>
      </c>
      <c r="Y823" s="162">
        <v>176</v>
      </c>
      <c r="Z823" s="162" t="s">
        <v>2706</v>
      </c>
      <c r="AA823" s="162">
        <v>224</v>
      </c>
      <c r="AB823" s="162" t="s">
        <v>2706</v>
      </c>
      <c r="AC823" s="162">
        <v>250</v>
      </c>
      <c r="AD823" s="162" t="s">
        <v>2706</v>
      </c>
      <c r="AE823" s="162">
        <v>308</v>
      </c>
      <c r="AF823" s="162" t="s">
        <v>2706</v>
      </c>
      <c r="AG823" s="162">
        <v>9098</v>
      </c>
      <c r="AH823" s="162" t="s">
        <v>2706</v>
      </c>
      <c r="AI823" s="162">
        <v>1338</v>
      </c>
      <c r="AJ823" s="162" t="s">
        <v>2706</v>
      </c>
      <c r="AK823" s="162">
        <v>156</v>
      </c>
      <c r="AL823" s="162" t="s">
        <v>2706</v>
      </c>
      <c r="AM823" s="162">
        <v>12578</v>
      </c>
      <c r="AN823" s="162"/>
    </row>
    <row r="824" spans="1:40" s="100" customFormat="1" ht="46.8" x14ac:dyDescent="0.3">
      <c r="A824" s="161"/>
      <c r="B824" s="167"/>
      <c r="C824" s="98" t="s">
        <v>2708</v>
      </c>
      <c r="D824" s="163"/>
      <c r="E824" s="26" t="s">
        <v>48</v>
      </c>
      <c r="F824" s="30" t="s">
        <v>49</v>
      </c>
      <c r="G824" s="163"/>
      <c r="H824" s="163"/>
      <c r="I824" s="163"/>
      <c r="J824" s="165"/>
      <c r="K824" s="165"/>
      <c r="L824" s="165"/>
      <c r="M824" s="165"/>
      <c r="N824" s="165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  <c r="AA824" s="163"/>
      <c r="AB824" s="163"/>
      <c r="AC824" s="163"/>
      <c r="AD824" s="163"/>
      <c r="AE824" s="163"/>
      <c r="AF824" s="163"/>
      <c r="AG824" s="163"/>
      <c r="AH824" s="163"/>
      <c r="AI824" s="163"/>
      <c r="AJ824" s="163"/>
      <c r="AK824" s="163"/>
      <c r="AL824" s="163"/>
      <c r="AM824" s="163"/>
      <c r="AN824" s="163"/>
    </row>
    <row r="825" spans="1:40" s="100" customFormat="1" ht="46.8" x14ac:dyDescent="0.3">
      <c r="A825" s="160">
        <v>632</v>
      </c>
      <c r="B825" s="166" t="s">
        <v>1394</v>
      </c>
      <c r="C825" s="98" t="s">
        <v>2708</v>
      </c>
      <c r="D825" s="162" t="s">
        <v>2712</v>
      </c>
      <c r="E825" s="26" t="s">
        <v>144</v>
      </c>
      <c r="F825" s="30" t="s">
        <v>49</v>
      </c>
      <c r="G825" s="162" t="s">
        <v>2704</v>
      </c>
      <c r="H825" s="162">
        <v>36</v>
      </c>
      <c r="I825" s="162" t="str">
        <f t="shared" ref="I825" si="43">G825</f>
        <v>с ЛН</v>
      </c>
      <c r="J825" s="164">
        <v>6</v>
      </c>
      <c r="K825" s="164" t="s">
        <v>528</v>
      </c>
      <c r="L825" s="164" t="s">
        <v>528</v>
      </c>
      <c r="M825" s="164" t="s">
        <v>2705</v>
      </c>
      <c r="N825" s="164" t="s">
        <v>2705</v>
      </c>
      <c r="O825" s="162">
        <v>1446</v>
      </c>
      <c r="P825" s="162" t="s">
        <v>2706</v>
      </c>
      <c r="Q825" s="162">
        <v>1272</v>
      </c>
      <c r="R825" s="162" t="s">
        <v>2706</v>
      </c>
      <c r="S825" s="162">
        <v>757</v>
      </c>
      <c r="T825" s="162" t="s">
        <v>2706</v>
      </c>
      <c r="U825" s="162">
        <v>1273</v>
      </c>
      <c r="V825" s="162" t="s">
        <v>2706</v>
      </c>
      <c r="W825" s="162">
        <v>1051</v>
      </c>
      <c r="X825" s="162" t="s">
        <v>2706</v>
      </c>
      <c r="Y825" s="162">
        <v>1044</v>
      </c>
      <c r="Z825" s="162" t="s">
        <v>2706</v>
      </c>
      <c r="AA825" s="162">
        <v>816</v>
      </c>
      <c r="AB825" s="162" t="s">
        <v>2706</v>
      </c>
      <c r="AC825" s="162">
        <v>634</v>
      </c>
      <c r="AD825" s="162" t="s">
        <v>2706</v>
      </c>
      <c r="AE825" s="162">
        <v>1103</v>
      </c>
      <c r="AF825" s="162" t="s">
        <v>2706</v>
      </c>
      <c r="AG825" s="162">
        <v>731</v>
      </c>
      <c r="AH825" s="162" t="s">
        <v>2706</v>
      </c>
      <c r="AI825" s="162">
        <v>1144</v>
      </c>
      <c r="AJ825" s="162" t="s">
        <v>2706</v>
      </c>
      <c r="AK825" s="162">
        <v>1012</v>
      </c>
      <c r="AL825" s="162" t="s">
        <v>2706</v>
      </c>
      <c r="AM825" s="162">
        <v>11649</v>
      </c>
      <c r="AN825" s="162"/>
    </row>
    <row r="826" spans="1:40" s="100" customFormat="1" ht="46.8" x14ac:dyDescent="0.3">
      <c r="A826" s="161"/>
      <c r="B826" s="167"/>
      <c r="C826" s="98" t="s">
        <v>2708</v>
      </c>
      <c r="D826" s="163"/>
      <c r="E826" s="26" t="s">
        <v>48</v>
      </c>
      <c r="F826" s="30" t="s">
        <v>49</v>
      </c>
      <c r="G826" s="163"/>
      <c r="H826" s="163"/>
      <c r="I826" s="163"/>
      <c r="J826" s="165"/>
      <c r="K826" s="165"/>
      <c r="L826" s="165"/>
      <c r="M826" s="165"/>
      <c r="N826" s="165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  <c r="AA826" s="163"/>
      <c r="AB826" s="163"/>
      <c r="AC826" s="163"/>
      <c r="AD826" s="163"/>
      <c r="AE826" s="163"/>
      <c r="AF826" s="163"/>
      <c r="AG826" s="163"/>
      <c r="AH826" s="163"/>
      <c r="AI826" s="163"/>
      <c r="AJ826" s="163"/>
      <c r="AK826" s="163"/>
      <c r="AL826" s="163"/>
      <c r="AM826" s="163"/>
      <c r="AN826" s="163"/>
    </row>
    <row r="827" spans="1:40" s="100" customFormat="1" ht="46.8" x14ac:dyDescent="0.3">
      <c r="A827" s="160">
        <v>633</v>
      </c>
      <c r="B827" s="166" t="s">
        <v>1395</v>
      </c>
      <c r="C827" s="98" t="s">
        <v>2708</v>
      </c>
      <c r="D827" s="162" t="s">
        <v>2712</v>
      </c>
      <c r="E827" s="26" t="s">
        <v>144</v>
      </c>
      <c r="F827" s="30" t="s">
        <v>49</v>
      </c>
      <c r="G827" s="162"/>
      <c r="H827" s="162"/>
      <c r="I827" s="162"/>
      <c r="J827" s="164"/>
      <c r="K827" s="164" t="s">
        <v>528</v>
      </c>
      <c r="L827" s="164" t="s">
        <v>528</v>
      </c>
      <c r="M827" s="164" t="s">
        <v>2705</v>
      </c>
      <c r="N827" s="164" t="s">
        <v>2705</v>
      </c>
      <c r="O827" s="162">
        <v>962</v>
      </c>
      <c r="P827" s="162" t="s">
        <v>2706</v>
      </c>
      <c r="Q827" s="162">
        <v>918</v>
      </c>
      <c r="R827" s="162" t="s">
        <v>2706</v>
      </c>
      <c r="S827" s="162">
        <v>629</v>
      </c>
      <c r="T827" s="162" t="s">
        <v>2706</v>
      </c>
      <c r="U827" s="162">
        <v>995</v>
      </c>
      <c r="V827" s="162" t="s">
        <v>2706</v>
      </c>
      <c r="W827" s="162">
        <v>760</v>
      </c>
      <c r="X827" s="162" t="s">
        <v>2706</v>
      </c>
      <c r="Y827" s="162">
        <v>825</v>
      </c>
      <c r="Z827" s="162" t="s">
        <v>2706</v>
      </c>
      <c r="AA827" s="162">
        <v>774</v>
      </c>
      <c r="AB827" s="162" t="s">
        <v>2706</v>
      </c>
      <c r="AC827" s="162">
        <v>681</v>
      </c>
      <c r="AD827" s="162" t="s">
        <v>2706</v>
      </c>
      <c r="AE827" s="162">
        <v>832</v>
      </c>
      <c r="AF827" s="162" t="s">
        <v>2706</v>
      </c>
      <c r="AG827" s="162">
        <v>591</v>
      </c>
      <c r="AH827" s="162" t="s">
        <v>2706</v>
      </c>
      <c r="AI827" s="162">
        <v>821</v>
      </c>
      <c r="AJ827" s="162" t="s">
        <v>2706</v>
      </c>
      <c r="AK827" s="162">
        <v>845</v>
      </c>
      <c r="AL827" s="162" t="s">
        <v>2706</v>
      </c>
      <c r="AM827" s="162">
        <v>8952</v>
      </c>
      <c r="AN827" s="162"/>
    </row>
    <row r="828" spans="1:40" s="100" customFormat="1" ht="46.8" x14ac:dyDescent="0.3">
      <c r="A828" s="161"/>
      <c r="B828" s="167"/>
      <c r="C828" s="98" t="s">
        <v>2708</v>
      </c>
      <c r="D828" s="163"/>
      <c r="E828" s="26" t="s">
        <v>48</v>
      </c>
      <c r="F828" s="30" t="s">
        <v>49</v>
      </c>
      <c r="G828" s="163"/>
      <c r="H828" s="163"/>
      <c r="I828" s="163"/>
      <c r="J828" s="165"/>
      <c r="K828" s="165"/>
      <c r="L828" s="165"/>
      <c r="M828" s="165"/>
      <c r="N828" s="165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  <c r="AA828" s="163"/>
      <c r="AB828" s="163"/>
      <c r="AC828" s="163"/>
      <c r="AD828" s="163"/>
      <c r="AE828" s="163"/>
      <c r="AF828" s="163"/>
      <c r="AG828" s="163"/>
      <c r="AH828" s="163"/>
      <c r="AI828" s="163"/>
      <c r="AJ828" s="163"/>
      <c r="AK828" s="163"/>
      <c r="AL828" s="163"/>
      <c r="AM828" s="163"/>
      <c r="AN828" s="163"/>
    </row>
    <row r="829" spans="1:40" s="100" customFormat="1" ht="46.8" x14ac:dyDescent="0.3">
      <c r="A829" s="160">
        <v>634</v>
      </c>
      <c r="B829" s="166" t="s">
        <v>1396</v>
      </c>
      <c r="C829" s="98" t="s">
        <v>2708</v>
      </c>
      <c r="D829" s="162" t="s">
        <v>2712</v>
      </c>
      <c r="E829" s="26" t="s">
        <v>144</v>
      </c>
      <c r="F829" s="30" t="s">
        <v>49</v>
      </c>
      <c r="G829" s="162" t="s">
        <v>2704</v>
      </c>
      <c r="H829" s="162">
        <v>42</v>
      </c>
      <c r="I829" s="162" t="str">
        <f t="shared" ref="I829" si="44">G829</f>
        <v>с ЛН</v>
      </c>
      <c r="J829" s="164">
        <v>7</v>
      </c>
      <c r="K829" s="164" t="s">
        <v>528</v>
      </c>
      <c r="L829" s="164" t="s">
        <v>528</v>
      </c>
      <c r="M829" s="164" t="s">
        <v>2705</v>
      </c>
      <c r="N829" s="164" t="s">
        <v>2705</v>
      </c>
      <c r="O829" s="162">
        <v>1552</v>
      </c>
      <c r="P829" s="162" t="s">
        <v>2706</v>
      </c>
      <c r="Q829" s="162">
        <v>1523</v>
      </c>
      <c r="R829" s="162" t="s">
        <v>2706</v>
      </c>
      <c r="S829" s="162">
        <v>820</v>
      </c>
      <c r="T829" s="162" t="s">
        <v>2706</v>
      </c>
      <c r="U829" s="162">
        <v>1719</v>
      </c>
      <c r="V829" s="162" t="s">
        <v>2706</v>
      </c>
      <c r="W829" s="162">
        <v>1377</v>
      </c>
      <c r="X829" s="162" t="s">
        <v>2706</v>
      </c>
      <c r="Y829" s="162">
        <v>1413</v>
      </c>
      <c r="Z829" s="162" t="s">
        <v>2706</v>
      </c>
      <c r="AA829" s="162">
        <v>993</v>
      </c>
      <c r="AB829" s="162" t="s">
        <v>2706</v>
      </c>
      <c r="AC829" s="162">
        <v>960</v>
      </c>
      <c r="AD829" s="162" t="s">
        <v>2706</v>
      </c>
      <c r="AE829" s="162">
        <v>1648</v>
      </c>
      <c r="AF829" s="162" t="s">
        <v>2706</v>
      </c>
      <c r="AG829" s="162">
        <v>906</v>
      </c>
      <c r="AH829" s="162" t="s">
        <v>2706</v>
      </c>
      <c r="AI829" s="162">
        <v>1465</v>
      </c>
      <c r="AJ829" s="162" t="s">
        <v>2706</v>
      </c>
      <c r="AK829" s="162">
        <v>2162</v>
      </c>
      <c r="AL829" s="162" t="s">
        <v>2706</v>
      </c>
      <c r="AM829" s="162">
        <v>15578</v>
      </c>
      <c r="AN829" s="162"/>
    </row>
    <row r="830" spans="1:40" s="100" customFormat="1" ht="46.8" x14ac:dyDescent="0.3">
      <c r="A830" s="161"/>
      <c r="B830" s="167"/>
      <c r="C830" s="98" t="s">
        <v>2708</v>
      </c>
      <c r="D830" s="163"/>
      <c r="E830" s="26" t="s">
        <v>48</v>
      </c>
      <c r="F830" s="30" t="s">
        <v>49</v>
      </c>
      <c r="G830" s="163"/>
      <c r="H830" s="163"/>
      <c r="I830" s="163"/>
      <c r="J830" s="165"/>
      <c r="K830" s="165"/>
      <c r="L830" s="165"/>
      <c r="M830" s="165"/>
      <c r="N830" s="165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  <c r="AA830" s="163"/>
      <c r="AB830" s="163"/>
      <c r="AC830" s="163"/>
      <c r="AD830" s="163"/>
      <c r="AE830" s="163"/>
      <c r="AF830" s="163"/>
      <c r="AG830" s="163"/>
      <c r="AH830" s="163"/>
      <c r="AI830" s="163"/>
      <c r="AJ830" s="163"/>
      <c r="AK830" s="163"/>
      <c r="AL830" s="163"/>
      <c r="AM830" s="163"/>
      <c r="AN830" s="163"/>
    </row>
    <row r="831" spans="1:40" s="100" customFormat="1" ht="46.8" x14ac:dyDescent="0.3">
      <c r="A831" s="160">
        <v>635</v>
      </c>
      <c r="B831" s="166" t="s">
        <v>1397</v>
      </c>
      <c r="C831" s="98" t="s">
        <v>2708</v>
      </c>
      <c r="D831" s="162" t="s">
        <v>2712</v>
      </c>
      <c r="E831" s="26" t="s">
        <v>144</v>
      </c>
      <c r="F831" s="30" t="s">
        <v>49</v>
      </c>
      <c r="G831" s="162" t="s">
        <v>2704</v>
      </c>
      <c r="H831" s="162">
        <v>17</v>
      </c>
      <c r="I831" s="162" t="str">
        <f t="shared" ref="I831" si="45">G831</f>
        <v>с ЛН</v>
      </c>
      <c r="J831" s="164">
        <v>3</v>
      </c>
      <c r="K831" s="164" t="s">
        <v>528</v>
      </c>
      <c r="L831" s="164" t="s">
        <v>528</v>
      </c>
      <c r="M831" s="164" t="s">
        <v>2705</v>
      </c>
      <c r="N831" s="164" t="s">
        <v>2705</v>
      </c>
      <c r="O831" s="162">
        <v>193</v>
      </c>
      <c r="P831" s="162" t="s">
        <v>2706</v>
      </c>
      <c r="Q831" s="162">
        <v>162</v>
      </c>
      <c r="R831" s="162" t="s">
        <v>2706</v>
      </c>
      <c r="S831" s="162">
        <v>126</v>
      </c>
      <c r="T831" s="162" t="s">
        <v>2706</v>
      </c>
      <c r="U831" s="162">
        <v>253</v>
      </c>
      <c r="V831" s="162" t="s">
        <v>2706</v>
      </c>
      <c r="W831" s="162">
        <v>225</v>
      </c>
      <c r="X831" s="162" t="s">
        <v>2706</v>
      </c>
      <c r="Y831" s="162">
        <v>223</v>
      </c>
      <c r="Z831" s="162" t="s">
        <v>2706</v>
      </c>
      <c r="AA831" s="162">
        <v>151</v>
      </c>
      <c r="AB831" s="162" t="s">
        <v>2706</v>
      </c>
      <c r="AC831" s="162">
        <v>152</v>
      </c>
      <c r="AD831" s="162" t="s">
        <v>2706</v>
      </c>
      <c r="AE831" s="162">
        <v>256</v>
      </c>
      <c r="AF831" s="162" t="s">
        <v>2706</v>
      </c>
      <c r="AG831" s="162">
        <v>206</v>
      </c>
      <c r="AH831" s="162" t="s">
        <v>2706</v>
      </c>
      <c r="AI831" s="162">
        <v>222</v>
      </c>
      <c r="AJ831" s="162" t="s">
        <v>2706</v>
      </c>
      <c r="AK831" s="162">
        <v>208</v>
      </c>
      <c r="AL831" s="162" t="s">
        <v>2706</v>
      </c>
      <c r="AM831" s="162">
        <v>2225</v>
      </c>
      <c r="AN831" s="162"/>
    </row>
    <row r="832" spans="1:40" s="100" customFormat="1" ht="46.8" x14ac:dyDescent="0.3">
      <c r="A832" s="161"/>
      <c r="B832" s="167"/>
      <c r="C832" s="98" t="s">
        <v>2708</v>
      </c>
      <c r="D832" s="163"/>
      <c r="E832" s="26" t="s">
        <v>48</v>
      </c>
      <c r="F832" s="30" t="s">
        <v>49</v>
      </c>
      <c r="G832" s="163"/>
      <c r="H832" s="163"/>
      <c r="I832" s="163"/>
      <c r="J832" s="165"/>
      <c r="K832" s="165"/>
      <c r="L832" s="165"/>
      <c r="M832" s="165"/>
      <c r="N832" s="165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  <c r="AA832" s="163"/>
      <c r="AB832" s="163"/>
      <c r="AC832" s="163"/>
      <c r="AD832" s="163"/>
      <c r="AE832" s="163"/>
      <c r="AF832" s="163"/>
      <c r="AG832" s="163"/>
      <c r="AH832" s="163"/>
      <c r="AI832" s="163"/>
      <c r="AJ832" s="163"/>
      <c r="AK832" s="163"/>
      <c r="AL832" s="163"/>
      <c r="AM832" s="163"/>
      <c r="AN832" s="163"/>
    </row>
    <row r="833" spans="1:40" s="100" customFormat="1" ht="46.8" x14ac:dyDescent="0.3">
      <c r="A833" s="160">
        <v>636</v>
      </c>
      <c r="B833" s="166" t="s">
        <v>1398</v>
      </c>
      <c r="C833" s="98" t="s">
        <v>2708</v>
      </c>
      <c r="D833" s="162" t="s">
        <v>2712</v>
      </c>
      <c r="E833" s="26" t="s">
        <v>144</v>
      </c>
      <c r="F833" s="30" t="s">
        <v>49</v>
      </c>
      <c r="G833" s="162" t="s">
        <v>2704</v>
      </c>
      <c r="H833" s="162">
        <v>60</v>
      </c>
      <c r="I833" s="162" t="str">
        <f t="shared" ref="I833" si="46">G833</f>
        <v>с ЛН</v>
      </c>
      <c r="J833" s="164">
        <v>10</v>
      </c>
      <c r="K833" s="164" t="s">
        <v>528</v>
      </c>
      <c r="L833" s="164" t="s">
        <v>528</v>
      </c>
      <c r="M833" s="164" t="s">
        <v>2705</v>
      </c>
      <c r="N833" s="164" t="s">
        <v>2705</v>
      </c>
      <c r="O833" s="162">
        <v>3659</v>
      </c>
      <c r="P833" s="162" t="s">
        <v>2706</v>
      </c>
      <c r="Q833" s="162">
        <v>3234</v>
      </c>
      <c r="R833" s="162" t="s">
        <v>2706</v>
      </c>
      <c r="S833" s="162">
        <v>2321</v>
      </c>
      <c r="T833" s="162" t="s">
        <v>2706</v>
      </c>
      <c r="U833" s="162">
        <v>2252</v>
      </c>
      <c r="V833" s="162" t="s">
        <v>2706</v>
      </c>
      <c r="W833" s="162">
        <v>1370</v>
      </c>
      <c r="X833" s="162" t="s">
        <v>2706</v>
      </c>
      <c r="Y833" s="162">
        <v>1534</v>
      </c>
      <c r="Z833" s="162" t="s">
        <v>2706</v>
      </c>
      <c r="AA833" s="162">
        <v>1026</v>
      </c>
      <c r="AB833" s="162" t="s">
        <v>2706</v>
      </c>
      <c r="AC833" s="162">
        <v>1087</v>
      </c>
      <c r="AD833" s="162" t="s">
        <v>2706</v>
      </c>
      <c r="AE833" s="162">
        <v>1911</v>
      </c>
      <c r="AF833" s="162" t="s">
        <v>2706</v>
      </c>
      <c r="AG833" s="162">
        <v>1171</v>
      </c>
      <c r="AH833" s="162" t="s">
        <v>2706</v>
      </c>
      <c r="AI833" s="162">
        <v>2041</v>
      </c>
      <c r="AJ833" s="162" t="s">
        <v>2706</v>
      </c>
      <c r="AK833" s="162">
        <v>1760</v>
      </c>
      <c r="AL833" s="162" t="s">
        <v>2706</v>
      </c>
      <c r="AM833" s="162">
        <v>22279</v>
      </c>
      <c r="AN833" s="162"/>
    </row>
    <row r="834" spans="1:40" s="100" customFormat="1" ht="46.8" x14ac:dyDescent="0.3">
      <c r="A834" s="161"/>
      <c r="B834" s="167"/>
      <c r="C834" s="98" t="s">
        <v>2708</v>
      </c>
      <c r="D834" s="163"/>
      <c r="E834" s="26" t="s">
        <v>48</v>
      </c>
      <c r="F834" s="30" t="s">
        <v>49</v>
      </c>
      <c r="G834" s="163"/>
      <c r="H834" s="163"/>
      <c r="I834" s="163"/>
      <c r="J834" s="165"/>
      <c r="K834" s="165"/>
      <c r="L834" s="165"/>
      <c r="M834" s="165"/>
      <c r="N834" s="165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  <c r="AA834" s="163"/>
      <c r="AB834" s="163"/>
      <c r="AC834" s="163"/>
      <c r="AD834" s="163"/>
      <c r="AE834" s="163"/>
      <c r="AF834" s="163"/>
      <c r="AG834" s="163"/>
      <c r="AH834" s="163"/>
      <c r="AI834" s="163"/>
      <c r="AJ834" s="163"/>
      <c r="AK834" s="163"/>
      <c r="AL834" s="163"/>
      <c r="AM834" s="163"/>
      <c r="AN834" s="163"/>
    </row>
    <row r="835" spans="1:40" s="100" customFormat="1" ht="46.8" x14ac:dyDescent="0.3">
      <c r="A835" s="160">
        <v>637</v>
      </c>
      <c r="B835" s="166" t="s">
        <v>1399</v>
      </c>
      <c r="C835" s="98" t="s">
        <v>2708</v>
      </c>
      <c r="D835" s="162" t="s">
        <v>2712</v>
      </c>
      <c r="E835" s="26" t="s">
        <v>144</v>
      </c>
      <c r="F835" s="30" t="s">
        <v>49</v>
      </c>
      <c r="G835" s="162" t="s">
        <v>2704</v>
      </c>
      <c r="H835" s="162">
        <v>36</v>
      </c>
      <c r="I835" s="162" t="str">
        <f t="shared" ref="I835" si="47">G835</f>
        <v>с ЛН</v>
      </c>
      <c r="J835" s="164">
        <v>6</v>
      </c>
      <c r="K835" s="164" t="s">
        <v>528</v>
      </c>
      <c r="L835" s="164" t="s">
        <v>528</v>
      </c>
      <c r="M835" s="164" t="s">
        <v>2705</v>
      </c>
      <c r="N835" s="164" t="s">
        <v>2705</v>
      </c>
      <c r="O835" s="162">
        <v>2035</v>
      </c>
      <c r="P835" s="162" t="s">
        <v>2706</v>
      </c>
      <c r="Q835" s="162">
        <v>1755</v>
      </c>
      <c r="R835" s="162" t="s">
        <v>2706</v>
      </c>
      <c r="S835" s="162">
        <v>1704</v>
      </c>
      <c r="T835" s="162" t="s">
        <v>2706</v>
      </c>
      <c r="U835" s="162">
        <v>2344</v>
      </c>
      <c r="V835" s="162" t="s">
        <v>2706</v>
      </c>
      <c r="W835" s="162">
        <v>1802</v>
      </c>
      <c r="X835" s="162" t="s">
        <v>2706</v>
      </c>
      <c r="Y835" s="162">
        <v>1611</v>
      </c>
      <c r="Z835" s="162" t="s">
        <v>2706</v>
      </c>
      <c r="AA835" s="162">
        <v>1726</v>
      </c>
      <c r="AB835" s="162" t="s">
        <v>2706</v>
      </c>
      <c r="AC835" s="162">
        <v>1348</v>
      </c>
      <c r="AD835" s="162" t="s">
        <v>2706</v>
      </c>
      <c r="AE835" s="162">
        <v>2742</v>
      </c>
      <c r="AF835" s="162" t="s">
        <v>2706</v>
      </c>
      <c r="AG835" s="162">
        <v>1237</v>
      </c>
      <c r="AH835" s="162" t="s">
        <v>2706</v>
      </c>
      <c r="AI835" s="162">
        <v>2063</v>
      </c>
      <c r="AJ835" s="162" t="s">
        <v>2706</v>
      </c>
      <c r="AK835" s="162">
        <v>1702</v>
      </c>
      <c r="AL835" s="162" t="s">
        <v>2706</v>
      </c>
      <c r="AM835" s="162">
        <v>20721</v>
      </c>
      <c r="AN835" s="162"/>
    </row>
    <row r="836" spans="1:40" s="100" customFormat="1" ht="46.8" x14ac:dyDescent="0.3">
      <c r="A836" s="161"/>
      <c r="B836" s="167"/>
      <c r="C836" s="98" t="s">
        <v>2708</v>
      </c>
      <c r="D836" s="163"/>
      <c r="E836" s="26" t="s">
        <v>48</v>
      </c>
      <c r="F836" s="30" t="s">
        <v>49</v>
      </c>
      <c r="G836" s="163"/>
      <c r="H836" s="163"/>
      <c r="I836" s="163"/>
      <c r="J836" s="165"/>
      <c r="K836" s="165"/>
      <c r="L836" s="165"/>
      <c r="M836" s="165"/>
      <c r="N836" s="165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  <c r="AA836" s="163"/>
      <c r="AB836" s="163"/>
      <c r="AC836" s="163"/>
      <c r="AD836" s="163"/>
      <c r="AE836" s="163"/>
      <c r="AF836" s="163"/>
      <c r="AG836" s="163"/>
      <c r="AH836" s="163"/>
      <c r="AI836" s="163"/>
      <c r="AJ836" s="163"/>
      <c r="AK836" s="163"/>
      <c r="AL836" s="163"/>
      <c r="AM836" s="163"/>
      <c r="AN836" s="163"/>
    </row>
    <row r="837" spans="1:40" s="100" customFormat="1" ht="46.8" x14ac:dyDescent="0.3">
      <c r="A837" s="160">
        <v>638</v>
      </c>
      <c r="B837" s="166" t="s">
        <v>1400</v>
      </c>
      <c r="C837" s="98" t="s">
        <v>2708</v>
      </c>
      <c r="D837" s="162" t="s">
        <v>2712</v>
      </c>
      <c r="E837" s="26" t="s">
        <v>144</v>
      </c>
      <c r="F837" s="30" t="s">
        <v>49</v>
      </c>
      <c r="G837" s="162" t="s">
        <v>2704</v>
      </c>
      <c r="H837" s="162">
        <v>26</v>
      </c>
      <c r="I837" s="162" t="str">
        <f t="shared" ref="I837" si="48">G837</f>
        <v>с ЛН</v>
      </c>
      <c r="J837" s="164">
        <v>4</v>
      </c>
      <c r="K837" s="164" t="s">
        <v>528</v>
      </c>
      <c r="L837" s="164" t="s">
        <v>528</v>
      </c>
      <c r="M837" s="164" t="s">
        <v>2705</v>
      </c>
      <c r="N837" s="164" t="s">
        <v>2705</v>
      </c>
      <c r="O837" s="162">
        <v>2132</v>
      </c>
      <c r="P837" s="162" t="s">
        <v>2706</v>
      </c>
      <c r="Q837" s="162">
        <v>1648</v>
      </c>
      <c r="R837" s="162" t="s">
        <v>2706</v>
      </c>
      <c r="S837" s="162">
        <v>1379</v>
      </c>
      <c r="T837" s="162" t="s">
        <v>2706</v>
      </c>
      <c r="U837" s="162">
        <v>2339</v>
      </c>
      <c r="V837" s="162" t="s">
        <v>2706</v>
      </c>
      <c r="W837" s="162">
        <v>1574</v>
      </c>
      <c r="X837" s="162" t="s">
        <v>2706</v>
      </c>
      <c r="Y837" s="162">
        <v>1927</v>
      </c>
      <c r="Z837" s="162" t="s">
        <v>2706</v>
      </c>
      <c r="AA837" s="162">
        <v>1332</v>
      </c>
      <c r="AB837" s="162" t="s">
        <v>2706</v>
      </c>
      <c r="AC837" s="162">
        <v>1231</v>
      </c>
      <c r="AD837" s="162" t="s">
        <v>2706</v>
      </c>
      <c r="AE837" s="162">
        <v>1990</v>
      </c>
      <c r="AF837" s="162" t="s">
        <v>2706</v>
      </c>
      <c r="AG837" s="162">
        <v>1372</v>
      </c>
      <c r="AH837" s="162" t="s">
        <v>2706</v>
      </c>
      <c r="AI837" s="162">
        <v>1656</v>
      </c>
      <c r="AJ837" s="162" t="s">
        <v>2706</v>
      </c>
      <c r="AK837" s="162">
        <v>1704</v>
      </c>
      <c r="AL837" s="162" t="s">
        <v>2706</v>
      </c>
      <c r="AM837" s="162">
        <v>19053</v>
      </c>
      <c r="AN837" s="162"/>
    </row>
    <row r="838" spans="1:40" s="100" customFormat="1" ht="46.8" x14ac:dyDescent="0.3">
      <c r="A838" s="161"/>
      <c r="B838" s="167"/>
      <c r="C838" s="98" t="s">
        <v>2708</v>
      </c>
      <c r="D838" s="163"/>
      <c r="E838" s="26" t="s">
        <v>48</v>
      </c>
      <c r="F838" s="30" t="s">
        <v>49</v>
      </c>
      <c r="G838" s="163"/>
      <c r="H838" s="163"/>
      <c r="I838" s="163"/>
      <c r="J838" s="165"/>
      <c r="K838" s="165"/>
      <c r="L838" s="165"/>
      <c r="M838" s="165"/>
      <c r="N838" s="165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  <c r="AA838" s="163"/>
      <c r="AB838" s="163"/>
      <c r="AC838" s="163"/>
      <c r="AD838" s="163"/>
      <c r="AE838" s="163"/>
      <c r="AF838" s="163"/>
      <c r="AG838" s="163"/>
      <c r="AH838" s="163"/>
      <c r="AI838" s="163"/>
      <c r="AJ838" s="163"/>
      <c r="AK838" s="163"/>
      <c r="AL838" s="163"/>
      <c r="AM838" s="163"/>
      <c r="AN838" s="163"/>
    </row>
    <row r="839" spans="1:40" s="100" customFormat="1" ht="46.8" x14ac:dyDescent="0.3">
      <c r="A839" s="160">
        <v>639</v>
      </c>
      <c r="B839" s="166" t="s">
        <v>1401</v>
      </c>
      <c r="C839" s="98" t="s">
        <v>2708</v>
      </c>
      <c r="D839" s="162" t="s">
        <v>2712</v>
      </c>
      <c r="E839" s="26" t="s">
        <v>144</v>
      </c>
      <c r="F839" s="30" t="s">
        <v>49</v>
      </c>
      <c r="G839" s="162" t="s">
        <v>2704</v>
      </c>
      <c r="H839" s="162">
        <v>42</v>
      </c>
      <c r="I839" s="162" t="str">
        <f t="shared" ref="I839" si="49">G839</f>
        <v>с ЛН</v>
      </c>
      <c r="J839" s="164">
        <v>7</v>
      </c>
      <c r="K839" s="164" t="s">
        <v>528</v>
      </c>
      <c r="L839" s="164" t="s">
        <v>528</v>
      </c>
      <c r="M839" s="164" t="s">
        <v>2705</v>
      </c>
      <c r="N839" s="164" t="s">
        <v>2705</v>
      </c>
      <c r="O839" s="162">
        <v>439</v>
      </c>
      <c r="P839" s="162" t="s">
        <v>2706</v>
      </c>
      <c r="Q839" s="162">
        <v>500</v>
      </c>
      <c r="R839" s="162" t="s">
        <v>2706</v>
      </c>
      <c r="S839" s="162">
        <v>285</v>
      </c>
      <c r="T839" s="162" t="s">
        <v>2706</v>
      </c>
      <c r="U839" s="162">
        <v>263</v>
      </c>
      <c r="V839" s="162" t="s">
        <v>2706</v>
      </c>
      <c r="W839" s="162">
        <v>316</v>
      </c>
      <c r="X839" s="162" t="s">
        <v>2706</v>
      </c>
      <c r="Y839" s="162">
        <v>289</v>
      </c>
      <c r="Z839" s="162" t="s">
        <v>2706</v>
      </c>
      <c r="AA839" s="162">
        <v>243</v>
      </c>
      <c r="AB839" s="162" t="s">
        <v>2706</v>
      </c>
      <c r="AC839" s="162">
        <v>313</v>
      </c>
      <c r="AD839" s="162" t="s">
        <v>2706</v>
      </c>
      <c r="AE839" s="162">
        <v>425</v>
      </c>
      <c r="AF839" s="162" t="s">
        <v>2706</v>
      </c>
      <c r="AG839" s="162">
        <v>608</v>
      </c>
      <c r="AH839" s="162" t="s">
        <v>2706</v>
      </c>
      <c r="AI839" s="162">
        <v>796</v>
      </c>
      <c r="AJ839" s="162" t="s">
        <v>2706</v>
      </c>
      <c r="AK839" s="162">
        <v>726</v>
      </c>
      <c r="AL839" s="162" t="s">
        <v>2706</v>
      </c>
      <c r="AM839" s="162">
        <v>4890</v>
      </c>
      <c r="AN839" s="162"/>
    </row>
    <row r="840" spans="1:40" s="100" customFormat="1" ht="46.8" x14ac:dyDescent="0.3">
      <c r="A840" s="161"/>
      <c r="B840" s="167"/>
      <c r="C840" s="98" t="s">
        <v>2708</v>
      </c>
      <c r="D840" s="163"/>
      <c r="E840" s="26" t="s">
        <v>48</v>
      </c>
      <c r="F840" s="30" t="s">
        <v>49</v>
      </c>
      <c r="G840" s="163"/>
      <c r="H840" s="163"/>
      <c r="I840" s="163"/>
      <c r="J840" s="165"/>
      <c r="K840" s="165"/>
      <c r="L840" s="165"/>
      <c r="M840" s="165"/>
      <c r="N840" s="165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  <c r="AA840" s="163"/>
      <c r="AB840" s="163"/>
      <c r="AC840" s="163"/>
      <c r="AD840" s="163"/>
      <c r="AE840" s="163"/>
      <c r="AF840" s="163"/>
      <c r="AG840" s="163"/>
      <c r="AH840" s="163"/>
      <c r="AI840" s="163"/>
      <c r="AJ840" s="163"/>
      <c r="AK840" s="163"/>
      <c r="AL840" s="163"/>
      <c r="AM840" s="163"/>
      <c r="AN840" s="163"/>
    </row>
    <row r="841" spans="1:40" s="100" customFormat="1" ht="46.8" x14ac:dyDescent="0.3">
      <c r="A841" s="160">
        <v>640</v>
      </c>
      <c r="B841" s="166" t="s">
        <v>1403</v>
      </c>
      <c r="C841" s="98" t="s">
        <v>2708</v>
      </c>
      <c r="D841" s="162" t="s">
        <v>2712</v>
      </c>
      <c r="E841" s="26" t="s">
        <v>144</v>
      </c>
      <c r="F841" s="30" t="s">
        <v>49</v>
      </c>
      <c r="G841" s="162" t="s">
        <v>2704</v>
      </c>
      <c r="H841" s="162">
        <v>16</v>
      </c>
      <c r="I841" s="162" t="str">
        <f t="shared" ref="I841:I847" si="50">G841</f>
        <v>с ЛН</v>
      </c>
      <c r="J841" s="164">
        <v>3</v>
      </c>
      <c r="K841" s="164" t="s">
        <v>528</v>
      </c>
      <c r="L841" s="164" t="s">
        <v>528</v>
      </c>
      <c r="M841" s="164" t="s">
        <v>2705</v>
      </c>
      <c r="N841" s="164" t="s">
        <v>2705</v>
      </c>
      <c r="O841" s="162">
        <v>951</v>
      </c>
      <c r="P841" s="162" t="s">
        <v>2706</v>
      </c>
      <c r="Q841" s="162">
        <v>853</v>
      </c>
      <c r="R841" s="162" t="s">
        <v>2706</v>
      </c>
      <c r="S841" s="162">
        <v>524</v>
      </c>
      <c r="T841" s="162" t="s">
        <v>2706</v>
      </c>
      <c r="U841" s="162">
        <v>994</v>
      </c>
      <c r="V841" s="162" t="s">
        <v>2706</v>
      </c>
      <c r="W841" s="162">
        <v>790</v>
      </c>
      <c r="X841" s="162" t="s">
        <v>2706</v>
      </c>
      <c r="Y841" s="162">
        <v>790</v>
      </c>
      <c r="Z841" s="162" t="s">
        <v>2706</v>
      </c>
      <c r="AA841" s="162">
        <v>790</v>
      </c>
      <c r="AB841" s="162" t="s">
        <v>2706</v>
      </c>
      <c r="AC841" s="162">
        <v>790</v>
      </c>
      <c r="AD841" s="162" t="s">
        <v>2706</v>
      </c>
      <c r="AE841" s="162">
        <v>566</v>
      </c>
      <c r="AF841" s="162" t="s">
        <v>2706</v>
      </c>
      <c r="AG841" s="162">
        <v>668</v>
      </c>
      <c r="AH841" s="162" t="s">
        <v>2706</v>
      </c>
      <c r="AI841" s="162">
        <v>466</v>
      </c>
      <c r="AJ841" s="162" t="s">
        <v>2706</v>
      </c>
      <c r="AK841" s="162">
        <v>541</v>
      </c>
      <c r="AL841" s="162" t="s">
        <v>2706</v>
      </c>
      <c r="AM841" s="162">
        <v>7933</v>
      </c>
      <c r="AN841" s="162"/>
    </row>
    <row r="842" spans="1:40" s="100" customFormat="1" ht="46.8" x14ac:dyDescent="0.3">
      <c r="A842" s="161"/>
      <c r="B842" s="167"/>
      <c r="C842" s="98" t="s">
        <v>2708</v>
      </c>
      <c r="D842" s="163"/>
      <c r="E842" s="26" t="s">
        <v>48</v>
      </c>
      <c r="F842" s="30" t="s">
        <v>49</v>
      </c>
      <c r="G842" s="163"/>
      <c r="H842" s="163"/>
      <c r="I842" s="163"/>
      <c r="J842" s="165"/>
      <c r="K842" s="165"/>
      <c r="L842" s="165"/>
      <c r="M842" s="165"/>
      <c r="N842" s="165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  <c r="AA842" s="163"/>
      <c r="AB842" s="163"/>
      <c r="AC842" s="163"/>
      <c r="AD842" s="163"/>
      <c r="AE842" s="163"/>
      <c r="AF842" s="163"/>
      <c r="AG842" s="163"/>
      <c r="AH842" s="163"/>
      <c r="AI842" s="163"/>
      <c r="AJ842" s="163"/>
      <c r="AK842" s="163"/>
      <c r="AL842" s="163"/>
      <c r="AM842" s="163"/>
      <c r="AN842" s="163"/>
    </row>
    <row r="843" spans="1:40" s="100" customFormat="1" ht="46.8" x14ac:dyDescent="0.3">
      <c r="A843" s="160">
        <v>641</v>
      </c>
      <c r="B843" s="166" t="s">
        <v>1404</v>
      </c>
      <c r="C843" s="98" t="s">
        <v>2708</v>
      </c>
      <c r="D843" s="162" t="s">
        <v>2712</v>
      </c>
      <c r="E843" s="26" t="s">
        <v>144</v>
      </c>
      <c r="F843" s="30" t="s">
        <v>49</v>
      </c>
      <c r="G843" s="162" t="s">
        <v>2704</v>
      </c>
      <c r="H843" s="162">
        <v>17</v>
      </c>
      <c r="I843" s="162" t="str">
        <f t="shared" si="50"/>
        <v>с ЛН</v>
      </c>
      <c r="J843" s="164">
        <v>3</v>
      </c>
      <c r="K843" s="164" t="s">
        <v>528</v>
      </c>
      <c r="L843" s="164" t="s">
        <v>528</v>
      </c>
      <c r="M843" s="164" t="s">
        <v>2705</v>
      </c>
      <c r="N843" s="164" t="s">
        <v>2705</v>
      </c>
      <c r="O843" s="162">
        <v>0</v>
      </c>
      <c r="P843" s="162" t="s">
        <v>2706</v>
      </c>
      <c r="Q843" s="162">
        <v>0</v>
      </c>
      <c r="R843" s="162" t="s">
        <v>2706</v>
      </c>
      <c r="S843" s="162">
        <v>0</v>
      </c>
      <c r="T843" s="162" t="s">
        <v>2706</v>
      </c>
      <c r="U843" s="162">
        <v>0</v>
      </c>
      <c r="V843" s="162" t="s">
        <v>2706</v>
      </c>
      <c r="W843" s="162">
        <v>0</v>
      </c>
      <c r="X843" s="162" t="s">
        <v>2706</v>
      </c>
      <c r="Y843" s="162">
        <v>0</v>
      </c>
      <c r="Z843" s="162" t="s">
        <v>2706</v>
      </c>
      <c r="AA843" s="162">
        <v>0</v>
      </c>
      <c r="AB843" s="162" t="s">
        <v>2706</v>
      </c>
      <c r="AC843" s="162">
        <v>0</v>
      </c>
      <c r="AD843" s="162" t="s">
        <v>2706</v>
      </c>
      <c r="AE843" s="162">
        <v>0</v>
      </c>
      <c r="AF843" s="162" t="s">
        <v>2706</v>
      </c>
      <c r="AG843" s="162">
        <v>0</v>
      </c>
      <c r="AH843" s="162" t="s">
        <v>2706</v>
      </c>
      <c r="AI843" s="162">
        <v>0</v>
      </c>
      <c r="AJ843" s="162" t="s">
        <v>2706</v>
      </c>
      <c r="AK843" s="162">
        <v>0</v>
      </c>
      <c r="AL843" s="162" t="s">
        <v>2706</v>
      </c>
      <c r="AM843" s="162">
        <v>0</v>
      </c>
      <c r="AN843" s="162"/>
    </row>
    <row r="844" spans="1:40" s="100" customFormat="1" ht="46.8" x14ac:dyDescent="0.3">
      <c r="A844" s="161"/>
      <c r="B844" s="167"/>
      <c r="C844" s="98" t="s">
        <v>2708</v>
      </c>
      <c r="D844" s="163"/>
      <c r="E844" s="26" t="s">
        <v>48</v>
      </c>
      <c r="F844" s="30" t="s">
        <v>49</v>
      </c>
      <c r="G844" s="163"/>
      <c r="H844" s="163"/>
      <c r="I844" s="163"/>
      <c r="J844" s="165"/>
      <c r="K844" s="165"/>
      <c r="L844" s="165"/>
      <c r="M844" s="165"/>
      <c r="N844" s="165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  <c r="AA844" s="163"/>
      <c r="AB844" s="163"/>
      <c r="AC844" s="163"/>
      <c r="AD844" s="163"/>
      <c r="AE844" s="163"/>
      <c r="AF844" s="163"/>
      <c r="AG844" s="163"/>
      <c r="AH844" s="163"/>
      <c r="AI844" s="163"/>
      <c r="AJ844" s="163"/>
      <c r="AK844" s="163"/>
      <c r="AL844" s="163"/>
      <c r="AM844" s="163"/>
      <c r="AN844" s="163"/>
    </row>
    <row r="845" spans="1:40" s="100" customFormat="1" ht="46.8" x14ac:dyDescent="0.3">
      <c r="A845" s="160">
        <v>642</v>
      </c>
      <c r="B845" s="166" t="s">
        <v>1406</v>
      </c>
      <c r="C845" s="98" t="s">
        <v>2708</v>
      </c>
      <c r="D845" s="162" t="s">
        <v>2712</v>
      </c>
      <c r="E845" s="26" t="s">
        <v>144</v>
      </c>
      <c r="F845" s="30" t="s">
        <v>49</v>
      </c>
      <c r="G845" s="162" t="s">
        <v>2704</v>
      </c>
      <c r="H845" s="162">
        <v>27</v>
      </c>
      <c r="I845" s="162" t="str">
        <f t="shared" si="50"/>
        <v>с ЛН</v>
      </c>
      <c r="J845" s="164">
        <v>5</v>
      </c>
      <c r="K845" s="164" t="s">
        <v>528</v>
      </c>
      <c r="L845" s="164" t="s">
        <v>528</v>
      </c>
      <c r="M845" s="164" t="s">
        <v>2705</v>
      </c>
      <c r="N845" s="164" t="s">
        <v>2705</v>
      </c>
      <c r="O845" s="162">
        <v>983</v>
      </c>
      <c r="P845" s="162" t="s">
        <v>2706</v>
      </c>
      <c r="Q845" s="162">
        <v>847</v>
      </c>
      <c r="R845" s="162" t="s">
        <v>2706</v>
      </c>
      <c r="S845" s="162">
        <v>495</v>
      </c>
      <c r="T845" s="162" t="s">
        <v>2706</v>
      </c>
      <c r="U845" s="162">
        <v>904</v>
      </c>
      <c r="V845" s="162" t="s">
        <v>2706</v>
      </c>
      <c r="W845" s="162">
        <v>685</v>
      </c>
      <c r="X845" s="162" t="s">
        <v>2706</v>
      </c>
      <c r="Y845" s="162">
        <v>563</v>
      </c>
      <c r="Z845" s="162" t="s">
        <v>2706</v>
      </c>
      <c r="AA845" s="162">
        <v>602</v>
      </c>
      <c r="AB845" s="162" t="s">
        <v>2706</v>
      </c>
      <c r="AC845" s="162">
        <v>540</v>
      </c>
      <c r="AD845" s="162" t="s">
        <v>2706</v>
      </c>
      <c r="AE845" s="162">
        <v>879</v>
      </c>
      <c r="AF845" s="162" t="s">
        <v>2706</v>
      </c>
      <c r="AG845" s="162">
        <v>635</v>
      </c>
      <c r="AH845" s="162" t="s">
        <v>2706</v>
      </c>
      <c r="AI845" s="162">
        <v>1401</v>
      </c>
      <c r="AJ845" s="162" t="s">
        <v>2706</v>
      </c>
      <c r="AK845" s="162">
        <v>726</v>
      </c>
      <c r="AL845" s="162" t="s">
        <v>2706</v>
      </c>
      <c r="AM845" s="162">
        <v>8720</v>
      </c>
      <c r="AN845" s="162"/>
    </row>
    <row r="846" spans="1:40" s="100" customFormat="1" ht="46.8" x14ac:dyDescent="0.3">
      <c r="A846" s="161"/>
      <c r="B846" s="167"/>
      <c r="C846" s="98" t="s">
        <v>2708</v>
      </c>
      <c r="D846" s="163"/>
      <c r="E846" s="26" t="s">
        <v>48</v>
      </c>
      <c r="F846" s="30" t="s">
        <v>49</v>
      </c>
      <c r="G846" s="163"/>
      <c r="H846" s="163"/>
      <c r="I846" s="163"/>
      <c r="J846" s="165"/>
      <c r="K846" s="165"/>
      <c r="L846" s="165"/>
      <c r="M846" s="165"/>
      <c r="N846" s="165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  <c r="AA846" s="163"/>
      <c r="AB846" s="163"/>
      <c r="AC846" s="163"/>
      <c r="AD846" s="163"/>
      <c r="AE846" s="163"/>
      <c r="AF846" s="163"/>
      <c r="AG846" s="163"/>
      <c r="AH846" s="163"/>
      <c r="AI846" s="163"/>
      <c r="AJ846" s="163"/>
      <c r="AK846" s="163"/>
      <c r="AL846" s="163"/>
      <c r="AM846" s="163"/>
      <c r="AN846" s="163"/>
    </row>
    <row r="847" spans="1:40" s="100" customFormat="1" ht="46.8" x14ac:dyDescent="0.3">
      <c r="A847" s="160">
        <v>643</v>
      </c>
      <c r="B847" s="166" t="s">
        <v>1407</v>
      </c>
      <c r="C847" s="98" t="s">
        <v>2708</v>
      </c>
      <c r="D847" s="162" t="s">
        <v>2712</v>
      </c>
      <c r="E847" s="26" t="s">
        <v>144</v>
      </c>
      <c r="F847" s="30" t="s">
        <v>49</v>
      </c>
      <c r="G847" s="162" t="s">
        <v>2704</v>
      </c>
      <c r="H847" s="162">
        <v>30</v>
      </c>
      <c r="I847" s="162" t="str">
        <f t="shared" si="50"/>
        <v>с ЛН</v>
      </c>
      <c r="J847" s="164">
        <v>5</v>
      </c>
      <c r="K847" s="164" t="s">
        <v>528</v>
      </c>
      <c r="L847" s="164" t="s">
        <v>528</v>
      </c>
      <c r="M847" s="164" t="s">
        <v>2705</v>
      </c>
      <c r="N847" s="164" t="s">
        <v>2705</v>
      </c>
      <c r="O847" s="162">
        <v>0</v>
      </c>
      <c r="P847" s="162" t="s">
        <v>2706</v>
      </c>
      <c r="Q847" s="162">
        <v>0</v>
      </c>
      <c r="R847" s="162" t="s">
        <v>2706</v>
      </c>
      <c r="S847" s="162">
        <v>0</v>
      </c>
      <c r="T847" s="162" t="s">
        <v>2706</v>
      </c>
      <c r="U847" s="162">
        <v>0</v>
      </c>
      <c r="V847" s="162" t="s">
        <v>2706</v>
      </c>
      <c r="W847" s="162">
        <v>0</v>
      </c>
      <c r="X847" s="162" t="s">
        <v>2706</v>
      </c>
      <c r="Y847" s="162">
        <v>0</v>
      </c>
      <c r="Z847" s="162" t="s">
        <v>2706</v>
      </c>
      <c r="AA847" s="162">
        <v>1051</v>
      </c>
      <c r="AB847" s="162" t="s">
        <v>2706</v>
      </c>
      <c r="AC847" s="162" t="s">
        <v>2624</v>
      </c>
      <c r="AD847" s="162" t="s">
        <v>2706</v>
      </c>
      <c r="AE847" s="162" t="s">
        <v>2624</v>
      </c>
      <c r="AF847" s="162" t="s">
        <v>2706</v>
      </c>
      <c r="AG847" s="162">
        <v>1078</v>
      </c>
      <c r="AH847" s="162" t="s">
        <v>2706</v>
      </c>
      <c r="AI847" s="162">
        <v>1014</v>
      </c>
      <c r="AJ847" s="162" t="s">
        <v>2706</v>
      </c>
      <c r="AK847" s="162">
        <v>1059</v>
      </c>
      <c r="AL847" s="162" t="s">
        <v>2706</v>
      </c>
      <c r="AM847" s="162">
        <v>4202</v>
      </c>
      <c r="AN847" s="162"/>
    </row>
    <row r="848" spans="1:40" s="100" customFormat="1" ht="46.8" x14ac:dyDescent="0.3">
      <c r="A848" s="161"/>
      <c r="B848" s="167"/>
      <c r="C848" s="98" t="s">
        <v>2708</v>
      </c>
      <c r="D848" s="163"/>
      <c r="E848" s="26" t="s">
        <v>48</v>
      </c>
      <c r="F848" s="30" t="s">
        <v>49</v>
      </c>
      <c r="G848" s="163"/>
      <c r="H848" s="163"/>
      <c r="I848" s="163"/>
      <c r="J848" s="165"/>
      <c r="K848" s="165"/>
      <c r="L848" s="165"/>
      <c r="M848" s="165"/>
      <c r="N848" s="165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  <c r="AA848" s="163"/>
      <c r="AB848" s="163"/>
      <c r="AC848" s="163"/>
      <c r="AD848" s="163"/>
      <c r="AE848" s="163"/>
      <c r="AF848" s="163"/>
      <c r="AG848" s="163"/>
      <c r="AH848" s="163"/>
      <c r="AI848" s="163"/>
      <c r="AJ848" s="163"/>
      <c r="AK848" s="163"/>
      <c r="AL848" s="163"/>
      <c r="AM848" s="163"/>
      <c r="AN848" s="163"/>
    </row>
    <row r="849" spans="1:42" s="100" customFormat="1" ht="46.8" x14ac:dyDescent="0.3">
      <c r="A849" s="160">
        <v>644</v>
      </c>
      <c r="B849" s="166" t="s">
        <v>1408</v>
      </c>
      <c r="C849" s="98" t="s">
        <v>2708</v>
      </c>
      <c r="D849" s="162" t="s">
        <v>2712</v>
      </c>
      <c r="E849" s="26" t="s">
        <v>144</v>
      </c>
      <c r="F849" s="30" t="s">
        <v>49</v>
      </c>
      <c r="G849" s="162" t="s">
        <v>2707</v>
      </c>
      <c r="H849" s="162">
        <v>40</v>
      </c>
      <c r="I849" s="162" t="s">
        <v>2704</v>
      </c>
      <c r="J849" s="164">
        <v>6</v>
      </c>
      <c r="K849" s="164" t="s">
        <v>528</v>
      </c>
      <c r="L849" s="164" t="s">
        <v>528</v>
      </c>
      <c r="M849" s="164" t="s">
        <v>2705</v>
      </c>
      <c r="N849" s="164" t="s">
        <v>2705</v>
      </c>
      <c r="O849" s="162">
        <v>1321</v>
      </c>
      <c r="P849" s="162" t="s">
        <v>2706</v>
      </c>
      <c r="Q849" s="162">
        <v>1144</v>
      </c>
      <c r="R849" s="162" t="s">
        <v>2706</v>
      </c>
      <c r="S849" s="162">
        <v>804</v>
      </c>
      <c r="T849" s="162" t="s">
        <v>2706</v>
      </c>
      <c r="U849" s="162">
        <v>1176</v>
      </c>
      <c r="V849" s="162" t="s">
        <v>2706</v>
      </c>
      <c r="W849" s="162">
        <v>917</v>
      </c>
      <c r="X849" s="162" t="s">
        <v>2706</v>
      </c>
      <c r="Y849" s="162">
        <v>966</v>
      </c>
      <c r="Z849" s="162" t="s">
        <v>2706</v>
      </c>
      <c r="AA849" s="162">
        <v>966</v>
      </c>
      <c r="AB849" s="162" t="s">
        <v>2706</v>
      </c>
      <c r="AC849" s="162">
        <v>600</v>
      </c>
      <c r="AD849" s="162" t="s">
        <v>2706</v>
      </c>
      <c r="AE849" s="162">
        <v>709</v>
      </c>
      <c r="AF849" s="162" t="s">
        <v>2706</v>
      </c>
      <c r="AG849" s="162">
        <v>1218</v>
      </c>
      <c r="AH849" s="162" t="s">
        <v>2706</v>
      </c>
      <c r="AI849" s="162">
        <v>1540</v>
      </c>
      <c r="AJ849" s="162" t="s">
        <v>2706</v>
      </c>
      <c r="AK849" s="162">
        <v>1406</v>
      </c>
      <c r="AL849" s="162" t="s">
        <v>2706</v>
      </c>
      <c r="AM849" s="162">
        <v>12167</v>
      </c>
      <c r="AN849" s="162"/>
    </row>
    <row r="850" spans="1:42" s="100" customFormat="1" ht="46.8" x14ac:dyDescent="0.3">
      <c r="A850" s="161"/>
      <c r="B850" s="167"/>
      <c r="C850" s="98" t="s">
        <v>2708</v>
      </c>
      <c r="D850" s="163"/>
      <c r="E850" s="26" t="s">
        <v>48</v>
      </c>
      <c r="F850" s="30" t="s">
        <v>49</v>
      </c>
      <c r="G850" s="163"/>
      <c r="H850" s="163"/>
      <c r="I850" s="163"/>
      <c r="J850" s="165"/>
      <c r="K850" s="165"/>
      <c r="L850" s="165"/>
      <c r="M850" s="165"/>
      <c r="N850" s="165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  <c r="AA850" s="163"/>
      <c r="AB850" s="163"/>
      <c r="AC850" s="163"/>
      <c r="AD850" s="163"/>
      <c r="AE850" s="163"/>
      <c r="AF850" s="163"/>
      <c r="AG850" s="163"/>
      <c r="AH850" s="163"/>
      <c r="AI850" s="163"/>
      <c r="AJ850" s="163"/>
      <c r="AK850" s="163"/>
      <c r="AL850" s="163"/>
      <c r="AM850" s="163"/>
      <c r="AN850" s="163"/>
    </row>
    <row r="851" spans="1:42" s="100" customFormat="1" ht="46.8" x14ac:dyDescent="0.3">
      <c r="A851" s="100">
        <v>465</v>
      </c>
      <c r="B851" s="166" t="s">
        <v>1409</v>
      </c>
      <c r="C851" s="98" t="s">
        <v>2708</v>
      </c>
      <c r="D851" s="162" t="s">
        <v>2712</v>
      </c>
      <c r="E851" s="26" t="s">
        <v>144</v>
      </c>
      <c r="F851" s="30" t="s">
        <v>49</v>
      </c>
      <c r="G851" s="162" t="s">
        <v>2704</v>
      </c>
      <c r="H851" s="162">
        <v>36</v>
      </c>
      <c r="I851" s="162" t="str">
        <f>G851</f>
        <v>с ЛН</v>
      </c>
      <c r="J851" s="164">
        <v>6</v>
      </c>
      <c r="K851" s="164" t="s">
        <v>528</v>
      </c>
      <c r="L851" s="164" t="s">
        <v>528</v>
      </c>
      <c r="M851" s="164" t="s">
        <v>2705</v>
      </c>
      <c r="N851" s="164" t="s">
        <v>2705</v>
      </c>
      <c r="O851" s="162">
        <v>965</v>
      </c>
      <c r="P851" s="162" t="s">
        <v>2706</v>
      </c>
      <c r="Q851" s="162">
        <v>872</v>
      </c>
      <c r="R851" s="162" t="s">
        <v>2706</v>
      </c>
      <c r="S851" s="162">
        <v>523</v>
      </c>
      <c r="T851" s="162" t="s">
        <v>2706</v>
      </c>
      <c r="U851" s="162">
        <v>942</v>
      </c>
      <c r="V851" s="162" t="s">
        <v>2706</v>
      </c>
      <c r="W851" s="162">
        <v>851</v>
      </c>
      <c r="X851" s="162" t="s">
        <v>2706</v>
      </c>
      <c r="Y851" s="162">
        <v>954</v>
      </c>
      <c r="Z851" s="162" t="s">
        <v>2706</v>
      </c>
      <c r="AA851" s="162">
        <v>683</v>
      </c>
      <c r="AB851" s="162" t="s">
        <v>2706</v>
      </c>
      <c r="AC851" s="162">
        <v>647</v>
      </c>
      <c r="AD851" s="162" t="s">
        <v>2706</v>
      </c>
      <c r="AE851" s="162">
        <v>1121</v>
      </c>
      <c r="AF851" s="162" t="s">
        <v>2706</v>
      </c>
      <c r="AG851" s="162">
        <v>729</v>
      </c>
      <c r="AH851" s="162" t="s">
        <v>2706</v>
      </c>
      <c r="AI851" s="162">
        <v>1066</v>
      </c>
      <c r="AJ851" s="162" t="s">
        <v>2706</v>
      </c>
      <c r="AK851" s="162">
        <v>868</v>
      </c>
      <c r="AL851" s="162" t="s">
        <v>2706</v>
      </c>
      <c r="AM851" s="162">
        <v>9574</v>
      </c>
      <c r="AN851" s="162"/>
      <c r="AP851" s="168"/>
    </row>
    <row r="852" spans="1:42" s="100" customFormat="1" ht="46.8" x14ac:dyDescent="0.3">
      <c r="B852" s="167"/>
      <c r="C852" s="98" t="s">
        <v>2708</v>
      </c>
      <c r="D852" s="163"/>
      <c r="E852" s="26" t="s">
        <v>48</v>
      </c>
      <c r="F852" s="30" t="s">
        <v>49</v>
      </c>
      <c r="G852" s="163"/>
      <c r="H852" s="163"/>
      <c r="I852" s="163"/>
      <c r="J852" s="165"/>
      <c r="K852" s="165"/>
      <c r="L852" s="165"/>
      <c r="M852" s="165"/>
      <c r="N852" s="165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  <c r="AA852" s="163"/>
      <c r="AB852" s="163"/>
      <c r="AC852" s="163"/>
      <c r="AD852" s="163"/>
      <c r="AE852" s="163"/>
      <c r="AF852" s="163"/>
      <c r="AG852" s="163"/>
      <c r="AH852" s="163"/>
      <c r="AI852" s="163"/>
      <c r="AJ852" s="163"/>
      <c r="AK852" s="163"/>
      <c r="AL852" s="163"/>
      <c r="AM852" s="163"/>
      <c r="AN852" s="163"/>
      <c r="AP852" s="169"/>
    </row>
    <row r="853" spans="1:42" s="100" customFormat="1" ht="46.8" x14ac:dyDescent="0.3">
      <c r="A853" s="160">
        <v>446</v>
      </c>
      <c r="B853" s="166" t="s">
        <v>1410</v>
      </c>
      <c r="C853" s="98" t="s">
        <v>2708</v>
      </c>
      <c r="D853" s="162" t="s">
        <v>2712</v>
      </c>
      <c r="E853" s="26" t="s">
        <v>144</v>
      </c>
      <c r="F853" s="30" t="s">
        <v>49</v>
      </c>
      <c r="G853" s="162" t="s">
        <v>2704</v>
      </c>
      <c r="H853" s="162">
        <v>48</v>
      </c>
      <c r="I853" s="162" t="str">
        <f t="shared" ref="I853" si="51">G853</f>
        <v>с ЛН</v>
      </c>
      <c r="J853" s="164">
        <v>8</v>
      </c>
      <c r="K853" s="164" t="s">
        <v>528</v>
      </c>
      <c r="L853" s="164" t="s">
        <v>528</v>
      </c>
      <c r="M853" s="164" t="s">
        <v>2705</v>
      </c>
      <c r="N853" s="164" t="s">
        <v>2705</v>
      </c>
      <c r="O853" s="162">
        <v>5036</v>
      </c>
      <c r="P853" s="162" t="s">
        <v>2706</v>
      </c>
      <c r="Q853" s="162">
        <v>4561</v>
      </c>
      <c r="R853" s="162" t="s">
        <v>2706</v>
      </c>
      <c r="S853" s="162">
        <v>2759</v>
      </c>
      <c r="T853" s="162" t="s">
        <v>2706</v>
      </c>
      <c r="U853" s="162">
        <v>4651</v>
      </c>
      <c r="V853" s="162" t="s">
        <v>2706</v>
      </c>
      <c r="W853" s="162">
        <v>3493</v>
      </c>
      <c r="X853" s="162" t="s">
        <v>2706</v>
      </c>
      <c r="Y853" s="162">
        <v>3406</v>
      </c>
      <c r="Z853" s="162" t="s">
        <v>2706</v>
      </c>
      <c r="AA853" s="162">
        <v>3727</v>
      </c>
      <c r="AB853" s="162" t="s">
        <v>2706</v>
      </c>
      <c r="AC853" s="162">
        <v>3724</v>
      </c>
      <c r="AD853" s="162" t="s">
        <v>2706</v>
      </c>
      <c r="AE853" s="162">
        <v>3171</v>
      </c>
      <c r="AF853" s="162" t="s">
        <v>2706</v>
      </c>
      <c r="AG853" s="162">
        <v>4073</v>
      </c>
      <c r="AH853" s="162" t="s">
        <v>2706</v>
      </c>
      <c r="AI853" s="162">
        <v>1064</v>
      </c>
      <c r="AJ853" s="162" t="s">
        <v>2706</v>
      </c>
      <c r="AK853" s="162">
        <v>4028</v>
      </c>
      <c r="AL853" s="162" t="s">
        <v>2706</v>
      </c>
      <c r="AM853" s="162">
        <v>39969</v>
      </c>
      <c r="AN853" s="162"/>
      <c r="AP853" s="168"/>
    </row>
    <row r="854" spans="1:42" s="100" customFormat="1" ht="46.8" x14ac:dyDescent="0.3">
      <c r="A854" s="161"/>
      <c r="B854" s="167"/>
      <c r="C854" s="98" t="s">
        <v>2708</v>
      </c>
      <c r="D854" s="163"/>
      <c r="E854" s="26" t="s">
        <v>48</v>
      </c>
      <c r="F854" s="30" t="s">
        <v>49</v>
      </c>
      <c r="G854" s="163"/>
      <c r="H854" s="163"/>
      <c r="I854" s="163"/>
      <c r="J854" s="165"/>
      <c r="K854" s="165"/>
      <c r="L854" s="165"/>
      <c r="M854" s="165"/>
      <c r="N854" s="165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  <c r="AA854" s="163"/>
      <c r="AB854" s="163"/>
      <c r="AC854" s="163"/>
      <c r="AD854" s="163"/>
      <c r="AE854" s="163"/>
      <c r="AF854" s="163"/>
      <c r="AG854" s="163"/>
      <c r="AH854" s="163"/>
      <c r="AI854" s="163"/>
      <c r="AJ854" s="163"/>
      <c r="AK854" s="163"/>
      <c r="AL854" s="163"/>
      <c r="AM854" s="163"/>
      <c r="AN854" s="163"/>
      <c r="AP854" s="169"/>
    </row>
    <row r="855" spans="1:42" s="100" customFormat="1" ht="46.8" x14ac:dyDescent="0.3">
      <c r="A855" s="160">
        <v>647</v>
      </c>
      <c r="B855" s="166" t="s">
        <v>1411</v>
      </c>
      <c r="C855" s="98" t="s">
        <v>2708</v>
      </c>
      <c r="D855" s="162" t="s">
        <v>2712</v>
      </c>
      <c r="E855" s="26" t="s">
        <v>144</v>
      </c>
      <c r="F855" s="30" t="s">
        <v>49</v>
      </c>
      <c r="G855" s="162" t="s">
        <v>2704</v>
      </c>
      <c r="H855" s="162">
        <v>22</v>
      </c>
      <c r="I855" s="162" t="str">
        <f t="shared" ref="I855" si="52">G855</f>
        <v>с ЛН</v>
      </c>
      <c r="J855" s="164">
        <v>4</v>
      </c>
      <c r="K855" s="164" t="s">
        <v>529</v>
      </c>
      <c r="L855" s="164" t="s">
        <v>529</v>
      </c>
      <c r="M855" s="164" t="s">
        <v>2705</v>
      </c>
      <c r="N855" s="164" t="s">
        <v>2705</v>
      </c>
      <c r="O855" s="162">
        <v>1603</v>
      </c>
      <c r="P855" s="162" t="s">
        <v>2706</v>
      </c>
      <c r="Q855" s="162">
        <v>1316</v>
      </c>
      <c r="R855" s="162" t="s">
        <v>2706</v>
      </c>
      <c r="S855" s="162">
        <v>718</v>
      </c>
      <c r="T855" s="162" t="s">
        <v>2706</v>
      </c>
      <c r="U855" s="162">
        <v>903</v>
      </c>
      <c r="V855" s="162" t="s">
        <v>2706</v>
      </c>
      <c r="W855" s="162">
        <v>685</v>
      </c>
      <c r="X855" s="162" t="s">
        <v>2706</v>
      </c>
      <c r="Y855" s="162">
        <v>676</v>
      </c>
      <c r="Z855" s="162" t="s">
        <v>2706</v>
      </c>
      <c r="AA855" s="162">
        <v>470</v>
      </c>
      <c r="AB855" s="162" t="s">
        <v>2706</v>
      </c>
      <c r="AC855" s="162">
        <v>552</v>
      </c>
      <c r="AD855" s="162" t="s">
        <v>2706</v>
      </c>
      <c r="AE855" s="162">
        <v>817</v>
      </c>
      <c r="AF855" s="162" t="s">
        <v>2706</v>
      </c>
      <c r="AG855" s="162">
        <v>652</v>
      </c>
      <c r="AH855" s="162" t="s">
        <v>2706</v>
      </c>
      <c r="AI855" s="162">
        <v>0</v>
      </c>
      <c r="AJ855" s="162" t="s">
        <v>2706</v>
      </c>
      <c r="AK855" s="162">
        <v>1019</v>
      </c>
      <c r="AL855" s="162" t="s">
        <v>2706</v>
      </c>
      <c r="AM855" s="162">
        <v>8859</v>
      </c>
      <c r="AN855" s="162"/>
      <c r="AP855" s="168"/>
    </row>
    <row r="856" spans="1:42" s="100" customFormat="1" ht="46.8" x14ac:dyDescent="0.3">
      <c r="A856" s="161"/>
      <c r="B856" s="167"/>
      <c r="C856" s="98" t="s">
        <v>2708</v>
      </c>
      <c r="D856" s="163"/>
      <c r="E856" s="26" t="s">
        <v>48</v>
      </c>
      <c r="F856" s="30" t="s">
        <v>49</v>
      </c>
      <c r="G856" s="163"/>
      <c r="H856" s="163"/>
      <c r="I856" s="163"/>
      <c r="J856" s="165"/>
      <c r="K856" s="165"/>
      <c r="L856" s="165"/>
      <c r="M856" s="165"/>
      <c r="N856" s="165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  <c r="AA856" s="163"/>
      <c r="AB856" s="163"/>
      <c r="AC856" s="163"/>
      <c r="AD856" s="163"/>
      <c r="AE856" s="163"/>
      <c r="AF856" s="163"/>
      <c r="AG856" s="163"/>
      <c r="AH856" s="163"/>
      <c r="AI856" s="163"/>
      <c r="AJ856" s="163"/>
      <c r="AK856" s="163"/>
      <c r="AL856" s="163"/>
      <c r="AM856" s="163"/>
      <c r="AN856" s="163"/>
      <c r="AP856" s="169"/>
    </row>
    <row r="857" spans="1:42" s="100" customFormat="1" ht="46.8" x14ac:dyDescent="0.3">
      <c r="A857" s="160">
        <v>648</v>
      </c>
      <c r="B857" s="166" t="s">
        <v>1412</v>
      </c>
      <c r="C857" s="98" t="s">
        <v>2708</v>
      </c>
      <c r="D857" s="162" t="s">
        <v>2712</v>
      </c>
      <c r="E857" s="26" t="s">
        <v>144</v>
      </c>
      <c r="F857" s="30" t="s">
        <v>49</v>
      </c>
      <c r="G857" s="162" t="s">
        <v>2704</v>
      </c>
      <c r="H857" s="162">
        <v>22</v>
      </c>
      <c r="I857" s="162" t="str">
        <f t="shared" ref="I857" si="53">G857</f>
        <v>с ЛН</v>
      </c>
      <c r="J857" s="164">
        <v>4</v>
      </c>
      <c r="K857" s="164" t="s">
        <v>528</v>
      </c>
      <c r="L857" s="164" t="s">
        <v>528</v>
      </c>
      <c r="M857" s="164" t="s">
        <v>2705</v>
      </c>
      <c r="N857" s="164" t="s">
        <v>2705</v>
      </c>
      <c r="O857" s="162">
        <v>472</v>
      </c>
      <c r="P857" s="162" t="s">
        <v>2706</v>
      </c>
      <c r="Q857" s="162">
        <v>411</v>
      </c>
      <c r="R857" s="162" t="s">
        <v>2706</v>
      </c>
      <c r="S857" s="162">
        <v>187</v>
      </c>
      <c r="T857" s="162" t="s">
        <v>2706</v>
      </c>
      <c r="U857" s="162">
        <v>266</v>
      </c>
      <c r="V857" s="162" t="s">
        <v>2706</v>
      </c>
      <c r="W857" s="162">
        <v>215</v>
      </c>
      <c r="X857" s="162" t="s">
        <v>2706</v>
      </c>
      <c r="Y857" s="162">
        <v>210</v>
      </c>
      <c r="Z857" s="162" t="s">
        <v>2706</v>
      </c>
      <c r="AA857" s="162">
        <v>145</v>
      </c>
      <c r="AB857" s="162" t="s">
        <v>2706</v>
      </c>
      <c r="AC857" s="162">
        <v>132</v>
      </c>
      <c r="AD857" s="162" t="s">
        <v>2706</v>
      </c>
      <c r="AE857" s="162">
        <v>314</v>
      </c>
      <c r="AF857" s="162" t="s">
        <v>2706</v>
      </c>
      <c r="AG857" s="162">
        <v>184</v>
      </c>
      <c r="AH857" s="162" t="s">
        <v>2706</v>
      </c>
      <c r="AI857" s="162">
        <v>1363</v>
      </c>
      <c r="AJ857" s="162" t="s">
        <v>2706</v>
      </c>
      <c r="AK857" s="162">
        <v>307</v>
      </c>
      <c r="AL857" s="162" t="s">
        <v>2706</v>
      </c>
      <c r="AM857" s="162">
        <v>4074</v>
      </c>
      <c r="AN857" s="162"/>
      <c r="AP857" s="168"/>
    </row>
    <row r="858" spans="1:42" s="100" customFormat="1" ht="46.8" x14ac:dyDescent="0.3">
      <c r="A858" s="161"/>
      <c r="B858" s="167"/>
      <c r="C858" s="98" t="s">
        <v>2708</v>
      </c>
      <c r="D858" s="163"/>
      <c r="E858" s="26" t="s">
        <v>48</v>
      </c>
      <c r="F858" s="30" t="s">
        <v>49</v>
      </c>
      <c r="G858" s="163"/>
      <c r="H858" s="163"/>
      <c r="I858" s="163"/>
      <c r="J858" s="165"/>
      <c r="K858" s="165"/>
      <c r="L858" s="165"/>
      <c r="M858" s="165"/>
      <c r="N858" s="165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  <c r="AA858" s="163"/>
      <c r="AB858" s="163"/>
      <c r="AC858" s="163"/>
      <c r="AD858" s="163"/>
      <c r="AE858" s="163"/>
      <c r="AF858" s="163"/>
      <c r="AG858" s="163"/>
      <c r="AH858" s="163"/>
      <c r="AI858" s="163"/>
      <c r="AJ858" s="163"/>
      <c r="AK858" s="163"/>
      <c r="AL858" s="163"/>
      <c r="AM858" s="163"/>
      <c r="AN858" s="163"/>
      <c r="AP858" s="169"/>
    </row>
    <row r="859" spans="1:42" s="100" customFormat="1" ht="46.8" x14ac:dyDescent="0.3">
      <c r="A859" s="160">
        <v>649</v>
      </c>
      <c r="B859" s="166" t="s">
        <v>1413</v>
      </c>
      <c r="C859" s="98" t="s">
        <v>2708</v>
      </c>
      <c r="D859" s="162" t="s">
        <v>2712</v>
      </c>
      <c r="E859" s="26" t="s">
        <v>144</v>
      </c>
      <c r="F859" s="30" t="s">
        <v>49</v>
      </c>
      <c r="G859" s="162" t="s">
        <v>2704</v>
      </c>
      <c r="H859" s="162">
        <v>36</v>
      </c>
      <c r="I859" s="162" t="str">
        <f t="shared" ref="I859" si="54">G859</f>
        <v>с ЛН</v>
      </c>
      <c r="J859" s="164">
        <v>6</v>
      </c>
      <c r="K859" s="164" t="s">
        <v>528</v>
      </c>
      <c r="L859" s="164" t="s">
        <v>528</v>
      </c>
      <c r="M859" s="164" t="s">
        <v>2705</v>
      </c>
      <c r="N859" s="164" t="s">
        <v>2705</v>
      </c>
      <c r="O859" s="162">
        <v>1065</v>
      </c>
      <c r="P859" s="162" t="s">
        <v>2706</v>
      </c>
      <c r="Q859" s="162">
        <v>1002</v>
      </c>
      <c r="R859" s="162" t="s">
        <v>2706</v>
      </c>
      <c r="S859" s="162">
        <v>647</v>
      </c>
      <c r="T859" s="162" t="s">
        <v>2706</v>
      </c>
      <c r="U859" s="162">
        <v>1044</v>
      </c>
      <c r="V859" s="162" t="s">
        <v>2706</v>
      </c>
      <c r="W859" s="162">
        <v>809</v>
      </c>
      <c r="X859" s="162" t="s">
        <v>2706</v>
      </c>
      <c r="Y859" s="162">
        <v>837</v>
      </c>
      <c r="Z859" s="162" t="s">
        <v>2706</v>
      </c>
      <c r="AA859" s="162">
        <v>600</v>
      </c>
      <c r="AB859" s="162" t="s">
        <v>2706</v>
      </c>
      <c r="AC859" s="162">
        <v>606</v>
      </c>
      <c r="AD859" s="162" t="s">
        <v>2706</v>
      </c>
      <c r="AE859" s="162">
        <v>1156</v>
      </c>
      <c r="AF859" s="162" t="s">
        <v>2706</v>
      </c>
      <c r="AG859" s="162">
        <v>831</v>
      </c>
      <c r="AH859" s="162" t="s">
        <v>2706</v>
      </c>
      <c r="AI859" s="162">
        <v>955</v>
      </c>
      <c r="AJ859" s="162" t="s">
        <v>2706</v>
      </c>
      <c r="AK859" s="162">
        <v>737</v>
      </c>
      <c r="AL859" s="162" t="s">
        <v>2706</v>
      </c>
      <c r="AM859" s="162">
        <v>9683</v>
      </c>
      <c r="AN859" s="162"/>
      <c r="AP859" s="168"/>
    </row>
    <row r="860" spans="1:42" s="100" customFormat="1" ht="46.8" x14ac:dyDescent="0.3">
      <c r="A860" s="161"/>
      <c r="B860" s="167"/>
      <c r="C860" s="98" t="s">
        <v>2708</v>
      </c>
      <c r="D860" s="163"/>
      <c r="E860" s="26" t="s">
        <v>48</v>
      </c>
      <c r="F860" s="30" t="s">
        <v>49</v>
      </c>
      <c r="G860" s="163"/>
      <c r="H860" s="163"/>
      <c r="I860" s="163"/>
      <c r="J860" s="165"/>
      <c r="K860" s="165"/>
      <c r="L860" s="165"/>
      <c r="M860" s="165"/>
      <c r="N860" s="165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  <c r="AA860" s="163"/>
      <c r="AB860" s="163"/>
      <c r="AC860" s="163"/>
      <c r="AD860" s="163"/>
      <c r="AE860" s="163"/>
      <c r="AF860" s="163"/>
      <c r="AG860" s="163"/>
      <c r="AH860" s="163"/>
      <c r="AI860" s="163"/>
      <c r="AJ860" s="163"/>
      <c r="AK860" s="163"/>
      <c r="AL860" s="163"/>
      <c r="AM860" s="163"/>
      <c r="AN860" s="163"/>
      <c r="AP860" s="169"/>
    </row>
    <row r="861" spans="1:42" s="100" customFormat="1" ht="46.8" x14ac:dyDescent="0.3">
      <c r="A861" s="160">
        <v>650</v>
      </c>
      <c r="B861" s="166" t="s">
        <v>1415</v>
      </c>
      <c r="C861" s="98" t="s">
        <v>2708</v>
      </c>
      <c r="D861" s="162" t="s">
        <v>2712</v>
      </c>
      <c r="E861" s="26" t="s">
        <v>144</v>
      </c>
      <c r="F861" s="30" t="s">
        <v>49</v>
      </c>
      <c r="G861" s="162" t="s">
        <v>2704</v>
      </c>
      <c r="H861" s="162">
        <v>60</v>
      </c>
      <c r="I861" s="162" t="str">
        <f t="shared" ref="I861" si="55">G861</f>
        <v>с ЛН</v>
      </c>
      <c r="J861" s="164">
        <v>10</v>
      </c>
      <c r="K861" s="164" t="s">
        <v>528</v>
      </c>
      <c r="L861" s="164" t="s">
        <v>528</v>
      </c>
      <c r="M861" s="164" t="s">
        <v>2705</v>
      </c>
      <c r="N861" s="164" t="s">
        <v>2705</v>
      </c>
      <c r="O861" s="162">
        <v>3270</v>
      </c>
      <c r="P861" s="162" t="s">
        <v>2706</v>
      </c>
      <c r="Q861" s="162">
        <v>3131</v>
      </c>
      <c r="R861" s="162" t="s">
        <v>2706</v>
      </c>
      <c r="S861" s="162">
        <v>1955</v>
      </c>
      <c r="T861" s="162" t="s">
        <v>2706</v>
      </c>
      <c r="U861" s="162">
        <v>3077</v>
      </c>
      <c r="V861" s="162" t="s">
        <v>2706</v>
      </c>
      <c r="W861" s="162">
        <v>2201</v>
      </c>
      <c r="X861" s="162" t="s">
        <v>2706</v>
      </c>
      <c r="Y861" s="162">
        <v>2402</v>
      </c>
      <c r="Z861" s="162" t="s">
        <v>2706</v>
      </c>
      <c r="AA861" s="162">
        <v>1554</v>
      </c>
      <c r="AB861" s="162" t="s">
        <v>2706</v>
      </c>
      <c r="AC861" s="162">
        <v>1526</v>
      </c>
      <c r="AD861" s="162" t="s">
        <v>2706</v>
      </c>
      <c r="AE861" s="162">
        <v>2288</v>
      </c>
      <c r="AF861" s="162" t="s">
        <v>2706</v>
      </c>
      <c r="AG861" s="162">
        <v>1811</v>
      </c>
      <c r="AH861" s="162" t="s">
        <v>2706</v>
      </c>
      <c r="AI861" s="162">
        <v>2161</v>
      </c>
      <c r="AJ861" s="162" t="s">
        <v>2706</v>
      </c>
      <c r="AK861" s="162">
        <v>2143</v>
      </c>
      <c r="AL861" s="162" t="s">
        <v>2706</v>
      </c>
      <c r="AM861" s="162">
        <v>25993</v>
      </c>
      <c r="AN861" s="162"/>
      <c r="AP861" s="168"/>
    </row>
    <row r="862" spans="1:42" s="100" customFormat="1" ht="46.8" x14ac:dyDescent="0.3">
      <c r="A862" s="161"/>
      <c r="B862" s="167"/>
      <c r="C862" s="98" t="s">
        <v>2708</v>
      </c>
      <c r="D862" s="163"/>
      <c r="E862" s="26" t="s">
        <v>48</v>
      </c>
      <c r="F862" s="30" t="s">
        <v>49</v>
      </c>
      <c r="G862" s="163"/>
      <c r="H862" s="163"/>
      <c r="I862" s="163"/>
      <c r="J862" s="165"/>
      <c r="K862" s="165"/>
      <c r="L862" s="165"/>
      <c r="M862" s="165"/>
      <c r="N862" s="165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  <c r="AA862" s="163"/>
      <c r="AB862" s="163"/>
      <c r="AC862" s="163"/>
      <c r="AD862" s="163"/>
      <c r="AE862" s="163"/>
      <c r="AF862" s="163"/>
      <c r="AG862" s="163"/>
      <c r="AH862" s="163"/>
      <c r="AI862" s="163"/>
      <c r="AJ862" s="163"/>
      <c r="AK862" s="163"/>
      <c r="AL862" s="163"/>
      <c r="AM862" s="163"/>
      <c r="AN862" s="163"/>
      <c r="AP862" s="169"/>
    </row>
    <row r="863" spans="1:42" s="100" customFormat="1" ht="46.8" x14ac:dyDescent="0.3">
      <c r="A863" s="160">
        <v>651</v>
      </c>
      <c r="B863" s="166" t="s">
        <v>1417</v>
      </c>
      <c r="C863" s="98" t="s">
        <v>2708</v>
      </c>
      <c r="D863" s="162" t="s">
        <v>2712</v>
      </c>
      <c r="E863" s="26" t="s">
        <v>144</v>
      </c>
      <c r="F863" s="30" t="s">
        <v>49</v>
      </c>
      <c r="G863" s="162" t="s">
        <v>2704</v>
      </c>
      <c r="H863" s="162">
        <v>32</v>
      </c>
      <c r="I863" s="162" t="str">
        <f t="shared" ref="I863" si="56">G863</f>
        <v>с ЛН</v>
      </c>
      <c r="J863" s="164">
        <v>6</v>
      </c>
      <c r="K863" s="164" t="s">
        <v>528</v>
      </c>
      <c r="L863" s="164" t="s">
        <v>528</v>
      </c>
      <c r="M863" s="164" t="s">
        <v>2705</v>
      </c>
      <c r="N863" s="164" t="s">
        <v>2705</v>
      </c>
      <c r="O863" s="162">
        <v>1071</v>
      </c>
      <c r="P863" s="162" t="s">
        <v>2706</v>
      </c>
      <c r="Q863" s="162">
        <v>919</v>
      </c>
      <c r="R863" s="162" t="s">
        <v>2706</v>
      </c>
      <c r="S863" s="162">
        <v>463</v>
      </c>
      <c r="T863" s="162" t="s">
        <v>2706</v>
      </c>
      <c r="U863" s="162">
        <v>750</v>
      </c>
      <c r="V863" s="162" t="s">
        <v>2706</v>
      </c>
      <c r="W863" s="162">
        <v>596</v>
      </c>
      <c r="X863" s="162" t="s">
        <v>2706</v>
      </c>
      <c r="Y863" s="162">
        <v>501</v>
      </c>
      <c r="Z863" s="162" t="s">
        <v>2706</v>
      </c>
      <c r="AA863" s="162">
        <v>389</v>
      </c>
      <c r="AB863" s="162" t="s">
        <v>2706</v>
      </c>
      <c r="AC863" s="162">
        <v>329</v>
      </c>
      <c r="AD863" s="162" t="s">
        <v>2706</v>
      </c>
      <c r="AE863" s="162">
        <v>739</v>
      </c>
      <c r="AF863" s="162" t="s">
        <v>2706</v>
      </c>
      <c r="AG863" s="162">
        <v>863</v>
      </c>
      <c r="AH863" s="162" t="s">
        <v>2706</v>
      </c>
      <c r="AI863" s="162">
        <v>821</v>
      </c>
      <c r="AJ863" s="162" t="s">
        <v>2706</v>
      </c>
      <c r="AK863" s="162">
        <v>1027</v>
      </c>
      <c r="AL863" s="162" t="s">
        <v>2706</v>
      </c>
      <c r="AM863" s="162">
        <v>8139</v>
      </c>
      <c r="AN863" s="162"/>
      <c r="AP863" s="168"/>
    </row>
    <row r="864" spans="1:42" s="100" customFormat="1" ht="46.8" x14ac:dyDescent="0.3">
      <c r="A864" s="161"/>
      <c r="B864" s="167"/>
      <c r="C864" s="98" t="s">
        <v>2708</v>
      </c>
      <c r="D864" s="163"/>
      <c r="E864" s="26" t="s">
        <v>48</v>
      </c>
      <c r="F864" s="30" t="s">
        <v>49</v>
      </c>
      <c r="G864" s="163"/>
      <c r="H864" s="163"/>
      <c r="I864" s="163"/>
      <c r="J864" s="165"/>
      <c r="K864" s="165"/>
      <c r="L864" s="165"/>
      <c r="M864" s="165"/>
      <c r="N864" s="165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  <c r="AA864" s="163"/>
      <c r="AB864" s="163"/>
      <c r="AC864" s="163"/>
      <c r="AD864" s="163"/>
      <c r="AE864" s="163"/>
      <c r="AF864" s="163"/>
      <c r="AG864" s="163"/>
      <c r="AH864" s="163"/>
      <c r="AI864" s="163"/>
      <c r="AJ864" s="163"/>
      <c r="AK864" s="163"/>
      <c r="AL864" s="163"/>
      <c r="AM864" s="163"/>
      <c r="AN864" s="163"/>
      <c r="AP864" s="169"/>
    </row>
    <row r="865" spans="1:42" s="100" customFormat="1" ht="46.8" x14ac:dyDescent="0.3">
      <c r="A865" s="160">
        <v>652</v>
      </c>
      <c r="B865" s="166" t="s">
        <v>1418</v>
      </c>
      <c r="C865" s="98" t="s">
        <v>2708</v>
      </c>
      <c r="D865" s="162" t="s">
        <v>2712</v>
      </c>
      <c r="E865" s="26" t="s">
        <v>144</v>
      </c>
      <c r="F865" s="30" t="s">
        <v>49</v>
      </c>
      <c r="G865" s="162" t="s">
        <v>2704</v>
      </c>
      <c r="H865" s="162">
        <v>47</v>
      </c>
      <c r="I865" s="162" t="str">
        <f t="shared" ref="I865" si="57">G865</f>
        <v>с ЛН</v>
      </c>
      <c r="J865" s="164">
        <v>9</v>
      </c>
      <c r="K865" s="164" t="s">
        <v>528</v>
      </c>
      <c r="L865" s="164" t="s">
        <v>528</v>
      </c>
      <c r="M865" s="164" t="s">
        <v>2705</v>
      </c>
      <c r="N865" s="164" t="s">
        <v>2705</v>
      </c>
      <c r="O865" s="162">
        <v>712</v>
      </c>
      <c r="P865" s="162" t="s">
        <v>2706</v>
      </c>
      <c r="Q865" s="162">
        <v>753</v>
      </c>
      <c r="R865" s="162" t="s">
        <v>2706</v>
      </c>
      <c r="S865" s="162">
        <v>453</v>
      </c>
      <c r="T865" s="162" t="s">
        <v>2706</v>
      </c>
      <c r="U865" s="162">
        <v>673</v>
      </c>
      <c r="V865" s="162" t="s">
        <v>2706</v>
      </c>
      <c r="W865" s="162">
        <v>448</v>
      </c>
      <c r="X865" s="162" t="s">
        <v>2706</v>
      </c>
      <c r="Y865" s="162">
        <v>406</v>
      </c>
      <c r="Z865" s="162" t="s">
        <v>2706</v>
      </c>
      <c r="AA865" s="162">
        <v>506</v>
      </c>
      <c r="AB865" s="162" t="s">
        <v>2706</v>
      </c>
      <c r="AC865" s="162">
        <v>590</v>
      </c>
      <c r="AD865" s="162" t="s">
        <v>2706</v>
      </c>
      <c r="AE865" s="162">
        <v>706</v>
      </c>
      <c r="AF865" s="162" t="s">
        <v>2706</v>
      </c>
      <c r="AG865" s="162">
        <v>540</v>
      </c>
      <c r="AH865" s="162" t="s">
        <v>2706</v>
      </c>
      <c r="AI865" s="162">
        <v>823</v>
      </c>
      <c r="AJ865" s="162" t="s">
        <v>2706</v>
      </c>
      <c r="AK865" s="162">
        <v>188</v>
      </c>
      <c r="AL865" s="162" t="s">
        <v>2706</v>
      </c>
      <c r="AM865" s="162">
        <v>6208</v>
      </c>
      <c r="AN865" s="162"/>
      <c r="AP865" s="168"/>
    </row>
    <row r="866" spans="1:42" s="100" customFormat="1" ht="46.8" x14ac:dyDescent="0.3">
      <c r="A866" s="161"/>
      <c r="B866" s="167"/>
      <c r="C866" s="98" t="s">
        <v>2708</v>
      </c>
      <c r="D866" s="163"/>
      <c r="E866" s="26" t="s">
        <v>48</v>
      </c>
      <c r="F866" s="30" t="s">
        <v>49</v>
      </c>
      <c r="G866" s="163"/>
      <c r="H866" s="163"/>
      <c r="I866" s="163"/>
      <c r="J866" s="165"/>
      <c r="K866" s="165"/>
      <c r="L866" s="165"/>
      <c r="M866" s="165"/>
      <c r="N866" s="165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  <c r="AA866" s="163"/>
      <c r="AB866" s="163"/>
      <c r="AC866" s="163"/>
      <c r="AD866" s="163"/>
      <c r="AE866" s="163"/>
      <c r="AF866" s="163"/>
      <c r="AG866" s="163"/>
      <c r="AH866" s="163"/>
      <c r="AI866" s="163"/>
      <c r="AJ866" s="163"/>
      <c r="AK866" s="163"/>
      <c r="AL866" s="163"/>
      <c r="AM866" s="163"/>
      <c r="AN866" s="163"/>
      <c r="AP866" s="169"/>
    </row>
    <row r="867" spans="1:42" s="100" customFormat="1" ht="46.8" x14ac:dyDescent="0.3">
      <c r="A867" s="160">
        <v>653</v>
      </c>
      <c r="B867" s="166" t="s">
        <v>1420</v>
      </c>
      <c r="C867" s="98" t="s">
        <v>2708</v>
      </c>
      <c r="D867" s="162" t="s">
        <v>2712</v>
      </c>
      <c r="E867" s="26" t="s">
        <v>144</v>
      </c>
      <c r="F867" s="30" t="s">
        <v>49</v>
      </c>
      <c r="G867" s="162" t="s">
        <v>2704</v>
      </c>
      <c r="H867" s="162">
        <v>16</v>
      </c>
      <c r="I867" s="162" t="str">
        <f t="shared" ref="I867" si="58">G867</f>
        <v>с ЛН</v>
      </c>
      <c r="J867" s="164">
        <v>3</v>
      </c>
      <c r="K867" s="164" t="s">
        <v>528</v>
      </c>
      <c r="L867" s="164" t="s">
        <v>528</v>
      </c>
      <c r="M867" s="164" t="s">
        <v>2705</v>
      </c>
      <c r="N867" s="164" t="s">
        <v>2705</v>
      </c>
      <c r="O867" s="162">
        <v>0</v>
      </c>
      <c r="P867" s="162" t="s">
        <v>2706</v>
      </c>
      <c r="Q867" s="162">
        <v>0</v>
      </c>
      <c r="R867" s="162" t="s">
        <v>2706</v>
      </c>
      <c r="S867" s="162">
        <v>0</v>
      </c>
      <c r="T867" s="162" t="s">
        <v>2706</v>
      </c>
      <c r="U867" s="162">
        <v>0</v>
      </c>
      <c r="V867" s="162" t="s">
        <v>2706</v>
      </c>
      <c r="W867" s="162">
        <v>0</v>
      </c>
      <c r="X867" s="162" t="s">
        <v>2706</v>
      </c>
      <c r="Y867" s="162">
        <v>0</v>
      </c>
      <c r="Z867" s="162" t="s">
        <v>2706</v>
      </c>
      <c r="AA867" s="162">
        <v>0</v>
      </c>
      <c r="AB867" s="162" t="s">
        <v>2706</v>
      </c>
      <c r="AC867" s="162">
        <v>0</v>
      </c>
      <c r="AD867" s="162" t="s">
        <v>2706</v>
      </c>
      <c r="AE867" s="162">
        <v>0</v>
      </c>
      <c r="AF867" s="162" t="s">
        <v>2706</v>
      </c>
      <c r="AG867" s="162">
        <v>0</v>
      </c>
      <c r="AH867" s="162" t="s">
        <v>2706</v>
      </c>
      <c r="AI867" s="162">
        <v>0</v>
      </c>
      <c r="AJ867" s="162" t="s">
        <v>2706</v>
      </c>
      <c r="AK867" s="162">
        <v>0</v>
      </c>
      <c r="AL867" s="162" t="s">
        <v>2706</v>
      </c>
      <c r="AM867" s="162">
        <v>0</v>
      </c>
      <c r="AN867" s="162"/>
      <c r="AP867" s="168"/>
    </row>
    <row r="868" spans="1:42" s="100" customFormat="1" ht="46.8" x14ac:dyDescent="0.3">
      <c r="A868" s="161"/>
      <c r="B868" s="167"/>
      <c r="C868" s="98" t="s">
        <v>2708</v>
      </c>
      <c r="D868" s="163"/>
      <c r="E868" s="26" t="s">
        <v>48</v>
      </c>
      <c r="F868" s="30" t="s">
        <v>49</v>
      </c>
      <c r="G868" s="163"/>
      <c r="H868" s="163"/>
      <c r="I868" s="163"/>
      <c r="J868" s="165"/>
      <c r="K868" s="165"/>
      <c r="L868" s="165"/>
      <c r="M868" s="165"/>
      <c r="N868" s="165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  <c r="AA868" s="163"/>
      <c r="AB868" s="163"/>
      <c r="AC868" s="163"/>
      <c r="AD868" s="163"/>
      <c r="AE868" s="163"/>
      <c r="AF868" s="163"/>
      <c r="AG868" s="163"/>
      <c r="AH868" s="163"/>
      <c r="AI868" s="163"/>
      <c r="AJ868" s="163"/>
      <c r="AK868" s="163"/>
      <c r="AL868" s="163"/>
      <c r="AM868" s="163"/>
      <c r="AN868" s="163"/>
      <c r="AP868" s="169"/>
    </row>
    <row r="869" spans="1:42" s="100" customFormat="1" ht="46.8" x14ac:dyDescent="0.3">
      <c r="A869" s="160">
        <v>654</v>
      </c>
      <c r="B869" s="166" t="s">
        <v>1421</v>
      </c>
      <c r="C869" s="98" t="s">
        <v>2708</v>
      </c>
      <c r="D869" s="162" t="s">
        <v>2712</v>
      </c>
      <c r="E869" s="26" t="s">
        <v>144</v>
      </c>
      <c r="F869" s="30" t="s">
        <v>49</v>
      </c>
      <c r="G869" s="162" t="s">
        <v>2704</v>
      </c>
      <c r="H869" s="162">
        <v>15</v>
      </c>
      <c r="I869" s="162" t="str">
        <f t="shared" ref="I869" si="59">G869</f>
        <v>с ЛН</v>
      </c>
      <c r="J869" s="164">
        <v>3</v>
      </c>
      <c r="K869" s="164" t="s">
        <v>528</v>
      </c>
      <c r="L869" s="164" t="s">
        <v>528</v>
      </c>
      <c r="M869" s="164" t="s">
        <v>2705</v>
      </c>
      <c r="N869" s="164" t="s">
        <v>2705</v>
      </c>
      <c r="O869" s="162">
        <v>0</v>
      </c>
      <c r="P869" s="162" t="s">
        <v>2706</v>
      </c>
      <c r="Q869" s="162">
        <v>0</v>
      </c>
      <c r="R869" s="162" t="s">
        <v>2706</v>
      </c>
      <c r="S869" s="162">
        <v>0</v>
      </c>
      <c r="T869" s="162" t="s">
        <v>2706</v>
      </c>
      <c r="U869" s="162">
        <v>0</v>
      </c>
      <c r="V869" s="162" t="s">
        <v>2706</v>
      </c>
      <c r="W869" s="162">
        <v>0</v>
      </c>
      <c r="X869" s="162" t="s">
        <v>2706</v>
      </c>
      <c r="Y869" s="162">
        <v>0</v>
      </c>
      <c r="Z869" s="162" t="s">
        <v>2706</v>
      </c>
      <c r="AA869" s="162">
        <v>0</v>
      </c>
      <c r="AB869" s="162" t="s">
        <v>2706</v>
      </c>
      <c r="AC869" s="162">
        <v>0</v>
      </c>
      <c r="AD869" s="162" t="s">
        <v>2706</v>
      </c>
      <c r="AE869" s="162">
        <v>0</v>
      </c>
      <c r="AF869" s="162" t="s">
        <v>2706</v>
      </c>
      <c r="AG869" s="162">
        <v>0</v>
      </c>
      <c r="AH869" s="162" t="s">
        <v>2706</v>
      </c>
      <c r="AI869" s="162">
        <v>0</v>
      </c>
      <c r="AJ869" s="162" t="s">
        <v>2706</v>
      </c>
      <c r="AK869" s="162">
        <v>0</v>
      </c>
      <c r="AL869" s="162" t="s">
        <v>2706</v>
      </c>
      <c r="AM869" s="162">
        <v>0</v>
      </c>
      <c r="AN869" s="162"/>
      <c r="AP869" s="168"/>
    </row>
    <row r="870" spans="1:42" s="100" customFormat="1" ht="46.8" x14ac:dyDescent="0.3">
      <c r="A870" s="161"/>
      <c r="B870" s="167"/>
      <c r="C870" s="98" t="s">
        <v>2708</v>
      </c>
      <c r="D870" s="163"/>
      <c r="E870" s="26" t="s">
        <v>48</v>
      </c>
      <c r="F870" s="30" t="s">
        <v>49</v>
      </c>
      <c r="G870" s="163"/>
      <c r="H870" s="163"/>
      <c r="I870" s="163"/>
      <c r="J870" s="165"/>
      <c r="K870" s="165"/>
      <c r="L870" s="165"/>
      <c r="M870" s="165"/>
      <c r="N870" s="165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  <c r="AA870" s="163"/>
      <c r="AB870" s="163"/>
      <c r="AC870" s="163"/>
      <c r="AD870" s="163"/>
      <c r="AE870" s="163"/>
      <c r="AF870" s="163"/>
      <c r="AG870" s="163"/>
      <c r="AH870" s="163"/>
      <c r="AI870" s="163"/>
      <c r="AJ870" s="163"/>
      <c r="AK870" s="163"/>
      <c r="AL870" s="163"/>
      <c r="AM870" s="163"/>
      <c r="AN870" s="163"/>
      <c r="AP870" s="169"/>
    </row>
    <row r="871" spans="1:42" s="100" customFormat="1" ht="46.8" x14ac:dyDescent="0.3">
      <c r="A871" s="160">
        <v>655</v>
      </c>
      <c r="B871" s="166" t="s">
        <v>1422</v>
      </c>
      <c r="C871" s="98" t="s">
        <v>2708</v>
      </c>
      <c r="D871" s="162" t="s">
        <v>2712</v>
      </c>
      <c r="E871" s="26" t="s">
        <v>144</v>
      </c>
      <c r="F871" s="30" t="s">
        <v>49</v>
      </c>
      <c r="G871" s="162" t="s">
        <v>2704</v>
      </c>
      <c r="H871" s="162">
        <v>24</v>
      </c>
      <c r="I871" s="162" t="str">
        <f t="shared" ref="I871" si="60">G871</f>
        <v>с ЛН</v>
      </c>
      <c r="J871" s="164">
        <v>5</v>
      </c>
      <c r="K871" s="164" t="s">
        <v>528</v>
      </c>
      <c r="L871" s="164" t="s">
        <v>528</v>
      </c>
      <c r="M871" s="164" t="s">
        <v>2705</v>
      </c>
      <c r="N871" s="164" t="s">
        <v>2705</v>
      </c>
      <c r="O871" s="162">
        <v>640</v>
      </c>
      <c r="P871" s="162" t="s">
        <v>2706</v>
      </c>
      <c r="Q871" s="162">
        <v>616</v>
      </c>
      <c r="R871" s="162" t="s">
        <v>2706</v>
      </c>
      <c r="S871" s="162">
        <v>436</v>
      </c>
      <c r="T871" s="162" t="s">
        <v>2706</v>
      </c>
      <c r="U871" s="162">
        <v>582</v>
      </c>
      <c r="V871" s="162" t="s">
        <v>2706</v>
      </c>
      <c r="W871" s="162">
        <v>392</v>
      </c>
      <c r="X871" s="162" t="s">
        <v>2706</v>
      </c>
      <c r="Y871" s="162">
        <v>532</v>
      </c>
      <c r="Z871" s="162" t="s">
        <v>2706</v>
      </c>
      <c r="AA871" s="162">
        <v>296</v>
      </c>
      <c r="AB871" s="162" t="s">
        <v>2706</v>
      </c>
      <c r="AC871" s="162">
        <v>250</v>
      </c>
      <c r="AD871" s="162" t="s">
        <v>2706</v>
      </c>
      <c r="AE871" s="162">
        <v>550</v>
      </c>
      <c r="AF871" s="162" t="s">
        <v>2706</v>
      </c>
      <c r="AG871" s="162">
        <v>415</v>
      </c>
      <c r="AH871" s="162" t="s">
        <v>2706</v>
      </c>
      <c r="AI871" s="162">
        <v>2309</v>
      </c>
      <c r="AJ871" s="162" t="s">
        <v>2706</v>
      </c>
      <c r="AK871" s="162">
        <v>560</v>
      </c>
      <c r="AL871" s="162" t="s">
        <v>2706</v>
      </c>
      <c r="AM871" s="162">
        <v>7328</v>
      </c>
      <c r="AN871" s="162"/>
      <c r="AP871" s="168"/>
    </row>
    <row r="872" spans="1:42" s="100" customFormat="1" ht="46.8" x14ac:dyDescent="0.3">
      <c r="A872" s="161"/>
      <c r="B872" s="167"/>
      <c r="C872" s="98" t="s">
        <v>2708</v>
      </c>
      <c r="D872" s="163"/>
      <c r="E872" s="26" t="s">
        <v>48</v>
      </c>
      <c r="F872" s="30" t="s">
        <v>49</v>
      </c>
      <c r="G872" s="163"/>
      <c r="H872" s="163"/>
      <c r="I872" s="163"/>
      <c r="J872" s="165"/>
      <c r="K872" s="165"/>
      <c r="L872" s="165"/>
      <c r="M872" s="165"/>
      <c r="N872" s="165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  <c r="AA872" s="163"/>
      <c r="AB872" s="163"/>
      <c r="AC872" s="163"/>
      <c r="AD872" s="163"/>
      <c r="AE872" s="163"/>
      <c r="AF872" s="163"/>
      <c r="AG872" s="163"/>
      <c r="AH872" s="163"/>
      <c r="AI872" s="163"/>
      <c r="AJ872" s="163"/>
      <c r="AK872" s="163"/>
      <c r="AL872" s="163"/>
      <c r="AM872" s="163"/>
      <c r="AN872" s="163"/>
      <c r="AP872" s="169"/>
    </row>
    <row r="873" spans="1:42" s="100" customFormat="1" ht="46.8" x14ac:dyDescent="0.3">
      <c r="A873" s="160">
        <v>656</v>
      </c>
      <c r="B873" s="166" t="s">
        <v>1423</v>
      </c>
      <c r="C873" s="98" t="s">
        <v>2708</v>
      </c>
      <c r="D873" s="162" t="s">
        <v>2712</v>
      </c>
      <c r="E873" s="26" t="s">
        <v>144</v>
      </c>
      <c r="F873" s="30" t="s">
        <v>49</v>
      </c>
      <c r="G873" s="162" t="s">
        <v>2704</v>
      </c>
      <c r="H873" s="162">
        <v>30</v>
      </c>
      <c r="I873" s="162" t="str">
        <f t="shared" ref="I873" si="61">G873</f>
        <v>с ЛН</v>
      </c>
      <c r="J873" s="164">
        <v>5</v>
      </c>
      <c r="K873" s="164" t="s">
        <v>528</v>
      </c>
      <c r="L873" s="164" t="s">
        <v>528</v>
      </c>
      <c r="M873" s="164" t="s">
        <v>2705</v>
      </c>
      <c r="N873" s="164" t="s">
        <v>2705</v>
      </c>
      <c r="O873" s="162">
        <v>1494</v>
      </c>
      <c r="P873" s="162" t="s">
        <v>2706</v>
      </c>
      <c r="Q873" s="162">
        <v>480</v>
      </c>
      <c r="R873" s="162" t="s">
        <v>2706</v>
      </c>
      <c r="S873" s="162">
        <v>1260</v>
      </c>
      <c r="T873" s="162" t="s">
        <v>2706</v>
      </c>
      <c r="U873" s="162">
        <v>1973</v>
      </c>
      <c r="V873" s="162" t="s">
        <v>2706</v>
      </c>
      <c r="W873" s="162">
        <v>1570</v>
      </c>
      <c r="X873" s="162" t="s">
        <v>2706</v>
      </c>
      <c r="Y873" s="162">
        <v>1548</v>
      </c>
      <c r="Z873" s="162" t="s">
        <v>2706</v>
      </c>
      <c r="AA873" s="162">
        <v>1139</v>
      </c>
      <c r="AB873" s="162" t="s">
        <v>2706</v>
      </c>
      <c r="AC873" s="162">
        <v>1395</v>
      </c>
      <c r="AD873" s="162" t="s">
        <v>2706</v>
      </c>
      <c r="AE873" s="162">
        <v>1427</v>
      </c>
      <c r="AF873" s="162" t="s">
        <v>2706</v>
      </c>
      <c r="AG873" s="162">
        <v>1633</v>
      </c>
      <c r="AH873" s="162" t="s">
        <v>2706</v>
      </c>
      <c r="AI873" s="162">
        <v>775</v>
      </c>
      <c r="AJ873" s="162" t="s">
        <v>2706</v>
      </c>
      <c r="AK873" s="162">
        <v>2055</v>
      </c>
      <c r="AL873" s="162" t="s">
        <v>2706</v>
      </c>
      <c r="AM873" s="162">
        <v>15354</v>
      </c>
      <c r="AN873" s="162"/>
      <c r="AP873" s="168"/>
    </row>
    <row r="874" spans="1:42" s="100" customFormat="1" ht="46.8" x14ac:dyDescent="0.3">
      <c r="A874" s="161"/>
      <c r="B874" s="167"/>
      <c r="C874" s="98" t="s">
        <v>2708</v>
      </c>
      <c r="D874" s="163"/>
      <c r="E874" s="26" t="s">
        <v>48</v>
      </c>
      <c r="F874" s="30" t="s">
        <v>49</v>
      </c>
      <c r="G874" s="163"/>
      <c r="H874" s="163"/>
      <c r="I874" s="163"/>
      <c r="J874" s="165"/>
      <c r="K874" s="165"/>
      <c r="L874" s="165"/>
      <c r="M874" s="165"/>
      <c r="N874" s="165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  <c r="AA874" s="163"/>
      <c r="AB874" s="163"/>
      <c r="AC874" s="163"/>
      <c r="AD874" s="163"/>
      <c r="AE874" s="163"/>
      <c r="AF874" s="163"/>
      <c r="AG874" s="163"/>
      <c r="AH874" s="163"/>
      <c r="AI874" s="163"/>
      <c r="AJ874" s="163"/>
      <c r="AK874" s="163"/>
      <c r="AL874" s="163"/>
      <c r="AM874" s="163"/>
      <c r="AN874" s="163"/>
      <c r="AP874" s="169"/>
    </row>
    <row r="875" spans="1:42" s="100" customFormat="1" ht="46.8" x14ac:dyDescent="0.3">
      <c r="A875" s="160">
        <v>657</v>
      </c>
      <c r="B875" s="166" t="s">
        <v>1424</v>
      </c>
      <c r="C875" s="98" t="s">
        <v>2708</v>
      </c>
      <c r="D875" s="162" t="s">
        <v>2712</v>
      </c>
      <c r="E875" s="26" t="s">
        <v>144</v>
      </c>
      <c r="F875" s="30" t="s">
        <v>49</v>
      </c>
      <c r="G875" s="162" t="s">
        <v>2704</v>
      </c>
      <c r="H875" s="162">
        <v>30</v>
      </c>
      <c r="I875" s="162" t="str">
        <f t="shared" ref="I875" si="62">G875</f>
        <v>с ЛН</v>
      </c>
      <c r="J875" s="164">
        <v>5</v>
      </c>
      <c r="K875" s="164" t="s">
        <v>528</v>
      </c>
      <c r="L875" s="164" t="s">
        <v>528</v>
      </c>
      <c r="M875" s="164" t="s">
        <v>2705</v>
      </c>
      <c r="N875" s="164" t="s">
        <v>2705</v>
      </c>
      <c r="O875" s="162">
        <v>1046</v>
      </c>
      <c r="P875" s="162" t="s">
        <v>2706</v>
      </c>
      <c r="Q875" s="162">
        <v>1115</v>
      </c>
      <c r="R875" s="162" t="s">
        <v>2706</v>
      </c>
      <c r="S875" s="162">
        <v>576</v>
      </c>
      <c r="T875" s="162" t="s">
        <v>2706</v>
      </c>
      <c r="U875" s="162">
        <v>876</v>
      </c>
      <c r="V875" s="162" t="s">
        <v>2706</v>
      </c>
      <c r="W875" s="162">
        <v>649</v>
      </c>
      <c r="X875" s="162" t="s">
        <v>2706</v>
      </c>
      <c r="Y875" s="162">
        <v>493</v>
      </c>
      <c r="Z875" s="162" t="s">
        <v>2706</v>
      </c>
      <c r="AA875" s="162">
        <v>415</v>
      </c>
      <c r="AB875" s="162" t="s">
        <v>2706</v>
      </c>
      <c r="AC875" s="162">
        <v>381</v>
      </c>
      <c r="AD875" s="162" t="s">
        <v>2706</v>
      </c>
      <c r="AE875" s="162">
        <v>662</v>
      </c>
      <c r="AF875" s="162" t="s">
        <v>2706</v>
      </c>
      <c r="AG875" s="162">
        <v>505</v>
      </c>
      <c r="AH875" s="162" t="s">
        <v>2706</v>
      </c>
      <c r="AI875" s="162">
        <v>700</v>
      </c>
      <c r="AJ875" s="162" t="s">
        <v>2706</v>
      </c>
      <c r="AK875" s="162">
        <v>674</v>
      </c>
      <c r="AL875" s="162" t="s">
        <v>2706</v>
      </c>
      <c r="AM875" s="162">
        <v>7711</v>
      </c>
      <c r="AN875" s="162"/>
      <c r="AP875" s="168"/>
    </row>
    <row r="876" spans="1:42" s="100" customFormat="1" ht="46.8" x14ac:dyDescent="0.3">
      <c r="A876" s="161"/>
      <c r="B876" s="167"/>
      <c r="C876" s="98" t="s">
        <v>2708</v>
      </c>
      <c r="D876" s="163"/>
      <c r="E876" s="26" t="s">
        <v>48</v>
      </c>
      <c r="F876" s="30" t="s">
        <v>49</v>
      </c>
      <c r="G876" s="163"/>
      <c r="H876" s="163"/>
      <c r="I876" s="163"/>
      <c r="J876" s="165"/>
      <c r="K876" s="165"/>
      <c r="L876" s="165"/>
      <c r="M876" s="165"/>
      <c r="N876" s="165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  <c r="AA876" s="163"/>
      <c r="AB876" s="163"/>
      <c r="AC876" s="163"/>
      <c r="AD876" s="163"/>
      <c r="AE876" s="163"/>
      <c r="AF876" s="163"/>
      <c r="AG876" s="163"/>
      <c r="AH876" s="163"/>
      <c r="AI876" s="163"/>
      <c r="AJ876" s="163"/>
      <c r="AK876" s="163"/>
      <c r="AL876" s="163"/>
      <c r="AM876" s="163"/>
      <c r="AN876" s="163"/>
      <c r="AP876" s="169"/>
    </row>
    <row r="877" spans="1:42" s="100" customFormat="1" ht="46.8" x14ac:dyDescent="0.3">
      <c r="A877" s="160">
        <v>658</v>
      </c>
      <c r="B877" s="166" t="s">
        <v>1425</v>
      </c>
      <c r="C877" s="98" t="s">
        <v>2708</v>
      </c>
      <c r="D877" s="162" t="s">
        <v>2712</v>
      </c>
      <c r="E877" s="26" t="s">
        <v>144</v>
      </c>
      <c r="F877" s="30" t="s">
        <v>49</v>
      </c>
      <c r="G877" s="162" t="s">
        <v>2704</v>
      </c>
      <c r="H877" s="162">
        <v>42</v>
      </c>
      <c r="I877" s="162" t="str">
        <f t="shared" ref="I877" si="63">G877</f>
        <v>с ЛН</v>
      </c>
      <c r="J877" s="164">
        <v>8</v>
      </c>
      <c r="K877" s="164" t="s">
        <v>528</v>
      </c>
      <c r="L877" s="164" t="s">
        <v>528</v>
      </c>
      <c r="M877" s="164" t="s">
        <v>2705</v>
      </c>
      <c r="N877" s="164" t="s">
        <v>2705</v>
      </c>
      <c r="O877" s="162">
        <v>2236</v>
      </c>
      <c r="P877" s="162" t="s">
        <v>2706</v>
      </c>
      <c r="Q877" s="162">
        <v>1904</v>
      </c>
      <c r="R877" s="162" t="s">
        <v>2706</v>
      </c>
      <c r="S877" s="162">
        <v>1204</v>
      </c>
      <c r="T877" s="162" t="s">
        <v>2706</v>
      </c>
      <c r="U877" s="162">
        <v>1670</v>
      </c>
      <c r="V877" s="162" t="s">
        <v>2706</v>
      </c>
      <c r="W877" s="162">
        <v>903</v>
      </c>
      <c r="X877" s="162" t="s">
        <v>2706</v>
      </c>
      <c r="Y877" s="162">
        <v>754</v>
      </c>
      <c r="Z877" s="162" t="s">
        <v>2706</v>
      </c>
      <c r="AA877" s="162">
        <v>811</v>
      </c>
      <c r="AB877" s="162" t="s">
        <v>2706</v>
      </c>
      <c r="AC877" s="162">
        <v>864</v>
      </c>
      <c r="AD877" s="162" t="s">
        <v>2706</v>
      </c>
      <c r="AE877" s="162">
        <v>371</v>
      </c>
      <c r="AF877" s="162" t="s">
        <v>2706</v>
      </c>
      <c r="AG877" s="162">
        <v>390</v>
      </c>
      <c r="AH877" s="162" t="s">
        <v>2706</v>
      </c>
      <c r="AI877" s="162">
        <v>469</v>
      </c>
      <c r="AJ877" s="162" t="s">
        <v>2706</v>
      </c>
      <c r="AK877" s="162">
        <v>1275</v>
      </c>
      <c r="AL877" s="162" t="s">
        <v>2706</v>
      </c>
      <c r="AM877" s="162">
        <v>11987</v>
      </c>
      <c r="AN877" s="162"/>
      <c r="AP877" s="168"/>
    </row>
    <row r="878" spans="1:42" s="100" customFormat="1" ht="46.8" x14ac:dyDescent="0.3">
      <c r="A878" s="161"/>
      <c r="B878" s="167"/>
      <c r="C878" s="98" t="s">
        <v>2708</v>
      </c>
      <c r="D878" s="163"/>
      <c r="E878" s="26" t="s">
        <v>48</v>
      </c>
      <c r="F878" s="30" t="s">
        <v>49</v>
      </c>
      <c r="G878" s="163"/>
      <c r="H878" s="163"/>
      <c r="I878" s="163"/>
      <c r="J878" s="165"/>
      <c r="K878" s="165"/>
      <c r="L878" s="165"/>
      <c r="M878" s="165"/>
      <c r="N878" s="165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  <c r="AA878" s="163"/>
      <c r="AB878" s="163"/>
      <c r="AC878" s="163"/>
      <c r="AD878" s="163"/>
      <c r="AE878" s="163"/>
      <c r="AF878" s="163"/>
      <c r="AG878" s="163"/>
      <c r="AH878" s="163"/>
      <c r="AI878" s="163"/>
      <c r="AJ878" s="163"/>
      <c r="AK878" s="163"/>
      <c r="AL878" s="163"/>
      <c r="AM878" s="163"/>
      <c r="AN878" s="163"/>
      <c r="AP878" s="169"/>
    </row>
    <row r="879" spans="1:42" s="100" customFormat="1" ht="46.8" x14ac:dyDescent="0.3">
      <c r="A879" s="160">
        <v>659</v>
      </c>
      <c r="B879" s="166" t="s">
        <v>1426</v>
      </c>
      <c r="C879" s="98" t="s">
        <v>2708</v>
      </c>
      <c r="D879" s="162" t="s">
        <v>2712</v>
      </c>
      <c r="E879" s="26" t="s">
        <v>144</v>
      </c>
      <c r="F879" s="30" t="s">
        <v>49</v>
      </c>
      <c r="G879" s="162" t="s">
        <v>2704</v>
      </c>
      <c r="H879" s="162">
        <v>42</v>
      </c>
      <c r="I879" s="162" t="str">
        <f t="shared" ref="I879" si="64">G879</f>
        <v>с ЛН</v>
      </c>
      <c r="J879" s="164">
        <v>8</v>
      </c>
      <c r="K879" s="164" t="s">
        <v>528</v>
      </c>
      <c r="L879" s="164" t="s">
        <v>528</v>
      </c>
      <c r="M879" s="164" t="s">
        <v>2705</v>
      </c>
      <c r="N879" s="164" t="s">
        <v>2705</v>
      </c>
      <c r="O879" s="162">
        <v>1314</v>
      </c>
      <c r="P879" s="162" t="s">
        <v>2706</v>
      </c>
      <c r="Q879" s="162">
        <v>1106</v>
      </c>
      <c r="R879" s="162" t="s">
        <v>2706</v>
      </c>
      <c r="S879" s="162">
        <v>588</v>
      </c>
      <c r="T879" s="162" t="s">
        <v>2706</v>
      </c>
      <c r="U879" s="162">
        <v>1084</v>
      </c>
      <c r="V879" s="162" t="s">
        <v>2706</v>
      </c>
      <c r="W879" s="162">
        <v>837</v>
      </c>
      <c r="X879" s="162" t="s">
        <v>2706</v>
      </c>
      <c r="Y879" s="162">
        <v>880</v>
      </c>
      <c r="Z879" s="162" t="s">
        <v>2706</v>
      </c>
      <c r="AA879" s="162">
        <v>616</v>
      </c>
      <c r="AB879" s="162" t="s">
        <v>2706</v>
      </c>
      <c r="AC879" s="162">
        <v>672</v>
      </c>
      <c r="AD879" s="162" t="s">
        <v>2706</v>
      </c>
      <c r="AE879" s="162">
        <v>1118</v>
      </c>
      <c r="AF879" s="162" t="s">
        <v>2706</v>
      </c>
      <c r="AG879" s="162">
        <v>886</v>
      </c>
      <c r="AH879" s="162" t="s">
        <v>2706</v>
      </c>
      <c r="AI879" s="162">
        <v>320</v>
      </c>
      <c r="AJ879" s="162" t="s">
        <v>2706</v>
      </c>
      <c r="AK879" s="162">
        <v>1344</v>
      </c>
      <c r="AL879" s="162" t="s">
        <v>2706</v>
      </c>
      <c r="AM879" s="162">
        <v>10093</v>
      </c>
      <c r="AN879" s="162"/>
      <c r="AP879" s="168"/>
    </row>
    <row r="880" spans="1:42" s="100" customFormat="1" ht="46.8" x14ac:dyDescent="0.3">
      <c r="A880" s="161"/>
      <c r="B880" s="167"/>
      <c r="C880" s="98" t="s">
        <v>2708</v>
      </c>
      <c r="D880" s="163"/>
      <c r="E880" s="26" t="s">
        <v>48</v>
      </c>
      <c r="F880" s="30" t="s">
        <v>49</v>
      </c>
      <c r="G880" s="163"/>
      <c r="H880" s="163"/>
      <c r="I880" s="163"/>
      <c r="J880" s="165"/>
      <c r="K880" s="165"/>
      <c r="L880" s="165"/>
      <c r="M880" s="165"/>
      <c r="N880" s="165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  <c r="AA880" s="163"/>
      <c r="AB880" s="163"/>
      <c r="AC880" s="163"/>
      <c r="AD880" s="163"/>
      <c r="AE880" s="163"/>
      <c r="AF880" s="163"/>
      <c r="AG880" s="163"/>
      <c r="AH880" s="163"/>
      <c r="AI880" s="163"/>
      <c r="AJ880" s="163"/>
      <c r="AK880" s="163"/>
      <c r="AL880" s="163"/>
      <c r="AM880" s="163"/>
      <c r="AN880" s="163"/>
      <c r="AP880" s="169"/>
    </row>
    <row r="881" spans="1:42" s="100" customFormat="1" ht="46.8" x14ac:dyDescent="0.3">
      <c r="A881" s="160">
        <v>660</v>
      </c>
      <c r="B881" s="166" t="s">
        <v>1428</v>
      </c>
      <c r="C881" s="98" t="s">
        <v>2708</v>
      </c>
      <c r="D881" s="162" t="s">
        <v>2712</v>
      </c>
      <c r="E881" s="26" t="s">
        <v>144</v>
      </c>
      <c r="F881" s="30" t="s">
        <v>49</v>
      </c>
      <c r="G881" s="162" t="s">
        <v>2704</v>
      </c>
      <c r="H881" s="162">
        <v>37</v>
      </c>
      <c r="I881" s="162" t="str">
        <f t="shared" ref="I881" si="65">G881</f>
        <v>с ЛН</v>
      </c>
      <c r="J881" s="164">
        <v>7</v>
      </c>
      <c r="K881" s="164" t="s">
        <v>528</v>
      </c>
      <c r="L881" s="164" t="s">
        <v>528</v>
      </c>
      <c r="M881" s="164" t="s">
        <v>2705</v>
      </c>
      <c r="N881" s="164" t="s">
        <v>2705</v>
      </c>
      <c r="O881" s="162">
        <v>701</v>
      </c>
      <c r="P881" s="162" t="s">
        <v>2706</v>
      </c>
      <c r="Q881" s="162">
        <v>477</v>
      </c>
      <c r="R881" s="162" t="s">
        <v>2706</v>
      </c>
      <c r="S881" s="162">
        <v>310</v>
      </c>
      <c r="T881" s="162" t="s">
        <v>2706</v>
      </c>
      <c r="U881" s="162">
        <v>652</v>
      </c>
      <c r="V881" s="162" t="s">
        <v>2706</v>
      </c>
      <c r="W881" s="162">
        <v>414</v>
      </c>
      <c r="X881" s="162" t="s">
        <v>2706</v>
      </c>
      <c r="Y881" s="162">
        <v>449</v>
      </c>
      <c r="Z881" s="162" t="s">
        <v>2706</v>
      </c>
      <c r="AA881" s="162">
        <v>384</v>
      </c>
      <c r="AB881" s="162" t="s">
        <v>2706</v>
      </c>
      <c r="AC881" s="162">
        <v>381</v>
      </c>
      <c r="AD881" s="162" t="s">
        <v>2706</v>
      </c>
      <c r="AE881" s="162">
        <v>435</v>
      </c>
      <c r="AF881" s="162" t="s">
        <v>2706</v>
      </c>
      <c r="AG881" s="162">
        <v>635</v>
      </c>
      <c r="AH881" s="162" t="s">
        <v>2706</v>
      </c>
      <c r="AI881" s="162">
        <v>1125</v>
      </c>
      <c r="AJ881" s="162" t="s">
        <v>2706</v>
      </c>
      <c r="AK881" s="162">
        <v>448</v>
      </c>
      <c r="AL881" s="162" t="s">
        <v>2706</v>
      </c>
      <c r="AM881" s="162">
        <v>6030</v>
      </c>
      <c r="AN881" s="162"/>
      <c r="AP881" s="168"/>
    </row>
    <row r="882" spans="1:42" s="100" customFormat="1" ht="46.8" x14ac:dyDescent="0.3">
      <c r="A882" s="161"/>
      <c r="B882" s="167"/>
      <c r="C882" s="98" t="s">
        <v>2708</v>
      </c>
      <c r="D882" s="163"/>
      <c r="E882" s="26" t="s">
        <v>48</v>
      </c>
      <c r="F882" s="30" t="s">
        <v>49</v>
      </c>
      <c r="G882" s="163"/>
      <c r="H882" s="163"/>
      <c r="I882" s="163"/>
      <c r="J882" s="165"/>
      <c r="K882" s="165"/>
      <c r="L882" s="165"/>
      <c r="M882" s="165"/>
      <c r="N882" s="165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  <c r="AA882" s="163"/>
      <c r="AB882" s="163"/>
      <c r="AC882" s="163"/>
      <c r="AD882" s="163"/>
      <c r="AE882" s="163"/>
      <c r="AF882" s="163"/>
      <c r="AG882" s="163"/>
      <c r="AH882" s="163"/>
      <c r="AI882" s="163"/>
      <c r="AJ882" s="163"/>
      <c r="AK882" s="163"/>
      <c r="AL882" s="163"/>
      <c r="AM882" s="163"/>
      <c r="AN882" s="163"/>
      <c r="AP882" s="169"/>
    </row>
    <row r="883" spans="1:42" s="100" customFormat="1" ht="46.8" x14ac:dyDescent="0.3">
      <c r="A883" s="160">
        <v>661</v>
      </c>
      <c r="B883" s="166" t="s">
        <v>1430</v>
      </c>
      <c r="C883" s="98" t="s">
        <v>2708</v>
      </c>
      <c r="D883" s="162" t="s">
        <v>2712</v>
      </c>
      <c r="E883" s="26" t="s">
        <v>144</v>
      </c>
      <c r="F883" s="30" t="s">
        <v>49</v>
      </c>
      <c r="G883" s="162" t="s">
        <v>2704</v>
      </c>
      <c r="H883" s="162">
        <v>42</v>
      </c>
      <c r="I883" s="162" t="str">
        <f t="shared" ref="I883" si="66">G883</f>
        <v>с ЛН</v>
      </c>
      <c r="J883" s="164">
        <v>7</v>
      </c>
      <c r="K883" s="164" t="s">
        <v>528</v>
      </c>
      <c r="L883" s="164" t="s">
        <v>528</v>
      </c>
      <c r="M883" s="164" t="s">
        <v>2705</v>
      </c>
      <c r="N883" s="164" t="s">
        <v>2705</v>
      </c>
      <c r="O883" s="162">
        <v>943</v>
      </c>
      <c r="P883" s="162" t="s">
        <v>2706</v>
      </c>
      <c r="Q883" s="162">
        <v>635</v>
      </c>
      <c r="R883" s="162" t="s">
        <v>2706</v>
      </c>
      <c r="S883" s="162">
        <v>582</v>
      </c>
      <c r="T883" s="162" t="s">
        <v>2706</v>
      </c>
      <c r="U883" s="162">
        <v>620</v>
      </c>
      <c r="V883" s="162" t="s">
        <v>2706</v>
      </c>
      <c r="W883" s="162">
        <v>482</v>
      </c>
      <c r="X883" s="162" t="s">
        <v>2706</v>
      </c>
      <c r="Y883" s="162">
        <v>494</v>
      </c>
      <c r="Z883" s="162" t="s">
        <v>2706</v>
      </c>
      <c r="AA883" s="162">
        <v>536</v>
      </c>
      <c r="AB883" s="162" t="s">
        <v>2706</v>
      </c>
      <c r="AC883" s="162">
        <v>537</v>
      </c>
      <c r="AD883" s="162" t="s">
        <v>2706</v>
      </c>
      <c r="AE883" s="162">
        <v>601</v>
      </c>
      <c r="AF883" s="162" t="s">
        <v>2706</v>
      </c>
      <c r="AG883" s="162">
        <v>553</v>
      </c>
      <c r="AH883" s="162" t="s">
        <v>2706</v>
      </c>
      <c r="AI883" s="162">
        <v>734</v>
      </c>
      <c r="AJ883" s="162" t="s">
        <v>2706</v>
      </c>
      <c r="AK883" s="162">
        <v>516</v>
      </c>
      <c r="AL883" s="162" t="s">
        <v>2706</v>
      </c>
      <c r="AM883" s="162">
        <v>6696</v>
      </c>
      <c r="AN883" s="162"/>
      <c r="AP883" s="168"/>
    </row>
    <row r="884" spans="1:42" s="100" customFormat="1" ht="46.8" x14ac:dyDescent="0.3">
      <c r="A884" s="161"/>
      <c r="B884" s="167"/>
      <c r="C884" s="98" t="s">
        <v>2708</v>
      </c>
      <c r="D884" s="163"/>
      <c r="E884" s="26" t="s">
        <v>48</v>
      </c>
      <c r="F884" s="30" t="s">
        <v>49</v>
      </c>
      <c r="G884" s="163"/>
      <c r="H884" s="163"/>
      <c r="I884" s="163"/>
      <c r="J884" s="165"/>
      <c r="K884" s="165"/>
      <c r="L884" s="165"/>
      <c r="M884" s="165"/>
      <c r="N884" s="165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  <c r="AA884" s="163"/>
      <c r="AB884" s="163"/>
      <c r="AC884" s="163"/>
      <c r="AD884" s="163"/>
      <c r="AE884" s="163"/>
      <c r="AF884" s="163"/>
      <c r="AG884" s="163"/>
      <c r="AH884" s="163"/>
      <c r="AI884" s="163"/>
      <c r="AJ884" s="163"/>
      <c r="AK884" s="163"/>
      <c r="AL884" s="163"/>
      <c r="AM884" s="163"/>
      <c r="AN884" s="163"/>
      <c r="AP884" s="169"/>
    </row>
    <row r="885" spans="1:42" s="100" customFormat="1" ht="46.8" x14ac:dyDescent="0.3">
      <c r="A885" s="160">
        <v>662</v>
      </c>
      <c r="B885" s="166" t="s">
        <v>1431</v>
      </c>
      <c r="C885" s="98" t="s">
        <v>2708</v>
      </c>
      <c r="D885" s="162" t="s">
        <v>2712</v>
      </c>
      <c r="E885" s="26" t="s">
        <v>144</v>
      </c>
      <c r="F885" s="30" t="s">
        <v>49</v>
      </c>
      <c r="G885" s="162"/>
      <c r="H885" s="162"/>
      <c r="I885" s="162"/>
      <c r="J885" s="164"/>
      <c r="K885" s="164" t="s">
        <v>528</v>
      </c>
      <c r="L885" s="164" t="s">
        <v>528</v>
      </c>
      <c r="M885" s="164" t="s">
        <v>2705</v>
      </c>
      <c r="N885" s="164" t="s">
        <v>2705</v>
      </c>
      <c r="O885" s="162">
        <v>2603</v>
      </c>
      <c r="P885" s="162" t="s">
        <v>2706</v>
      </c>
      <c r="Q885" s="162">
        <v>2198</v>
      </c>
      <c r="R885" s="162" t="s">
        <v>2706</v>
      </c>
      <c r="S885" s="162">
        <v>2047</v>
      </c>
      <c r="T885" s="162" t="s">
        <v>2706</v>
      </c>
      <c r="U885" s="162">
        <v>2348</v>
      </c>
      <c r="V885" s="162" t="s">
        <v>2706</v>
      </c>
      <c r="W885" s="162">
        <v>2019</v>
      </c>
      <c r="X885" s="162" t="s">
        <v>2706</v>
      </c>
      <c r="Y885" s="162">
        <v>1723</v>
      </c>
      <c r="Z885" s="162" t="s">
        <v>2706</v>
      </c>
      <c r="AA885" s="162">
        <v>1365</v>
      </c>
      <c r="AB885" s="162" t="s">
        <v>2706</v>
      </c>
      <c r="AC885" s="162">
        <v>1581</v>
      </c>
      <c r="AD885" s="162" t="s">
        <v>2706</v>
      </c>
      <c r="AE885" s="162">
        <v>2456</v>
      </c>
      <c r="AF885" s="162" t="s">
        <v>2706</v>
      </c>
      <c r="AG885" s="162">
        <v>1346</v>
      </c>
      <c r="AH885" s="162" t="s">
        <v>2706</v>
      </c>
      <c r="AI885" s="162">
        <v>2007</v>
      </c>
      <c r="AJ885" s="162" t="s">
        <v>2706</v>
      </c>
      <c r="AK885" s="162">
        <v>1825</v>
      </c>
      <c r="AL885" s="162" t="s">
        <v>2706</v>
      </c>
      <c r="AM885" s="162">
        <v>21937</v>
      </c>
      <c r="AN885" s="162"/>
      <c r="AP885" s="168"/>
    </row>
    <row r="886" spans="1:42" s="100" customFormat="1" ht="46.8" x14ac:dyDescent="0.3">
      <c r="A886" s="161"/>
      <c r="B886" s="167"/>
      <c r="C886" s="98" t="s">
        <v>2708</v>
      </c>
      <c r="D886" s="163"/>
      <c r="E886" s="26" t="s">
        <v>48</v>
      </c>
      <c r="F886" s="30" t="s">
        <v>49</v>
      </c>
      <c r="G886" s="163"/>
      <c r="H886" s="163"/>
      <c r="I886" s="163"/>
      <c r="J886" s="165"/>
      <c r="K886" s="165"/>
      <c r="L886" s="165"/>
      <c r="M886" s="165"/>
      <c r="N886" s="165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  <c r="AA886" s="163"/>
      <c r="AB886" s="163"/>
      <c r="AC886" s="163"/>
      <c r="AD886" s="163"/>
      <c r="AE886" s="163"/>
      <c r="AF886" s="163"/>
      <c r="AG886" s="163"/>
      <c r="AH886" s="163"/>
      <c r="AI886" s="163"/>
      <c r="AJ886" s="163"/>
      <c r="AK886" s="163"/>
      <c r="AL886" s="163"/>
      <c r="AM886" s="163"/>
      <c r="AN886" s="163"/>
      <c r="AP886" s="169"/>
    </row>
    <row r="887" spans="1:42" s="100" customFormat="1" ht="46.8" x14ac:dyDescent="0.3">
      <c r="A887" s="160">
        <v>663</v>
      </c>
      <c r="B887" s="166" t="s">
        <v>1433</v>
      </c>
      <c r="C887" s="98" t="s">
        <v>2708</v>
      </c>
      <c r="D887" s="162" t="s">
        <v>2712</v>
      </c>
      <c r="E887" s="26" t="s">
        <v>144</v>
      </c>
      <c r="F887" s="30" t="s">
        <v>49</v>
      </c>
      <c r="G887" s="162" t="s">
        <v>2704</v>
      </c>
      <c r="H887" s="162">
        <v>42</v>
      </c>
      <c r="I887" s="162" t="str">
        <f t="shared" ref="I887:I933" si="67">G887</f>
        <v>с ЛН</v>
      </c>
      <c r="J887" s="164">
        <v>7</v>
      </c>
      <c r="K887" s="164" t="s">
        <v>528</v>
      </c>
      <c r="L887" s="164" t="s">
        <v>528</v>
      </c>
      <c r="M887" s="164" t="s">
        <v>2705</v>
      </c>
      <c r="N887" s="164" t="s">
        <v>2705</v>
      </c>
      <c r="O887" s="162">
        <v>1466</v>
      </c>
      <c r="P887" s="162" t="s">
        <v>2706</v>
      </c>
      <c r="Q887" s="162">
        <v>1392</v>
      </c>
      <c r="R887" s="162" t="s">
        <v>2706</v>
      </c>
      <c r="S887" s="162">
        <v>817</v>
      </c>
      <c r="T887" s="162" t="s">
        <v>2706</v>
      </c>
      <c r="U887" s="162">
        <v>1376</v>
      </c>
      <c r="V887" s="162" t="s">
        <v>2706</v>
      </c>
      <c r="W887" s="162">
        <v>1048</v>
      </c>
      <c r="X887" s="162" t="s">
        <v>2706</v>
      </c>
      <c r="Y887" s="162">
        <v>1041</v>
      </c>
      <c r="Z887" s="162" t="s">
        <v>2706</v>
      </c>
      <c r="AA887" s="162">
        <v>577</v>
      </c>
      <c r="AB887" s="162" t="s">
        <v>2706</v>
      </c>
      <c r="AC887" s="162">
        <v>518</v>
      </c>
      <c r="AD887" s="162" t="s">
        <v>2706</v>
      </c>
      <c r="AE887" s="162">
        <v>877</v>
      </c>
      <c r="AF887" s="162" t="s">
        <v>2706</v>
      </c>
      <c r="AG887" s="162">
        <v>730</v>
      </c>
      <c r="AH887" s="162" t="s">
        <v>2706</v>
      </c>
      <c r="AI887" s="162">
        <v>1159</v>
      </c>
      <c r="AJ887" s="162" t="s">
        <v>2706</v>
      </c>
      <c r="AK887" s="162">
        <v>984</v>
      </c>
      <c r="AL887" s="162" t="s">
        <v>2706</v>
      </c>
      <c r="AM887" s="162">
        <v>11467</v>
      </c>
      <c r="AN887" s="162"/>
      <c r="AP887" s="168"/>
    </row>
    <row r="888" spans="1:42" s="100" customFormat="1" ht="46.8" x14ac:dyDescent="0.3">
      <c r="A888" s="161"/>
      <c r="B888" s="167"/>
      <c r="C888" s="98" t="s">
        <v>2708</v>
      </c>
      <c r="D888" s="163"/>
      <c r="E888" s="26" t="s">
        <v>48</v>
      </c>
      <c r="F888" s="30" t="s">
        <v>49</v>
      </c>
      <c r="G888" s="163"/>
      <c r="H888" s="163"/>
      <c r="I888" s="163"/>
      <c r="J888" s="165"/>
      <c r="K888" s="165"/>
      <c r="L888" s="165"/>
      <c r="M888" s="165"/>
      <c r="N888" s="165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  <c r="AA888" s="163"/>
      <c r="AB888" s="163"/>
      <c r="AC888" s="163"/>
      <c r="AD888" s="163"/>
      <c r="AE888" s="163"/>
      <c r="AF888" s="163"/>
      <c r="AG888" s="163"/>
      <c r="AH888" s="163"/>
      <c r="AI888" s="163"/>
      <c r="AJ888" s="163"/>
      <c r="AK888" s="163"/>
      <c r="AL888" s="163"/>
      <c r="AM888" s="163"/>
      <c r="AN888" s="163"/>
      <c r="AP888" s="169"/>
    </row>
    <row r="889" spans="1:42" s="100" customFormat="1" ht="46.8" x14ac:dyDescent="0.3">
      <c r="A889" s="160">
        <v>664</v>
      </c>
      <c r="B889" s="166" t="s">
        <v>1434</v>
      </c>
      <c r="C889" s="98" t="s">
        <v>2708</v>
      </c>
      <c r="D889" s="162" t="s">
        <v>2712</v>
      </c>
      <c r="E889" s="26" t="s">
        <v>144</v>
      </c>
      <c r="F889" s="30" t="s">
        <v>49</v>
      </c>
      <c r="G889" s="162" t="s">
        <v>2704</v>
      </c>
      <c r="H889" s="162">
        <v>24</v>
      </c>
      <c r="I889" s="162" t="str">
        <f t="shared" si="67"/>
        <v>с ЛН</v>
      </c>
      <c r="J889" s="164">
        <v>4</v>
      </c>
      <c r="K889" s="164" t="s">
        <v>528</v>
      </c>
      <c r="L889" s="164" t="s">
        <v>528</v>
      </c>
      <c r="M889" s="164" t="s">
        <v>2705</v>
      </c>
      <c r="N889" s="164" t="s">
        <v>2705</v>
      </c>
      <c r="O889" s="162">
        <v>1269</v>
      </c>
      <c r="P889" s="162" t="s">
        <v>2706</v>
      </c>
      <c r="Q889" s="162">
        <v>1440</v>
      </c>
      <c r="R889" s="162" t="s">
        <v>2706</v>
      </c>
      <c r="S889" s="162">
        <v>753</v>
      </c>
      <c r="T889" s="162" t="s">
        <v>2706</v>
      </c>
      <c r="U889" s="162">
        <v>1293</v>
      </c>
      <c r="V889" s="162" t="s">
        <v>2706</v>
      </c>
      <c r="W889" s="162">
        <v>1008</v>
      </c>
      <c r="X889" s="162" t="s">
        <v>2706</v>
      </c>
      <c r="Y889" s="162">
        <v>1156</v>
      </c>
      <c r="Z889" s="162" t="s">
        <v>2706</v>
      </c>
      <c r="AA889" s="162">
        <v>870</v>
      </c>
      <c r="AB889" s="162" t="s">
        <v>2706</v>
      </c>
      <c r="AC889" s="162">
        <v>820</v>
      </c>
      <c r="AD889" s="162" t="s">
        <v>2706</v>
      </c>
      <c r="AE889" s="162">
        <v>1426</v>
      </c>
      <c r="AF889" s="162" t="s">
        <v>2706</v>
      </c>
      <c r="AG889" s="162">
        <v>986</v>
      </c>
      <c r="AH889" s="162" t="s">
        <v>2706</v>
      </c>
      <c r="AI889" s="162">
        <v>1896</v>
      </c>
      <c r="AJ889" s="162" t="s">
        <v>2706</v>
      </c>
      <c r="AK889" s="162">
        <v>1338</v>
      </c>
      <c r="AL889" s="162" t="s">
        <v>2706</v>
      </c>
      <c r="AM889" s="162">
        <v>13435</v>
      </c>
      <c r="AN889" s="162"/>
      <c r="AP889" s="168"/>
    </row>
    <row r="890" spans="1:42" s="100" customFormat="1" ht="46.8" x14ac:dyDescent="0.3">
      <c r="A890" s="161"/>
      <c r="B890" s="167"/>
      <c r="C890" s="98" t="s">
        <v>2708</v>
      </c>
      <c r="D890" s="163"/>
      <c r="E890" s="26" t="s">
        <v>48</v>
      </c>
      <c r="F890" s="30" t="s">
        <v>49</v>
      </c>
      <c r="G890" s="163"/>
      <c r="H890" s="163"/>
      <c r="I890" s="163"/>
      <c r="J890" s="165"/>
      <c r="K890" s="165"/>
      <c r="L890" s="165"/>
      <c r="M890" s="165"/>
      <c r="N890" s="165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  <c r="AA890" s="163"/>
      <c r="AB890" s="163"/>
      <c r="AC890" s="163"/>
      <c r="AD890" s="163"/>
      <c r="AE890" s="163"/>
      <c r="AF890" s="163"/>
      <c r="AG890" s="163"/>
      <c r="AH890" s="163"/>
      <c r="AI890" s="163"/>
      <c r="AJ890" s="163"/>
      <c r="AK890" s="163"/>
      <c r="AL890" s="163"/>
      <c r="AM890" s="163"/>
      <c r="AN890" s="163"/>
      <c r="AP890" s="169"/>
    </row>
    <row r="891" spans="1:42" s="100" customFormat="1" ht="46.8" x14ac:dyDescent="0.3">
      <c r="A891" s="160">
        <v>665</v>
      </c>
      <c r="B891" s="166" t="s">
        <v>1435</v>
      </c>
      <c r="C891" s="98" t="s">
        <v>2708</v>
      </c>
      <c r="D891" s="162" t="s">
        <v>2712</v>
      </c>
      <c r="E891" s="26" t="s">
        <v>144</v>
      </c>
      <c r="F891" s="30" t="s">
        <v>49</v>
      </c>
      <c r="G891" s="162" t="s">
        <v>2704</v>
      </c>
      <c r="H891" s="162">
        <v>32</v>
      </c>
      <c r="I891" s="162" t="str">
        <f t="shared" si="67"/>
        <v>с ЛН</v>
      </c>
      <c r="J891" s="164">
        <v>6</v>
      </c>
      <c r="K891" s="164" t="s">
        <v>528</v>
      </c>
      <c r="L891" s="164" t="s">
        <v>528</v>
      </c>
      <c r="M891" s="164" t="s">
        <v>2705</v>
      </c>
      <c r="N891" s="164" t="s">
        <v>2705</v>
      </c>
      <c r="O891" s="162">
        <v>509</v>
      </c>
      <c r="P891" s="162" t="s">
        <v>2706</v>
      </c>
      <c r="Q891" s="162">
        <v>385</v>
      </c>
      <c r="R891" s="162" t="s">
        <v>2706</v>
      </c>
      <c r="S891" s="162">
        <v>268</v>
      </c>
      <c r="T891" s="162" t="s">
        <v>2706</v>
      </c>
      <c r="U891" s="162">
        <v>452</v>
      </c>
      <c r="V891" s="162" t="s">
        <v>2706</v>
      </c>
      <c r="W891" s="162">
        <v>322</v>
      </c>
      <c r="X891" s="162" t="s">
        <v>2706</v>
      </c>
      <c r="Y891" s="162">
        <v>304</v>
      </c>
      <c r="Z891" s="162" t="s">
        <v>2706</v>
      </c>
      <c r="AA891" s="162">
        <v>177</v>
      </c>
      <c r="AB891" s="162" t="s">
        <v>2706</v>
      </c>
      <c r="AC891" s="162">
        <v>172</v>
      </c>
      <c r="AD891" s="162" t="s">
        <v>2706</v>
      </c>
      <c r="AE891" s="162">
        <v>316</v>
      </c>
      <c r="AF891" s="162" t="s">
        <v>2706</v>
      </c>
      <c r="AG891" s="162">
        <v>287</v>
      </c>
      <c r="AH891" s="162" t="s">
        <v>2706</v>
      </c>
      <c r="AI891" s="162">
        <v>453</v>
      </c>
      <c r="AJ891" s="162" t="s">
        <v>2706</v>
      </c>
      <c r="AK891" s="162">
        <v>376</v>
      </c>
      <c r="AL891" s="162" t="s">
        <v>2706</v>
      </c>
      <c r="AM891" s="162">
        <v>3849</v>
      </c>
      <c r="AN891" s="162"/>
      <c r="AP891" s="168"/>
    </row>
    <row r="892" spans="1:42" s="100" customFormat="1" ht="46.8" x14ac:dyDescent="0.3">
      <c r="A892" s="161"/>
      <c r="B892" s="167"/>
      <c r="C892" s="98" t="s">
        <v>2708</v>
      </c>
      <c r="D892" s="163"/>
      <c r="E892" s="26" t="s">
        <v>48</v>
      </c>
      <c r="F892" s="30" t="s">
        <v>49</v>
      </c>
      <c r="G892" s="163"/>
      <c r="H892" s="163"/>
      <c r="I892" s="163"/>
      <c r="J892" s="165"/>
      <c r="K892" s="165"/>
      <c r="L892" s="165"/>
      <c r="M892" s="165"/>
      <c r="N892" s="165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  <c r="AA892" s="163"/>
      <c r="AB892" s="163"/>
      <c r="AC892" s="163"/>
      <c r="AD892" s="163"/>
      <c r="AE892" s="163"/>
      <c r="AF892" s="163"/>
      <c r="AG892" s="163"/>
      <c r="AH892" s="163"/>
      <c r="AI892" s="163"/>
      <c r="AJ892" s="163"/>
      <c r="AK892" s="163"/>
      <c r="AL892" s="163"/>
      <c r="AM892" s="163"/>
      <c r="AN892" s="163"/>
      <c r="AP892" s="169"/>
    </row>
    <row r="893" spans="1:42" s="100" customFormat="1" ht="46.8" x14ac:dyDescent="0.3">
      <c r="A893" s="160">
        <v>665</v>
      </c>
      <c r="B893" s="166" t="s">
        <v>1436</v>
      </c>
      <c r="C893" s="98" t="s">
        <v>2708</v>
      </c>
      <c r="D893" s="162" t="s">
        <v>2712</v>
      </c>
      <c r="E893" s="26" t="s">
        <v>144</v>
      </c>
      <c r="F893" s="30" t="s">
        <v>49</v>
      </c>
      <c r="G893" s="162" t="s">
        <v>2704</v>
      </c>
      <c r="H893" s="162">
        <v>32</v>
      </c>
      <c r="I893" s="162" t="str">
        <f t="shared" si="67"/>
        <v>с ЛН</v>
      </c>
      <c r="J893" s="164">
        <v>6</v>
      </c>
      <c r="K893" s="164" t="s">
        <v>528</v>
      </c>
      <c r="L893" s="164" t="s">
        <v>528</v>
      </c>
      <c r="M893" s="164" t="s">
        <v>2705</v>
      </c>
      <c r="N893" s="164" t="s">
        <v>2705</v>
      </c>
      <c r="O893" s="162">
        <v>598</v>
      </c>
      <c r="P893" s="162" t="s">
        <v>2706</v>
      </c>
      <c r="Q893" s="162">
        <v>519</v>
      </c>
      <c r="R893" s="162" t="s">
        <v>2706</v>
      </c>
      <c r="S893" s="162">
        <v>299</v>
      </c>
      <c r="T893" s="162" t="s">
        <v>2706</v>
      </c>
      <c r="U893" s="162">
        <v>527</v>
      </c>
      <c r="V893" s="162" t="s">
        <v>2706</v>
      </c>
      <c r="W893" s="162">
        <v>456</v>
      </c>
      <c r="X893" s="162" t="s">
        <v>2706</v>
      </c>
      <c r="Y893" s="162">
        <v>516</v>
      </c>
      <c r="Z893" s="162" t="s">
        <v>2706</v>
      </c>
      <c r="AA893" s="162">
        <v>353</v>
      </c>
      <c r="AB893" s="162" t="s">
        <v>2706</v>
      </c>
      <c r="AC893" s="162">
        <v>354</v>
      </c>
      <c r="AD893" s="162" t="s">
        <v>2706</v>
      </c>
      <c r="AE893" s="162">
        <v>564</v>
      </c>
      <c r="AF893" s="162" t="s">
        <v>2706</v>
      </c>
      <c r="AG893" s="162">
        <v>470</v>
      </c>
      <c r="AH893" s="162" t="s">
        <v>2706</v>
      </c>
      <c r="AI893" s="162">
        <v>502</v>
      </c>
      <c r="AJ893" s="162" t="s">
        <v>2706</v>
      </c>
      <c r="AK893" s="162">
        <v>488</v>
      </c>
      <c r="AL893" s="162" t="s">
        <v>2706</v>
      </c>
      <c r="AM893" s="162">
        <v>5292</v>
      </c>
      <c r="AN893" s="162"/>
      <c r="AP893" s="168"/>
    </row>
    <row r="894" spans="1:42" s="100" customFormat="1" ht="46.8" x14ac:dyDescent="0.3">
      <c r="A894" s="161"/>
      <c r="B894" s="167"/>
      <c r="C894" s="98" t="s">
        <v>2708</v>
      </c>
      <c r="D894" s="163"/>
      <c r="E894" s="26" t="s">
        <v>48</v>
      </c>
      <c r="F894" s="30" t="s">
        <v>49</v>
      </c>
      <c r="G894" s="163"/>
      <c r="H894" s="163"/>
      <c r="I894" s="163"/>
      <c r="J894" s="165"/>
      <c r="K894" s="165"/>
      <c r="L894" s="165"/>
      <c r="M894" s="165"/>
      <c r="N894" s="165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  <c r="AA894" s="163"/>
      <c r="AB894" s="163"/>
      <c r="AC894" s="163"/>
      <c r="AD894" s="163"/>
      <c r="AE894" s="163"/>
      <c r="AF894" s="163"/>
      <c r="AG894" s="163"/>
      <c r="AH894" s="163"/>
      <c r="AI894" s="163"/>
      <c r="AJ894" s="163"/>
      <c r="AK894" s="163"/>
      <c r="AL894" s="163"/>
      <c r="AM894" s="163"/>
      <c r="AN894" s="163"/>
      <c r="AP894" s="169"/>
    </row>
    <row r="895" spans="1:42" s="100" customFormat="1" ht="46.8" x14ac:dyDescent="0.3">
      <c r="A895" s="160">
        <v>667</v>
      </c>
      <c r="B895" s="166" t="s">
        <v>1437</v>
      </c>
      <c r="C895" s="98" t="s">
        <v>2708</v>
      </c>
      <c r="D895" s="162" t="s">
        <v>2712</v>
      </c>
      <c r="E895" s="26" t="s">
        <v>144</v>
      </c>
      <c r="F895" s="30" t="s">
        <v>49</v>
      </c>
      <c r="G895" s="162" t="s">
        <v>2704</v>
      </c>
      <c r="H895" s="162">
        <v>22</v>
      </c>
      <c r="I895" s="162" t="str">
        <f t="shared" si="67"/>
        <v>с ЛН</v>
      </c>
      <c r="J895" s="164">
        <v>4</v>
      </c>
      <c r="K895" s="164" t="s">
        <v>528</v>
      </c>
      <c r="L895" s="164" t="s">
        <v>528</v>
      </c>
      <c r="M895" s="164" t="s">
        <v>2705</v>
      </c>
      <c r="N895" s="164" t="s">
        <v>2705</v>
      </c>
      <c r="O895" s="162">
        <v>990</v>
      </c>
      <c r="P895" s="162" t="s">
        <v>2706</v>
      </c>
      <c r="Q895" s="162">
        <v>933</v>
      </c>
      <c r="R895" s="162" t="s">
        <v>2706</v>
      </c>
      <c r="S895" s="162">
        <v>1161</v>
      </c>
      <c r="T895" s="162" t="s">
        <v>2706</v>
      </c>
      <c r="U895" s="162">
        <v>432</v>
      </c>
      <c r="V895" s="162" t="s">
        <v>2706</v>
      </c>
      <c r="W895" s="162">
        <v>520</v>
      </c>
      <c r="X895" s="162" t="s">
        <v>2706</v>
      </c>
      <c r="Y895" s="162">
        <v>698</v>
      </c>
      <c r="Z895" s="162" t="s">
        <v>2706</v>
      </c>
      <c r="AA895" s="162">
        <v>464</v>
      </c>
      <c r="AB895" s="162" t="s">
        <v>2706</v>
      </c>
      <c r="AC895" s="162">
        <v>464</v>
      </c>
      <c r="AD895" s="162" t="s">
        <v>2706</v>
      </c>
      <c r="AE895" s="162">
        <v>808</v>
      </c>
      <c r="AF895" s="162" t="s">
        <v>2706</v>
      </c>
      <c r="AG895" s="162">
        <v>604</v>
      </c>
      <c r="AH895" s="162" t="s">
        <v>2706</v>
      </c>
      <c r="AI895" s="162">
        <v>666</v>
      </c>
      <c r="AJ895" s="162" t="s">
        <v>2706</v>
      </c>
      <c r="AK895" s="162">
        <v>618</v>
      </c>
      <c r="AL895" s="162" t="s">
        <v>2706</v>
      </c>
      <c r="AM895" s="162">
        <v>7894</v>
      </c>
      <c r="AN895" s="162"/>
      <c r="AP895" s="168"/>
    </row>
    <row r="896" spans="1:42" s="100" customFormat="1" ht="46.8" x14ac:dyDescent="0.3">
      <c r="A896" s="161"/>
      <c r="B896" s="167"/>
      <c r="C896" s="98" t="s">
        <v>2708</v>
      </c>
      <c r="D896" s="163"/>
      <c r="E896" s="26" t="s">
        <v>48</v>
      </c>
      <c r="F896" s="30" t="s">
        <v>49</v>
      </c>
      <c r="G896" s="163"/>
      <c r="H896" s="163"/>
      <c r="I896" s="163"/>
      <c r="J896" s="165"/>
      <c r="K896" s="165"/>
      <c r="L896" s="165"/>
      <c r="M896" s="165"/>
      <c r="N896" s="165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  <c r="AA896" s="163"/>
      <c r="AB896" s="163"/>
      <c r="AC896" s="163"/>
      <c r="AD896" s="163"/>
      <c r="AE896" s="163"/>
      <c r="AF896" s="163"/>
      <c r="AG896" s="163"/>
      <c r="AH896" s="163"/>
      <c r="AI896" s="163"/>
      <c r="AJ896" s="163"/>
      <c r="AK896" s="163"/>
      <c r="AL896" s="163"/>
      <c r="AM896" s="163"/>
      <c r="AN896" s="163"/>
      <c r="AP896" s="169"/>
    </row>
    <row r="897" spans="1:42" s="100" customFormat="1" ht="46.8" x14ac:dyDescent="0.3">
      <c r="A897" s="160">
        <v>668</v>
      </c>
      <c r="B897" s="166" t="s">
        <v>1439</v>
      </c>
      <c r="C897" s="98" t="s">
        <v>2708</v>
      </c>
      <c r="D897" s="162" t="s">
        <v>2712</v>
      </c>
      <c r="E897" s="26" t="s">
        <v>144</v>
      </c>
      <c r="F897" s="30" t="s">
        <v>49</v>
      </c>
      <c r="G897" s="162" t="s">
        <v>2704</v>
      </c>
      <c r="H897" s="162">
        <v>26</v>
      </c>
      <c r="I897" s="162" t="str">
        <f t="shared" si="67"/>
        <v>с ЛН</v>
      </c>
      <c r="J897" s="164">
        <v>4</v>
      </c>
      <c r="K897" s="164" t="s">
        <v>528</v>
      </c>
      <c r="L897" s="164" t="s">
        <v>528</v>
      </c>
      <c r="M897" s="164" t="s">
        <v>2705</v>
      </c>
      <c r="N897" s="164" t="s">
        <v>2705</v>
      </c>
      <c r="O897" s="162">
        <v>512</v>
      </c>
      <c r="P897" s="162" t="s">
        <v>2706</v>
      </c>
      <c r="Q897" s="162">
        <v>390</v>
      </c>
      <c r="R897" s="162" t="s">
        <v>2706</v>
      </c>
      <c r="S897" s="162">
        <v>388</v>
      </c>
      <c r="T897" s="162" t="s">
        <v>2706</v>
      </c>
      <c r="U897" s="162">
        <v>502</v>
      </c>
      <c r="V897" s="162" t="s">
        <v>2706</v>
      </c>
      <c r="W897" s="162">
        <v>332</v>
      </c>
      <c r="X897" s="162" t="s">
        <v>2706</v>
      </c>
      <c r="Y897" s="162">
        <v>274</v>
      </c>
      <c r="Z897" s="162" t="s">
        <v>2706</v>
      </c>
      <c r="AA897" s="162">
        <v>198</v>
      </c>
      <c r="AB897" s="162" t="s">
        <v>2706</v>
      </c>
      <c r="AC897" s="162">
        <v>268</v>
      </c>
      <c r="AD897" s="162" t="s">
        <v>2706</v>
      </c>
      <c r="AE897" s="162">
        <v>369</v>
      </c>
      <c r="AF897" s="162" t="s">
        <v>2706</v>
      </c>
      <c r="AG897" s="162">
        <v>254</v>
      </c>
      <c r="AH897" s="162" t="s">
        <v>2706</v>
      </c>
      <c r="AI897" s="162">
        <v>377</v>
      </c>
      <c r="AJ897" s="162" t="s">
        <v>2706</v>
      </c>
      <c r="AK897" s="162">
        <v>362</v>
      </c>
      <c r="AL897" s="162" t="s">
        <v>2706</v>
      </c>
      <c r="AM897" s="162">
        <v>3958</v>
      </c>
      <c r="AN897" s="162"/>
      <c r="AP897" s="168"/>
    </row>
    <row r="898" spans="1:42" s="100" customFormat="1" ht="46.8" x14ac:dyDescent="0.3">
      <c r="A898" s="161"/>
      <c r="B898" s="167"/>
      <c r="C898" s="98" t="s">
        <v>2708</v>
      </c>
      <c r="D898" s="163"/>
      <c r="E898" s="26" t="s">
        <v>48</v>
      </c>
      <c r="F898" s="30" t="s">
        <v>49</v>
      </c>
      <c r="G898" s="163"/>
      <c r="H898" s="163"/>
      <c r="I898" s="163"/>
      <c r="J898" s="165"/>
      <c r="K898" s="165"/>
      <c r="L898" s="165"/>
      <c r="M898" s="165"/>
      <c r="N898" s="165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  <c r="AA898" s="163"/>
      <c r="AB898" s="163"/>
      <c r="AC898" s="163"/>
      <c r="AD898" s="163"/>
      <c r="AE898" s="163"/>
      <c r="AF898" s="163"/>
      <c r="AG898" s="163"/>
      <c r="AH898" s="163"/>
      <c r="AI898" s="163"/>
      <c r="AJ898" s="163"/>
      <c r="AK898" s="163"/>
      <c r="AL898" s="163"/>
      <c r="AM898" s="163"/>
      <c r="AN898" s="163"/>
      <c r="AP898" s="169"/>
    </row>
    <row r="899" spans="1:42" s="100" customFormat="1" ht="46.8" x14ac:dyDescent="0.3">
      <c r="A899" s="160">
        <v>669</v>
      </c>
      <c r="B899" s="166" t="s">
        <v>1441</v>
      </c>
      <c r="C899" s="98" t="s">
        <v>2708</v>
      </c>
      <c r="D899" s="162" t="s">
        <v>2712</v>
      </c>
      <c r="E899" s="26" t="s">
        <v>144</v>
      </c>
      <c r="F899" s="30" t="s">
        <v>49</v>
      </c>
      <c r="G899" s="162" t="s">
        <v>2704</v>
      </c>
      <c r="H899" s="162">
        <v>27</v>
      </c>
      <c r="I899" s="162" t="str">
        <f t="shared" si="67"/>
        <v>с ЛН</v>
      </c>
      <c r="J899" s="164">
        <v>5</v>
      </c>
      <c r="K899" s="164" t="s">
        <v>528</v>
      </c>
      <c r="L899" s="164" t="s">
        <v>528</v>
      </c>
      <c r="M899" s="164" t="s">
        <v>2705</v>
      </c>
      <c r="N899" s="164" t="s">
        <v>2705</v>
      </c>
      <c r="O899" s="162">
        <v>465</v>
      </c>
      <c r="P899" s="162" t="s">
        <v>2706</v>
      </c>
      <c r="Q899" s="162">
        <v>452</v>
      </c>
      <c r="R899" s="162" t="s">
        <v>2706</v>
      </c>
      <c r="S899" s="162">
        <v>295</v>
      </c>
      <c r="T899" s="162" t="s">
        <v>2706</v>
      </c>
      <c r="U899" s="162">
        <v>397</v>
      </c>
      <c r="V899" s="162" t="s">
        <v>2706</v>
      </c>
      <c r="W899" s="162">
        <v>381</v>
      </c>
      <c r="X899" s="162" t="s">
        <v>2706</v>
      </c>
      <c r="Y899" s="162">
        <v>353</v>
      </c>
      <c r="Z899" s="162" t="s">
        <v>2706</v>
      </c>
      <c r="AA899" s="162">
        <v>247</v>
      </c>
      <c r="AB899" s="162" t="s">
        <v>2706</v>
      </c>
      <c r="AC899" s="162">
        <v>332</v>
      </c>
      <c r="AD899" s="162" t="s">
        <v>2706</v>
      </c>
      <c r="AE899" s="162">
        <v>265</v>
      </c>
      <c r="AF899" s="162" t="s">
        <v>2706</v>
      </c>
      <c r="AG899" s="162">
        <v>268</v>
      </c>
      <c r="AH899" s="162" t="s">
        <v>2706</v>
      </c>
      <c r="AI899" s="162">
        <v>546</v>
      </c>
      <c r="AJ899" s="162" t="s">
        <v>2706</v>
      </c>
      <c r="AK899" s="162">
        <v>335</v>
      </c>
      <c r="AL899" s="162" t="s">
        <v>2706</v>
      </c>
      <c r="AM899" s="162">
        <v>4004</v>
      </c>
      <c r="AN899" s="162"/>
      <c r="AP899" s="168"/>
    </row>
    <row r="900" spans="1:42" s="100" customFormat="1" ht="46.8" x14ac:dyDescent="0.3">
      <c r="A900" s="161"/>
      <c r="B900" s="167"/>
      <c r="C900" s="98" t="s">
        <v>2708</v>
      </c>
      <c r="D900" s="163"/>
      <c r="E900" s="26" t="s">
        <v>48</v>
      </c>
      <c r="F900" s="30" t="s">
        <v>49</v>
      </c>
      <c r="G900" s="163"/>
      <c r="H900" s="163"/>
      <c r="I900" s="163"/>
      <c r="J900" s="165"/>
      <c r="K900" s="165"/>
      <c r="L900" s="165"/>
      <c r="M900" s="165"/>
      <c r="N900" s="165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  <c r="AA900" s="163"/>
      <c r="AB900" s="163"/>
      <c r="AC900" s="163"/>
      <c r="AD900" s="163"/>
      <c r="AE900" s="163"/>
      <c r="AF900" s="163"/>
      <c r="AG900" s="163"/>
      <c r="AH900" s="163"/>
      <c r="AI900" s="163"/>
      <c r="AJ900" s="163"/>
      <c r="AK900" s="163"/>
      <c r="AL900" s="163"/>
      <c r="AM900" s="163"/>
      <c r="AN900" s="163"/>
      <c r="AP900" s="169"/>
    </row>
    <row r="901" spans="1:42" s="100" customFormat="1" ht="46.8" x14ac:dyDescent="0.3">
      <c r="A901" s="160">
        <v>670</v>
      </c>
      <c r="B901" s="166" t="s">
        <v>1442</v>
      </c>
      <c r="C901" s="98" t="s">
        <v>2708</v>
      </c>
      <c r="D901" s="162" t="s">
        <v>2712</v>
      </c>
      <c r="E901" s="26" t="s">
        <v>144</v>
      </c>
      <c r="F901" s="30" t="s">
        <v>49</v>
      </c>
      <c r="G901" s="162" t="s">
        <v>2704</v>
      </c>
      <c r="H901" s="162">
        <v>24</v>
      </c>
      <c r="I901" s="162" t="str">
        <f t="shared" si="67"/>
        <v>с ЛН</v>
      </c>
      <c r="J901" s="164">
        <v>5</v>
      </c>
      <c r="K901" s="164" t="s">
        <v>528</v>
      </c>
      <c r="L901" s="164" t="s">
        <v>528</v>
      </c>
      <c r="M901" s="164" t="s">
        <v>2705</v>
      </c>
      <c r="N901" s="164" t="s">
        <v>2705</v>
      </c>
      <c r="O901" s="162">
        <v>0</v>
      </c>
      <c r="P901" s="162" t="s">
        <v>2706</v>
      </c>
      <c r="Q901" s="162">
        <v>0</v>
      </c>
      <c r="R901" s="162" t="s">
        <v>2706</v>
      </c>
      <c r="S901" s="162">
        <v>0</v>
      </c>
      <c r="T901" s="162" t="s">
        <v>2706</v>
      </c>
      <c r="U901" s="162">
        <v>0</v>
      </c>
      <c r="V901" s="162" t="s">
        <v>2706</v>
      </c>
      <c r="W901" s="162">
        <v>0</v>
      </c>
      <c r="X901" s="162" t="s">
        <v>2706</v>
      </c>
      <c r="Y901" s="162">
        <v>0</v>
      </c>
      <c r="Z901" s="162" t="s">
        <v>2706</v>
      </c>
      <c r="AA901" s="162">
        <v>0</v>
      </c>
      <c r="AB901" s="162" t="s">
        <v>2706</v>
      </c>
      <c r="AC901" s="162">
        <v>0</v>
      </c>
      <c r="AD901" s="162" t="s">
        <v>2706</v>
      </c>
      <c r="AE901" s="162">
        <v>0</v>
      </c>
      <c r="AF901" s="162" t="s">
        <v>2706</v>
      </c>
      <c r="AG901" s="162">
        <v>0</v>
      </c>
      <c r="AH901" s="162" t="s">
        <v>2706</v>
      </c>
      <c r="AI901" s="162">
        <v>0</v>
      </c>
      <c r="AJ901" s="162" t="s">
        <v>2706</v>
      </c>
      <c r="AK901" s="162">
        <v>0</v>
      </c>
      <c r="AL901" s="162" t="s">
        <v>2706</v>
      </c>
      <c r="AM901" s="162">
        <v>0</v>
      </c>
      <c r="AN901" s="162"/>
      <c r="AP901" s="168"/>
    </row>
    <row r="902" spans="1:42" s="100" customFormat="1" ht="46.8" x14ac:dyDescent="0.3">
      <c r="A902" s="161"/>
      <c r="B902" s="167"/>
      <c r="C902" s="98" t="s">
        <v>2708</v>
      </c>
      <c r="D902" s="163"/>
      <c r="E902" s="26" t="s">
        <v>48</v>
      </c>
      <c r="F902" s="30" t="s">
        <v>49</v>
      </c>
      <c r="G902" s="163"/>
      <c r="H902" s="163"/>
      <c r="I902" s="163"/>
      <c r="J902" s="165"/>
      <c r="K902" s="165"/>
      <c r="L902" s="165"/>
      <c r="M902" s="165"/>
      <c r="N902" s="165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  <c r="AA902" s="163"/>
      <c r="AB902" s="163"/>
      <c r="AC902" s="163"/>
      <c r="AD902" s="163"/>
      <c r="AE902" s="163"/>
      <c r="AF902" s="163"/>
      <c r="AG902" s="163"/>
      <c r="AH902" s="163"/>
      <c r="AI902" s="163"/>
      <c r="AJ902" s="163"/>
      <c r="AK902" s="163"/>
      <c r="AL902" s="163"/>
      <c r="AM902" s="163"/>
      <c r="AN902" s="163"/>
      <c r="AP902" s="169"/>
    </row>
    <row r="903" spans="1:42" s="100" customFormat="1" ht="46.8" x14ac:dyDescent="0.3">
      <c r="A903" s="160">
        <v>671</v>
      </c>
      <c r="B903" s="166" t="s">
        <v>1444</v>
      </c>
      <c r="C903" s="98" t="s">
        <v>2708</v>
      </c>
      <c r="D903" s="162" t="s">
        <v>2712</v>
      </c>
      <c r="E903" s="26" t="s">
        <v>144</v>
      </c>
      <c r="F903" s="30" t="s">
        <v>49</v>
      </c>
      <c r="G903" s="162" t="s">
        <v>2704</v>
      </c>
      <c r="H903" s="162">
        <v>14</v>
      </c>
      <c r="I903" s="162" t="str">
        <f t="shared" si="67"/>
        <v>с ЛН</v>
      </c>
      <c r="J903" s="164">
        <v>3</v>
      </c>
      <c r="K903" s="164" t="s">
        <v>528</v>
      </c>
      <c r="L903" s="164" t="s">
        <v>528</v>
      </c>
      <c r="M903" s="164" t="s">
        <v>2705</v>
      </c>
      <c r="N903" s="164" t="s">
        <v>2705</v>
      </c>
      <c r="O903" s="162">
        <v>0</v>
      </c>
      <c r="P903" s="162" t="s">
        <v>2706</v>
      </c>
      <c r="Q903" s="162">
        <v>0</v>
      </c>
      <c r="R903" s="162" t="s">
        <v>2706</v>
      </c>
      <c r="S903" s="162">
        <v>0</v>
      </c>
      <c r="T903" s="162" t="s">
        <v>2706</v>
      </c>
      <c r="U903" s="162">
        <v>0</v>
      </c>
      <c r="V903" s="162" t="s">
        <v>2706</v>
      </c>
      <c r="W903" s="162">
        <v>0</v>
      </c>
      <c r="X903" s="162" t="s">
        <v>2706</v>
      </c>
      <c r="Y903" s="162">
        <v>0</v>
      </c>
      <c r="Z903" s="162" t="s">
        <v>2706</v>
      </c>
      <c r="AA903" s="162">
        <v>0</v>
      </c>
      <c r="AB903" s="162" t="s">
        <v>2706</v>
      </c>
      <c r="AC903" s="162">
        <v>0</v>
      </c>
      <c r="AD903" s="162" t="s">
        <v>2706</v>
      </c>
      <c r="AE903" s="162">
        <v>0</v>
      </c>
      <c r="AF903" s="162" t="s">
        <v>2706</v>
      </c>
      <c r="AG903" s="162">
        <v>0</v>
      </c>
      <c r="AH903" s="162" t="s">
        <v>2706</v>
      </c>
      <c r="AI903" s="162">
        <v>0</v>
      </c>
      <c r="AJ903" s="162" t="s">
        <v>2706</v>
      </c>
      <c r="AK903" s="162">
        <v>0</v>
      </c>
      <c r="AL903" s="162" t="s">
        <v>2706</v>
      </c>
      <c r="AM903" s="162">
        <v>0</v>
      </c>
      <c r="AN903" s="162"/>
      <c r="AP903" s="168"/>
    </row>
    <row r="904" spans="1:42" s="100" customFormat="1" ht="46.8" x14ac:dyDescent="0.3">
      <c r="A904" s="161"/>
      <c r="B904" s="167"/>
      <c r="C904" s="98" t="s">
        <v>2708</v>
      </c>
      <c r="D904" s="163"/>
      <c r="E904" s="26" t="s">
        <v>48</v>
      </c>
      <c r="F904" s="30" t="s">
        <v>49</v>
      </c>
      <c r="G904" s="163"/>
      <c r="H904" s="163"/>
      <c r="I904" s="163"/>
      <c r="J904" s="165"/>
      <c r="K904" s="165"/>
      <c r="L904" s="165"/>
      <c r="M904" s="165"/>
      <c r="N904" s="165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  <c r="AA904" s="163"/>
      <c r="AB904" s="163"/>
      <c r="AC904" s="163"/>
      <c r="AD904" s="163"/>
      <c r="AE904" s="163"/>
      <c r="AF904" s="163"/>
      <c r="AG904" s="163"/>
      <c r="AH904" s="163"/>
      <c r="AI904" s="163"/>
      <c r="AJ904" s="163"/>
      <c r="AK904" s="163"/>
      <c r="AL904" s="163"/>
      <c r="AM904" s="163"/>
      <c r="AN904" s="163"/>
      <c r="AP904" s="169"/>
    </row>
    <row r="905" spans="1:42" s="100" customFormat="1" ht="46.8" x14ac:dyDescent="0.3">
      <c r="A905" s="160">
        <v>672</v>
      </c>
      <c r="B905" s="166" t="s">
        <v>1445</v>
      </c>
      <c r="C905" s="98" t="s">
        <v>2708</v>
      </c>
      <c r="D905" s="162" t="s">
        <v>2712</v>
      </c>
      <c r="E905" s="26" t="s">
        <v>144</v>
      </c>
      <c r="F905" s="30" t="s">
        <v>49</v>
      </c>
      <c r="G905" s="162" t="s">
        <v>2704</v>
      </c>
      <c r="H905" s="162">
        <v>22</v>
      </c>
      <c r="I905" s="162" t="str">
        <f t="shared" si="67"/>
        <v>с ЛН</v>
      </c>
      <c r="J905" s="164">
        <v>4</v>
      </c>
      <c r="K905" s="164" t="s">
        <v>528</v>
      </c>
      <c r="L905" s="164" t="s">
        <v>528</v>
      </c>
      <c r="M905" s="164" t="s">
        <v>2705</v>
      </c>
      <c r="N905" s="164" t="s">
        <v>2705</v>
      </c>
      <c r="O905" s="162">
        <v>221</v>
      </c>
      <c r="P905" s="162" t="s">
        <v>2706</v>
      </c>
      <c r="Q905" s="162">
        <v>221</v>
      </c>
      <c r="R905" s="162" t="s">
        <v>2706</v>
      </c>
      <c r="S905" s="162">
        <v>152</v>
      </c>
      <c r="T905" s="162" t="s">
        <v>2706</v>
      </c>
      <c r="U905" s="162">
        <v>226</v>
      </c>
      <c r="V905" s="162" t="s">
        <v>2706</v>
      </c>
      <c r="W905" s="162">
        <v>211</v>
      </c>
      <c r="X905" s="162" t="s">
        <v>2706</v>
      </c>
      <c r="Y905" s="162">
        <v>222</v>
      </c>
      <c r="Z905" s="162" t="s">
        <v>2706</v>
      </c>
      <c r="AA905" s="162">
        <v>144</v>
      </c>
      <c r="AB905" s="162" t="s">
        <v>2706</v>
      </c>
      <c r="AC905" s="162">
        <v>194</v>
      </c>
      <c r="AD905" s="162" t="s">
        <v>2706</v>
      </c>
      <c r="AE905" s="162">
        <v>237</v>
      </c>
      <c r="AF905" s="162" t="s">
        <v>2706</v>
      </c>
      <c r="AG905" s="162">
        <v>130</v>
      </c>
      <c r="AH905" s="162" t="s">
        <v>2706</v>
      </c>
      <c r="AI905" s="162">
        <v>578</v>
      </c>
      <c r="AJ905" s="162" t="s">
        <v>2706</v>
      </c>
      <c r="AK905" s="162">
        <v>190</v>
      </c>
      <c r="AL905" s="162" t="s">
        <v>2706</v>
      </c>
      <c r="AM905" s="162">
        <v>2532</v>
      </c>
      <c r="AN905" s="162"/>
      <c r="AP905" s="168"/>
    </row>
    <row r="906" spans="1:42" s="100" customFormat="1" ht="46.8" x14ac:dyDescent="0.3">
      <c r="A906" s="161"/>
      <c r="B906" s="167"/>
      <c r="C906" s="98" t="s">
        <v>2708</v>
      </c>
      <c r="D906" s="163"/>
      <c r="E906" s="26" t="s">
        <v>48</v>
      </c>
      <c r="F906" s="30" t="s">
        <v>49</v>
      </c>
      <c r="G906" s="163"/>
      <c r="H906" s="163"/>
      <c r="I906" s="163"/>
      <c r="J906" s="165"/>
      <c r="K906" s="165"/>
      <c r="L906" s="165"/>
      <c r="M906" s="165"/>
      <c r="N906" s="165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  <c r="AA906" s="163"/>
      <c r="AB906" s="163"/>
      <c r="AC906" s="163"/>
      <c r="AD906" s="163"/>
      <c r="AE906" s="163"/>
      <c r="AF906" s="163"/>
      <c r="AG906" s="163"/>
      <c r="AH906" s="163"/>
      <c r="AI906" s="163"/>
      <c r="AJ906" s="163"/>
      <c r="AK906" s="163"/>
      <c r="AL906" s="163"/>
      <c r="AM906" s="163"/>
      <c r="AN906" s="163"/>
      <c r="AP906" s="169"/>
    </row>
    <row r="907" spans="1:42" s="100" customFormat="1" ht="46.8" x14ac:dyDescent="0.3">
      <c r="A907" s="160">
        <v>673</v>
      </c>
      <c r="B907" s="166" t="s">
        <v>1447</v>
      </c>
      <c r="C907" s="98" t="s">
        <v>2708</v>
      </c>
      <c r="D907" s="162" t="s">
        <v>2712</v>
      </c>
      <c r="E907" s="26" t="s">
        <v>144</v>
      </c>
      <c r="F907" s="30" t="s">
        <v>49</v>
      </c>
      <c r="G907" s="162" t="s">
        <v>2704</v>
      </c>
      <c r="H907" s="162">
        <v>20</v>
      </c>
      <c r="I907" s="162" t="str">
        <f t="shared" si="67"/>
        <v>с ЛН</v>
      </c>
      <c r="J907" s="164">
        <v>4</v>
      </c>
      <c r="K907" s="164" t="s">
        <v>528</v>
      </c>
      <c r="L907" s="164" t="s">
        <v>528</v>
      </c>
      <c r="M907" s="164" t="s">
        <v>2705</v>
      </c>
      <c r="N907" s="164" t="s">
        <v>2705</v>
      </c>
      <c r="O907" s="162">
        <v>196</v>
      </c>
      <c r="P907" s="162" t="s">
        <v>2706</v>
      </c>
      <c r="Q907" s="162">
        <v>186</v>
      </c>
      <c r="R907" s="162" t="s">
        <v>2706</v>
      </c>
      <c r="S907" s="162">
        <v>157</v>
      </c>
      <c r="T907" s="162" t="s">
        <v>2706</v>
      </c>
      <c r="U907" s="162">
        <v>248</v>
      </c>
      <c r="V907" s="162" t="s">
        <v>2706</v>
      </c>
      <c r="W907" s="162">
        <v>148</v>
      </c>
      <c r="X907" s="162" t="s">
        <v>2706</v>
      </c>
      <c r="Y907" s="162">
        <v>658</v>
      </c>
      <c r="Z907" s="162" t="s">
        <v>2706</v>
      </c>
      <c r="AA907" s="162">
        <v>81</v>
      </c>
      <c r="AB907" s="162" t="s">
        <v>2706</v>
      </c>
      <c r="AC907" s="162">
        <v>111</v>
      </c>
      <c r="AD907" s="162" t="s">
        <v>2706</v>
      </c>
      <c r="AE907" s="162">
        <v>166</v>
      </c>
      <c r="AF907" s="162" t="s">
        <v>2706</v>
      </c>
      <c r="AG907" s="162">
        <v>108</v>
      </c>
      <c r="AH907" s="162" t="s">
        <v>2706</v>
      </c>
      <c r="AI907" s="162">
        <v>1057</v>
      </c>
      <c r="AJ907" s="162" t="s">
        <v>2706</v>
      </c>
      <c r="AK907" s="162">
        <v>136</v>
      </c>
      <c r="AL907" s="162" t="s">
        <v>2706</v>
      </c>
      <c r="AM907" s="162">
        <v>3141</v>
      </c>
      <c r="AN907" s="162"/>
      <c r="AP907" s="168"/>
    </row>
    <row r="908" spans="1:42" s="100" customFormat="1" ht="46.8" x14ac:dyDescent="0.3">
      <c r="A908" s="161"/>
      <c r="B908" s="167"/>
      <c r="C908" s="98" t="s">
        <v>2708</v>
      </c>
      <c r="D908" s="163"/>
      <c r="E908" s="26" t="s">
        <v>48</v>
      </c>
      <c r="F908" s="30" t="s">
        <v>49</v>
      </c>
      <c r="G908" s="163"/>
      <c r="H908" s="163"/>
      <c r="I908" s="163"/>
      <c r="J908" s="165"/>
      <c r="K908" s="165"/>
      <c r="L908" s="165"/>
      <c r="M908" s="165"/>
      <c r="N908" s="165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  <c r="AB908" s="163"/>
      <c r="AC908" s="163"/>
      <c r="AD908" s="163"/>
      <c r="AE908" s="163"/>
      <c r="AF908" s="163"/>
      <c r="AG908" s="163"/>
      <c r="AH908" s="163"/>
      <c r="AI908" s="163"/>
      <c r="AJ908" s="163"/>
      <c r="AK908" s="163"/>
      <c r="AL908" s="163"/>
      <c r="AM908" s="163"/>
      <c r="AN908" s="163"/>
      <c r="AP908" s="169"/>
    </row>
    <row r="909" spans="1:42" s="100" customFormat="1" ht="46.8" x14ac:dyDescent="0.3">
      <c r="A909" s="160">
        <v>674</v>
      </c>
      <c r="B909" s="166" t="s">
        <v>1449</v>
      </c>
      <c r="C909" s="98" t="s">
        <v>2708</v>
      </c>
      <c r="D909" s="162" t="s">
        <v>2712</v>
      </c>
      <c r="E909" s="26" t="s">
        <v>144</v>
      </c>
      <c r="F909" s="30" t="s">
        <v>49</v>
      </c>
      <c r="G909" s="162" t="s">
        <v>2704</v>
      </c>
      <c r="H909" s="162">
        <v>18</v>
      </c>
      <c r="I909" s="162" t="str">
        <f t="shared" si="67"/>
        <v>с ЛН</v>
      </c>
      <c r="J909" s="164">
        <v>3</v>
      </c>
      <c r="K909" s="164" t="s">
        <v>528</v>
      </c>
      <c r="L909" s="164" t="s">
        <v>528</v>
      </c>
      <c r="M909" s="164" t="s">
        <v>2705</v>
      </c>
      <c r="N909" s="164" t="s">
        <v>2705</v>
      </c>
      <c r="O909" s="162">
        <v>358</v>
      </c>
      <c r="P909" s="162" t="s">
        <v>2706</v>
      </c>
      <c r="Q909" s="162">
        <v>332</v>
      </c>
      <c r="R909" s="162" t="s">
        <v>2706</v>
      </c>
      <c r="S909" s="162">
        <v>175</v>
      </c>
      <c r="T909" s="162" t="s">
        <v>2706</v>
      </c>
      <c r="U909" s="162">
        <v>283</v>
      </c>
      <c r="V909" s="162" t="s">
        <v>2706</v>
      </c>
      <c r="W909" s="162">
        <v>220</v>
      </c>
      <c r="X909" s="162" t="s">
        <v>2706</v>
      </c>
      <c r="Y909" s="162">
        <v>198</v>
      </c>
      <c r="Z909" s="162" t="s">
        <v>2706</v>
      </c>
      <c r="AA909" s="162">
        <v>191</v>
      </c>
      <c r="AB909" s="162" t="s">
        <v>2706</v>
      </c>
      <c r="AC909" s="162">
        <v>228</v>
      </c>
      <c r="AD909" s="162" t="s">
        <v>2706</v>
      </c>
      <c r="AE909" s="162">
        <v>142</v>
      </c>
      <c r="AF909" s="162" t="s">
        <v>2706</v>
      </c>
      <c r="AG909" s="162">
        <v>129</v>
      </c>
      <c r="AH909" s="162" t="s">
        <v>2706</v>
      </c>
      <c r="AI909" s="162">
        <v>840</v>
      </c>
      <c r="AJ909" s="162" t="s">
        <v>2706</v>
      </c>
      <c r="AK909" s="162">
        <v>165</v>
      </c>
      <c r="AL909" s="162" t="s">
        <v>2706</v>
      </c>
      <c r="AM909" s="162">
        <v>3033</v>
      </c>
      <c r="AN909" s="162"/>
      <c r="AP909" s="168"/>
    </row>
    <row r="910" spans="1:42" s="100" customFormat="1" ht="46.8" x14ac:dyDescent="0.3">
      <c r="A910" s="161"/>
      <c r="B910" s="167"/>
      <c r="C910" s="98" t="s">
        <v>2708</v>
      </c>
      <c r="D910" s="163"/>
      <c r="E910" s="26" t="s">
        <v>48</v>
      </c>
      <c r="F910" s="30" t="s">
        <v>49</v>
      </c>
      <c r="G910" s="163"/>
      <c r="H910" s="163"/>
      <c r="I910" s="163"/>
      <c r="J910" s="165"/>
      <c r="K910" s="165"/>
      <c r="L910" s="165"/>
      <c r="M910" s="165"/>
      <c r="N910" s="165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  <c r="AA910" s="163"/>
      <c r="AB910" s="163"/>
      <c r="AC910" s="163"/>
      <c r="AD910" s="163"/>
      <c r="AE910" s="163"/>
      <c r="AF910" s="163"/>
      <c r="AG910" s="163"/>
      <c r="AH910" s="163"/>
      <c r="AI910" s="163"/>
      <c r="AJ910" s="163"/>
      <c r="AK910" s="163"/>
      <c r="AL910" s="163"/>
      <c r="AM910" s="163"/>
      <c r="AN910" s="163"/>
      <c r="AP910" s="169"/>
    </row>
    <row r="911" spans="1:42" s="100" customFormat="1" ht="46.8" x14ac:dyDescent="0.3">
      <c r="A911" s="160">
        <v>675</v>
      </c>
      <c r="B911" s="166" t="s">
        <v>1451</v>
      </c>
      <c r="C911" s="98" t="s">
        <v>2708</v>
      </c>
      <c r="D911" s="162" t="s">
        <v>2712</v>
      </c>
      <c r="E911" s="26" t="s">
        <v>144</v>
      </c>
      <c r="F911" s="30" t="s">
        <v>49</v>
      </c>
      <c r="G911" s="162" t="s">
        <v>2704</v>
      </c>
      <c r="H911" s="162">
        <v>36</v>
      </c>
      <c r="I911" s="162" t="str">
        <f t="shared" si="67"/>
        <v>с ЛН</v>
      </c>
      <c r="J911" s="164">
        <v>6</v>
      </c>
      <c r="K911" s="164" t="s">
        <v>528</v>
      </c>
      <c r="L911" s="164" t="s">
        <v>528</v>
      </c>
      <c r="M911" s="164" t="s">
        <v>2705</v>
      </c>
      <c r="N911" s="164" t="s">
        <v>2705</v>
      </c>
      <c r="O911" s="162">
        <v>697</v>
      </c>
      <c r="P911" s="162" t="s">
        <v>2706</v>
      </c>
      <c r="Q911" s="162">
        <v>0</v>
      </c>
      <c r="R911" s="162" t="s">
        <v>2706</v>
      </c>
      <c r="S911" s="162">
        <v>475</v>
      </c>
      <c r="T911" s="162" t="s">
        <v>2706</v>
      </c>
      <c r="U911" s="162">
        <v>1031</v>
      </c>
      <c r="V911" s="162" t="s">
        <v>2706</v>
      </c>
      <c r="W911" s="162">
        <v>977</v>
      </c>
      <c r="X911" s="162" t="s">
        <v>2706</v>
      </c>
      <c r="Y911" s="162">
        <v>746</v>
      </c>
      <c r="Z911" s="162" t="s">
        <v>2706</v>
      </c>
      <c r="AA911" s="162">
        <v>555</v>
      </c>
      <c r="AB911" s="162" t="s">
        <v>2706</v>
      </c>
      <c r="AC911" s="162">
        <v>561</v>
      </c>
      <c r="AD911" s="162" t="s">
        <v>2706</v>
      </c>
      <c r="AE911" s="162">
        <v>0</v>
      </c>
      <c r="AF911" s="162" t="s">
        <v>2706</v>
      </c>
      <c r="AG911" s="162">
        <v>0</v>
      </c>
      <c r="AH911" s="162" t="s">
        <v>2706</v>
      </c>
      <c r="AI911" s="162">
        <v>511</v>
      </c>
      <c r="AJ911" s="162" t="s">
        <v>2706</v>
      </c>
      <c r="AK911" s="162">
        <v>1259</v>
      </c>
      <c r="AL911" s="162" t="s">
        <v>2706</v>
      </c>
      <c r="AM911" s="162">
        <v>6115</v>
      </c>
      <c r="AN911" s="162"/>
      <c r="AP911" s="168"/>
    </row>
    <row r="912" spans="1:42" s="100" customFormat="1" ht="46.8" x14ac:dyDescent="0.3">
      <c r="A912" s="161"/>
      <c r="B912" s="167"/>
      <c r="C912" s="98" t="s">
        <v>2708</v>
      </c>
      <c r="D912" s="163"/>
      <c r="E912" s="26" t="s">
        <v>48</v>
      </c>
      <c r="F912" s="30" t="s">
        <v>49</v>
      </c>
      <c r="G912" s="163"/>
      <c r="H912" s="163"/>
      <c r="I912" s="163"/>
      <c r="J912" s="165"/>
      <c r="K912" s="165"/>
      <c r="L912" s="165"/>
      <c r="M912" s="165"/>
      <c r="N912" s="165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  <c r="AA912" s="163"/>
      <c r="AB912" s="163"/>
      <c r="AC912" s="163"/>
      <c r="AD912" s="163"/>
      <c r="AE912" s="163"/>
      <c r="AF912" s="163"/>
      <c r="AG912" s="163"/>
      <c r="AH912" s="163"/>
      <c r="AI912" s="163"/>
      <c r="AJ912" s="163"/>
      <c r="AK912" s="163"/>
      <c r="AL912" s="163"/>
      <c r="AM912" s="163"/>
      <c r="AN912" s="163"/>
      <c r="AP912" s="169"/>
    </row>
    <row r="913" spans="1:42" s="100" customFormat="1" ht="46.8" x14ac:dyDescent="0.3">
      <c r="A913" s="160">
        <v>676</v>
      </c>
      <c r="B913" s="166" t="s">
        <v>1452</v>
      </c>
      <c r="C913" s="98" t="s">
        <v>2708</v>
      </c>
      <c r="D913" s="162" t="s">
        <v>2712</v>
      </c>
      <c r="E913" s="26" t="s">
        <v>144</v>
      </c>
      <c r="F913" s="30" t="s">
        <v>49</v>
      </c>
      <c r="G913" s="162" t="s">
        <v>2704</v>
      </c>
      <c r="H913" s="162">
        <v>28</v>
      </c>
      <c r="I913" s="162" t="str">
        <f t="shared" si="67"/>
        <v>с ЛН</v>
      </c>
      <c r="J913" s="164">
        <v>6</v>
      </c>
      <c r="K913" s="164" t="s">
        <v>528</v>
      </c>
      <c r="L913" s="164" t="s">
        <v>528</v>
      </c>
      <c r="M913" s="164" t="s">
        <v>2705</v>
      </c>
      <c r="N913" s="164" t="s">
        <v>2705</v>
      </c>
      <c r="O913" s="162">
        <v>971</v>
      </c>
      <c r="P913" s="162" t="s">
        <v>2706</v>
      </c>
      <c r="Q913" s="162">
        <v>795</v>
      </c>
      <c r="R913" s="162" t="s">
        <v>2706</v>
      </c>
      <c r="S913" s="162">
        <v>235</v>
      </c>
      <c r="T913" s="162" t="s">
        <v>2706</v>
      </c>
      <c r="U913" s="162">
        <v>499</v>
      </c>
      <c r="V913" s="162" t="s">
        <v>2706</v>
      </c>
      <c r="W913" s="162">
        <v>331</v>
      </c>
      <c r="X913" s="162" t="s">
        <v>2706</v>
      </c>
      <c r="Y913" s="162">
        <v>359</v>
      </c>
      <c r="Z913" s="162" t="s">
        <v>2706</v>
      </c>
      <c r="AA913" s="162">
        <v>171</v>
      </c>
      <c r="AB913" s="162" t="s">
        <v>2706</v>
      </c>
      <c r="AC913" s="162">
        <v>223</v>
      </c>
      <c r="AD913" s="162" t="s">
        <v>2706</v>
      </c>
      <c r="AE913" s="162">
        <v>363</v>
      </c>
      <c r="AF913" s="162" t="s">
        <v>2706</v>
      </c>
      <c r="AG913" s="162">
        <v>345</v>
      </c>
      <c r="AH913" s="162" t="s">
        <v>2706</v>
      </c>
      <c r="AI913" s="162">
        <v>135</v>
      </c>
      <c r="AJ913" s="162" t="s">
        <v>2706</v>
      </c>
      <c r="AK913" s="162">
        <v>571</v>
      </c>
      <c r="AL913" s="162" t="s">
        <v>2706</v>
      </c>
      <c r="AM913" s="162">
        <v>4775</v>
      </c>
      <c r="AN913" s="162"/>
      <c r="AP913" s="168"/>
    </row>
    <row r="914" spans="1:42" s="100" customFormat="1" ht="46.8" x14ac:dyDescent="0.3">
      <c r="A914" s="161"/>
      <c r="B914" s="167"/>
      <c r="C914" s="98" t="s">
        <v>2708</v>
      </c>
      <c r="D914" s="163"/>
      <c r="E914" s="26" t="s">
        <v>48</v>
      </c>
      <c r="F914" s="30" t="s">
        <v>49</v>
      </c>
      <c r="G914" s="163"/>
      <c r="H914" s="163"/>
      <c r="I914" s="163"/>
      <c r="J914" s="165"/>
      <c r="K914" s="165"/>
      <c r="L914" s="165"/>
      <c r="M914" s="165"/>
      <c r="N914" s="165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  <c r="AA914" s="163"/>
      <c r="AB914" s="163"/>
      <c r="AC914" s="163"/>
      <c r="AD914" s="163"/>
      <c r="AE914" s="163"/>
      <c r="AF914" s="163"/>
      <c r="AG914" s="163"/>
      <c r="AH914" s="163"/>
      <c r="AI914" s="163"/>
      <c r="AJ914" s="163"/>
      <c r="AK914" s="163"/>
      <c r="AL914" s="163"/>
      <c r="AM914" s="163"/>
      <c r="AN914" s="163"/>
      <c r="AP914" s="169"/>
    </row>
    <row r="915" spans="1:42" s="100" customFormat="1" ht="46.8" x14ac:dyDescent="0.3">
      <c r="A915" s="160">
        <v>677</v>
      </c>
      <c r="B915" s="166" t="s">
        <v>1454</v>
      </c>
      <c r="C915" s="98" t="s">
        <v>2708</v>
      </c>
      <c r="D915" s="162" t="s">
        <v>2712</v>
      </c>
      <c r="E915" s="26" t="s">
        <v>144</v>
      </c>
      <c r="F915" s="30" t="s">
        <v>49</v>
      </c>
      <c r="G915" s="162" t="s">
        <v>2704</v>
      </c>
      <c r="H915" s="162">
        <v>17</v>
      </c>
      <c r="I915" s="162" t="str">
        <f t="shared" si="67"/>
        <v>с ЛН</v>
      </c>
      <c r="J915" s="164">
        <v>3</v>
      </c>
      <c r="K915" s="164" t="s">
        <v>529</v>
      </c>
      <c r="L915" s="164" t="s">
        <v>529</v>
      </c>
      <c r="M915" s="164" t="s">
        <v>2705</v>
      </c>
      <c r="N915" s="164" t="s">
        <v>2705</v>
      </c>
      <c r="O915" s="162">
        <v>1041</v>
      </c>
      <c r="P915" s="162" t="s">
        <v>2706</v>
      </c>
      <c r="Q915" s="162">
        <v>941</v>
      </c>
      <c r="R915" s="162" t="s">
        <v>2706</v>
      </c>
      <c r="S915" s="162">
        <v>1041</v>
      </c>
      <c r="T915" s="162" t="s">
        <v>2706</v>
      </c>
      <c r="U915" s="162">
        <v>1008</v>
      </c>
      <c r="V915" s="162" t="s">
        <v>2706</v>
      </c>
      <c r="W915" s="162">
        <v>1041</v>
      </c>
      <c r="X915" s="162" t="s">
        <v>2706</v>
      </c>
      <c r="Y915" s="162">
        <v>615</v>
      </c>
      <c r="Z915" s="162" t="s">
        <v>2706</v>
      </c>
      <c r="AA915" s="162">
        <v>617</v>
      </c>
      <c r="AB915" s="162" t="s">
        <v>2706</v>
      </c>
      <c r="AC915" s="162">
        <v>617</v>
      </c>
      <c r="AD915" s="162" t="s">
        <v>2706</v>
      </c>
      <c r="AE915" s="162">
        <v>615</v>
      </c>
      <c r="AF915" s="162" t="s">
        <v>2706</v>
      </c>
      <c r="AG915" s="162">
        <v>0</v>
      </c>
      <c r="AH915" s="162" t="s">
        <v>2706</v>
      </c>
      <c r="AI915" s="162">
        <v>0</v>
      </c>
      <c r="AJ915" s="162" t="s">
        <v>2706</v>
      </c>
      <c r="AK915" s="162">
        <v>946</v>
      </c>
      <c r="AL915" s="162" t="s">
        <v>2706</v>
      </c>
      <c r="AM915" s="162">
        <v>7441</v>
      </c>
      <c r="AN915" s="162"/>
      <c r="AP915" s="168"/>
    </row>
    <row r="916" spans="1:42" s="100" customFormat="1" ht="46.8" x14ac:dyDescent="0.3">
      <c r="A916" s="161"/>
      <c r="B916" s="167"/>
      <c r="C916" s="98" t="s">
        <v>2708</v>
      </c>
      <c r="D916" s="163"/>
      <c r="E916" s="26" t="s">
        <v>48</v>
      </c>
      <c r="F916" s="30" t="s">
        <v>49</v>
      </c>
      <c r="G916" s="163"/>
      <c r="H916" s="163"/>
      <c r="I916" s="163"/>
      <c r="J916" s="165"/>
      <c r="K916" s="165"/>
      <c r="L916" s="165"/>
      <c r="M916" s="165"/>
      <c r="N916" s="165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  <c r="AA916" s="163"/>
      <c r="AB916" s="163"/>
      <c r="AC916" s="163"/>
      <c r="AD916" s="163"/>
      <c r="AE916" s="163"/>
      <c r="AF916" s="163"/>
      <c r="AG916" s="163"/>
      <c r="AH916" s="163"/>
      <c r="AI916" s="163"/>
      <c r="AJ916" s="163"/>
      <c r="AK916" s="163"/>
      <c r="AL916" s="163"/>
      <c r="AM916" s="163"/>
      <c r="AN916" s="163"/>
      <c r="AP916" s="169"/>
    </row>
    <row r="917" spans="1:42" s="100" customFormat="1" ht="46.8" x14ac:dyDescent="0.3">
      <c r="A917" s="160">
        <v>678</v>
      </c>
      <c r="B917" s="166" t="s">
        <v>1455</v>
      </c>
      <c r="C917" s="98" t="s">
        <v>2708</v>
      </c>
      <c r="D917" s="162" t="s">
        <v>2712</v>
      </c>
      <c r="E917" s="26" t="s">
        <v>144</v>
      </c>
      <c r="F917" s="30" t="s">
        <v>49</v>
      </c>
      <c r="G917" s="162" t="s">
        <v>2704</v>
      </c>
      <c r="H917" s="162">
        <v>15</v>
      </c>
      <c r="I917" s="162" t="str">
        <f t="shared" si="67"/>
        <v>с ЛН</v>
      </c>
      <c r="J917" s="164">
        <v>3</v>
      </c>
      <c r="K917" s="164" t="s">
        <v>528</v>
      </c>
      <c r="L917" s="164" t="s">
        <v>528</v>
      </c>
      <c r="M917" s="164" t="s">
        <v>2705</v>
      </c>
      <c r="N917" s="164" t="s">
        <v>2705</v>
      </c>
      <c r="O917" s="162">
        <v>0</v>
      </c>
      <c r="P917" s="162" t="s">
        <v>2706</v>
      </c>
      <c r="Q917" s="162">
        <v>0</v>
      </c>
      <c r="R917" s="162" t="s">
        <v>2706</v>
      </c>
      <c r="S917" s="162">
        <v>0</v>
      </c>
      <c r="T917" s="162" t="s">
        <v>2706</v>
      </c>
      <c r="U917" s="162">
        <v>0</v>
      </c>
      <c r="V917" s="162" t="s">
        <v>2706</v>
      </c>
      <c r="W917" s="162">
        <v>0</v>
      </c>
      <c r="X917" s="162" t="s">
        <v>2706</v>
      </c>
      <c r="Y917" s="162">
        <v>0</v>
      </c>
      <c r="Z917" s="162" t="s">
        <v>2706</v>
      </c>
      <c r="AA917" s="162">
        <v>0</v>
      </c>
      <c r="AB917" s="162" t="s">
        <v>2706</v>
      </c>
      <c r="AC917" s="162">
        <v>0</v>
      </c>
      <c r="AD917" s="162" t="s">
        <v>2706</v>
      </c>
      <c r="AE917" s="162">
        <v>0</v>
      </c>
      <c r="AF917" s="162" t="s">
        <v>2706</v>
      </c>
      <c r="AG917" s="162">
        <v>0</v>
      </c>
      <c r="AH917" s="162" t="s">
        <v>2706</v>
      </c>
      <c r="AI917" s="162">
        <v>0</v>
      </c>
      <c r="AJ917" s="162" t="s">
        <v>2706</v>
      </c>
      <c r="AK917" s="162">
        <v>0</v>
      </c>
      <c r="AL917" s="162" t="s">
        <v>2706</v>
      </c>
      <c r="AM917" s="162">
        <v>0</v>
      </c>
      <c r="AN917" s="162"/>
      <c r="AP917" s="168"/>
    </row>
    <row r="918" spans="1:42" s="100" customFormat="1" ht="46.8" x14ac:dyDescent="0.3">
      <c r="A918" s="161"/>
      <c r="B918" s="167"/>
      <c r="C918" s="98" t="s">
        <v>2708</v>
      </c>
      <c r="D918" s="163"/>
      <c r="E918" s="26" t="s">
        <v>48</v>
      </c>
      <c r="F918" s="30" t="s">
        <v>49</v>
      </c>
      <c r="G918" s="163"/>
      <c r="H918" s="163"/>
      <c r="I918" s="163"/>
      <c r="J918" s="165"/>
      <c r="K918" s="165"/>
      <c r="L918" s="165"/>
      <c r="M918" s="165"/>
      <c r="N918" s="165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  <c r="AA918" s="163"/>
      <c r="AB918" s="163"/>
      <c r="AC918" s="163"/>
      <c r="AD918" s="163"/>
      <c r="AE918" s="163"/>
      <c r="AF918" s="163"/>
      <c r="AG918" s="163"/>
      <c r="AH918" s="163"/>
      <c r="AI918" s="163"/>
      <c r="AJ918" s="163"/>
      <c r="AK918" s="163"/>
      <c r="AL918" s="163"/>
      <c r="AM918" s="163"/>
      <c r="AN918" s="163"/>
      <c r="AP918" s="169"/>
    </row>
    <row r="919" spans="1:42" s="100" customFormat="1" ht="46.8" x14ac:dyDescent="0.3">
      <c r="A919" s="160">
        <v>679</v>
      </c>
      <c r="B919" s="166" t="s">
        <v>1456</v>
      </c>
      <c r="C919" s="98" t="s">
        <v>2708</v>
      </c>
      <c r="D919" s="162" t="s">
        <v>2712</v>
      </c>
      <c r="E919" s="26" t="s">
        <v>144</v>
      </c>
      <c r="F919" s="30" t="s">
        <v>49</v>
      </c>
      <c r="G919" s="162" t="s">
        <v>2704</v>
      </c>
      <c r="H919" s="162">
        <v>27</v>
      </c>
      <c r="I919" s="162" t="str">
        <f t="shared" si="67"/>
        <v>с ЛН</v>
      </c>
      <c r="J919" s="164">
        <v>5</v>
      </c>
      <c r="K919" s="164" t="s">
        <v>528</v>
      </c>
      <c r="L919" s="164" t="s">
        <v>528</v>
      </c>
      <c r="M919" s="164" t="s">
        <v>2705</v>
      </c>
      <c r="N919" s="164" t="s">
        <v>2705</v>
      </c>
      <c r="O919" s="162">
        <v>475</v>
      </c>
      <c r="P919" s="162" t="s">
        <v>2706</v>
      </c>
      <c r="Q919" s="162">
        <v>367</v>
      </c>
      <c r="R919" s="162" t="s">
        <v>2706</v>
      </c>
      <c r="S919" s="162">
        <v>233</v>
      </c>
      <c r="T919" s="162" t="s">
        <v>2706</v>
      </c>
      <c r="U919" s="162">
        <v>443</v>
      </c>
      <c r="V919" s="162" t="s">
        <v>2706</v>
      </c>
      <c r="W919" s="162">
        <v>289</v>
      </c>
      <c r="X919" s="162" t="s">
        <v>2706</v>
      </c>
      <c r="Y919" s="162">
        <v>308</v>
      </c>
      <c r="Z919" s="162" t="s">
        <v>2706</v>
      </c>
      <c r="AA919" s="162">
        <v>94</v>
      </c>
      <c r="AB919" s="162" t="s">
        <v>2706</v>
      </c>
      <c r="AC919" s="162">
        <v>167</v>
      </c>
      <c r="AD919" s="162" t="s">
        <v>2706</v>
      </c>
      <c r="AE919" s="162">
        <v>436</v>
      </c>
      <c r="AF919" s="162" t="s">
        <v>2706</v>
      </c>
      <c r="AG919" s="162">
        <v>292</v>
      </c>
      <c r="AH919" s="162" t="s">
        <v>2706</v>
      </c>
      <c r="AI919" s="162">
        <v>676</v>
      </c>
      <c r="AJ919" s="162" t="s">
        <v>2706</v>
      </c>
      <c r="AK919" s="162">
        <v>433</v>
      </c>
      <c r="AL919" s="162" t="s">
        <v>2706</v>
      </c>
      <c r="AM919" s="162">
        <v>4046</v>
      </c>
      <c r="AN919" s="162"/>
      <c r="AP919" s="168"/>
    </row>
    <row r="920" spans="1:42" s="100" customFormat="1" ht="46.8" x14ac:dyDescent="0.3">
      <c r="A920" s="161"/>
      <c r="B920" s="167"/>
      <c r="C920" s="98" t="s">
        <v>2708</v>
      </c>
      <c r="D920" s="163"/>
      <c r="E920" s="26" t="s">
        <v>48</v>
      </c>
      <c r="F920" s="30" t="s">
        <v>49</v>
      </c>
      <c r="G920" s="163"/>
      <c r="H920" s="163"/>
      <c r="I920" s="163"/>
      <c r="J920" s="165"/>
      <c r="K920" s="165"/>
      <c r="L920" s="165"/>
      <c r="M920" s="165"/>
      <c r="N920" s="165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  <c r="AA920" s="163"/>
      <c r="AB920" s="163"/>
      <c r="AC920" s="163"/>
      <c r="AD920" s="163"/>
      <c r="AE920" s="163"/>
      <c r="AF920" s="163"/>
      <c r="AG920" s="163"/>
      <c r="AH920" s="163"/>
      <c r="AI920" s="163"/>
      <c r="AJ920" s="163"/>
      <c r="AK920" s="163"/>
      <c r="AL920" s="163"/>
      <c r="AM920" s="163"/>
      <c r="AN920" s="163"/>
      <c r="AP920" s="169"/>
    </row>
    <row r="921" spans="1:42" s="100" customFormat="1" ht="46.8" x14ac:dyDescent="0.3">
      <c r="A921" s="160">
        <v>680</v>
      </c>
      <c r="B921" s="166" t="s">
        <v>1457</v>
      </c>
      <c r="C921" s="98" t="s">
        <v>2708</v>
      </c>
      <c r="D921" s="162" t="s">
        <v>2712</v>
      </c>
      <c r="E921" s="26" t="s">
        <v>144</v>
      </c>
      <c r="F921" s="30" t="s">
        <v>49</v>
      </c>
      <c r="G921" s="162" t="s">
        <v>2704</v>
      </c>
      <c r="H921" s="162">
        <v>22</v>
      </c>
      <c r="I921" s="162" t="str">
        <f t="shared" si="67"/>
        <v>с ЛН</v>
      </c>
      <c r="J921" s="164">
        <v>4</v>
      </c>
      <c r="K921" s="164" t="s">
        <v>528</v>
      </c>
      <c r="L921" s="164" t="s">
        <v>528</v>
      </c>
      <c r="M921" s="164" t="s">
        <v>2705</v>
      </c>
      <c r="N921" s="164" t="s">
        <v>2705</v>
      </c>
      <c r="O921" s="162">
        <v>0</v>
      </c>
      <c r="P921" s="162" t="s">
        <v>2706</v>
      </c>
      <c r="Q921" s="162">
        <v>0</v>
      </c>
      <c r="R921" s="162" t="s">
        <v>2706</v>
      </c>
      <c r="S921" s="162">
        <v>0</v>
      </c>
      <c r="T921" s="162" t="s">
        <v>2706</v>
      </c>
      <c r="U921" s="162">
        <v>0</v>
      </c>
      <c r="V921" s="162" t="s">
        <v>2706</v>
      </c>
      <c r="W921" s="162">
        <v>0</v>
      </c>
      <c r="X921" s="162" t="s">
        <v>2706</v>
      </c>
      <c r="Y921" s="162">
        <v>0</v>
      </c>
      <c r="Z921" s="162" t="s">
        <v>2706</v>
      </c>
      <c r="AA921" s="162">
        <v>0</v>
      </c>
      <c r="AB921" s="162" t="s">
        <v>2706</v>
      </c>
      <c r="AC921" s="162">
        <v>0</v>
      </c>
      <c r="AD921" s="162" t="s">
        <v>2706</v>
      </c>
      <c r="AE921" s="162">
        <v>0</v>
      </c>
      <c r="AF921" s="162" t="s">
        <v>2706</v>
      </c>
      <c r="AG921" s="162">
        <v>0</v>
      </c>
      <c r="AH921" s="162" t="s">
        <v>2706</v>
      </c>
      <c r="AI921" s="162">
        <v>0</v>
      </c>
      <c r="AJ921" s="162" t="s">
        <v>2706</v>
      </c>
      <c r="AK921" s="162">
        <v>0</v>
      </c>
      <c r="AL921" s="162" t="s">
        <v>2706</v>
      </c>
      <c r="AM921" s="162">
        <v>0</v>
      </c>
      <c r="AN921" s="162"/>
      <c r="AP921" s="168"/>
    </row>
    <row r="922" spans="1:42" s="100" customFormat="1" ht="46.8" x14ac:dyDescent="0.3">
      <c r="A922" s="161"/>
      <c r="B922" s="167"/>
      <c r="C922" s="98" t="s">
        <v>2708</v>
      </c>
      <c r="D922" s="163"/>
      <c r="E922" s="26" t="s">
        <v>48</v>
      </c>
      <c r="F922" s="30" t="s">
        <v>49</v>
      </c>
      <c r="G922" s="163"/>
      <c r="H922" s="163"/>
      <c r="I922" s="163"/>
      <c r="J922" s="165"/>
      <c r="K922" s="165"/>
      <c r="L922" s="165"/>
      <c r="M922" s="165"/>
      <c r="N922" s="165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  <c r="AA922" s="163"/>
      <c r="AB922" s="163"/>
      <c r="AC922" s="163"/>
      <c r="AD922" s="163"/>
      <c r="AE922" s="163"/>
      <c r="AF922" s="163"/>
      <c r="AG922" s="163"/>
      <c r="AH922" s="163"/>
      <c r="AI922" s="163"/>
      <c r="AJ922" s="163"/>
      <c r="AK922" s="163"/>
      <c r="AL922" s="163"/>
      <c r="AM922" s="163"/>
      <c r="AN922" s="163"/>
      <c r="AP922" s="169"/>
    </row>
    <row r="923" spans="1:42" s="100" customFormat="1" ht="46.8" x14ac:dyDescent="0.3">
      <c r="A923" s="160">
        <v>681</v>
      </c>
      <c r="B923" s="166" t="s">
        <v>1459</v>
      </c>
      <c r="C923" s="98" t="s">
        <v>2708</v>
      </c>
      <c r="D923" s="162" t="s">
        <v>2712</v>
      </c>
      <c r="E923" s="26" t="s">
        <v>144</v>
      </c>
      <c r="F923" s="30" t="s">
        <v>49</v>
      </c>
      <c r="G923" s="162" t="s">
        <v>2704</v>
      </c>
      <c r="H923" s="162">
        <v>17</v>
      </c>
      <c r="I923" s="162" t="str">
        <f t="shared" si="67"/>
        <v>с ЛН</v>
      </c>
      <c r="J923" s="164">
        <v>3</v>
      </c>
      <c r="K923" s="164" t="s">
        <v>529</v>
      </c>
      <c r="L923" s="164" t="s">
        <v>529</v>
      </c>
      <c r="M923" s="164" t="s">
        <v>2705</v>
      </c>
      <c r="N923" s="164" t="s">
        <v>2705</v>
      </c>
      <c r="O923" s="162">
        <v>247</v>
      </c>
      <c r="P923" s="162" t="s">
        <v>2706</v>
      </c>
      <c r="Q923" s="162">
        <v>350</v>
      </c>
      <c r="R923" s="162" t="s">
        <v>2706</v>
      </c>
      <c r="S923" s="162">
        <v>504</v>
      </c>
      <c r="T923" s="162" t="s">
        <v>2706</v>
      </c>
      <c r="U923" s="162">
        <v>792</v>
      </c>
      <c r="V923" s="162" t="s">
        <v>2706</v>
      </c>
      <c r="W923" s="162">
        <v>529</v>
      </c>
      <c r="X923" s="162" t="s">
        <v>2706</v>
      </c>
      <c r="Y923" s="162">
        <v>488</v>
      </c>
      <c r="Z923" s="162" t="s">
        <v>2706</v>
      </c>
      <c r="AA923" s="162">
        <v>400</v>
      </c>
      <c r="AB923" s="162" t="s">
        <v>2706</v>
      </c>
      <c r="AC923" s="162">
        <v>396</v>
      </c>
      <c r="AD923" s="162" t="s">
        <v>2706</v>
      </c>
      <c r="AE923" s="162">
        <v>662</v>
      </c>
      <c r="AF923" s="162" t="s">
        <v>2706</v>
      </c>
      <c r="AG923" s="162">
        <v>313</v>
      </c>
      <c r="AH923" s="162" t="s">
        <v>2706</v>
      </c>
      <c r="AI923" s="162">
        <v>496</v>
      </c>
      <c r="AJ923" s="162" t="s">
        <v>2706</v>
      </c>
      <c r="AK923" s="162">
        <v>577</v>
      </c>
      <c r="AL923" s="162" t="s">
        <v>2706</v>
      </c>
      <c r="AM923" s="162">
        <v>5358</v>
      </c>
      <c r="AN923" s="162"/>
      <c r="AP923" s="168"/>
    </row>
    <row r="924" spans="1:42" s="100" customFormat="1" ht="46.8" x14ac:dyDescent="0.3">
      <c r="A924" s="161"/>
      <c r="B924" s="167"/>
      <c r="C924" s="98" t="s">
        <v>2708</v>
      </c>
      <c r="D924" s="163"/>
      <c r="E924" s="26" t="s">
        <v>48</v>
      </c>
      <c r="F924" s="30" t="s">
        <v>49</v>
      </c>
      <c r="G924" s="163"/>
      <c r="H924" s="163"/>
      <c r="I924" s="163"/>
      <c r="J924" s="165"/>
      <c r="K924" s="165"/>
      <c r="L924" s="165"/>
      <c r="M924" s="165"/>
      <c r="N924" s="165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  <c r="AA924" s="163"/>
      <c r="AB924" s="163"/>
      <c r="AC924" s="163"/>
      <c r="AD924" s="163"/>
      <c r="AE924" s="163"/>
      <c r="AF924" s="163"/>
      <c r="AG924" s="163"/>
      <c r="AH924" s="163"/>
      <c r="AI924" s="163"/>
      <c r="AJ924" s="163"/>
      <c r="AK924" s="163"/>
      <c r="AL924" s="163"/>
      <c r="AM924" s="163"/>
      <c r="AN924" s="163"/>
      <c r="AP924" s="169"/>
    </row>
    <row r="925" spans="1:42" s="100" customFormat="1" ht="46.8" x14ac:dyDescent="0.3">
      <c r="A925" s="160">
        <v>682</v>
      </c>
      <c r="B925" s="166" t="s">
        <v>1461</v>
      </c>
      <c r="C925" s="98" t="s">
        <v>2708</v>
      </c>
      <c r="D925" s="162" t="s">
        <v>2712</v>
      </c>
      <c r="E925" s="26" t="s">
        <v>144</v>
      </c>
      <c r="F925" s="30" t="s">
        <v>49</v>
      </c>
      <c r="G925" s="162" t="s">
        <v>2704</v>
      </c>
      <c r="H925" s="162">
        <v>27</v>
      </c>
      <c r="I925" s="162" t="str">
        <f t="shared" si="67"/>
        <v>с ЛН</v>
      </c>
      <c r="J925" s="164">
        <v>5</v>
      </c>
      <c r="K925" s="164" t="s">
        <v>528</v>
      </c>
      <c r="L925" s="164" t="s">
        <v>528</v>
      </c>
      <c r="M925" s="164" t="s">
        <v>2705</v>
      </c>
      <c r="N925" s="164" t="s">
        <v>2705</v>
      </c>
      <c r="O925" s="162">
        <v>0</v>
      </c>
      <c r="P925" s="162" t="s">
        <v>2706</v>
      </c>
      <c r="Q925" s="162">
        <v>0</v>
      </c>
      <c r="R925" s="162" t="s">
        <v>2706</v>
      </c>
      <c r="S925" s="162">
        <v>0</v>
      </c>
      <c r="T925" s="162" t="s">
        <v>2706</v>
      </c>
      <c r="U925" s="162">
        <v>0</v>
      </c>
      <c r="V925" s="162" t="s">
        <v>2706</v>
      </c>
      <c r="W925" s="162">
        <v>0</v>
      </c>
      <c r="X925" s="162" t="s">
        <v>2706</v>
      </c>
      <c r="Y925" s="162">
        <v>0</v>
      </c>
      <c r="Z925" s="162" t="s">
        <v>2706</v>
      </c>
      <c r="AA925" s="162">
        <v>0</v>
      </c>
      <c r="AB925" s="162" t="s">
        <v>2706</v>
      </c>
      <c r="AC925" s="162">
        <v>0</v>
      </c>
      <c r="AD925" s="162" t="s">
        <v>2706</v>
      </c>
      <c r="AE925" s="162">
        <v>0</v>
      </c>
      <c r="AF925" s="162" t="s">
        <v>2706</v>
      </c>
      <c r="AG925" s="162">
        <v>0</v>
      </c>
      <c r="AH925" s="162" t="s">
        <v>2706</v>
      </c>
      <c r="AI925" s="162">
        <v>0</v>
      </c>
      <c r="AJ925" s="162" t="s">
        <v>2706</v>
      </c>
      <c r="AK925" s="162">
        <v>0</v>
      </c>
      <c r="AL925" s="162" t="s">
        <v>2706</v>
      </c>
      <c r="AM925" s="162">
        <v>0</v>
      </c>
      <c r="AN925" s="162"/>
      <c r="AP925" s="168"/>
    </row>
    <row r="926" spans="1:42" s="100" customFormat="1" ht="46.8" x14ac:dyDescent="0.3">
      <c r="A926" s="161"/>
      <c r="B926" s="167"/>
      <c r="C926" s="98" t="s">
        <v>2708</v>
      </c>
      <c r="D926" s="163"/>
      <c r="E926" s="26" t="s">
        <v>48</v>
      </c>
      <c r="F926" s="30" t="s">
        <v>49</v>
      </c>
      <c r="G926" s="163"/>
      <c r="H926" s="163"/>
      <c r="I926" s="163"/>
      <c r="J926" s="165"/>
      <c r="K926" s="165"/>
      <c r="L926" s="165"/>
      <c r="M926" s="165"/>
      <c r="N926" s="165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  <c r="AA926" s="163"/>
      <c r="AB926" s="163"/>
      <c r="AC926" s="163"/>
      <c r="AD926" s="163"/>
      <c r="AE926" s="163"/>
      <c r="AF926" s="163"/>
      <c r="AG926" s="163"/>
      <c r="AH926" s="163"/>
      <c r="AI926" s="163"/>
      <c r="AJ926" s="163"/>
      <c r="AK926" s="163"/>
      <c r="AL926" s="163"/>
      <c r="AM926" s="163"/>
      <c r="AN926" s="163"/>
      <c r="AP926" s="169"/>
    </row>
    <row r="927" spans="1:42" s="100" customFormat="1" ht="46.8" x14ac:dyDescent="0.3">
      <c r="A927" s="160">
        <v>683</v>
      </c>
      <c r="B927" s="166" t="s">
        <v>1462</v>
      </c>
      <c r="C927" s="98" t="s">
        <v>2708</v>
      </c>
      <c r="D927" s="162" t="s">
        <v>2712</v>
      </c>
      <c r="E927" s="26" t="s">
        <v>144</v>
      </c>
      <c r="F927" s="30" t="s">
        <v>49</v>
      </c>
      <c r="G927" s="162" t="s">
        <v>2704</v>
      </c>
      <c r="H927" s="162">
        <v>12</v>
      </c>
      <c r="I927" s="162" t="str">
        <f t="shared" si="67"/>
        <v>с ЛН</v>
      </c>
      <c r="J927" s="164">
        <v>2</v>
      </c>
      <c r="K927" s="164" t="s">
        <v>528</v>
      </c>
      <c r="L927" s="164" t="s">
        <v>528</v>
      </c>
      <c r="M927" s="164" t="s">
        <v>2705</v>
      </c>
      <c r="N927" s="164" t="s">
        <v>2705</v>
      </c>
      <c r="O927" s="162">
        <v>0</v>
      </c>
      <c r="P927" s="162" t="s">
        <v>2706</v>
      </c>
      <c r="Q927" s="162">
        <v>0</v>
      </c>
      <c r="R927" s="162" t="s">
        <v>2706</v>
      </c>
      <c r="S927" s="162">
        <v>0</v>
      </c>
      <c r="T927" s="162" t="s">
        <v>2706</v>
      </c>
      <c r="U927" s="162">
        <v>0</v>
      </c>
      <c r="V927" s="162" t="s">
        <v>2706</v>
      </c>
      <c r="W927" s="162">
        <v>0</v>
      </c>
      <c r="X927" s="162" t="s">
        <v>2706</v>
      </c>
      <c r="Y927" s="162">
        <v>0</v>
      </c>
      <c r="Z927" s="162" t="s">
        <v>2706</v>
      </c>
      <c r="AA927" s="162">
        <v>0</v>
      </c>
      <c r="AB927" s="162" t="s">
        <v>2706</v>
      </c>
      <c r="AC927" s="162">
        <v>0</v>
      </c>
      <c r="AD927" s="162" t="s">
        <v>2706</v>
      </c>
      <c r="AE927" s="162">
        <v>0</v>
      </c>
      <c r="AF927" s="162" t="s">
        <v>2706</v>
      </c>
      <c r="AG927" s="162">
        <v>0</v>
      </c>
      <c r="AH927" s="162" t="s">
        <v>2706</v>
      </c>
      <c r="AI927" s="162">
        <v>0</v>
      </c>
      <c r="AJ927" s="162" t="s">
        <v>2706</v>
      </c>
      <c r="AK927" s="162">
        <v>0</v>
      </c>
      <c r="AL927" s="162" t="s">
        <v>2706</v>
      </c>
      <c r="AM927" s="162">
        <v>0</v>
      </c>
      <c r="AN927" s="162"/>
      <c r="AP927" s="168"/>
    </row>
    <row r="928" spans="1:42" s="100" customFormat="1" ht="46.8" x14ac:dyDescent="0.3">
      <c r="A928" s="161"/>
      <c r="B928" s="167"/>
      <c r="C928" s="98" t="s">
        <v>2708</v>
      </c>
      <c r="D928" s="163"/>
      <c r="E928" s="26" t="s">
        <v>48</v>
      </c>
      <c r="F928" s="30" t="s">
        <v>49</v>
      </c>
      <c r="G928" s="163"/>
      <c r="H928" s="163"/>
      <c r="I928" s="163"/>
      <c r="J928" s="165"/>
      <c r="K928" s="165"/>
      <c r="L928" s="165"/>
      <c r="M928" s="165"/>
      <c r="N928" s="165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  <c r="AA928" s="163"/>
      <c r="AB928" s="163"/>
      <c r="AC928" s="163"/>
      <c r="AD928" s="163"/>
      <c r="AE928" s="163"/>
      <c r="AF928" s="163"/>
      <c r="AG928" s="163"/>
      <c r="AH928" s="163"/>
      <c r="AI928" s="163"/>
      <c r="AJ928" s="163"/>
      <c r="AK928" s="163"/>
      <c r="AL928" s="163"/>
      <c r="AM928" s="163"/>
      <c r="AN928" s="163"/>
      <c r="AP928" s="169"/>
    </row>
    <row r="929" spans="1:42" s="100" customFormat="1" ht="46.8" x14ac:dyDescent="0.3">
      <c r="A929" s="160">
        <v>684</v>
      </c>
      <c r="B929" s="166" t="s">
        <v>1465</v>
      </c>
      <c r="C929" s="98" t="s">
        <v>2708</v>
      </c>
      <c r="D929" s="162" t="s">
        <v>2712</v>
      </c>
      <c r="E929" s="26" t="s">
        <v>144</v>
      </c>
      <c r="F929" s="30" t="s">
        <v>49</v>
      </c>
      <c r="G929" s="162" t="s">
        <v>2704</v>
      </c>
      <c r="H929" s="162">
        <v>42</v>
      </c>
      <c r="I929" s="162" t="str">
        <f t="shared" si="67"/>
        <v>с ЛН</v>
      </c>
      <c r="J929" s="164">
        <v>7</v>
      </c>
      <c r="K929" s="164" t="s">
        <v>528</v>
      </c>
      <c r="L929" s="164" t="s">
        <v>528</v>
      </c>
      <c r="M929" s="164" t="s">
        <v>2705</v>
      </c>
      <c r="N929" s="164" t="s">
        <v>2705</v>
      </c>
      <c r="O929" s="162">
        <v>1531</v>
      </c>
      <c r="P929" s="162" t="s">
        <v>2706</v>
      </c>
      <c r="Q929" s="162">
        <v>2195</v>
      </c>
      <c r="R929" s="162" t="s">
        <v>2706</v>
      </c>
      <c r="S929" s="162">
        <v>795</v>
      </c>
      <c r="T929" s="162" t="s">
        <v>2706</v>
      </c>
      <c r="U929" s="162">
        <v>1620</v>
      </c>
      <c r="V929" s="162" t="s">
        <v>2706</v>
      </c>
      <c r="W929" s="162">
        <v>1210</v>
      </c>
      <c r="X929" s="162" t="s">
        <v>2706</v>
      </c>
      <c r="Y929" s="162">
        <v>1023</v>
      </c>
      <c r="Z929" s="162" t="s">
        <v>2706</v>
      </c>
      <c r="AA929" s="162">
        <v>843</v>
      </c>
      <c r="AB929" s="162" t="s">
        <v>2706</v>
      </c>
      <c r="AC929" s="162">
        <v>801</v>
      </c>
      <c r="AD929" s="162" t="s">
        <v>2706</v>
      </c>
      <c r="AE929" s="162">
        <v>1560</v>
      </c>
      <c r="AF929" s="162" t="s">
        <v>2706</v>
      </c>
      <c r="AG929" s="162">
        <v>675</v>
      </c>
      <c r="AH929" s="162" t="s">
        <v>2706</v>
      </c>
      <c r="AI929" s="162">
        <v>1292</v>
      </c>
      <c r="AJ929" s="162" t="s">
        <v>2706</v>
      </c>
      <c r="AK929" s="162">
        <v>913</v>
      </c>
      <c r="AL929" s="162" t="s">
        <v>2706</v>
      </c>
      <c r="AM929" s="162">
        <v>13657</v>
      </c>
      <c r="AN929" s="162"/>
      <c r="AP929" s="168"/>
    </row>
    <row r="930" spans="1:42" s="100" customFormat="1" ht="46.8" x14ac:dyDescent="0.3">
      <c r="A930" s="161"/>
      <c r="B930" s="167"/>
      <c r="C930" s="98" t="s">
        <v>2708</v>
      </c>
      <c r="D930" s="163"/>
      <c r="E930" s="26" t="s">
        <v>48</v>
      </c>
      <c r="F930" s="30" t="s">
        <v>49</v>
      </c>
      <c r="G930" s="163"/>
      <c r="H930" s="163"/>
      <c r="I930" s="163"/>
      <c r="J930" s="165"/>
      <c r="K930" s="165"/>
      <c r="L930" s="165"/>
      <c r="M930" s="165"/>
      <c r="N930" s="165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  <c r="AA930" s="163"/>
      <c r="AB930" s="163"/>
      <c r="AC930" s="163"/>
      <c r="AD930" s="163"/>
      <c r="AE930" s="163"/>
      <c r="AF930" s="163"/>
      <c r="AG930" s="163"/>
      <c r="AH930" s="163"/>
      <c r="AI930" s="163"/>
      <c r="AJ930" s="163"/>
      <c r="AK930" s="163"/>
      <c r="AL930" s="163"/>
      <c r="AM930" s="163"/>
      <c r="AN930" s="163"/>
      <c r="AP930" s="169"/>
    </row>
    <row r="931" spans="1:42" s="100" customFormat="1" ht="46.8" x14ac:dyDescent="0.3">
      <c r="A931" s="160">
        <v>685</v>
      </c>
      <c r="B931" s="166" t="s">
        <v>1466</v>
      </c>
      <c r="C931" s="98" t="s">
        <v>2708</v>
      </c>
      <c r="D931" s="162" t="s">
        <v>2712</v>
      </c>
      <c r="E931" s="26" t="s">
        <v>144</v>
      </c>
      <c r="F931" s="30" t="s">
        <v>49</v>
      </c>
      <c r="G931" s="162" t="s">
        <v>2704</v>
      </c>
      <c r="H931" s="162">
        <v>27</v>
      </c>
      <c r="I931" s="162" t="str">
        <f t="shared" si="67"/>
        <v>с ЛН</v>
      </c>
      <c r="J931" s="164">
        <v>5</v>
      </c>
      <c r="K931" s="164" t="s">
        <v>528</v>
      </c>
      <c r="L931" s="164" t="s">
        <v>528</v>
      </c>
      <c r="M931" s="164" t="s">
        <v>2705</v>
      </c>
      <c r="N931" s="164" t="s">
        <v>2705</v>
      </c>
      <c r="O931" s="162">
        <v>304</v>
      </c>
      <c r="P931" s="162" t="s">
        <v>2706</v>
      </c>
      <c r="Q931" s="162">
        <v>387</v>
      </c>
      <c r="R931" s="162" t="s">
        <v>2706</v>
      </c>
      <c r="S931" s="162">
        <v>178</v>
      </c>
      <c r="T931" s="162" t="s">
        <v>2706</v>
      </c>
      <c r="U931" s="162">
        <v>303</v>
      </c>
      <c r="V931" s="162" t="s">
        <v>2706</v>
      </c>
      <c r="W931" s="162">
        <v>228</v>
      </c>
      <c r="X931" s="162" t="s">
        <v>2706</v>
      </c>
      <c r="Y931" s="162">
        <v>199</v>
      </c>
      <c r="Z931" s="162" t="s">
        <v>2706</v>
      </c>
      <c r="AA931" s="162">
        <v>128</v>
      </c>
      <c r="AB931" s="162" t="s">
        <v>2706</v>
      </c>
      <c r="AC931" s="162">
        <v>157</v>
      </c>
      <c r="AD931" s="162" t="s">
        <v>2706</v>
      </c>
      <c r="AE931" s="162">
        <v>319</v>
      </c>
      <c r="AF931" s="162" t="s">
        <v>2706</v>
      </c>
      <c r="AG931" s="162">
        <v>196</v>
      </c>
      <c r="AH931" s="162" t="s">
        <v>2706</v>
      </c>
      <c r="AI931" s="162">
        <v>348</v>
      </c>
      <c r="AJ931" s="162" t="s">
        <v>2706</v>
      </c>
      <c r="AK931" s="162">
        <v>0</v>
      </c>
      <c r="AL931" s="162" t="s">
        <v>2706</v>
      </c>
      <c r="AM931" s="162">
        <v>2590</v>
      </c>
      <c r="AN931" s="162"/>
      <c r="AP931" s="168"/>
    </row>
    <row r="932" spans="1:42" s="100" customFormat="1" ht="46.8" x14ac:dyDescent="0.3">
      <c r="A932" s="161"/>
      <c r="B932" s="167"/>
      <c r="C932" s="98" t="s">
        <v>2708</v>
      </c>
      <c r="D932" s="163"/>
      <c r="E932" s="26" t="s">
        <v>48</v>
      </c>
      <c r="F932" s="30" t="s">
        <v>49</v>
      </c>
      <c r="G932" s="163"/>
      <c r="H932" s="163"/>
      <c r="I932" s="163"/>
      <c r="J932" s="165"/>
      <c r="K932" s="165"/>
      <c r="L932" s="165"/>
      <c r="M932" s="165"/>
      <c r="N932" s="165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  <c r="AA932" s="163"/>
      <c r="AB932" s="163"/>
      <c r="AC932" s="163"/>
      <c r="AD932" s="163"/>
      <c r="AE932" s="163"/>
      <c r="AF932" s="163"/>
      <c r="AG932" s="163"/>
      <c r="AH932" s="163"/>
      <c r="AI932" s="163"/>
      <c r="AJ932" s="163"/>
      <c r="AK932" s="163"/>
      <c r="AL932" s="163"/>
      <c r="AM932" s="163"/>
      <c r="AN932" s="163"/>
      <c r="AP932" s="169"/>
    </row>
    <row r="933" spans="1:42" s="100" customFormat="1" ht="46.8" x14ac:dyDescent="0.3">
      <c r="A933" s="160">
        <v>686</v>
      </c>
      <c r="B933" s="166" t="s">
        <v>1467</v>
      </c>
      <c r="C933" s="98" t="s">
        <v>2708</v>
      </c>
      <c r="D933" s="162" t="s">
        <v>2712</v>
      </c>
      <c r="E933" s="26" t="s">
        <v>144</v>
      </c>
      <c r="F933" s="30" t="s">
        <v>49</v>
      </c>
      <c r="G933" s="162" t="s">
        <v>2704</v>
      </c>
      <c r="H933" s="162">
        <v>30</v>
      </c>
      <c r="I933" s="162" t="str">
        <f t="shared" si="67"/>
        <v>с ЛН</v>
      </c>
      <c r="J933" s="164">
        <v>5</v>
      </c>
      <c r="K933" s="164" t="s">
        <v>528</v>
      </c>
      <c r="L933" s="164" t="s">
        <v>528</v>
      </c>
      <c r="M933" s="164" t="s">
        <v>2705</v>
      </c>
      <c r="N933" s="164" t="s">
        <v>2705</v>
      </c>
      <c r="O933" s="162">
        <v>1310</v>
      </c>
      <c r="P933" s="162" t="s">
        <v>2706</v>
      </c>
      <c r="Q933" s="162">
        <v>1682</v>
      </c>
      <c r="R933" s="162" t="s">
        <v>2706</v>
      </c>
      <c r="S933" s="162">
        <v>842</v>
      </c>
      <c r="T933" s="162" t="s">
        <v>2706</v>
      </c>
      <c r="U933" s="162">
        <v>1480</v>
      </c>
      <c r="V933" s="162" t="s">
        <v>2706</v>
      </c>
      <c r="W933" s="162">
        <v>1018</v>
      </c>
      <c r="X933" s="162" t="s">
        <v>2706</v>
      </c>
      <c r="Y933" s="162">
        <v>1372</v>
      </c>
      <c r="Z933" s="162" t="s">
        <v>2706</v>
      </c>
      <c r="AA933" s="162">
        <v>1054</v>
      </c>
      <c r="AB933" s="162" t="s">
        <v>2706</v>
      </c>
      <c r="AC933" s="162">
        <v>1023</v>
      </c>
      <c r="AD933" s="162" t="s">
        <v>2706</v>
      </c>
      <c r="AE933" s="162">
        <v>1045</v>
      </c>
      <c r="AF933" s="162" t="s">
        <v>2706</v>
      </c>
      <c r="AG933" s="162">
        <v>1283</v>
      </c>
      <c r="AH933" s="162" t="s">
        <v>2706</v>
      </c>
      <c r="AI933" s="162">
        <v>1462</v>
      </c>
      <c r="AJ933" s="162" t="s">
        <v>2706</v>
      </c>
      <c r="AK933" s="162">
        <v>1131</v>
      </c>
      <c r="AL933" s="162" t="s">
        <v>2706</v>
      </c>
      <c r="AM933" s="162">
        <v>13679</v>
      </c>
      <c r="AN933" s="162"/>
      <c r="AP933" s="168"/>
    </row>
    <row r="934" spans="1:42" s="100" customFormat="1" ht="46.8" x14ac:dyDescent="0.3">
      <c r="A934" s="161"/>
      <c r="B934" s="167"/>
      <c r="C934" s="98" t="s">
        <v>2708</v>
      </c>
      <c r="D934" s="163"/>
      <c r="E934" s="26" t="s">
        <v>48</v>
      </c>
      <c r="F934" s="30" t="s">
        <v>49</v>
      </c>
      <c r="G934" s="163"/>
      <c r="H934" s="163"/>
      <c r="I934" s="163"/>
      <c r="J934" s="165"/>
      <c r="K934" s="165"/>
      <c r="L934" s="165"/>
      <c r="M934" s="165"/>
      <c r="N934" s="165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  <c r="AA934" s="163"/>
      <c r="AB934" s="163"/>
      <c r="AC934" s="163"/>
      <c r="AD934" s="163"/>
      <c r="AE934" s="163"/>
      <c r="AF934" s="163"/>
      <c r="AG934" s="163"/>
      <c r="AH934" s="163"/>
      <c r="AI934" s="163"/>
      <c r="AJ934" s="163"/>
      <c r="AK934" s="163"/>
      <c r="AL934" s="163"/>
      <c r="AM934" s="163"/>
      <c r="AN934" s="163"/>
      <c r="AP934" s="169"/>
    </row>
    <row r="935" spans="1:42" s="100" customFormat="1" ht="46.8" x14ac:dyDescent="0.3">
      <c r="A935" s="160">
        <v>687</v>
      </c>
      <c r="B935" s="166" t="s">
        <v>1468</v>
      </c>
      <c r="C935" s="98" t="s">
        <v>2708</v>
      </c>
      <c r="D935" s="162" t="s">
        <v>2712</v>
      </c>
      <c r="E935" s="26" t="s">
        <v>144</v>
      </c>
      <c r="F935" s="30" t="s">
        <v>49</v>
      </c>
      <c r="G935" s="162"/>
      <c r="H935" s="162"/>
      <c r="I935" s="162"/>
      <c r="J935" s="164"/>
      <c r="K935" s="164" t="s">
        <v>528</v>
      </c>
      <c r="L935" s="164" t="s">
        <v>528</v>
      </c>
      <c r="M935" s="164" t="s">
        <v>2705</v>
      </c>
      <c r="N935" s="164" t="s">
        <v>2705</v>
      </c>
      <c r="O935" s="162">
        <v>679</v>
      </c>
      <c r="P935" s="162" t="s">
        <v>2706</v>
      </c>
      <c r="Q935" s="162">
        <v>1072</v>
      </c>
      <c r="R935" s="162" t="s">
        <v>2706</v>
      </c>
      <c r="S935" s="162">
        <v>577</v>
      </c>
      <c r="T935" s="162" t="s">
        <v>2706</v>
      </c>
      <c r="U935" s="162">
        <v>958</v>
      </c>
      <c r="V935" s="162" t="s">
        <v>2706</v>
      </c>
      <c r="W935" s="162">
        <v>756</v>
      </c>
      <c r="X935" s="162" t="s">
        <v>2706</v>
      </c>
      <c r="Y935" s="162">
        <v>790</v>
      </c>
      <c r="Z935" s="162" t="s">
        <v>2706</v>
      </c>
      <c r="AA935" s="162">
        <v>583</v>
      </c>
      <c r="AB935" s="162" t="s">
        <v>2706</v>
      </c>
      <c r="AC935" s="162">
        <v>599</v>
      </c>
      <c r="AD935" s="162" t="s">
        <v>2706</v>
      </c>
      <c r="AE935" s="162">
        <v>849</v>
      </c>
      <c r="AF935" s="162" t="s">
        <v>2706</v>
      </c>
      <c r="AG935" s="162">
        <v>623</v>
      </c>
      <c r="AH935" s="162" t="s">
        <v>2706</v>
      </c>
      <c r="AI935" s="162">
        <v>892</v>
      </c>
      <c r="AJ935" s="162" t="s">
        <v>2706</v>
      </c>
      <c r="AK935" s="162">
        <v>736</v>
      </c>
      <c r="AL935" s="162" t="s">
        <v>2706</v>
      </c>
      <c r="AM935" s="162">
        <v>8515</v>
      </c>
      <c r="AN935" s="162"/>
      <c r="AP935" s="168"/>
    </row>
    <row r="936" spans="1:42" s="100" customFormat="1" ht="46.8" x14ac:dyDescent="0.3">
      <c r="A936" s="161"/>
      <c r="B936" s="167"/>
      <c r="C936" s="98" t="s">
        <v>2708</v>
      </c>
      <c r="D936" s="163"/>
      <c r="E936" s="26" t="s">
        <v>48</v>
      </c>
      <c r="F936" s="30" t="s">
        <v>49</v>
      </c>
      <c r="G936" s="163"/>
      <c r="H936" s="163"/>
      <c r="I936" s="163"/>
      <c r="J936" s="165"/>
      <c r="K936" s="165"/>
      <c r="L936" s="165"/>
      <c r="M936" s="165"/>
      <c r="N936" s="165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  <c r="AA936" s="163"/>
      <c r="AB936" s="163"/>
      <c r="AC936" s="163"/>
      <c r="AD936" s="163"/>
      <c r="AE936" s="163"/>
      <c r="AF936" s="163"/>
      <c r="AG936" s="163"/>
      <c r="AH936" s="163"/>
      <c r="AI936" s="163"/>
      <c r="AJ936" s="163"/>
      <c r="AK936" s="163"/>
      <c r="AL936" s="163"/>
      <c r="AM936" s="163"/>
      <c r="AN936" s="163"/>
      <c r="AP936" s="169"/>
    </row>
    <row r="937" spans="1:42" s="100" customFormat="1" ht="46.8" x14ac:dyDescent="0.3">
      <c r="A937" s="160">
        <v>688</v>
      </c>
      <c r="B937" s="166" t="s">
        <v>1469</v>
      </c>
      <c r="C937" s="98" t="s">
        <v>2708</v>
      </c>
      <c r="D937" s="162" t="s">
        <v>2712</v>
      </c>
      <c r="E937" s="26" t="s">
        <v>144</v>
      </c>
      <c r="F937" s="30" t="s">
        <v>49</v>
      </c>
      <c r="G937" s="162"/>
      <c r="H937" s="162"/>
      <c r="I937" s="162"/>
      <c r="J937" s="164"/>
      <c r="K937" s="164" t="s">
        <v>528</v>
      </c>
      <c r="L937" s="164" t="s">
        <v>528</v>
      </c>
      <c r="M937" s="164" t="s">
        <v>2705</v>
      </c>
      <c r="N937" s="164" t="s">
        <v>2705</v>
      </c>
      <c r="O937" s="162">
        <v>0</v>
      </c>
      <c r="P937" s="162" t="s">
        <v>2706</v>
      </c>
      <c r="Q937" s="162">
        <v>0</v>
      </c>
      <c r="R937" s="162" t="s">
        <v>2706</v>
      </c>
      <c r="S937" s="162">
        <v>12320</v>
      </c>
      <c r="T937" s="162" t="s">
        <v>2706</v>
      </c>
      <c r="U937" s="162">
        <v>12320</v>
      </c>
      <c r="V937" s="162" t="s">
        <v>2706</v>
      </c>
      <c r="W937" s="162">
        <v>12320</v>
      </c>
      <c r="X937" s="162" t="s">
        <v>2706</v>
      </c>
      <c r="Y937" s="162">
        <v>12320</v>
      </c>
      <c r="Z937" s="162" t="s">
        <v>2706</v>
      </c>
      <c r="AA937" s="162">
        <v>12320</v>
      </c>
      <c r="AB937" s="162" t="s">
        <v>2706</v>
      </c>
      <c r="AC937" s="162">
        <v>12320</v>
      </c>
      <c r="AD937" s="162" t="s">
        <v>2706</v>
      </c>
      <c r="AE937" s="162">
        <v>12320</v>
      </c>
      <c r="AF937" s="162" t="s">
        <v>2706</v>
      </c>
      <c r="AG937" s="162">
        <v>12320</v>
      </c>
      <c r="AH937" s="162" t="s">
        <v>2706</v>
      </c>
      <c r="AI937" s="162">
        <v>12320</v>
      </c>
      <c r="AJ937" s="162" t="s">
        <v>2706</v>
      </c>
      <c r="AK937" s="162">
        <v>12320</v>
      </c>
      <c r="AL937" s="162" t="s">
        <v>2706</v>
      </c>
      <c r="AM937" s="162">
        <v>110880</v>
      </c>
      <c r="AN937" s="162"/>
      <c r="AP937" s="168"/>
    </row>
    <row r="938" spans="1:42" s="100" customFormat="1" ht="46.8" x14ac:dyDescent="0.3">
      <c r="A938" s="161"/>
      <c r="B938" s="167"/>
      <c r="C938" s="98" t="s">
        <v>2708</v>
      </c>
      <c r="D938" s="163"/>
      <c r="E938" s="26" t="s">
        <v>48</v>
      </c>
      <c r="F938" s="30" t="s">
        <v>49</v>
      </c>
      <c r="G938" s="163"/>
      <c r="H938" s="163"/>
      <c r="I938" s="163"/>
      <c r="J938" s="165"/>
      <c r="K938" s="165"/>
      <c r="L938" s="165"/>
      <c r="M938" s="165"/>
      <c r="N938" s="165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  <c r="AA938" s="163"/>
      <c r="AB938" s="163"/>
      <c r="AC938" s="163"/>
      <c r="AD938" s="163"/>
      <c r="AE938" s="163"/>
      <c r="AF938" s="163"/>
      <c r="AG938" s="163"/>
      <c r="AH938" s="163"/>
      <c r="AI938" s="163"/>
      <c r="AJ938" s="163"/>
      <c r="AK938" s="163"/>
      <c r="AL938" s="163"/>
      <c r="AM938" s="163"/>
      <c r="AN938" s="163"/>
      <c r="AP938" s="169"/>
    </row>
    <row r="939" spans="1:42" s="100" customFormat="1" ht="46.8" x14ac:dyDescent="0.3">
      <c r="A939" s="160">
        <v>689</v>
      </c>
      <c r="B939" s="166" t="s">
        <v>1471</v>
      </c>
      <c r="C939" s="98" t="s">
        <v>2708</v>
      </c>
      <c r="D939" s="162" t="s">
        <v>2712</v>
      </c>
      <c r="E939" s="26" t="s">
        <v>144</v>
      </c>
      <c r="F939" s="30" t="s">
        <v>49</v>
      </c>
      <c r="G939" s="162" t="s">
        <v>2704</v>
      </c>
      <c r="H939" s="162">
        <v>60</v>
      </c>
      <c r="I939" s="162" t="str">
        <f>G939</f>
        <v>с ЛН</v>
      </c>
      <c r="J939" s="164">
        <v>10</v>
      </c>
      <c r="K939" s="164" t="s">
        <v>528</v>
      </c>
      <c r="L939" s="164" t="s">
        <v>528</v>
      </c>
      <c r="M939" s="164" t="s">
        <v>2705</v>
      </c>
      <c r="N939" s="164" t="s">
        <v>2705</v>
      </c>
      <c r="O939" s="162">
        <v>2087</v>
      </c>
      <c r="P939" s="162" t="s">
        <v>2706</v>
      </c>
      <c r="Q939" s="162">
        <v>3090</v>
      </c>
      <c r="R939" s="162" t="s">
        <v>2706</v>
      </c>
      <c r="S939" s="162">
        <v>1540</v>
      </c>
      <c r="T939" s="162" t="s">
        <v>2706</v>
      </c>
      <c r="U939" s="162">
        <v>3074</v>
      </c>
      <c r="V939" s="162" t="s">
        <v>2706</v>
      </c>
      <c r="W939" s="162">
        <v>1339</v>
      </c>
      <c r="X939" s="162" t="s">
        <v>2706</v>
      </c>
      <c r="Y939" s="162">
        <v>2682</v>
      </c>
      <c r="Z939" s="162" t="s">
        <v>2706</v>
      </c>
      <c r="AA939" s="162">
        <v>1764</v>
      </c>
      <c r="AB939" s="162" t="s">
        <v>2706</v>
      </c>
      <c r="AC939" s="162">
        <v>2058</v>
      </c>
      <c r="AD939" s="162" t="s">
        <v>2706</v>
      </c>
      <c r="AE939" s="162">
        <v>1780</v>
      </c>
      <c r="AF939" s="162" t="s">
        <v>2706</v>
      </c>
      <c r="AG939" s="162">
        <v>2043</v>
      </c>
      <c r="AH939" s="162" t="s">
        <v>2706</v>
      </c>
      <c r="AI939" s="162">
        <v>2249</v>
      </c>
      <c r="AJ939" s="162" t="s">
        <v>2706</v>
      </c>
      <c r="AK939" s="162">
        <v>2137</v>
      </c>
      <c r="AL939" s="162" t="s">
        <v>2706</v>
      </c>
      <c r="AM939" s="162">
        <v>23785</v>
      </c>
      <c r="AN939" s="162"/>
      <c r="AP939" s="168"/>
    </row>
    <row r="940" spans="1:42" s="100" customFormat="1" ht="46.8" x14ac:dyDescent="0.3">
      <c r="A940" s="161"/>
      <c r="B940" s="167"/>
      <c r="C940" s="98" t="s">
        <v>2708</v>
      </c>
      <c r="D940" s="163"/>
      <c r="E940" s="26" t="s">
        <v>48</v>
      </c>
      <c r="F940" s="30" t="s">
        <v>49</v>
      </c>
      <c r="G940" s="163"/>
      <c r="H940" s="163"/>
      <c r="I940" s="163"/>
      <c r="J940" s="165"/>
      <c r="K940" s="165"/>
      <c r="L940" s="165"/>
      <c r="M940" s="165"/>
      <c r="N940" s="165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  <c r="AA940" s="163"/>
      <c r="AB940" s="163"/>
      <c r="AC940" s="163"/>
      <c r="AD940" s="163"/>
      <c r="AE940" s="163"/>
      <c r="AF940" s="163"/>
      <c r="AG940" s="163"/>
      <c r="AH940" s="163"/>
      <c r="AI940" s="163"/>
      <c r="AJ940" s="163"/>
      <c r="AK940" s="163"/>
      <c r="AL940" s="163"/>
      <c r="AM940" s="163"/>
      <c r="AN940" s="163"/>
      <c r="AP940" s="169"/>
    </row>
    <row r="941" spans="1:42" s="100" customFormat="1" ht="46.8" x14ac:dyDescent="0.3">
      <c r="A941" s="160">
        <v>690</v>
      </c>
      <c r="B941" s="166" t="s">
        <v>1472</v>
      </c>
      <c r="C941" s="98" t="s">
        <v>2708</v>
      </c>
      <c r="D941" s="162" t="s">
        <v>2712</v>
      </c>
      <c r="E941" s="26" t="s">
        <v>144</v>
      </c>
      <c r="F941" s="30" t="s">
        <v>49</v>
      </c>
      <c r="G941" s="162" t="s">
        <v>2704</v>
      </c>
      <c r="H941" s="162">
        <v>52</v>
      </c>
      <c r="I941" s="162" t="str">
        <f t="shared" ref="I941" si="68">G941</f>
        <v>с ЛН</v>
      </c>
      <c r="J941" s="164">
        <v>10</v>
      </c>
      <c r="K941" s="164" t="s">
        <v>529</v>
      </c>
      <c r="L941" s="164" t="s">
        <v>529</v>
      </c>
      <c r="M941" s="164" t="s">
        <v>2705</v>
      </c>
      <c r="N941" s="164" t="s">
        <v>2705</v>
      </c>
      <c r="O941" s="162">
        <v>0</v>
      </c>
      <c r="P941" s="162" t="s">
        <v>2706</v>
      </c>
      <c r="Q941" s="162">
        <v>0</v>
      </c>
      <c r="R941" s="162" t="s">
        <v>2706</v>
      </c>
      <c r="S941" s="162">
        <v>0</v>
      </c>
      <c r="T941" s="162" t="s">
        <v>2706</v>
      </c>
      <c r="U941" s="162">
        <v>0</v>
      </c>
      <c r="V941" s="162" t="s">
        <v>2706</v>
      </c>
      <c r="W941" s="162">
        <v>0</v>
      </c>
      <c r="X941" s="162" t="s">
        <v>2706</v>
      </c>
      <c r="Y941" s="162">
        <v>0</v>
      </c>
      <c r="Z941" s="162" t="s">
        <v>2706</v>
      </c>
      <c r="AA941" s="162">
        <v>0</v>
      </c>
      <c r="AB941" s="162" t="s">
        <v>2706</v>
      </c>
      <c r="AC941" s="162">
        <v>1171</v>
      </c>
      <c r="AD941" s="162" t="s">
        <v>2706</v>
      </c>
      <c r="AE941" s="162">
        <v>1523</v>
      </c>
      <c r="AF941" s="162" t="s">
        <v>2706</v>
      </c>
      <c r="AG941" s="162">
        <v>1358</v>
      </c>
      <c r="AH941" s="162" t="s">
        <v>2706</v>
      </c>
      <c r="AI941" s="162">
        <v>466</v>
      </c>
      <c r="AJ941" s="162" t="s">
        <v>2706</v>
      </c>
      <c r="AK941" s="162">
        <v>1783</v>
      </c>
      <c r="AL941" s="162" t="s">
        <v>2706</v>
      </c>
      <c r="AM941" s="162">
        <v>5130</v>
      </c>
      <c r="AN941" s="162"/>
      <c r="AP941" s="168"/>
    </row>
    <row r="942" spans="1:42" s="100" customFormat="1" ht="46.8" x14ac:dyDescent="0.3">
      <c r="A942" s="161"/>
      <c r="B942" s="167"/>
      <c r="C942" s="98" t="s">
        <v>2708</v>
      </c>
      <c r="D942" s="163"/>
      <c r="E942" s="26" t="s">
        <v>48</v>
      </c>
      <c r="F942" s="30" t="s">
        <v>49</v>
      </c>
      <c r="G942" s="163"/>
      <c r="H942" s="163"/>
      <c r="I942" s="163"/>
      <c r="J942" s="165"/>
      <c r="K942" s="165"/>
      <c r="L942" s="165"/>
      <c r="M942" s="165"/>
      <c r="N942" s="165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  <c r="AA942" s="163"/>
      <c r="AB942" s="163"/>
      <c r="AC942" s="163"/>
      <c r="AD942" s="163"/>
      <c r="AE942" s="163"/>
      <c r="AF942" s="163"/>
      <c r="AG942" s="163"/>
      <c r="AH942" s="163"/>
      <c r="AI942" s="163"/>
      <c r="AJ942" s="163"/>
      <c r="AK942" s="163"/>
      <c r="AL942" s="163"/>
      <c r="AM942" s="163"/>
      <c r="AN942" s="163"/>
      <c r="AP942" s="169"/>
    </row>
    <row r="943" spans="1:42" s="100" customFormat="1" ht="46.8" x14ac:dyDescent="0.3">
      <c r="A943" s="160">
        <v>691</v>
      </c>
      <c r="B943" s="166" t="s">
        <v>1473</v>
      </c>
      <c r="C943" s="98" t="s">
        <v>2708</v>
      </c>
      <c r="D943" s="162" t="s">
        <v>2712</v>
      </c>
      <c r="E943" s="26" t="s">
        <v>144</v>
      </c>
      <c r="F943" s="30" t="s">
        <v>49</v>
      </c>
      <c r="G943" s="162" t="s">
        <v>2704</v>
      </c>
      <c r="H943" s="162">
        <v>27</v>
      </c>
      <c r="I943" s="162" t="str">
        <f t="shared" ref="I943" si="69">G943</f>
        <v>с ЛН</v>
      </c>
      <c r="J943" s="164">
        <v>5</v>
      </c>
      <c r="K943" s="164" t="s">
        <v>528</v>
      </c>
      <c r="L943" s="164" t="s">
        <v>528</v>
      </c>
      <c r="M943" s="164" t="s">
        <v>2705</v>
      </c>
      <c r="N943" s="164" t="s">
        <v>2705</v>
      </c>
      <c r="O943" s="162">
        <v>0</v>
      </c>
      <c r="P943" s="162" t="s">
        <v>2706</v>
      </c>
      <c r="Q943" s="162">
        <v>0</v>
      </c>
      <c r="R943" s="162" t="s">
        <v>2706</v>
      </c>
      <c r="S943" s="162">
        <v>0</v>
      </c>
      <c r="T943" s="162" t="s">
        <v>2706</v>
      </c>
      <c r="U943" s="162">
        <v>0</v>
      </c>
      <c r="V943" s="162" t="s">
        <v>2706</v>
      </c>
      <c r="W943" s="162">
        <v>0</v>
      </c>
      <c r="X943" s="162" t="s">
        <v>2706</v>
      </c>
      <c r="Y943" s="162">
        <v>0</v>
      </c>
      <c r="Z943" s="162" t="s">
        <v>2706</v>
      </c>
      <c r="AA943" s="162">
        <v>0</v>
      </c>
      <c r="AB943" s="162" t="s">
        <v>2706</v>
      </c>
      <c r="AC943" s="162">
        <v>0</v>
      </c>
      <c r="AD943" s="162" t="s">
        <v>2706</v>
      </c>
      <c r="AE943" s="162">
        <v>0</v>
      </c>
      <c r="AF943" s="162" t="s">
        <v>2706</v>
      </c>
      <c r="AG943" s="162">
        <v>0</v>
      </c>
      <c r="AH943" s="162" t="s">
        <v>2706</v>
      </c>
      <c r="AI943" s="162">
        <v>0</v>
      </c>
      <c r="AJ943" s="162" t="s">
        <v>2706</v>
      </c>
      <c r="AK943" s="162">
        <v>0</v>
      </c>
      <c r="AL943" s="162" t="s">
        <v>2706</v>
      </c>
      <c r="AM943" s="162">
        <v>0</v>
      </c>
      <c r="AN943" s="162"/>
      <c r="AP943" s="168"/>
    </row>
    <row r="944" spans="1:42" s="100" customFormat="1" ht="46.8" x14ac:dyDescent="0.3">
      <c r="A944" s="161"/>
      <c r="B944" s="167"/>
      <c r="C944" s="98" t="s">
        <v>2708</v>
      </c>
      <c r="D944" s="163"/>
      <c r="E944" s="26" t="s">
        <v>48</v>
      </c>
      <c r="F944" s="30" t="s">
        <v>49</v>
      </c>
      <c r="G944" s="163"/>
      <c r="H944" s="163"/>
      <c r="I944" s="163"/>
      <c r="J944" s="165"/>
      <c r="K944" s="165"/>
      <c r="L944" s="165"/>
      <c r="M944" s="165"/>
      <c r="N944" s="165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  <c r="AA944" s="163"/>
      <c r="AB944" s="163"/>
      <c r="AC944" s="163"/>
      <c r="AD944" s="163"/>
      <c r="AE944" s="163"/>
      <c r="AF944" s="163"/>
      <c r="AG944" s="163"/>
      <c r="AH944" s="163"/>
      <c r="AI944" s="163"/>
      <c r="AJ944" s="163"/>
      <c r="AK944" s="163"/>
      <c r="AL944" s="163"/>
      <c r="AM944" s="163"/>
      <c r="AN944" s="163"/>
      <c r="AP944" s="169"/>
    </row>
    <row r="945" spans="1:42" s="100" customFormat="1" ht="46.8" x14ac:dyDescent="0.3">
      <c r="A945" s="160">
        <v>692</v>
      </c>
      <c r="B945" s="166" t="s">
        <v>1474</v>
      </c>
      <c r="C945" s="98" t="s">
        <v>2708</v>
      </c>
      <c r="D945" s="162" t="s">
        <v>2712</v>
      </c>
      <c r="E945" s="26" t="s">
        <v>144</v>
      </c>
      <c r="F945" s="30" t="s">
        <v>49</v>
      </c>
      <c r="G945" s="162" t="s">
        <v>2704</v>
      </c>
      <c r="H945" s="162">
        <v>22</v>
      </c>
      <c r="I945" s="162" t="str">
        <f t="shared" ref="I945" si="70">G945</f>
        <v>с ЛН</v>
      </c>
      <c r="J945" s="164">
        <v>4</v>
      </c>
      <c r="K945" s="164" t="s">
        <v>528</v>
      </c>
      <c r="L945" s="164" t="s">
        <v>528</v>
      </c>
      <c r="M945" s="164" t="s">
        <v>2705</v>
      </c>
      <c r="N945" s="164" t="s">
        <v>2705</v>
      </c>
      <c r="O945" s="162">
        <v>559</v>
      </c>
      <c r="P945" s="162" t="s">
        <v>2706</v>
      </c>
      <c r="Q945" s="162">
        <v>556</v>
      </c>
      <c r="R945" s="162" t="s">
        <v>2706</v>
      </c>
      <c r="S945" s="162">
        <v>267</v>
      </c>
      <c r="T945" s="162" t="s">
        <v>2706</v>
      </c>
      <c r="U945" s="162">
        <v>501</v>
      </c>
      <c r="V945" s="162" t="s">
        <v>2706</v>
      </c>
      <c r="W945" s="162">
        <v>382</v>
      </c>
      <c r="X945" s="162" t="s">
        <v>2706</v>
      </c>
      <c r="Y945" s="162">
        <v>398</v>
      </c>
      <c r="Z945" s="162" t="s">
        <v>2706</v>
      </c>
      <c r="AA945" s="162">
        <v>400</v>
      </c>
      <c r="AB945" s="162" t="s">
        <v>2706</v>
      </c>
      <c r="AC945" s="162">
        <v>446</v>
      </c>
      <c r="AD945" s="162" t="s">
        <v>2706</v>
      </c>
      <c r="AE945" s="162">
        <v>434</v>
      </c>
      <c r="AF945" s="162" t="s">
        <v>2706</v>
      </c>
      <c r="AG945" s="162">
        <v>304</v>
      </c>
      <c r="AH945" s="162" t="s">
        <v>2706</v>
      </c>
      <c r="AI945" s="162">
        <v>1377</v>
      </c>
      <c r="AJ945" s="162" t="s">
        <v>2706</v>
      </c>
      <c r="AK945" s="162">
        <v>334</v>
      </c>
      <c r="AL945" s="162" t="s">
        <v>2706</v>
      </c>
      <c r="AM945" s="162">
        <v>5512</v>
      </c>
      <c r="AN945" s="162"/>
      <c r="AP945" s="168"/>
    </row>
    <row r="946" spans="1:42" s="100" customFormat="1" ht="46.8" x14ac:dyDescent="0.3">
      <c r="A946" s="161"/>
      <c r="B946" s="167"/>
      <c r="C946" s="98" t="s">
        <v>2708</v>
      </c>
      <c r="D946" s="163"/>
      <c r="E946" s="26" t="s">
        <v>48</v>
      </c>
      <c r="F946" s="30" t="s">
        <v>49</v>
      </c>
      <c r="G946" s="163"/>
      <c r="H946" s="163"/>
      <c r="I946" s="163"/>
      <c r="J946" s="165"/>
      <c r="K946" s="165"/>
      <c r="L946" s="165"/>
      <c r="M946" s="165"/>
      <c r="N946" s="165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  <c r="AA946" s="163"/>
      <c r="AB946" s="163"/>
      <c r="AC946" s="163"/>
      <c r="AD946" s="163"/>
      <c r="AE946" s="163"/>
      <c r="AF946" s="163"/>
      <c r="AG946" s="163"/>
      <c r="AH946" s="163"/>
      <c r="AI946" s="163"/>
      <c r="AJ946" s="163"/>
      <c r="AK946" s="163"/>
      <c r="AL946" s="163"/>
      <c r="AM946" s="163"/>
      <c r="AN946" s="163"/>
      <c r="AP946" s="169"/>
    </row>
    <row r="947" spans="1:42" s="100" customFormat="1" ht="46.8" x14ac:dyDescent="0.3">
      <c r="A947" s="160">
        <v>693</v>
      </c>
      <c r="B947" s="166" t="s">
        <v>1475</v>
      </c>
      <c r="C947" s="98" t="s">
        <v>2708</v>
      </c>
      <c r="D947" s="162" t="s">
        <v>2712</v>
      </c>
      <c r="E947" s="26" t="s">
        <v>144</v>
      </c>
      <c r="F947" s="30" t="s">
        <v>49</v>
      </c>
      <c r="G947" s="162" t="s">
        <v>2704</v>
      </c>
      <c r="H947" s="162">
        <v>26</v>
      </c>
      <c r="I947" s="162" t="str">
        <f t="shared" ref="I947" si="71">G947</f>
        <v>с ЛН</v>
      </c>
      <c r="J947" s="164">
        <v>4</v>
      </c>
      <c r="K947" s="164" t="s">
        <v>528</v>
      </c>
      <c r="L947" s="164" t="s">
        <v>528</v>
      </c>
      <c r="M947" s="164" t="s">
        <v>2705</v>
      </c>
      <c r="N947" s="164" t="s">
        <v>2705</v>
      </c>
      <c r="O947" s="162">
        <v>1587</v>
      </c>
      <c r="P947" s="162" t="s">
        <v>2706</v>
      </c>
      <c r="Q947" s="162">
        <v>2033</v>
      </c>
      <c r="R947" s="162" t="s">
        <v>2706</v>
      </c>
      <c r="S947" s="162">
        <v>1016</v>
      </c>
      <c r="T947" s="162" t="s">
        <v>2706</v>
      </c>
      <c r="U947" s="162">
        <v>1872</v>
      </c>
      <c r="V947" s="162" t="s">
        <v>2706</v>
      </c>
      <c r="W947" s="162">
        <v>1136</v>
      </c>
      <c r="X947" s="162" t="s">
        <v>2706</v>
      </c>
      <c r="Y947" s="162">
        <v>845</v>
      </c>
      <c r="Z947" s="162" t="s">
        <v>2706</v>
      </c>
      <c r="AA947" s="162">
        <v>811</v>
      </c>
      <c r="AB947" s="162" t="s">
        <v>2706</v>
      </c>
      <c r="AC947" s="162">
        <v>755</v>
      </c>
      <c r="AD947" s="162" t="s">
        <v>2706</v>
      </c>
      <c r="AE947" s="162">
        <v>914</v>
      </c>
      <c r="AF947" s="162" t="s">
        <v>2706</v>
      </c>
      <c r="AG947" s="162">
        <v>1139</v>
      </c>
      <c r="AH947" s="162" t="s">
        <v>2706</v>
      </c>
      <c r="AI947" s="162">
        <v>1129</v>
      </c>
      <c r="AJ947" s="162" t="s">
        <v>2706</v>
      </c>
      <c r="AK947" s="162">
        <v>1000</v>
      </c>
      <c r="AL947" s="162" t="s">
        <v>2706</v>
      </c>
      <c r="AM947" s="162">
        <v>13482</v>
      </c>
      <c r="AN947" s="162"/>
      <c r="AP947" s="168"/>
    </row>
    <row r="948" spans="1:42" s="100" customFormat="1" ht="46.8" x14ac:dyDescent="0.3">
      <c r="A948" s="161"/>
      <c r="B948" s="167"/>
      <c r="C948" s="98" t="s">
        <v>2708</v>
      </c>
      <c r="D948" s="163"/>
      <c r="E948" s="26" t="s">
        <v>48</v>
      </c>
      <c r="F948" s="30" t="s">
        <v>49</v>
      </c>
      <c r="G948" s="163"/>
      <c r="H948" s="163"/>
      <c r="I948" s="163"/>
      <c r="J948" s="165"/>
      <c r="K948" s="165"/>
      <c r="L948" s="165"/>
      <c r="M948" s="165"/>
      <c r="N948" s="165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  <c r="AA948" s="163"/>
      <c r="AB948" s="163"/>
      <c r="AC948" s="163"/>
      <c r="AD948" s="163"/>
      <c r="AE948" s="163"/>
      <c r="AF948" s="163"/>
      <c r="AG948" s="163"/>
      <c r="AH948" s="163"/>
      <c r="AI948" s="163"/>
      <c r="AJ948" s="163"/>
      <c r="AK948" s="163"/>
      <c r="AL948" s="163"/>
      <c r="AM948" s="163"/>
      <c r="AN948" s="163"/>
      <c r="AP948" s="169"/>
    </row>
    <row r="949" spans="1:42" s="100" customFormat="1" ht="46.8" x14ac:dyDescent="0.3">
      <c r="A949" s="160">
        <v>694</v>
      </c>
      <c r="B949" s="166" t="s">
        <v>1477</v>
      </c>
      <c r="C949" s="98" t="s">
        <v>2708</v>
      </c>
      <c r="D949" s="162" t="s">
        <v>2712</v>
      </c>
      <c r="E949" s="26" t="s">
        <v>144</v>
      </c>
      <c r="F949" s="30" t="s">
        <v>49</v>
      </c>
      <c r="G949" s="162" t="s">
        <v>2704</v>
      </c>
      <c r="H949" s="162">
        <v>33</v>
      </c>
      <c r="I949" s="162" t="str">
        <f t="shared" ref="I949" si="72">G949</f>
        <v>с ЛН</v>
      </c>
      <c r="J949" s="164">
        <v>5</v>
      </c>
      <c r="K949" s="164" t="s">
        <v>528</v>
      </c>
      <c r="L949" s="164" t="s">
        <v>528</v>
      </c>
      <c r="M949" s="164" t="s">
        <v>2705</v>
      </c>
      <c r="N949" s="164" t="s">
        <v>2705</v>
      </c>
      <c r="O949" s="162">
        <v>657</v>
      </c>
      <c r="P949" s="162" t="s">
        <v>2706</v>
      </c>
      <c r="Q949" s="162">
        <v>1118</v>
      </c>
      <c r="R949" s="162" t="s">
        <v>2706</v>
      </c>
      <c r="S949" s="162">
        <v>447</v>
      </c>
      <c r="T949" s="162" t="s">
        <v>2706</v>
      </c>
      <c r="U949" s="162">
        <v>953</v>
      </c>
      <c r="V949" s="162" t="s">
        <v>2706</v>
      </c>
      <c r="W949" s="162">
        <v>732</v>
      </c>
      <c r="X949" s="162" t="s">
        <v>2706</v>
      </c>
      <c r="Y949" s="162">
        <v>700</v>
      </c>
      <c r="Z949" s="162" t="s">
        <v>2706</v>
      </c>
      <c r="AA949" s="162">
        <v>481</v>
      </c>
      <c r="AB949" s="162" t="s">
        <v>2706</v>
      </c>
      <c r="AC949" s="162">
        <v>680</v>
      </c>
      <c r="AD949" s="162" t="s">
        <v>2706</v>
      </c>
      <c r="AE949" s="162">
        <v>652</v>
      </c>
      <c r="AF949" s="162" t="s">
        <v>2706</v>
      </c>
      <c r="AG949" s="162">
        <v>633</v>
      </c>
      <c r="AH949" s="162" t="s">
        <v>2706</v>
      </c>
      <c r="AI949" s="162">
        <v>469</v>
      </c>
      <c r="AJ949" s="162" t="s">
        <v>2706</v>
      </c>
      <c r="AK949" s="162">
        <v>863</v>
      </c>
      <c r="AL949" s="162" t="s">
        <v>2706</v>
      </c>
      <c r="AM949" s="162">
        <v>7705</v>
      </c>
      <c r="AN949" s="162"/>
      <c r="AP949" s="168"/>
    </row>
    <row r="950" spans="1:42" s="100" customFormat="1" ht="46.8" x14ac:dyDescent="0.3">
      <c r="A950" s="161"/>
      <c r="B950" s="167"/>
      <c r="C950" s="98" t="s">
        <v>2708</v>
      </c>
      <c r="D950" s="163"/>
      <c r="E950" s="26" t="s">
        <v>48</v>
      </c>
      <c r="F950" s="30" t="s">
        <v>49</v>
      </c>
      <c r="G950" s="163"/>
      <c r="H950" s="163"/>
      <c r="I950" s="163"/>
      <c r="J950" s="165"/>
      <c r="K950" s="165"/>
      <c r="L950" s="165"/>
      <c r="M950" s="165"/>
      <c r="N950" s="165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  <c r="AA950" s="163"/>
      <c r="AB950" s="163"/>
      <c r="AC950" s="163"/>
      <c r="AD950" s="163"/>
      <c r="AE950" s="163"/>
      <c r="AF950" s="163"/>
      <c r="AG950" s="163"/>
      <c r="AH950" s="163"/>
      <c r="AI950" s="163"/>
      <c r="AJ950" s="163"/>
      <c r="AK950" s="163"/>
      <c r="AL950" s="163"/>
      <c r="AM950" s="163"/>
      <c r="AN950" s="163"/>
      <c r="AP950" s="169"/>
    </row>
    <row r="951" spans="1:42" s="100" customFormat="1" ht="46.8" x14ac:dyDescent="0.3">
      <c r="A951" s="160">
        <v>695</v>
      </c>
      <c r="B951" s="166" t="s">
        <v>1478</v>
      </c>
      <c r="C951" s="98" t="s">
        <v>2708</v>
      </c>
      <c r="D951" s="162" t="s">
        <v>2712</v>
      </c>
      <c r="E951" s="26" t="s">
        <v>144</v>
      </c>
      <c r="F951" s="30" t="s">
        <v>49</v>
      </c>
      <c r="G951" s="162" t="s">
        <v>2704</v>
      </c>
      <c r="H951" s="162">
        <v>19</v>
      </c>
      <c r="I951" s="162" t="str">
        <f t="shared" ref="I951" si="73">G951</f>
        <v>с ЛН</v>
      </c>
      <c r="J951" s="164">
        <v>3</v>
      </c>
      <c r="K951" s="164" t="s">
        <v>528</v>
      </c>
      <c r="L951" s="164" t="s">
        <v>528</v>
      </c>
      <c r="M951" s="164" t="s">
        <v>2705</v>
      </c>
      <c r="N951" s="164" t="s">
        <v>2705</v>
      </c>
      <c r="O951" s="162">
        <v>513</v>
      </c>
      <c r="P951" s="162" t="s">
        <v>2706</v>
      </c>
      <c r="Q951" s="162">
        <v>581</v>
      </c>
      <c r="R951" s="162" t="s">
        <v>2706</v>
      </c>
      <c r="S951" s="162">
        <v>263</v>
      </c>
      <c r="T951" s="162" t="s">
        <v>2706</v>
      </c>
      <c r="U951" s="162">
        <v>391</v>
      </c>
      <c r="V951" s="162" t="s">
        <v>2706</v>
      </c>
      <c r="W951" s="162">
        <v>286</v>
      </c>
      <c r="X951" s="162" t="s">
        <v>2706</v>
      </c>
      <c r="Y951" s="162">
        <v>287</v>
      </c>
      <c r="Z951" s="162" t="s">
        <v>2706</v>
      </c>
      <c r="AA951" s="162">
        <v>311</v>
      </c>
      <c r="AB951" s="162" t="s">
        <v>2706</v>
      </c>
      <c r="AC951" s="162">
        <v>309</v>
      </c>
      <c r="AD951" s="162" t="s">
        <v>2706</v>
      </c>
      <c r="AE951" s="162">
        <v>326</v>
      </c>
      <c r="AF951" s="162" t="s">
        <v>2706</v>
      </c>
      <c r="AG951" s="162">
        <v>389</v>
      </c>
      <c r="AH951" s="162" t="s">
        <v>2706</v>
      </c>
      <c r="AI951" s="162">
        <v>202</v>
      </c>
      <c r="AJ951" s="162" t="s">
        <v>2706</v>
      </c>
      <c r="AK951" s="162">
        <v>315</v>
      </c>
      <c r="AL951" s="162" t="s">
        <v>2706</v>
      </c>
      <c r="AM951" s="162">
        <v>3864</v>
      </c>
      <c r="AN951" s="162"/>
      <c r="AP951" s="168"/>
    </row>
    <row r="952" spans="1:42" s="100" customFormat="1" ht="46.8" x14ac:dyDescent="0.3">
      <c r="A952" s="161"/>
      <c r="B952" s="167"/>
      <c r="C952" s="98" t="s">
        <v>2708</v>
      </c>
      <c r="D952" s="163"/>
      <c r="E952" s="26" t="s">
        <v>48</v>
      </c>
      <c r="F952" s="30" t="s">
        <v>49</v>
      </c>
      <c r="G952" s="163"/>
      <c r="H952" s="163"/>
      <c r="I952" s="163"/>
      <c r="J952" s="165"/>
      <c r="K952" s="165"/>
      <c r="L952" s="165"/>
      <c r="M952" s="165"/>
      <c r="N952" s="165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  <c r="AA952" s="163"/>
      <c r="AB952" s="163"/>
      <c r="AC952" s="163"/>
      <c r="AD952" s="163"/>
      <c r="AE952" s="163"/>
      <c r="AF952" s="163"/>
      <c r="AG952" s="163"/>
      <c r="AH952" s="163"/>
      <c r="AI952" s="163"/>
      <c r="AJ952" s="163"/>
      <c r="AK952" s="163"/>
      <c r="AL952" s="163"/>
      <c r="AM952" s="163"/>
      <c r="AN952" s="163"/>
      <c r="AP952" s="169"/>
    </row>
    <row r="953" spans="1:42" s="100" customFormat="1" ht="46.8" x14ac:dyDescent="0.3">
      <c r="A953" s="160">
        <v>696</v>
      </c>
      <c r="B953" s="166" t="s">
        <v>1479</v>
      </c>
      <c r="C953" s="98" t="s">
        <v>2708</v>
      </c>
      <c r="D953" s="162" t="s">
        <v>2712</v>
      </c>
      <c r="E953" s="26" t="s">
        <v>144</v>
      </c>
      <c r="F953" s="30" t="s">
        <v>49</v>
      </c>
      <c r="G953" s="162" t="s">
        <v>2704</v>
      </c>
      <c r="H953" s="162">
        <v>18</v>
      </c>
      <c r="I953" s="162" t="str">
        <f t="shared" ref="I953" si="74">G953</f>
        <v>с ЛН</v>
      </c>
      <c r="J953" s="164">
        <v>3</v>
      </c>
      <c r="K953" s="164" t="s">
        <v>528</v>
      </c>
      <c r="L953" s="164" t="s">
        <v>528</v>
      </c>
      <c r="M953" s="164" t="s">
        <v>2705</v>
      </c>
      <c r="N953" s="164" t="s">
        <v>2705</v>
      </c>
      <c r="O953" s="162">
        <v>271</v>
      </c>
      <c r="P953" s="162" t="s">
        <v>2706</v>
      </c>
      <c r="Q953" s="162">
        <v>300</v>
      </c>
      <c r="R953" s="162" t="s">
        <v>2706</v>
      </c>
      <c r="S953" s="162">
        <v>109</v>
      </c>
      <c r="T953" s="162" t="s">
        <v>2706</v>
      </c>
      <c r="U953" s="162">
        <v>186</v>
      </c>
      <c r="V953" s="162" t="s">
        <v>2706</v>
      </c>
      <c r="W953" s="162">
        <v>143</v>
      </c>
      <c r="X953" s="162" t="s">
        <v>2706</v>
      </c>
      <c r="Y953" s="162">
        <v>129</v>
      </c>
      <c r="Z953" s="162" t="s">
        <v>2706</v>
      </c>
      <c r="AA953" s="162">
        <v>131</v>
      </c>
      <c r="AB953" s="162" t="s">
        <v>2706</v>
      </c>
      <c r="AC953" s="162">
        <v>121</v>
      </c>
      <c r="AD953" s="162" t="s">
        <v>2706</v>
      </c>
      <c r="AE953" s="162">
        <v>87</v>
      </c>
      <c r="AF953" s="162" t="s">
        <v>2706</v>
      </c>
      <c r="AG953" s="162">
        <v>141</v>
      </c>
      <c r="AH953" s="162" t="s">
        <v>2706</v>
      </c>
      <c r="AI953" s="162">
        <v>1604</v>
      </c>
      <c r="AJ953" s="162" t="s">
        <v>2706</v>
      </c>
      <c r="AK953" s="162">
        <v>172</v>
      </c>
      <c r="AL953" s="162" t="s">
        <v>2706</v>
      </c>
      <c r="AM953" s="162">
        <v>3273</v>
      </c>
      <c r="AN953" s="162"/>
      <c r="AP953" s="168"/>
    </row>
    <row r="954" spans="1:42" s="100" customFormat="1" ht="46.8" x14ac:dyDescent="0.3">
      <c r="A954" s="161"/>
      <c r="B954" s="167"/>
      <c r="C954" s="98" t="s">
        <v>2708</v>
      </c>
      <c r="D954" s="163"/>
      <c r="E954" s="26" t="s">
        <v>48</v>
      </c>
      <c r="F954" s="30" t="s">
        <v>49</v>
      </c>
      <c r="G954" s="163"/>
      <c r="H954" s="163"/>
      <c r="I954" s="163"/>
      <c r="J954" s="165"/>
      <c r="K954" s="165"/>
      <c r="L954" s="165"/>
      <c r="M954" s="165"/>
      <c r="N954" s="165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  <c r="AA954" s="163"/>
      <c r="AB954" s="163"/>
      <c r="AC954" s="163"/>
      <c r="AD954" s="163"/>
      <c r="AE954" s="163"/>
      <c r="AF954" s="163"/>
      <c r="AG954" s="163"/>
      <c r="AH954" s="163"/>
      <c r="AI954" s="163"/>
      <c r="AJ954" s="163"/>
      <c r="AK954" s="163"/>
      <c r="AL954" s="163"/>
      <c r="AM954" s="163"/>
      <c r="AN954" s="163"/>
      <c r="AP954" s="169"/>
    </row>
    <row r="955" spans="1:42" s="100" customFormat="1" ht="46.8" x14ac:dyDescent="0.3">
      <c r="A955" s="160">
        <v>697</v>
      </c>
      <c r="B955" s="166" t="s">
        <v>1481</v>
      </c>
      <c r="C955" s="98" t="s">
        <v>2708</v>
      </c>
      <c r="D955" s="162" t="s">
        <v>2712</v>
      </c>
      <c r="E955" s="26" t="s">
        <v>144</v>
      </c>
      <c r="F955" s="30" t="s">
        <v>49</v>
      </c>
      <c r="G955" s="162" t="s">
        <v>2704</v>
      </c>
      <c r="H955" s="162">
        <v>54</v>
      </c>
      <c r="I955" s="162" t="str">
        <f t="shared" ref="I955" si="75">G955</f>
        <v>с ЛН</v>
      </c>
      <c r="J955" s="164">
        <v>9</v>
      </c>
      <c r="K955" s="164" t="s">
        <v>528</v>
      </c>
      <c r="L955" s="164" t="s">
        <v>528</v>
      </c>
      <c r="M955" s="164" t="s">
        <v>2705</v>
      </c>
      <c r="N955" s="164" t="s">
        <v>2705</v>
      </c>
      <c r="O955" s="162">
        <v>1772</v>
      </c>
      <c r="P955" s="162" t="s">
        <v>2706</v>
      </c>
      <c r="Q955" s="162">
        <v>1648</v>
      </c>
      <c r="R955" s="162" t="s">
        <v>2706</v>
      </c>
      <c r="S955" s="162">
        <v>784</v>
      </c>
      <c r="T955" s="162" t="s">
        <v>2706</v>
      </c>
      <c r="U955" s="162">
        <v>1872</v>
      </c>
      <c r="V955" s="162" t="s">
        <v>2706</v>
      </c>
      <c r="W955" s="162">
        <v>1316</v>
      </c>
      <c r="X955" s="162" t="s">
        <v>2706</v>
      </c>
      <c r="Y955" s="162">
        <v>1157</v>
      </c>
      <c r="Z955" s="162" t="s">
        <v>2706</v>
      </c>
      <c r="AA955" s="162">
        <v>843</v>
      </c>
      <c r="AB955" s="162" t="s">
        <v>2706</v>
      </c>
      <c r="AC955" s="162">
        <v>1320</v>
      </c>
      <c r="AD955" s="162" t="s">
        <v>2706</v>
      </c>
      <c r="AE955" s="162">
        <v>1688</v>
      </c>
      <c r="AF955" s="162" t="s">
        <v>2706</v>
      </c>
      <c r="AG955" s="162">
        <v>0</v>
      </c>
      <c r="AH955" s="162" t="s">
        <v>2706</v>
      </c>
      <c r="AI955" s="162">
        <v>0</v>
      </c>
      <c r="AJ955" s="162" t="s">
        <v>2706</v>
      </c>
      <c r="AK955" s="162">
        <v>1121</v>
      </c>
      <c r="AL955" s="162" t="s">
        <v>2706</v>
      </c>
      <c r="AM955" s="162">
        <v>11749</v>
      </c>
      <c r="AN955" s="162"/>
      <c r="AP955" s="168"/>
    </row>
    <row r="956" spans="1:42" s="100" customFormat="1" ht="46.8" x14ac:dyDescent="0.3">
      <c r="A956" s="161"/>
      <c r="B956" s="167"/>
      <c r="C956" s="98" t="s">
        <v>2708</v>
      </c>
      <c r="D956" s="163"/>
      <c r="E956" s="26" t="s">
        <v>48</v>
      </c>
      <c r="F956" s="30" t="s">
        <v>49</v>
      </c>
      <c r="G956" s="163"/>
      <c r="H956" s="163"/>
      <c r="I956" s="163"/>
      <c r="J956" s="165"/>
      <c r="K956" s="165"/>
      <c r="L956" s="165"/>
      <c r="M956" s="165"/>
      <c r="N956" s="165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  <c r="AA956" s="163"/>
      <c r="AB956" s="163"/>
      <c r="AC956" s="163"/>
      <c r="AD956" s="163"/>
      <c r="AE956" s="163"/>
      <c r="AF956" s="163"/>
      <c r="AG956" s="163"/>
      <c r="AH956" s="163"/>
      <c r="AI956" s="163"/>
      <c r="AJ956" s="163"/>
      <c r="AK956" s="163"/>
      <c r="AL956" s="163"/>
      <c r="AM956" s="163"/>
      <c r="AN956" s="163"/>
      <c r="AP956" s="169"/>
    </row>
    <row r="957" spans="1:42" s="100" customFormat="1" ht="46.8" x14ac:dyDescent="0.3">
      <c r="A957" s="160">
        <v>698</v>
      </c>
      <c r="B957" s="166" t="s">
        <v>1482</v>
      </c>
      <c r="C957" s="98" t="s">
        <v>2708</v>
      </c>
      <c r="D957" s="162" t="s">
        <v>2712</v>
      </c>
      <c r="E957" s="26" t="s">
        <v>144</v>
      </c>
      <c r="F957" s="30" t="s">
        <v>49</v>
      </c>
      <c r="G957" s="162" t="s">
        <v>2704</v>
      </c>
      <c r="H957" s="162">
        <v>48</v>
      </c>
      <c r="I957" s="162" t="str">
        <f t="shared" ref="I957" si="76">G957</f>
        <v>с ЛН</v>
      </c>
      <c r="J957" s="164">
        <v>8</v>
      </c>
      <c r="K957" s="164" t="s">
        <v>528</v>
      </c>
      <c r="L957" s="164" t="s">
        <v>528</v>
      </c>
      <c r="M957" s="164" t="s">
        <v>2705</v>
      </c>
      <c r="N957" s="164" t="s">
        <v>2705</v>
      </c>
      <c r="O957" s="162">
        <v>1643</v>
      </c>
      <c r="P957" s="162" t="s">
        <v>2706</v>
      </c>
      <c r="Q957" s="162">
        <v>2183</v>
      </c>
      <c r="R957" s="162" t="s">
        <v>2706</v>
      </c>
      <c r="S957" s="162">
        <v>1041</v>
      </c>
      <c r="T957" s="162" t="s">
        <v>2706</v>
      </c>
      <c r="U957" s="162">
        <v>1997</v>
      </c>
      <c r="V957" s="162" t="s">
        <v>2706</v>
      </c>
      <c r="W957" s="162">
        <v>1273</v>
      </c>
      <c r="X957" s="162" t="s">
        <v>2706</v>
      </c>
      <c r="Y957" s="162">
        <v>1580</v>
      </c>
      <c r="Z957" s="162" t="s">
        <v>2706</v>
      </c>
      <c r="AA957" s="162">
        <v>1340</v>
      </c>
      <c r="AB957" s="162" t="s">
        <v>2706</v>
      </c>
      <c r="AC957" s="162">
        <v>1595</v>
      </c>
      <c r="AD957" s="162" t="s">
        <v>2706</v>
      </c>
      <c r="AE957" s="162">
        <v>1327</v>
      </c>
      <c r="AF957" s="162" t="s">
        <v>2706</v>
      </c>
      <c r="AG957" s="162">
        <v>1536</v>
      </c>
      <c r="AH957" s="162" t="s">
        <v>2706</v>
      </c>
      <c r="AI957" s="162">
        <v>485</v>
      </c>
      <c r="AJ957" s="162" t="s">
        <v>2706</v>
      </c>
      <c r="AK957" s="162">
        <v>1735</v>
      </c>
      <c r="AL957" s="162" t="s">
        <v>2706</v>
      </c>
      <c r="AM957" s="162">
        <v>16140</v>
      </c>
      <c r="AN957" s="162"/>
      <c r="AP957" s="168"/>
    </row>
    <row r="958" spans="1:42" s="100" customFormat="1" ht="46.8" x14ac:dyDescent="0.3">
      <c r="A958" s="161"/>
      <c r="B958" s="167"/>
      <c r="C958" s="98" t="s">
        <v>2708</v>
      </c>
      <c r="D958" s="163"/>
      <c r="E958" s="26" t="s">
        <v>48</v>
      </c>
      <c r="F958" s="30" t="s">
        <v>49</v>
      </c>
      <c r="G958" s="163"/>
      <c r="H958" s="163"/>
      <c r="I958" s="163"/>
      <c r="J958" s="165"/>
      <c r="K958" s="165"/>
      <c r="L958" s="165"/>
      <c r="M958" s="165"/>
      <c r="N958" s="165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  <c r="AA958" s="163"/>
      <c r="AB958" s="163"/>
      <c r="AC958" s="163"/>
      <c r="AD958" s="163"/>
      <c r="AE958" s="163"/>
      <c r="AF958" s="163"/>
      <c r="AG958" s="163"/>
      <c r="AH958" s="163"/>
      <c r="AI958" s="163"/>
      <c r="AJ958" s="163"/>
      <c r="AK958" s="163"/>
      <c r="AL958" s="163"/>
      <c r="AM958" s="163"/>
      <c r="AN958" s="163"/>
      <c r="AP958" s="169"/>
    </row>
    <row r="959" spans="1:42" s="100" customFormat="1" ht="46.8" x14ac:dyDescent="0.3">
      <c r="A959" s="160">
        <v>699</v>
      </c>
      <c r="B959" s="166" t="s">
        <v>1483</v>
      </c>
      <c r="C959" s="98" t="s">
        <v>2708</v>
      </c>
      <c r="D959" s="162" t="s">
        <v>2712</v>
      </c>
      <c r="E959" s="26" t="s">
        <v>144</v>
      </c>
      <c r="F959" s="30" t="s">
        <v>49</v>
      </c>
      <c r="G959" s="162" t="s">
        <v>2704</v>
      </c>
      <c r="H959" s="162">
        <v>17</v>
      </c>
      <c r="I959" s="162" t="str">
        <f t="shared" ref="I959" si="77">G959</f>
        <v>с ЛН</v>
      </c>
      <c r="J959" s="164">
        <v>3</v>
      </c>
      <c r="K959" s="164" t="s">
        <v>528</v>
      </c>
      <c r="L959" s="164" t="s">
        <v>528</v>
      </c>
      <c r="M959" s="164" t="s">
        <v>2705</v>
      </c>
      <c r="N959" s="164" t="s">
        <v>2705</v>
      </c>
      <c r="O959" s="162">
        <v>364</v>
      </c>
      <c r="P959" s="162" t="s">
        <v>2706</v>
      </c>
      <c r="Q959" s="162">
        <v>494</v>
      </c>
      <c r="R959" s="162" t="s">
        <v>2706</v>
      </c>
      <c r="S959" s="162">
        <v>278</v>
      </c>
      <c r="T959" s="162" t="s">
        <v>2706</v>
      </c>
      <c r="U959" s="162">
        <v>419</v>
      </c>
      <c r="V959" s="162" t="s">
        <v>2706</v>
      </c>
      <c r="W959" s="162">
        <v>314</v>
      </c>
      <c r="X959" s="162" t="s">
        <v>2706</v>
      </c>
      <c r="Y959" s="162">
        <v>326</v>
      </c>
      <c r="Z959" s="162" t="s">
        <v>2706</v>
      </c>
      <c r="AA959" s="162">
        <v>224</v>
      </c>
      <c r="AB959" s="162" t="s">
        <v>2706</v>
      </c>
      <c r="AC959" s="162">
        <v>330</v>
      </c>
      <c r="AD959" s="162" t="s">
        <v>2706</v>
      </c>
      <c r="AE959" s="162">
        <v>481</v>
      </c>
      <c r="AF959" s="162" t="s">
        <v>2706</v>
      </c>
      <c r="AG959" s="162">
        <v>401</v>
      </c>
      <c r="AH959" s="162" t="s">
        <v>2706</v>
      </c>
      <c r="AI959" s="162">
        <v>1619</v>
      </c>
      <c r="AJ959" s="162" t="s">
        <v>2706</v>
      </c>
      <c r="AK959" s="162">
        <v>601</v>
      </c>
      <c r="AL959" s="162" t="s">
        <v>2706</v>
      </c>
      <c r="AM959" s="162">
        <v>5521</v>
      </c>
      <c r="AN959" s="162"/>
      <c r="AP959" s="168"/>
    </row>
    <row r="960" spans="1:42" s="100" customFormat="1" ht="46.8" x14ac:dyDescent="0.3">
      <c r="A960" s="161"/>
      <c r="B960" s="167"/>
      <c r="C960" s="98" t="s">
        <v>2708</v>
      </c>
      <c r="D960" s="163"/>
      <c r="E960" s="26" t="s">
        <v>48</v>
      </c>
      <c r="F960" s="30" t="s">
        <v>49</v>
      </c>
      <c r="G960" s="163"/>
      <c r="H960" s="163"/>
      <c r="I960" s="163"/>
      <c r="J960" s="165"/>
      <c r="K960" s="165"/>
      <c r="L960" s="165"/>
      <c r="M960" s="165"/>
      <c r="N960" s="165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  <c r="AA960" s="163"/>
      <c r="AB960" s="163"/>
      <c r="AC960" s="163"/>
      <c r="AD960" s="163"/>
      <c r="AE960" s="163"/>
      <c r="AF960" s="163"/>
      <c r="AG960" s="163"/>
      <c r="AH960" s="163"/>
      <c r="AI960" s="163"/>
      <c r="AJ960" s="163"/>
      <c r="AK960" s="163"/>
      <c r="AL960" s="163"/>
      <c r="AM960" s="163"/>
      <c r="AN960" s="163"/>
      <c r="AP960" s="169"/>
    </row>
    <row r="961" spans="1:42" s="100" customFormat="1" ht="46.8" x14ac:dyDescent="0.3">
      <c r="A961" s="160">
        <v>700</v>
      </c>
      <c r="B961" s="166" t="s">
        <v>1484</v>
      </c>
      <c r="C961" s="98" t="s">
        <v>2708</v>
      </c>
      <c r="D961" s="162" t="s">
        <v>2712</v>
      </c>
      <c r="E961" s="26" t="s">
        <v>144</v>
      </c>
      <c r="F961" s="30" t="s">
        <v>49</v>
      </c>
      <c r="G961" s="162" t="s">
        <v>2704</v>
      </c>
      <c r="H961" s="162">
        <v>17</v>
      </c>
      <c r="I961" s="162" t="str">
        <f t="shared" ref="I961" si="78">G961</f>
        <v>с ЛН</v>
      </c>
      <c r="J961" s="164">
        <v>3</v>
      </c>
      <c r="K961" s="164" t="s">
        <v>528</v>
      </c>
      <c r="L961" s="164" t="s">
        <v>528</v>
      </c>
      <c r="M961" s="164" t="s">
        <v>2705</v>
      </c>
      <c r="N961" s="164" t="s">
        <v>2705</v>
      </c>
      <c r="O961" s="162">
        <v>0</v>
      </c>
      <c r="P961" s="162" t="s">
        <v>2706</v>
      </c>
      <c r="Q961" s="162">
        <v>0</v>
      </c>
      <c r="R961" s="162" t="s">
        <v>2706</v>
      </c>
      <c r="S961" s="162">
        <v>0</v>
      </c>
      <c r="T961" s="162" t="s">
        <v>2706</v>
      </c>
      <c r="U961" s="162">
        <v>0</v>
      </c>
      <c r="V961" s="162" t="s">
        <v>2706</v>
      </c>
      <c r="W961" s="162">
        <v>0</v>
      </c>
      <c r="X961" s="162" t="s">
        <v>2706</v>
      </c>
      <c r="Y961" s="162">
        <v>0</v>
      </c>
      <c r="Z961" s="162" t="s">
        <v>2706</v>
      </c>
      <c r="AA961" s="162">
        <v>0</v>
      </c>
      <c r="AB961" s="162" t="s">
        <v>2706</v>
      </c>
      <c r="AC961" s="162">
        <v>0</v>
      </c>
      <c r="AD961" s="162" t="s">
        <v>2706</v>
      </c>
      <c r="AE961" s="162">
        <v>0</v>
      </c>
      <c r="AF961" s="162" t="s">
        <v>2706</v>
      </c>
      <c r="AG961" s="162">
        <v>0</v>
      </c>
      <c r="AH961" s="162" t="s">
        <v>2706</v>
      </c>
      <c r="AI961" s="162">
        <v>0</v>
      </c>
      <c r="AJ961" s="162" t="s">
        <v>2706</v>
      </c>
      <c r="AK961" s="162">
        <v>0</v>
      </c>
      <c r="AL961" s="162" t="s">
        <v>2706</v>
      </c>
      <c r="AM961" s="162">
        <v>0</v>
      </c>
      <c r="AN961" s="162"/>
      <c r="AP961" s="168"/>
    </row>
    <row r="962" spans="1:42" s="100" customFormat="1" ht="46.8" x14ac:dyDescent="0.3">
      <c r="A962" s="161"/>
      <c r="B962" s="167"/>
      <c r="C962" s="98" t="s">
        <v>2708</v>
      </c>
      <c r="D962" s="163"/>
      <c r="E962" s="26" t="s">
        <v>48</v>
      </c>
      <c r="F962" s="30" t="s">
        <v>49</v>
      </c>
      <c r="G962" s="163"/>
      <c r="H962" s="163"/>
      <c r="I962" s="163"/>
      <c r="J962" s="165"/>
      <c r="K962" s="165"/>
      <c r="L962" s="165"/>
      <c r="M962" s="165"/>
      <c r="N962" s="165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  <c r="AA962" s="163"/>
      <c r="AB962" s="163"/>
      <c r="AC962" s="163"/>
      <c r="AD962" s="163"/>
      <c r="AE962" s="163"/>
      <c r="AF962" s="163"/>
      <c r="AG962" s="163"/>
      <c r="AH962" s="163"/>
      <c r="AI962" s="163"/>
      <c r="AJ962" s="163"/>
      <c r="AK962" s="163"/>
      <c r="AL962" s="163"/>
      <c r="AM962" s="163"/>
      <c r="AN962" s="163"/>
      <c r="AP962" s="169"/>
    </row>
    <row r="963" spans="1:42" s="100" customFormat="1" ht="46.8" x14ac:dyDescent="0.3">
      <c r="A963" s="160">
        <v>701</v>
      </c>
      <c r="B963" s="166" t="s">
        <v>1486</v>
      </c>
      <c r="C963" s="98" t="s">
        <v>2708</v>
      </c>
      <c r="D963" s="162" t="s">
        <v>2712</v>
      </c>
      <c r="E963" s="26" t="s">
        <v>144</v>
      </c>
      <c r="F963" s="30" t="s">
        <v>49</v>
      </c>
      <c r="G963" s="162" t="s">
        <v>2704</v>
      </c>
      <c r="H963" s="162">
        <v>42</v>
      </c>
      <c r="I963" s="162" t="str">
        <f t="shared" ref="I963" si="79">G963</f>
        <v>с ЛН</v>
      </c>
      <c r="J963" s="164">
        <v>7</v>
      </c>
      <c r="K963" s="164" t="s">
        <v>528</v>
      </c>
      <c r="L963" s="164" t="s">
        <v>528</v>
      </c>
      <c r="M963" s="164" t="s">
        <v>2705</v>
      </c>
      <c r="N963" s="164" t="s">
        <v>2705</v>
      </c>
      <c r="O963" s="162">
        <v>1815</v>
      </c>
      <c r="P963" s="162" t="s">
        <v>2706</v>
      </c>
      <c r="Q963" s="162">
        <v>2115</v>
      </c>
      <c r="R963" s="162" t="s">
        <v>2706</v>
      </c>
      <c r="S963" s="162">
        <v>1129</v>
      </c>
      <c r="T963" s="162" t="s">
        <v>2706</v>
      </c>
      <c r="U963" s="162">
        <v>2079</v>
      </c>
      <c r="V963" s="162" t="s">
        <v>2706</v>
      </c>
      <c r="W963" s="162">
        <v>1643</v>
      </c>
      <c r="X963" s="162" t="s">
        <v>2706</v>
      </c>
      <c r="Y963" s="162">
        <v>1774</v>
      </c>
      <c r="Z963" s="162" t="s">
        <v>2706</v>
      </c>
      <c r="AA963" s="162">
        <v>1332</v>
      </c>
      <c r="AB963" s="162" t="s">
        <v>2706</v>
      </c>
      <c r="AC963" s="162">
        <v>867</v>
      </c>
      <c r="AD963" s="162" t="s">
        <v>2706</v>
      </c>
      <c r="AE963" s="162">
        <v>1938</v>
      </c>
      <c r="AF963" s="162" t="s">
        <v>2706</v>
      </c>
      <c r="AG963" s="162">
        <v>994</v>
      </c>
      <c r="AH963" s="162" t="s">
        <v>2706</v>
      </c>
      <c r="AI963" s="162">
        <v>1768</v>
      </c>
      <c r="AJ963" s="162" t="s">
        <v>2706</v>
      </c>
      <c r="AK963" s="162">
        <v>1621</v>
      </c>
      <c r="AL963" s="162" t="s">
        <v>2706</v>
      </c>
      <c r="AM963" s="162">
        <v>18208</v>
      </c>
      <c r="AN963" s="162"/>
      <c r="AP963" s="168"/>
    </row>
    <row r="964" spans="1:42" s="100" customFormat="1" ht="46.8" x14ac:dyDescent="0.3">
      <c r="A964" s="161"/>
      <c r="B964" s="167"/>
      <c r="C964" s="98" t="s">
        <v>2708</v>
      </c>
      <c r="D964" s="163"/>
      <c r="E964" s="26" t="s">
        <v>48</v>
      </c>
      <c r="F964" s="30" t="s">
        <v>49</v>
      </c>
      <c r="G964" s="163"/>
      <c r="H964" s="163"/>
      <c r="I964" s="163"/>
      <c r="J964" s="165"/>
      <c r="K964" s="165"/>
      <c r="L964" s="165"/>
      <c r="M964" s="165"/>
      <c r="N964" s="165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  <c r="AA964" s="163"/>
      <c r="AB964" s="163"/>
      <c r="AC964" s="163"/>
      <c r="AD964" s="163"/>
      <c r="AE964" s="163"/>
      <c r="AF964" s="163"/>
      <c r="AG964" s="163"/>
      <c r="AH964" s="163"/>
      <c r="AI964" s="163"/>
      <c r="AJ964" s="163"/>
      <c r="AK964" s="163"/>
      <c r="AL964" s="163"/>
      <c r="AM964" s="163"/>
      <c r="AN964" s="163"/>
      <c r="AP964" s="169"/>
    </row>
    <row r="965" spans="1:42" s="100" customFormat="1" ht="46.8" x14ac:dyDescent="0.3">
      <c r="A965" s="160">
        <v>702</v>
      </c>
      <c r="B965" s="166" t="s">
        <v>1487</v>
      </c>
      <c r="C965" s="98" t="s">
        <v>2708</v>
      </c>
      <c r="D965" s="162" t="s">
        <v>2712</v>
      </c>
      <c r="E965" s="26" t="s">
        <v>144</v>
      </c>
      <c r="F965" s="30" t="s">
        <v>49</v>
      </c>
      <c r="G965" s="162" t="s">
        <v>2704</v>
      </c>
      <c r="H965" s="162">
        <v>18</v>
      </c>
      <c r="I965" s="162" t="str">
        <f t="shared" ref="I965" si="80">G965</f>
        <v>с ЛН</v>
      </c>
      <c r="J965" s="164">
        <v>3</v>
      </c>
      <c r="K965" s="164" t="s">
        <v>528</v>
      </c>
      <c r="L965" s="164" t="s">
        <v>528</v>
      </c>
      <c r="M965" s="164" t="s">
        <v>2705</v>
      </c>
      <c r="N965" s="164" t="s">
        <v>2705</v>
      </c>
      <c r="O965" s="162">
        <v>646</v>
      </c>
      <c r="P965" s="162" t="s">
        <v>2706</v>
      </c>
      <c r="Q965" s="162">
        <v>822</v>
      </c>
      <c r="R965" s="162" t="s">
        <v>2706</v>
      </c>
      <c r="S965" s="162">
        <v>395</v>
      </c>
      <c r="T965" s="162" t="s">
        <v>2706</v>
      </c>
      <c r="U965" s="162">
        <v>784</v>
      </c>
      <c r="V965" s="162" t="s">
        <v>2706</v>
      </c>
      <c r="W965" s="162">
        <v>573</v>
      </c>
      <c r="X965" s="162" t="s">
        <v>2706</v>
      </c>
      <c r="Y965" s="162">
        <v>560</v>
      </c>
      <c r="Z965" s="162" t="s">
        <v>2706</v>
      </c>
      <c r="AA965" s="162">
        <v>401</v>
      </c>
      <c r="AB965" s="162" t="s">
        <v>2706</v>
      </c>
      <c r="AC965" s="162">
        <v>645</v>
      </c>
      <c r="AD965" s="162" t="s">
        <v>2706</v>
      </c>
      <c r="AE965" s="162">
        <v>650</v>
      </c>
      <c r="AF965" s="162" t="s">
        <v>2706</v>
      </c>
      <c r="AG965" s="162">
        <v>351</v>
      </c>
      <c r="AH965" s="162" t="s">
        <v>2706</v>
      </c>
      <c r="AI965" s="162">
        <v>622</v>
      </c>
      <c r="AJ965" s="162" t="s">
        <v>2706</v>
      </c>
      <c r="AK965" s="162">
        <v>480</v>
      </c>
      <c r="AL965" s="162" t="s">
        <v>2706</v>
      </c>
      <c r="AM965" s="162">
        <v>6284</v>
      </c>
      <c r="AN965" s="162"/>
      <c r="AP965" s="168"/>
    </row>
    <row r="966" spans="1:42" s="100" customFormat="1" ht="46.8" x14ac:dyDescent="0.3">
      <c r="A966" s="161"/>
      <c r="B966" s="167"/>
      <c r="C966" s="98" t="s">
        <v>2708</v>
      </c>
      <c r="D966" s="163"/>
      <c r="E966" s="26" t="s">
        <v>48</v>
      </c>
      <c r="F966" s="30" t="s">
        <v>49</v>
      </c>
      <c r="G966" s="163"/>
      <c r="H966" s="163"/>
      <c r="I966" s="163"/>
      <c r="J966" s="165"/>
      <c r="K966" s="165"/>
      <c r="L966" s="165"/>
      <c r="M966" s="165"/>
      <c r="N966" s="165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  <c r="AA966" s="163"/>
      <c r="AB966" s="163"/>
      <c r="AC966" s="163"/>
      <c r="AD966" s="163"/>
      <c r="AE966" s="163"/>
      <c r="AF966" s="163"/>
      <c r="AG966" s="163"/>
      <c r="AH966" s="163"/>
      <c r="AI966" s="163"/>
      <c r="AJ966" s="163"/>
      <c r="AK966" s="163"/>
      <c r="AL966" s="163"/>
      <c r="AM966" s="163"/>
      <c r="AN966" s="163"/>
      <c r="AP966" s="169"/>
    </row>
    <row r="967" spans="1:42" s="100" customFormat="1" ht="46.8" x14ac:dyDescent="0.3">
      <c r="A967" s="160">
        <v>703</v>
      </c>
      <c r="B967" s="166" t="s">
        <v>1489</v>
      </c>
      <c r="C967" s="98" t="s">
        <v>2708</v>
      </c>
      <c r="D967" s="162" t="s">
        <v>2712</v>
      </c>
      <c r="E967" s="26" t="s">
        <v>144</v>
      </c>
      <c r="F967" s="30" t="s">
        <v>49</v>
      </c>
      <c r="G967" s="162" t="s">
        <v>2704</v>
      </c>
      <c r="H967" s="162">
        <v>20</v>
      </c>
      <c r="I967" s="162" t="str">
        <f t="shared" ref="I967" si="81">G967</f>
        <v>с ЛН</v>
      </c>
      <c r="J967" s="164">
        <v>4</v>
      </c>
      <c r="K967" s="164" t="s">
        <v>528</v>
      </c>
      <c r="L967" s="164" t="s">
        <v>528</v>
      </c>
      <c r="M967" s="164" t="s">
        <v>2705</v>
      </c>
      <c r="N967" s="164" t="s">
        <v>2705</v>
      </c>
      <c r="O967" s="162">
        <v>0</v>
      </c>
      <c r="P967" s="162" t="s">
        <v>2706</v>
      </c>
      <c r="Q967" s="162">
        <v>0</v>
      </c>
      <c r="R967" s="162" t="s">
        <v>2706</v>
      </c>
      <c r="S967" s="162">
        <v>0</v>
      </c>
      <c r="T967" s="162" t="s">
        <v>2706</v>
      </c>
      <c r="U967" s="162">
        <v>0</v>
      </c>
      <c r="V967" s="162" t="s">
        <v>2706</v>
      </c>
      <c r="W967" s="162">
        <v>0</v>
      </c>
      <c r="X967" s="162" t="s">
        <v>2706</v>
      </c>
      <c r="Y967" s="162">
        <v>0</v>
      </c>
      <c r="Z967" s="162" t="s">
        <v>2706</v>
      </c>
      <c r="AA967" s="162">
        <v>0</v>
      </c>
      <c r="AB967" s="162" t="s">
        <v>2706</v>
      </c>
      <c r="AC967" s="162">
        <v>0</v>
      </c>
      <c r="AD967" s="162" t="s">
        <v>2706</v>
      </c>
      <c r="AE967" s="162">
        <v>0</v>
      </c>
      <c r="AF967" s="162" t="s">
        <v>2706</v>
      </c>
      <c r="AG967" s="162">
        <v>0</v>
      </c>
      <c r="AH967" s="162" t="s">
        <v>2706</v>
      </c>
      <c r="AI967" s="162">
        <v>0</v>
      </c>
      <c r="AJ967" s="162" t="s">
        <v>2706</v>
      </c>
      <c r="AK967" s="162">
        <v>0</v>
      </c>
      <c r="AL967" s="162" t="s">
        <v>2706</v>
      </c>
      <c r="AM967" s="162">
        <v>0</v>
      </c>
      <c r="AN967" s="162"/>
      <c r="AP967" s="168"/>
    </row>
    <row r="968" spans="1:42" s="100" customFormat="1" ht="46.8" x14ac:dyDescent="0.3">
      <c r="A968" s="161"/>
      <c r="B968" s="167"/>
      <c r="C968" s="98" t="s">
        <v>2708</v>
      </c>
      <c r="D968" s="163"/>
      <c r="E968" s="26" t="s">
        <v>48</v>
      </c>
      <c r="F968" s="30" t="s">
        <v>49</v>
      </c>
      <c r="G968" s="163"/>
      <c r="H968" s="163"/>
      <c r="I968" s="163"/>
      <c r="J968" s="165"/>
      <c r="K968" s="165"/>
      <c r="L968" s="165"/>
      <c r="M968" s="165"/>
      <c r="N968" s="165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  <c r="AA968" s="163"/>
      <c r="AB968" s="163"/>
      <c r="AC968" s="163"/>
      <c r="AD968" s="163"/>
      <c r="AE968" s="163"/>
      <c r="AF968" s="163"/>
      <c r="AG968" s="163"/>
      <c r="AH968" s="163"/>
      <c r="AI968" s="163"/>
      <c r="AJ968" s="163"/>
      <c r="AK968" s="163"/>
      <c r="AL968" s="163"/>
      <c r="AM968" s="163"/>
      <c r="AN968" s="163"/>
      <c r="AP968" s="169"/>
    </row>
    <row r="969" spans="1:42" s="100" customFormat="1" ht="46.8" x14ac:dyDescent="0.3">
      <c r="A969" s="160">
        <v>704</v>
      </c>
      <c r="B969" s="166" t="s">
        <v>1490</v>
      </c>
      <c r="C969" s="98" t="s">
        <v>2708</v>
      </c>
      <c r="D969" s="162" t="s">
        <v>2712</v>
      </c>
      <c r="E969" s="26" t="s">
        <v>144</v>
      </c>
      <c r="F969" s="30" t="s">
        <v>49</v>
      </c>
      <c r="G969" s="162" t="s">
        <v>2704</v>
      </c>
      <c r="H969" s="162">
        <v>22</v>
      </c>
      <c r="I969" s="162" t="str">
        <f t="shared" ref="I969" si="82">G969</f>
        <v>с ЛН</v>
      </c>
      <c r="J969" s="164">
        <v>4</v>
      </c>
      <c r="K969" s="164" t="s">
        <v>528</v>
      </c>
      <c r="L969" s="164" t="s">
        <v>528</v>
      </c>
      <c r="M969" s="164" t="s">
        <v>2705</v>
      </c>
      <c r="N969" s="164" t="s">
        <v>2705</v>
      </c>
      <c r="O969" s="162">
        <v>0</v>
      </c>
      <c r="P969" s="162" t="s">
        <v>2706</v>
      </c>
      <c r="Q969" s="162">
        <v>0</v>
      </c>
      <c r="R969" s="162" t="s">
        <v>2706</v>
      </c>
      <c r="S969" s="162">
        <v>0</v>
      </c>
      <c r="T969" s="162" t="s">
        <v>2706</v>
      </c>
      <c r="U969" s="162">
        <v>0</v>
      </c>
      <c r="V969" s="162" t="s">
        <v>2706</v>
      </c>
      <c r="W969" s="162">
        <v>0</v>
      </c>
      <c r="X969" s="162" t="s">
        <v>2706</v>
      </c>
      <c r="Y969" s="162">
        <v>0</v>
      </c>
      <c r="Z969" s="162" t="s">
        <v>2706</v>
      </c>
      <c r="AA969" s="162">
        <v>0</v>
      </c>
      <c r="AB969" s="162" t="s">
        <v>2706</v>
      </c>
      <c r="AC969" s="162">
        <v>0</v>
      </c>
      <c r="AD969" s="162" t="s">
        <v>2706</v>
      </c>
      <c r="AE969" s="162">
        <v>0</v>
      </c>
      <c r="AF969" s="162" t="s">
        <v>2706</v>
      </c>
      <c r="AG969" s="162">
        <v>0</v>
      </c>
      <c r="AH969" s="162" t="s">
        <v>2706</v>
      </c>
      <c r="AI969" s="162">
        <v>0</v>
      </c>
      <c r="AJ969" s="162" t="s">
        <v>2706</v>
      </c>
      <c r="AK969" s="162">
        <v>0</v>
      </c>
      <c r="AL969" s="162" t="s">
        <v>2706</v>
      </c>
      <c r="AM969" s="162">
        <v>0</v>
      </c>
      <c r="AN969" s="162"/>
      <c r="AP969" s="168"/>
    </row>
    <row r="970" spans="1:42" s="100" customFormat="1" ht="46.8" x14ac:dyDescent="0.3">
      <c r="A970" s="161"/>
      <c r="B970" s="167"/>
      <c r="C970" s="98" t="s">
        <v>2708</v>
      </c>
      <c r="D970" s="163"/>
      <c r="E970" s="26" t="s">
        <v>48</v>
      </c>
      <c r="F970" s="30" t="s">
        <v>49</v>
      </c>
      <c r="G970" s="163"/>
      <c r="H970" s="163"/>
      <c r="I970" s="163"/>
      <c r="J970" s="165"/>
      <c r="K970" s="165"/>
      <c r="L970" s="165"/>
      <c r="M970" s="165"/>
      <c r="N970" s="165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  <c r="AA970" s="163"/>
      <c r="AB970" s="163"/>
      <c r="AC970" s="163"/>
      <c r="AD970" s="163"/>
      <c r="AE970" s="163"/>
      <c r="AF970" s="163"/>
      <c r="AG970" s="163"/>
      <c r="AH970" s="163"/>
      <c r="AI970" s="163"/>
      <c r="AJ970" s="163"/>
      <c r="AK970" s="163"/>
      <c r="AL970" s="163"/>
      <c r="AM970" s="163"/>
      <c r="AN970" s="163"/>
      <c r="AP970" s="169"/>
    </row>
    <row r="971" spans="1:42" s="100" customFormat="1" ht="46.8" x14ac:dyDescent="0.3">
      <c r="A971" s="160">
        <v>705</v>
      </c>
      <c r="B971" s="166" t="s">
        <v>1492</v>
      </c>
      <c r="C971" s="98" t="s">
        <v>2708</v>
      </c>
      <c r="D971" s="162" t="s">
        <v>2712</v>
      </c>
      <c r="E971" s="26" t="s">
        <v>144</v>
      </c>
      <c r="F971" s="30" t="s">
        <v>49</v>
      </c>
      <c r="G971" s="162" t="s">
        <v>2704</v>
      </c>
      <c r="H971" s="162">
        <v>30</v>
      </c>
      <c r="I971" s="162" t="str">
        <f t="shared" ref="I971" si="83">G971</f>
        <v>с ЛН</v>
      </c>
      <c r="J971" s="164">
        <v>5</v>
      </c>
      <c r="K971" s="164" t="s">
        <v>529</v>
      </c>
      <c r="L971" s="164" t="s">
        <v>529</v>
      </c>
      <c r="M971" s="164" t="s">
        <v>2705</v>
      </c>
      <c r="N971" s="164" t="s">
        <v>2705</v>
      </c>
      <c r="O971" s="162">
        <v>0</v>
      </c>
      <c r="P971" s="162" t="s">
        <v>2706</v>
      </c>
      <c r="Q971" s="162">
        <v>0</v>
      </c>
      <c r="R971" s="162" t="s">
        <v>2706</v>
      </c>
      <c r="S971" s="162">
        <v>0</v>
      </c>
      <c r="T971" s="162" t="s">
        <v>2706</v>
      </c>
      <c r="U971" s="162">
        <v>0</v>
      </c>
      <c r="V971" s="162" t="s">
        <v>2706</v>
      </c>
      <c r="W971" s="162">
        <v>0</v>
      </c>
      <c r="X971" s="162" t="s">
        <v>2706</v>
      </c>
      <c r="Y971" s="162">
        <v>0</v>
      </c>
      <c r="Z971" s="162" t="s">
        <v>2706</v>
      </c>
      <c r="AA971" s="162">
        <v>0</v>
      </c>
      <c r="AB971" s="162" t="s">
        <v>2706</v>
      </c>
      <c r="AC971" s="162">
        <v>1265</v>
      </c>
      <c r="AD971" s="162" t="s">
        <v>2706</v>
      </c>
      <c r="AE971" s="162">
        <v>1427</v>
      </c>
      <c r="AF971" s="162" t="s">
        <v>2706</v>
      </c>
      <c r="AG971" s="162">
        <v>1354</v>
      </c>
      <c r="AH971" s="162" t="s">
        <v>2706</v>
      </c>
      <c r="AI971" s="162">
        <v>1446</v>
      </c>
      <c r="AJ971" s="162" t="s">
        <v>2706</v>
      </c>
      <c r="AK971" s="162">
        <v>1412</v>
      </c>
      <c r="AL971" s="162" t="s">
        <v>2706</v>
      </c>
      <c r="AM971" s="162">
        <v>5639</v>
      </c>
      <c r="AN971" s="162"/>
      <c r="AP971" s="168"/>
    </row>
    <row r="972" spans="1:42" s="100" customFormat="1" ht="46.8" x14ac:dyDescent="0.3">
      <c r="A972" s="161"/>
      <c r="B972" s="167"/>
      <c r="C972" s="98" t="s">
        <v>2708</v>
      </c>
      <c r="D972" s="163"/>
      <c r="E972" s="26" t="s">
        <v>48</v>
      </c>
      <c r="F972" s="30" t="s">
        <v>49</v>
      </c>
      <c r="G972" s="163"/>
      <c r="H972" s="163"/>
      <c r="I972" s="163"/>
      <c r="J972" s="165"/>
      <c r="K972" s="165"/>
      <c r="L972" s="165"/>
      <c r="M972" s="165"/>
      <c r="N972" s="165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  <c r="AA972" s="163"/>
      <c r="AB972" s="163"/>
      <c r="AC972" s="163"/>
      <c r="AD972" s="163"/>
      <c r="AE972" s="163"/>
      <c r="AF972" s="163"/>
      <c r="AG972" s="163"/>
      <c r="AH972" s="163"/>
      <c r="AI972" s="163"/>
      <c r="AJ972" s="163"/>
      <c r="AK972" s="163"/>
      <c r="AL972" s="163"/>
      <c r="AM972" s="163"/>
      <c r="AN972" s="163"/>
      <c r="AP972" s="169"/>
    </row>
    <row r="973" spans="1:42" s="100" customFormat="1" ht="46.8" x14ac:dyDescent="0.3">
      <c r="A973" s="160">
        <v>706</v>
      </c>
      <c r="B973" s="166" t="s">
        <v>1494</v>
      </c>
      <c r="C973" s="98" t="s">
        <v>2708</v>
      </c>
      <c r="D973" s="162" t="s">
        <v>2712</v>
      </c>
      <c r="E973" s="26" t="s">
        <v>144</v>
      </c>
      <c r="F973" s="30" t="s">
        <v>49</v>
      </c>
      <c r="G973" s="162"/>
      <c r="H973" s="162"/>
      <c r="I973" s="162"/>
      <c r="J973" s="164"/>
      <c r="K973" s="164" t="s">
        <v>528</v>
      </c>
      <c r="L973" s="164" t="s">
        <v>528</v>
      </c>
      <c r="M973" s="164" t="s">
        <v>2705</v>
      </c>
      <c r="N973" s="164" t="s">
        <v>2705</v>
      </c>
      <c r="O973" s="162">
        <v>0</v>
      </c>
      <c r="P973" s="162" t="s">
        <v>2706</v>
      </c>
      <c r="Q973" s="162">
        <v>0</v>
      </c>
      <c r="R973" s="162" t="s">
        <v>2706</v>
      </c>
      <c r="S973" s="162">
        <v>0</v>
      </c>
      <c r="T973" s="162" t="s">
        <v>2706</v>
      </c>
      <c r="U973" s="162">
        <v>0</v>
      </c>
      <c r="V973" s="162" t="s">
        <v>2706</v>
      </c>
      <c r="W973" s="162">
        <v>0</v>
      </c>
      <c r="X973" s="162" t="s">
        <v>2706</v>
      </c>
      <c r="Y973" s="162">
        <v>0</v>
      </c>
      <c r="Z973" s="162" t="s">
        <v>2706</v>
      </c>
      <c r="AA973" s="162">
        <v>0</v>
      </c>
      <c r="AB973" s="162" t="s">
        <v>2706</v>
      </c>
      <c r="AC973" s="162">
        <v>0</v>
      </c>
      <c r="AD973" s="162" t="s">
        <v>2706</v>
      </c>
      <c r="AE973" s="162">
        <v>0</v>
      </c>
      <c r="AF973" s="162" t="s">
        <v>2706</v>
      </c>
      <c r="AG973" s="162">
        <v>0</v>
      </c>
      <c r="AH973" s="162" t="s">
        <v>2706</v>
      </c>
      <c r="AI973" s="162">
        <v>0</v>
      </c>
      <c r="AJ973" s="162" t="s">
        <v>2706</v>
      </c>
      <c r="AK973" s="162">
        <v>0</v>
      </c>
      <c r="AL973" s="162" t="s">
        <v>2706</v>
      </c>
      <c r="AM973" s="162">
        <v>0</v>
      </c>
      <c r="AN973" s="162"/>
      <c r="AP973" s="168"/>
    </row>
    <row r="974" spans="1:42" s="100" customFormat="1" ht="46.8" x14ac:dyDescent="0.3">
      <c r="A974" s="161"/>
      <c r="B974" s="167"/>
      <c r="C974" s="98" t="s">
        <v>2708</v>
      </c>
      <c r="D974" s="163"/>
      <c r="E974" s="26" t="s">
        <v>48</v>
      </c>
      <c r="F974" s="30" t="s">
        <v>49</v>
      </c>
      <c r="G974" s="163"/>
      <c r="H974" s="163"/>
      <c r="I974" s="163"/>
      <c r="J974" s="165"/>
      <c r="K974" s="165"/>
      <c r="L974" s="165"/>
      <c r="M974" s="165"/>
      <c r="N974" s="165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  <c r="AA974" s="163"/>
      <c r="AB974" s="163"/>
      <c r="AC974" s="163"/>
      <c r="AD974" s="163"/>
      <c r="AE974" s="163"/>
      <c r="AF974" s="163"/>
      <c r="AG974" s="163"/>
      <c r="AH974" s="163"/>
      <c r="AI974" s="163"/>
      <c r="AJ974" s="163"/>
      <c r="AK974" s="163"/>
      <c r="AL974" s="163"/>
      <c r="AM974" s="163"/>
      <c r="AN974" s="163"/>
      <c r="AP974" s="169"/>
    </row>
    <row r="975" spans="1:42" s="100" customFormat="1" ht="46.8" x14ac:dyDescent="0.3">
      <c r="A975" s="160">
        <v>707</v>
      </c>
      <c r="B975" s="166" t="s">
        <v>1496</v>
      </c>
      <c r="C975" s="98" t="s">
        <v>2708</v>
      </c>
      <c r="D975" s="162" t="s">
        <v>2712</v>
      </c>
      <c r="E975" s="26" t="s">
        <v>144</v>
      </c>
      <c r="F975" s="30" t="s">
        <v>49</v>
      </c>
      <c r="G975" s="162" t="s">
        <v>2704</v>
      </c>
      <c r="H975" s="162">
        <v>18</v>
      </c>
      <c r="I975" s="162" t="str">
        <f t="shared" ref="I975" si="84">G975</f>
        <v>с ЛН</v>
      </c>
      <c r="J975" s="164">
        <v>3</v>
      </c>
      <c r="K975" s="164" t="s">
        <v>528</v>
      </c>
      <c r="L975" s="164" t="s">
        <v>528</v>
      </c>
      <c r="M975" s="164" t="s">
        <v>2705</v>
      </c>
      <c r="N975" s="164" t="s">
        <v>2705</v>
      </c>
      <c r="O975" s="162">
        <v>2003</v>
      </c>
      <c r="P975" s="162" t="s">
        <v>2706</v>
      </c>
      <c r="Q975" s="162">
        <v>1895</v>
      </c>
      <c r="R975" s="162" t="s">
        <v>2706</v>
      </c>
      <c r="S975" s="162">
        <v>1492</v>
      </c>
      <c r="T975" s="162" t="s">
        <v>2706</v>
      </c>
      <c r="U975" s="162">
        <v>1946</v>
      </c>
      <c r="V975" s="162" t="s">
        <v>2706</v>
      </c>
      <c r="W975" s="162">
        <v>1045</v>
      </c>
      <c r="X975" s="162" t="s">
        <v>2706</v>
      </c>
      <c r="Y975" s="162">
        <v>898</v>
      </c>
      <c r="Z975" s="162" t="s">
        <v>2706</v>
      </c>
      <c r="AA975" s="162">
        <v>661</v>
      </c>
      <c r="AB975" s="162" t="s">
        <v>2706</v>
      </c>
      <c r="AC975" s="162">
        <v>621</v>
      </c>
      <c r="AD975" s="162" t="s">
        <v>2706</v>
      </c>
      <c r="AE975" s="162">
        <v>535</v>
      </c>
      <c r="AF975" s="162" t="s">
        <v>2706</v>
      </c>
      <c r="AG975" s="162">
        <v>758</v>
      </c>
      <c r="AH975" s="162" t="s">
        <v>2706</v>
      </c>
      <c r="AI975" s="162">
        <v>405</v>
      </c>
      <c r="AJ975" s="162" t="s">
        <v>2706</v>
      </c>
      <c r="AK975" s="162">
        <v>1581</v>
      </c>
      <c r="AL975" s="162" t="s">
        <v>2706</v>
      </c>
      <c r="AM975" s="162">
        <v>13219</v>
      </c>
      <c r="AN975" s="162"/>
      <c r="AP975" s="168"/>
    </row>
    <row r="976" spans="1:42" s="100" customFormat="1" ht="46.8" x14ac:dyDescent="0.3">
      <c r="A976" s="161"/>
      <c r="B976" s="167"/>
      <c r="C976" s="98" t="s">
        <v>2708</v>
      </c>
      <c r="D976" s="163"/>
      <c r="E976" s="26" t="s">
        <v>48</v>
      </c>
      <c r="F976" s="30" t="s">
        <v>49</v>
      </c>
      <c r="G976" s="163"/>
      <c r="H976" s="163"/>
      <c r="I976" s="163"/>
      <c r="J976" s="165"/>
      <c r="K976" s="165"/>
      <c r="L976" s="165"/>
      <c r="M976" s="165"/>
      <c r="N976" s="165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  <c r="AA976" s="163"/>
      <c r="AB976" s="163"/>
      <c r="AC976" s="163"/>
      <c r="AD976" s="163"/>
      <c r="AE976" s="163"/>
      <c r="AF976" s="163"/>
      <c r="AG976" s="163"/>
      <c r="AH976" s="163"/>
      <c r="AI976" s="163"/>
      <c r="AJ976" s="163"/>
      <c r="AK976" s="163"/>
      <c r="AL976" s="163"/>
      <c r="AM976" s="163"/>
      <c r="AN976" s="163"/>
      <c r="AP976" s="169"/>
    </row>
    <row r="977" spans="1:42" s="100" customFormat="1" ht="46.8" x14ac:dyDescent="0.3">
      <c r="A977" s="160">
        <v>708</v>
      </c>
      <c r="B977" s="166" t="s">
        <v>1497</v>
      </c>
      <c r="C977" s="98" t="s">
        <v>2708</v>
      </c>
      <c r="D977" s="162" t="s">
        <v>2712</v>
      </c>
      <c r="E977" s="26" t="s">
        <v>144</v>
      </c>
      <c r="F977" s="30" t="s">
        <v>49</v>
      </c>
      <c r="G977" s="162" t="s">
        <v>2704</v>
      </c>
      <c r="H977" s="162">
        <v>30</v>
      </c>
      <c r="I977" s="162" t="str">
        <f t="shared" ref="I977" si="85">G977</f>
        <v>с ЛН</v>
      </c>
      <c r="J977" s="164">
        <v>5</v>
      </c>
      <c r="K977" s="164" t="s">
        <v>528</v>
      </c>
      <c r="L977" s="164" t="s">
        <v>528</v>
      </c>
      <c r="M977" s="164" t="s">
        <v>2705</v>
      </c>
      <c r="N977" s="164" t="s">
        <v>2705</v>
      </c>
      <c r="O977" s="162">
        <v>0</v>
      </c>
      <c r="P977" s="162" t="s">
        <v>2706</v>
      </c>
      <c r="Q977" s="162">
        <v>0</v>
      </c>
      <c r="R977" s="162" t="s">
        <v>2706</v>
      </c>
      <c r="S977" s="162">
        <v>0</v>
      </c>
      <c r="T977" s="162" t="s">
        <v>2706</v>
      </c>
      <c r="U977" s="162">
        <v>0</v>
      </c>
      <c r="V977" s="162" t="s">
        <v>2706</v>
      </c>
      <c r="W977" s="162">
        <v>0</v>
      </c>
      <c r="X977" s="162" t="s">
        <v>2706</v>
      </c>
      <c r="Y977" s="162">
        <v>0</v>
      </c>
      <c r="Z977" s="162" t="s">
        <v>2706</v>
      </c>
      <c r="AA977" s="162">
        <v>0</v>
      </c>
      <c r="AB977" s="162" t="s">
        <v>2706</v>
      </c>
      <c r="AC977" s="162">
        <v>0</v>
      </c>
      <c r="AD977" s="162" t="s">
        <v>2706</v>
      </c>
      <c r="AE977" s="162">
        <v>0</v>
      </c>
      <c r="AF977" s="162" t="s">
        <v>2706</v>
      </c>
      <c r="AG977" s="162">
        <v>0</v>
      </c>
      <c r="AH977" s="162" t="s">
        <v>2706</v>
      </c>
      <c r="AI977" s="162">
        <v>0</v>
      </c>
      <c r="AJ977" s="162" t="s">
        <v>2706</v>
      </c>
      <c r="AK977" s="162">
        <v>0</v>
      </c>
      <c r="AL977" s="162" t="s">
        <v>2706</v>
      </c>
      <c r="AM977" s="162">
        <v>0</v>
      </c>
      <c r="AN977" s="162"/>
      <c r="AP977" s="168"/>
    </row>
    <row r="978" spans="1:42" s="100" customFormat="1" ht="46.8" x14ac:dyDescent="0.3">
      <c r="A978" s="161"/>
      <c r="B978" s="167"/>
      <c r="C978" s="98" t="s">
        <v>2708</v>
      </c>
      <c r="D978" s="163"/>
      <c r="E978" s="26" t="s">
        <v>48</v>
      </c>
      <c r="F978" s="30" t="s">
        <v>49</v>
      </c>
      <c r="G978" s="163"/>
      <c r="H978" s="163"/>
      <c r="I978" s="163"/>
      <c r="J978" s="165"/>
      <c r="K978" s="165"/>
      <c r="L978" s="165"/>
      <c r="M978" s="165"/>
      <c r="N978" s="165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  <c r="AA978" s="163"/>
      <c r="AB978" s="163"/>
      <c r="AC978" s="163"/>
      <c r="AD978" s="163"/>
      <c r="AE978" s="163"/>
      <c r="AF978" s="163"/>
      <c r="AG978" s="163"/>
      <c r="AH978" s="163"/>
      <c r="AI978" s="163"/>
      <c r="AJ978" s="163"/>
      <c r="AK978" s="163"/>
      <c r="AL978" s="163"/>
      <c r="AM978" s="163"/>
      <c r="AN978" s="163"/>
      <c r="AP978" s="169"/>
    </row>
    <row r="979" spans="1:42" s="100" customFormat="1" ht="46.8" x14ac:dyDescent="0.3">
      <c r="A979" s="160">
        <v>709</v>
      </c>
      <c r="B979" s="166" t="s">
        <v>1498</v>
      </c>
      <c r="C979" s="98" t="s">
        <v>2708</v>
      </c>
      <c r="D979" s="162" t="s">
        <v>2712</v>
      </c>
      <c r="E979" s="26" t="s">
        <v>144</v>
      </c>
      <c r="F979" s="30" t="s">
        <v>49</v>
      </c>
      <c r="G979" s="162" t="s">
        <v>2704</v>
      </c>
      <c r="H979" s="162">
        <v>30</v>
      </c>
      <c r="I979" s="162" t="str">
        <f t="shared" ref="I979:I1041" si="86">G979</f>
        <v>с ЛН</v>
      </c>
      <c r="J979" s="164">
        <v>5</v>
      </c>
      <c r="K979" s="164" t="s">
        <v>528</v>
      </c>
      <c r="L979" s="164" t="s">
        <v>528</v>
      </c>
      <c r="M979" s="164" t="s">
        <v>2705</v>
      </c>
      <c r="N979" s="164" t="s">
        <v>2705</v>
      </c>
      <c r="O979" s="162">
        <v>0</v>
      </c>
      <c r="P979" s="162" t="s">
        <v>2706</v>
      </c>
      <c r="Q979" s="162">
        <v>0</v>
      </c>
      <c r="R979" s="162" t="s">
        <v>2706</v>
      </c>
      <c r="S979" s="162">
        <v>0</v>
      </c>
      <c r="T979" s="162" t="s">
        <v>2706</v>
      </c>
      <c r="U979" s="162">
        <v>0</v>
      </c>
      <c r="V979" s="162" t="s">
        <v>2706</v>
      </c>
      <c r="W979" s="162">
        <v>0</v>
      </c>
      <c r="X979" s="162" t="s">
        <v>2706</v>
      </c>
      <c r="Y979" s="162">
        <v>0</v>
      </c>
      <c r="Z979" s="162" t="s">
        <v>2706</v>
      </c>
      <c r="AA979" s="162">
        <v>0</v>
      </c>
      <c r="AB979" s="162" t="s">
        <v>2706</v>
      </c>
      <c r="AC979" s="162">
        <v>0</v>
      </c>
      <c r="AD979" s="162" t="s">
        <v>2706</v>
      </c>
      <c r="AE979" s="162">
        <v>0</v>
      </c>
      <c r="AF979" s="162" t="s">
        <v>2706</v>
      </c>
      <c r="AG979" s="162">
        <v>0</v>
      </c>
      <c r="AH979" s="162" t="s">
        <v>2706</v>
      </c>
      <c r="AI979" s="162">
        <v>0</v>
      </c>
      <c r="AJ979" s="162" t="s">
        <v>2706</v>
      </c>
      <c r="AK979" s="162">
        <v>0</v>
      </c>
      <c r="AL979" s="162" t="s">
        <v>2706</v>
      </c>
      <c r="AM979" s="162">
        <v>0</v>
      </c>
      <c r="AN979" s="162"/>
      <c r="AP979" s="168"/>
    </row>
    <row r="980" spans="1:42" s="100" customFormat="1" ht="46.8" x14ac:dyDescent="0.3">
      <c r="A980" s="161"/>
      <c r="B980" s="167"/>
      <c r="C980" s="98" t="s">
        <v>2708</v>
      </c>
      <c r="D980" s="163"/>
      <c r="E980" s="26" t="s">
        <v>48</v>
      </c>
      <c r="F980" s="30" t="s">
        <v>49</v>
      </c>
      <c r="G980" s="163"/>
      <c r="H980" s="163"/>
      <c r="I980" s="163"/>
      <c r="J980" s="165"/>
      <c r="K980" s="165"/>
      <c r="L980" s="165"/>
      <c r="M980" s="165"/>
      <c r="N980" s="165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  <c r="AA980" s="163"/>
      <c r="AB980" s="163"/>
      <c r="AC980" s="163"/>
      <c r="AD980" s="163"/>
      <c r="AE980" s="163"/>
      <c r="AF980" s="163"/>
      <c r="AG980" s="163"/>
      <c r="AH980" s="163"/>
      <c r="AI980" s="163"/>
      <c r="AJ980" s="163"/>
      <c r="AK980" s="163"/>
      <c r="AL980" s="163"/>
      <c r="AM980" s="163"/>
      <c r="AN980" s="163"/>
      <c r="AP980" s="169"/>
    </row>
    <row r="981" spans="1:42" s="100" customFormat="1" ht="46.8" x14ac:dyDescent="0.3">
      <c r="A981" s="160">
        <v>710</v>
      </c>
      <c r="B981" s="166" t="s">
        <v>1501</v>
      </c>
      <c r="C981" s="98" t="s">
        <v>2708</v>
      </c>
      <c r="D981" s="162" t="s">
        <v>2712</v>
      </c>
      <c r="E981" s="26" t="s">
        <v>144</v>
      </c>
      <c r="F981" s="30" t="s">
        <v>49</v>
      </c>
      <c r="G981" s="162" t="s">
        <v>2704</v>
      </c>
      <c r="H981" s="162">
        <v>48</v>
      </c>
      <c r="I981" s="162" t="str">
        <f t="shared" si="86"/>
        <v>с ЛН</v>
      </c>
      <c r="J981" s="164">
        <v>8</v>
      </c>
      <c r="K981" s="164" t="s">
        <v>528</v>
      </c>
      <c r="L981" s="164" t="s">
        <v>528</v>
      </c>
      <c r="M981" s="164" t="s">
        <v>2705</v>
      </c>
      <c r="N981" s="164" t="s">
        <v>2705</v>
      </c>
      <c r="O981" s="162">
        <v>1821</v>
      </c>
      <c r="P981" s="162" t="s">
        <v>2706</v>
      </c>
      <c r="Q981" s="162">
        <v>1617</v>
      </c>
      <c r="R981" s="162" t="s">
        <v>2706</v>
      </c>
      <c r="S981" s="162">
        <v>654</v>
      </c>
      <c r="T981" s="162" t="s">
        <v>2706</v>
      </c>
      <c r="U981" s="162">
        <v>1116</v>
      </c>
      <c r="V981" s="162" t="s">
        <v>2706</v>
      </c>
      <c r="W981" s="162">
        <v>751</v>
      </c>
      <c r="X981" s="162" t="s">
        <v>2706</v>
      </c>
      <c r="Y981" s="162">
        <v>962</v>
      </c>
      <c r="Z981" s="162" t="s">
        <v>2706</v>
      </c>
      <c r="AA981" s="162">
        <v>786</v>
      </c>
      <c r="AB981" s="162" t="s">
        <v>2706</v>
      </c>
      <c r="AC981" s="162">
        <v>754</v>
      </c>
      <c r="AD981" s="162" t="s">
        <v>2706</v>
      </c>
      <c r="AE981" s="162">
        <v>1163</v>
      </c>
      <c r="AF981" s="162" t="s">
        <v>2706</v>
      </c>
      <c r="AG981" s="162">
        <v>721</v>
      </c>
      <c r="AH981" s="162" t="s">
        <v>2706</v>
      </c>
      <c r="AI981" s="162">
        <v>1563</v>
      </c>
      <c r="AJ981" s="162" t="s">
        <v>2706</v>
      </c>
      <c r="AK981" s="162">
        <v>1051</v>
      </c>
      <c r="AL981" s="162" t="s">
        <v>2706</v>
      </c>
      <c r="AM981" s="162">
        <v>12205</v>
      </c>
      <c r="AN981" s="162"/>
      <c r="AP981" s="168"/>
    </row>
    <row r="982" spans="1:42" s="100" customFormat="1" ht="46.8" x14ac:dyDescent="0.3">
      <c r="A982" s="161"/>
      <c r="B982" s="167"/>
      <c r="C982" s="98" t="s">
        <v>2708</v>
      </c>
      <c r="D982" s="163"/>
      <c r="E982" s="26" t="s">
        <v>48</v>
      </c>
      <c r="F982" s="30" t="s">
        <v>49</v>
      </c>
      <c r="G982" s="163"/>
      <c r="H982" s="163"/>
      <c r="I982" s="163"/>
      <c r="J982" s="165"/>
      <c r="K982" s="165"/>
      <c r="L982" s="165"/>
      <c r="M982" s="165"/>
      <c r="N982" s="165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  <c r="AA982" s="163"/>
      <c r="AB982" s="163"/>
      <c r="AC982" s="163"/>
      <c r="AD982" s="163"/>
      <c r="AE982" s="163"/>
      <c r="AF982" s="163"/>
      <c r="AG982" s="163"/>
      <c r="AH982" s="163"/>
      <c r="AI982" s="163"/>
      <c r="AJ982" s="163"/>
      <c r="AK982" s="163"/>
      <c r="AL982" s="163"/>
      <c r="AM982" s="163"/>
      <c r="AN982" s="163"/>
      <c r="AP982" s="169"/>
    </row>
    <row r="983" spans="1:42" s="100" customFormat="1" ht="46.8" x14ac:dyDescent="0.3">
      <c r="A983" s="160">
        <v>711</v>
      </c>
      <c r="B983" s="166" t="s">
        <v>1503</v>
      </c>
      <c r="C983" s="98" t="s">
        <v>2708</v>
      </c>
      <c r="D983" s="162" t="s">
        <v>2712</v>
      </c>
      <c r="E983" s="26" t="s">
        <v>144</v>
      </c>
      <c r="F983" s="30" t="s">
        <v>49</v>
      </c>
      <c r="G983" s="162" t="s">
        <v>2704</v>
      </c>
      <c r="H983" s="162">
        <v>16</v>
      </c>
      <c r="I983" s="162" t="str">
        <f t="shared" si="86"/>
        <v>с ЛН</v>
      </c>
      <c r="J983" s="164">
        <v>3</v>
      </c>
      <c r="K983" s="164" t="s">
        <v>529</v>
      </c>
      <c r="L983" s="164" t="s">
        <v>529</v>
      </c>
      <c r="M983" s="164" t="s">
        <v>2705</v>
      </c>
      <c r="N983" s="164" t="s">
        <v>2705</v>
      </c>
      <c r="O983" s="162">
        <v>0</v>
      </c>
      <c r="P983" s="162" t="s">
        <v>2706</v>
      </c>
      <c r="Q983" s="162">
        <v>0</v>
      </c>
      <c r="R983" s="162" t="s">
        <v>2706</v>
      </c>
      <c r="S983" s="162">
        <v>0</v>
      </c>
      <c r="T983" s="162" t="s">
        <v>2706</v>
      </c>
      <c r="U983" s="162">
        <v>0</v>
      </c>
      <c r="V983" s="162" t="s">
        <v>2706</v>
      </c>
      <c r="W983" s="162">
        <v>0</v>
      </c>
      <c r="X983" s="162" t="s">
        <v>2706</v>
      </c>
      <c r="Y983" s="162">
        <v>0</v>
      </c>
      <c r="Z983" s="162" t="s">
        <v>2706</v>
      </c>
      <c r="AA983" s="162">
        <v>0</v>
      </c>
      <c r="AB983" s="162" t="s">
        <v>2706</v>
      </c>
      <c r="AC983" s="162">
        <v>919</v>
      </c>
      <c r="AD983" s="162" t="s">
        <v>2706</v>
      </c>
      <c r="AE983" s="162">
        <v>1560</v>
      </c>
      <c r="AF983" s="162" t="s">
        <v>2706</v>
      </c>
      <c r="AG983" s="162">
        <v>858</v>
      </c>
      <c r="AH983" s="162" t="s">
        <v>2706</v>
      </c>
      <c r="AI983" s="162">
        <v>0</v>
      </c>
      <c r="AJ983" s="162" t="s">
        <v>2706</v>
      </c>
      <c r="AK983" s="162">
        <v>1324</v>
      </c>
      <c r="AL983" s="162" t="s">
        <v>2706</v>
      </c>
      <c r="AM983" s="162">
        <v>3742</v>
      </c>
      <c r="AN983" s="162"/>
      <c r="AP983" s="168"/>
    </row>
    <row r="984" spans="1:42" s="100" customFormat="1" ht="46.8" x14ac:dyDescent="0.3">
      <c r="A984" s="161"/>
      <c r="B984" s="167"/>
      <c r="C984" s="98" t="s">
        <v>2708</v>
      </c>
      <c r="D984" s="163"/>
      <c r="E984" s="26" t="s">
        <v>48</v>
      </c>
      <c r="F984" s="30" t="s">
        <v>49</v>
      </c>
      <c r="G984" s="163"/>
      <c r="H984" s="163"/>
      <c r="I984" s="163"/>
      <c r="J984" s="165"/>
      <c r="K984" s="165"/>
      <c r="L984" s="165"/>
      <c r="M984" s="165"/>
      <c r="N984" s="165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  <c r="AA984" s="163"/>
      <c r="AB984" s="163"/>
      <c r="AC984" s="163"/>
      <c r="AD984" s="163"/>
      <c r="AE984" s="163"/>
      <c r="AF984" s="163"/>
      <c r="AG984" s="163"/>
      <c r="AH984" s="163"/>
      <c r="AI984" s="163"/>
      <c r="AJ984" s="163"/>
      <c r="AK984" s="163"/>
      <c r="AL984" s="163"/>
      <c r="AM984" s="163"/>
      <c r="AN984" s="163"/>
      <c r="AP984" s="169"/>
    </row>
    <row r="985" spans="1:42" s="100" customFormat="1" ht="46.8" x14ac:dyDescent="0.3">
      <c r="A985" s="160">
        <v>712</v>
      </c>
      <c r="B985" s="166" t="s">
        <v>1504</v>
      </c>
      <c r="C985" s="98" t="s">
        <v>2708</v>
      </c>
      <c r="D985" s="162" t="s">
        <v>2712</v>
      </c>
      <c r="E985" s="26" t="s">
        <v>144</v>
      </c>
      <c r="F985" s="30" t="s">
        <v>49</v>
      </c>
      <c r="G985" s="162" t="s">
        <v>2704</v>
      </c>
      <c r="H985" s="162">
        <v>16</v>
      </c>
      <c r="I985" s="162" t="str">
        <f t="shared" si="86"/>
        <v>с ЛН</v>
      </c>
      <c r="J985" s="164">
        <v>3</v>
      </c>
      <c r="K985" s="164" t="s">
        <v>528</v>
      </c>
      <c r="L985" s="164" t="s">
        <v>528</v>
      </c>
      <c r="M985" s="164" t="s">
        <v>2705</v>
      </c>
      <c r="N985" s="164" t="s">
        <v>2705</v>
      </c>
      <c r="O985" s="162">
        <v>0</v>
      </c>
      <c r="P985" s="162" t="s">
        <v>2706</v>
      </c>
      <c r="Q985" s="162">
        <v>0</v>
      </c>
      <c r="R985" s="162" t="s">
        <v>2706</v>
      </c>
      <c r="S985" s="162">
        <v>0</v>
      </c>
      <c r="T985" s="162" t="s">
        <v>2706</v>
      </c>
      <c r="U985" s="162">
        <v>0</v>
      </c>
      <c r="V985" s="162" t="s">
        <v>2706</v>
      </c>
      <c r="W985" s="162">
        <v>0</v>
      </c>
      <c r="X985" s="162" t="s">
        <v>2706</v>
      </c>
      <c r="Y985" s="162">
        <v>0</v>
      </c>
      <c r="Z985" s="162" t="s">
        <v>2706</v>
      </c>
      <c r="AA985" s="162">
        <v>0</v>
      </c>
      <c r="AB985" s="162" t="s">
        <v>2706</v>
      </c>
      <c r="AC985" s="162">
        <v>0</v>
      </c>
      <c r="AD985" s="162" t="s">
        <v>2706</v>
      </c>
      <c r="AE985" s="162">
        <v>0</v>
      </c>
      <c r="AF985" s="162" t="s">
        <v>2706</v>
      </c>
      <c r="AG985" s="162">
        <v>0</v>
      </c>
      <c r="AH985" s="162" t="s">
        <v>2706</v>
      </c>
      <c r="AI985" s="162">
        <v>0</v>
      </c>
      <c r="AJ985" s="162" t="s">
        <v>2706</v>
      </c>
      <c r="AK985" s="162">
        <v>0</v>
      </c>
      <c r="AL985" s="162" t="s">
        <v>2706</v>
      </c>
      <c r="AM985" s="162">
        <v>0</v>
      </c>
      <c r="AN985" s="162"/>
      <c r="AP985" s="168"/>
    </row>
    <row r="986" spans="1:42" s="100" customFormat="1" ht="46.8" x14ac:dyDescent="0.3">
      <c r="A986" s="161"/>
      <c r="B986" s="167"/>
      <c r="C986" s="98" t="s">
        <v>2708</v>
      </c>
      <c r="D986" s="163"/>
      <c r="E986" s="26" t="s">
        <v>48</v>
      </c>
      <c r="F986" s="30" t="s">
        <v>49</v>
      </c>
      <c r="G986" s="163"/>
      <c r="H986" s="163"/>
      <c r="I986" s="163"/>
      <c r="J986" s="165"/>
      <c r="K986" s="165"/>
      <c r="L986" s="165"/>
      <c r="M986" s="165"/>
      <c r="N986" s="165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  <c r="AA986" s="163"/>
      <c r="AB986" s="163"/>
      <c r="AC986" s="163"/>
      <c r="AD986" s="163"/>
      <c r="AE986" s="163"/>
      <c r="AF986" s="163"/>
      <c r="AG986" s="163"/>
      <c r="AH986" s="163"/>
      <c r="AI986" s="163"/>
      <c r="AJ986" s="163"/>
      <c r="AK986" s="163"/>
      <c r="AL986" s="163"/>
      <c r="AM986" s="163"/>
      <c r="AN986" s="163"/>
      <c r="AP986" s="169"/>
    </row>
    <row r="987" spans="1:42" s="100" customFormat="1" ht="46.8" x14ac:dyDescent="0.3">
      <c r="A987" s="160">
        <v>713</v>
      </c>
      <c r="B987" s="166" t="s">
        <v>1505</v>
      </c>
      <c r="C987" s="98" t="s">
        <v>2708</v>
      </c>
      <c r="D987" s="162" t="s">
        <v>2712</v>
      </c>
      <c r="E987" s="26" t="s">
        <v>144</v>
      </c>
      <c r="F987" s="30" t="s">
        <v>49</v>
      </c>
      <c r="G987" s="162" t="s">
        <v>2704</v>
      </c>
      <c r="H987" s="162">
        <v>42</v>
      </c>
      <c r="I987" s="162" t="str">
        <f t="shared" si="86"/>
        <v>с ЛН</v>
      </c>
      <c r="J987" s="164">
        <v>7</v>
      </c>
      <c r="K987" s="164" t="s">
        <v>528</v>
      </c>
      <c r="L987" s="164" t="s">
        <v>528</v>
      </c>
      <c r="M987" s="164" t="s">
        <v>2705</v>
      </c>
      <c r="N987" s="164" t="s">
        <v>2705</v>
      </c>
      <c r="O987" s="162">
        <v>977</v>
      </c>
      <c r="P987" s="162" t="s">
        <v>2706</v>
      </c>
      <c r="Q987" s="162">
        <v>977</v>
      </c>
      <c r="R987" s="162" t="s">
        <v>2706</v>
      </c>
      <c r="S987" s="162">
        <v>390</v>
      </c>
      <c r="T987" s="162" t="s">
        <v>2706</v>
      </c>
      <c r="U987" s="162">
        <v>903</v>
      </c>
      <c r="V987" s="162" t="s">
        <v>2706</v>
      </c>
      <c r="W987" s="162">
        <v>669</v>
      </c>
      <c r="X987" s="162" t="s">
        <v>2706</v>
      </c>
      <c r="Y987" s="162">
        <v>841</v>
      </c>
      <c r="Z987" s="162" t="s">
        <v>2706</v>
      </c>
      <c r="AA987" s="162">
        <v>847</v>
      </c>
      <c r="AB987" s="162" t="s">
        <v>2706</v>
      </c>
      <c r="AC987" s="162">
        <v>736</v>
      </c>
      <c r="AD987" s="162" t="s">
        <v>2706</v>
      </c>
      <c r="AE987" s="162">
        <v>1141</v>
      </c>
      <c r="AF987" s="162" t="s">
        <v>2706</v>
      </c>
      <c r="AG987" s="162">
        <v>618</v>
      </c>
      <c r="AH987" s="162" t="s">
        <v>2706</v>
      </c>
      <c r="AI987" s="162">
        <v>0</v>
      </c>
      <c r="AJ987" s="162" t="s">
        <v>2706</v>
      </c>
      <c r="AK987" s="162">
        <v>961</v>
      </c>
      <c r="AL987" s="162" t="s">
        <v>2706</v>
      </c>
      <c r="AM987" s="162">
        <v>8324</v>
      </c>
      <c r="AN987" s="162"/>
      <c r="AP987" s="168"/>
    </row>
    <row r="988" spans="1:42" s="100" customFormat="1" ht="46.8" x14ac:dyDescent="0.3">
      <c r="A988" s="161"/>
      <c r="B988" s="167"/>
      <c r="C988" s="98" t="s">
        <v>2708</v>
      </c>
      <c r="D988" s="163"/>
      <c r="E988" s="26" t="s">
        <v>48</v>
      </c>
      <c r="F988" s="30" t="s">
        <v>49</v>
      </c>
      <c r="G988" s="163"/>
      <c r="H988" s="163"/>
      <c r="I988" s="163"/>
      <c r="J988" s="165"/>
      <c r="K988" s="165"/>
      <c r="L988" s="165"/>
      <c r="M988" s="165"/>
      <c r="N988" s="165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  <c r="AA988" s="163"/>
      <c r="AB988" s="163"/>
      <c r="AC988" s="163"/>
      <c r="AD988" s="163"/>
      <c r="AE988" s="163"/>
      <c r="AF988" s="163"/>
      <c r="AG988" s="163"/>
      <c r="AH988" s="163"/>
      <c r="AI988" s="163"/>
      <c r="AJ988" s="163"/>
      <c r="AK988" s="163"/>
      <c r="AL988" s="163"/>
      <c r="AM988" s="163"/>
      <c r="AN988" s="163"/>
      <c r="AP988" s="169"/>
    </row>
    <row r="989" spans="1:42" s="100" customFormat="1" ht="46.8" x14ac:dyDescent="0.3">
      <c r="A989" s="160">
        <v>714</v>
      </c>
      <c r="B989" s="166" t="s">
        <v>1506</v>
      </c>
      <c r="C989" s="98" t="s">
        <v>2708</v>
      </c>
      <c r="D989" s="162" t="s">
        <v>2712</v>
      </c>
      <c r="E989" s="26" t="s">
        <v>144</v>
      </c>
      <c r="F989" s="30" t="s">
        <v>49</v>
      </c>
      <c r="G989" s="162" t="s">
        <v>2704</v>
      </c>
      <c r="H989" s="162">
        <v>61</v>
      </c>
      <c r="I989" s="162" t="str">
        <f t="shared" si="86"/>
        <v>с ЛН</v>
      </c>
      <c r="J989" s="164">
        <v>9</v>
      </c>
      <c r="K989" s="164" t="s">
        <v>528</v>
      </c>
      <c r="L989" s="164" t="s">
        <v>528</v>
      </c>
      <c r="M989" s="164" t="s">
        <v>2705</v>
      </c>
      <c r="N989" s="164" t="s">
        <v>2705</v>
      </c>
      <c r="O989" s="162">
        <v>0</v>
      </c>
      <c r="P989" s="162" t="s">
        <v>2706</v>
      </c>
      <c r="Q989" s="162">
        <v>0</v>
      </c>
      <c r="R989" s="162" t="s">
        <v>2706</v>
      </c>
      <c r="S989" s="162">
        <v>0</v>
      </c>
      <c r="T989" s="162" t="s">
        <v>2706</v>
      </c>
      <c r="U989" s="162">
        <v>0</v>
      </c>
      <c r="V989" s="162" t="s">
        <v>2706</v>
      </c>
      <c r="W989" s="162">
        <v>0</v>
      </c>
      <c r="X989" s="162" t="s">
        <v>2706</v>
      </c>
      <c r="Y989" s="162">
        <v>0</v>
      </c>
      <c r="Z989" s="162" t="s">
        <v>2706</v>
      </c>
      <c r="AA989" s="162">
        <v>0</v>
      </c>
      <c r="AB989" s="162" t="s">
        <v>2706</v>
      </c>
      <c r="AC989" s="162">
        <v>0</v>
      </c>
      <c r="AD989" s="162" t="s">
        <v>2706</v>
      </c>
      <c r="AE989" s="162">
        <v>0</v>
      </c>
      <c r="AF989" s="162" t="s">
        <v>2706</v>
      </c>
      <c r="AG989" s="162">
        <v>0</v>
      </c>
      <c r="AH989" s="162" t="s">
        <v>2706</v>
      </c>
      <c r="AI989" s="162">
        <v>0</v>
      </c>
      <c r="AJ989" s="162" t="s">
        <v>2706</v>
      </c>
      <c r="AK989" s="162">
        <v>0</v>
      </c>
      <c r="AL989" s="162" t="s">
        <v>2706</v>
      </c>
      <c r="AM989" s="162">
        <v>0</v>
      </c>
      <c r="AN989" s="162"/>
      <c r="AP989" s="168"/>
    </row>
    <row r="990" spans="1:42" s="100" customFormat="1" ht="46.8" x14ac:dyDescent="0.3">
      <c r="A990" s="161"/>
      <c r="B990" s="167"/>
      <c r="C990" s="98" t="s">
        <v>2708</v>
      </c>
      <c r="D990" s="163"/>
      <c r="E990" s="26" t="s">
        <v>48</v>
      </c>
      <c r="F990" s="30" t="s">
        <v>49</v>
      </c>
      <c r="G990" s="163"/>
      <c r="H990" s="163"/>
      <c r="I990" s="163"/>
      <c r="J990" s="165"/>
      <c r="K990" s="165"/>
      <c r="L990" s="165"/>
      <c r="M990" s="165"/>
      <c r="N990" s="165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  <c r="AA990" s="163"/>
      <c r="AB990" s="163"/>
      <c r="AC990" s="163"/>
      <c r="AD990" s="163"/>
      <c r="AE990" s="163"/>
      <c r="AF990" s="163"/>
      <c r="AG990" s="163"/>
      <c r="AH990" s="163"/>
      <c r="AI990" s="163"/>
      <c r="AJ990" s="163"/>
      <c r="AK990" s="163"/>
      <c r="AL990" s="163"/>
      <c r="AM990" s="163"/>
      <c r="AN990" s="163"/>
      <c r="AP990" s="169"/>
    </row>
    <row r="991" spans="1:42" s="100" customFormat="1" ht="46.8" x14ac:dyDescent="0.3">
      <c r="A991" s="160">
        <v>715</v>
      </c>
      <c r="B991" s="166" t="s">
        <v>1507</v>
      </c>
      <c r="C991" s="98" t="s">
        <v>2708</v>
      </c>
      <c r="D991" s="162" t="s">
        <v>2712</v>
      </c>
      <c r="E991" s="26" t="s">
        <v>144</v>
      </c>
      <c r="F991" s="30" t="s">
        <v>49</v>
      </c>
      <c r="G991" s="162" t="s">
        <v>2704</v>
      </c>
      <c r="H991" s="162">
        <v>17</v>
      </c>
      <c r="I991" s="162" t="str">
        <f t="shared" si="86"/>
        <v>с ЛН</v>
      </c>
      <c r="J991" s="164">
        <v>3</v>
      </c>
      <c r="K991" s="164" t="s">
        <v>528</v>
      </c>
      <c r="L991" s="164" t="s">
        <v>528</v>
      </c>
      <c r="M991" s="164" t="s">
        <v>2705</v>
      </c>
      <c r="N991" s="164" t="s">
        <v>2705</v>
      </c>
      <c r="O991" s="162">
        <v>180</v>
      </c>
      <c r="P991" s="162" t="s">
        <v>2706</v>
      </c>
      <c r="Q991" s="162">
        <v>147</v>
      </c>
      <c r="R991" s="162" t="s">
        <v>2706</v>
      </c>
      <c r="S991" s="162">
        <v>74</v>
      </c>
      <c r="T991" s="162" t="s">
        <v>2706</v>
      </c>
      <c r="U991" s="162">
        <v>133</v>
      </c>
      <c r="V991" s="162" t="s">
        <v>2706</v>
      </c>
      <c r="W991" s="162">
        <v>130</v>
      </c>
      <c r="X991" s="162" t="s">
        <v>2706</v>
      </c>
      <c r="Y991" s="162">
        <v>145</v>
      </c>
      <c r="Z991" s="162" t="s">
        <v>2706</v>
      </c>
      <c r="AA991" s="162">
        <v>96</v>
      </c>
      <c r="AB991" s="162" t="s">
        <v>2706</v>
      </c>
      <c r="AC991" s="162">
        <v>88</v>
      </c>
      <c r="AD991" s="162" t="s">
        <v>2706</v>
      </c>
      <c r="AE991" s="162">
        <v>192</v>
      </c>
      <c r="AF991" s="162" t="s">
        <v>2706</v>
      </c>
      <c r="AG991" s="162">
        <v>126</v>
      </c>
      <c r="AH991" s="162" t="s">
        <v>2706</v>
      </c>
      <c r="AI991" s="162">
        <v>310</v>
      </c>
      <c r="AJ991" s="162" t="s">
        <v>2706</v>
      </c>
      <c r="AK991" s="162">
        <v>130</v>
      </c>
      <c r="AL991" s="162" t="s">
        <v>2706</v>
      </c>
      <c r="AM991" s="162">
        <v>1663</v>
      </c>
      <c r="AN991" s="162"/>
      <c r="AP991" s="168"/>
    </row>
    <row r="992" spans="1:42" s="100" customFormat="1" ht="46.8" x14ac:dyDescent="0.3">
      <c r="A992" s="161"/>
      <c r="B992" s="167"/>
      <c r="C992" s="98" t="s">
        <v>2708</v>
      </c>
      <c r="D992" s="163"/>
      <c r="E992" s="26" t="s">
        <v>48</v>
      </c>
      <c r="F992" s="30" t="s">
        <v>49</v>
      </c>
      <c r="G992" s="163"/>
      <c r="H992" s="163"/>
      <c r="I992" s="163"/>
      <c r="J992" s="165"/>
      <c r="K992" s="165"/>
      <c r="L992" s="165"/>
      <c r="M992" s="165"/>
      <c r="N992" s="165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  <c r="AA992" s="163"/>
      <c r="AB992" s="163"/>
      <c r="AC992" s="163"/>
      <c r="AD992" s="163"/>
      <c r="AE992" s="163"/>
      <c r="AF992" s="163"/>
      <c r="AG992" s="163"/>
      <c r="AH992" s="163"/>
      <c r="AI992" s="163"/>
      <c r="AJ992" s="163"/>
      <c r="AK992" s="163"/>
      <c r="AL992" s="163"/>
      <c r="AM992" s="163"/>
      <c r="AN992" s="163"/>
      <c r="AP992" s="169"/>
    </row>
    <row r="993" spans="1:42" s="100" customFormat="1" ht="46.8" x14ac:dyDescent="0.3">
      <c r="A993" s="160">
        <v>716</v>
      </c>
      <c r="B993" s="166" t="s">
        <v>1508</v>
      </c>
      <c r="C993" s="98" t="s">
        <v>2708</v>
      </c>
      <c r="D993" s="162" t="s">
        <v>2712</v>
      </c>
      <c r="E993" s="26" t="s">
        <v>144</v>
      </c>
      <c r="F993" s="30" t="s">
        <v>49</v>
      </c>
      <c r="G993" s="162" t="s">
        <v>2704</v>
      </c>
      <c r="H993" s="162">
        <v>24</v>
      </c>
      <c r="I993" s="162" t="str">
        <f t="shared" si="86"/>
        <v>с ЛН</v>
      </c>
      <c r="J993" s="164">
        <v>4</v>
      </c>
      <c r="K993" s="164" t="s">
        <v>528</v>
      </c>
      <c r="L993" s="164" t="s">
        <v>528</v>
      </c>
      <c r="M993" s="164" t="s">
        <v>2705</v>
      </c>
      <c r="N993" s="164" t="s">
        <v>2705</v>
      </c>
      <c r="O993" s="162">
        <v>617</v>
      </c>
      <c r="P993" s="162" t="s">
        <v>2706</v>
      </c>
      <c r="Q993" s="162">
        <v>602</v>
      </c>
      <c r="R993" s="162" t="s">
        <v>2706</v>
      </c>
      <c r="S993" s="162">
        <v>277</v>
      </c>
      <c r="T993" s="162" t="s">
        <v>2706</v>
      </c>
      <c r="U993" s="162">
        <v>404</v>
      </c>
      <c r="V993" s="162" t="s">
        <v>2706</v>
      </c>
      <c r="W993" s="162">
        <v>192</v>
      </c>
      <c r="X993" s="162" t="s">
        <v>2706</v>
      </c>
      <c r="Y993" s="162">
        <v>240</v>
      </c>
      <c r="Z993" s="162" t="s">
        <v>2706</v>
      </c>
      <c r="AA993" s="162">
        <v>167</v>
      </c>
      <c r="AB993" s="162" t="s">
        <v>2706</v>
      </c>
      <c r="AC993" s="162">
        <v>226</v>
      </c>
      <c r="AD993" s="162" t="s">
        <v>2706</v>
      </c>
      <c r="AE993" s="162">
        <v>416</v>
      </c>
      <c r="AF993" s="162" t="s">
        <v>2706</v>
      </c>
      <c r="AG993" s="162">
        <v>368</v>
      </c>
      <c r="AH993" s="162" t="s">
        <v>2706</v>
      </c>
      <c r="AI993" s="162">
        <v>134</v>
      </c>
      <c r="AJ993" s="162" t="s">
        <v>2706</v>
      </c>
      <c r="AK993" s="162">
        <v>301</v>
      </c>
      <c r="AL993" s="162" t="s">
        <v>2706</v>
      </c>
      <c r="AM993" s="162">
        <v>3718</v>
      </c>
      <c r="AN993" s="162"/>
      <c r="AP993" s="168"/>
    </row>
    <row r="994" spans="1:42" s="100" customFormat="1" ht="46.8" x14ac:dyDescent="0.3">
      <c r="A994" s="161"/>
      <c r="B994" s="167"/>
      <c r="C994" s="98" t="s">
        <v>2708</v>
      </c>
      <c r="D994" s="163"/>
      <c r="E994" s="26" t="s">
        <v>48</v>
      </c>
      <c r="F994" s="30" t="s">
        <v>49</v>
      </c>
      <c r="G994" s="163"/>
      <c r="H994" s="163"/>
      <c r="I994" s="163"/>
      <c r="J994" s="165"/>
      <c r="K994" s="165"/>
      <c r="L994" s="165"/>
      <c r="M994" s="165"/>
      <c r="N994" s="165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  <c r="AA994" s="163"/>
      <c r="AB994" s="163"/>
      <c r="AC994" s="163"/>
      <c r="AD994" s="163"/>
      <c r="AE994" s="163"/>
      <c r="AF994" s="163"/>
      <c r="AG994" s="163"/>
      <c r="AH994" s="163"/>
      <c r="AI994" s="163"/>
      <c r="AJ994" s="163"/>
      <c r="AK994" s="163"/>
      <c r="AL994" s="163"/>
      <c r="AM994" s="163"/>
      <c r="AN994" s="163"/>
      <c r="AP994" s="169"/>
    </row>
    <row r="995" spans="1:42" s="100" customFormat="1" ht="46.8" x14ac:dyDescent="0.3">
      <c r="A995" s="160">
        <v>717</v>
      </c>
      <c r="B995" s="166" t="s">
        <v>1509</v>
      </c>
      <c r="C995" s="98" t="s">
        <v>2708</v>
      </c>
      <c r="D995" s="162" t="s">
        <v>2712</v>
      </c>
      <c r="E995" s="26" t="s">
        <v>144</v>
      </c>
      <c r="F995" s="30" t="s">
        <v>49</v>
      </c>
      <c r="G995" s="162" t="s">
        <v>2704</v>
      </c>
      <c r="H995" s="162">
        <v>17</v>
      </c>
      <c r="I995" s="162" t="str">
        <f t="shared" si="86"/>
        <v>с ЛН</v>
      </c>
      <c r="J995" s="164">
        <v>3</v>
      </c>
      <c r="K995" s="164" t="s">
        <v>528</v>
      </c>
      <c r="L995" s="164" t="s">
        <v>528</v>
      </c>
      <c r="M995" s="164" t="s">
        <v>2705</v>
      </c>
      <c r="N995" s="164" t="s">
        <v>2705</v>
      </c>
      <c r="O995" s="162">
        <v>284</v>
      </c>
      <c r="P995" s="162" t="s">
        <v>2706</v>
      </c>
      <c r="Q995" s="162">
        <v>159</v>
      </c>
      <c r="R995" s="162" t="s">
        <v>2706</v>
      </c>
      <c r="S995" s="162">
        <v>85</v>
      </c>
      <c r="T995" s="162" t="s">
        <v>2706</v>
      </c>
      <c r="U995" s="162">
        <v>156</v>
      </c>
      <c r="V995" s="162" t="s">
        <v>2706</v>
      </c>
      <c r="W995" s="162">
        <v>149</v>
      </c>
      <c r="X995" s="162" t="s">
        <v>2706</v>
      </c>
      <c r="Y995" s="162">
        <v>120</v>
      </c>
      <c r="Z995" s="162" t="s">
        <v>2706</v>
      </c>
      <c r="AA995" s="162">
        <v>108</v>
      </c>
      <c r="AB995" s="162" t="s">
        <v>2706</v>
      </c>
      <c r="AC995" s="162">
        <v>79</v>
      </c>
      <c r="AD995" s="162" t="s">
        <v>2706</v>
      </c>
      <c r="AE995" s="162">
        <v>139</v>
      </c>
      <c r="AF995" s="162" t="s">
        <v>2706</v>
      </c>
      <c r="AG995" s="162">
        <v>130</v>
      </c>
      <c r="AH995" s="162" t="s">
        <v>2706</v>
      </c>
      <c r="AI995" s="162">
        <v>327</v>
      </c>
      <c r="AJ995" s="162" t="s">
        <v>2706</v>
      </c>
      <c r="AK995" s="162">
        <v>121</v>
      </c>
      <c r="AL995" s="162" t="s">
        <v>2706</v>
      </c>
      <c r="AM995" s="162">
        <v>1778</v>
      </c>
      <c r="AN995" s="162"/>
      <c r="AP995" s="168"/>
    </row>
    <row r="996" spans="1:42" s="100" customFormat="1" ht="46.8" x14ac:dyDescent="0.3">
      <c r="A996" s="161"/>
      <c r="B996" s="167"/>
      <c r="C996" s="98" t="s">
        <v>2708</v>
      </c>
      <c r="D996" s="163"/>
      <c r="E996" s="26" t="s">
        <v>48</v>
      </c>
      <c r="F996" s="30" t="s">
        <v>49</v>
      </c>
      <c r="G996" s="163"/>
      <c r="H996" s="163"/>
      <c r="I996" s="163"/>
      <c r="J996" s="165"/>
      <c r="K996" s="165"/>
      <c r="L996" s="165"/>
      <c r="M996" s="165"/>
      <c r="N996" s="165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  <c r="AA996" s="163"/>
      <c r="AB996" s="163"/>
      <c r="AC996" s="163"/>
      <c r="AD996" s="163"/>
      <c r="AE996" s="163"/>
      <c r="AF996" s="163"/>
      <c r="AG996" s="163"/>
      <c r="AH996" s="163"/>
      <c r="AI996" s="163"/>
      <c r="AJ996" s="163"/>
      <c r="AK996" s="163"/>
      <c r="AL996" s="163"/>
      <c r="AM996" s="163"/>
      <c r="AN996" s="163"/>
      <c r="AP996" s="169"/>
    </row>
    <row r="997" spans="1:42" s="100" customFormat="1" ht="46.8" x14ac:dyDescent="0.3">
      <c r="A997" s="160">
        <v>718</v>
      </c>
      <c r="B997" s="166" t="s">
        <v>1511</v>
      </c>
      <c r="C997" s="98" t="s">
        <v>2708</v>
      </c>
      <c r="D997" s="162" t="s">
        <v>2712</v>
      </c>
      <c r="E997" s="26" t="s">
        <v>144</v>
      </c>
      <c r="F997" s="30" t="s">
        <v>49</v>
      </c>
      <c r="G997" s="162" t="s">
        <v>2704</v>
      </c>
      <c r="H997" s="162">
        <v>22</v>
      </c>
      <c r="I997" s="162" t="str">
        <f t="shared" si="86"/>
        <v>с ЛН</v>
      </c>
      <c r="J997" s="164">
        <v>4</v>
      </c>
      <c r="K997" s="164" t="s">
        <v>528</v>
      </c>
      <c r="L997" s="164" t="s">
        <v>528</v>
      </c>
      <c r="M997" s="164" t="s">
        <v>2705</v>
      </c>
      <c r="N997" s="164" t="s">
        <v>2705</v>
      </c>
      <c r="O997" s="162">
        <v>670</v>
      </c>
      <c r="P997" s="162" t="s">
        <v>2706</v>
      </c>
      <c r="Q997" s="162">
        <v>1057</v>
      </c>
      <c r="R997" s="162" t="s">
        <v>2706</v>
      </c>
      <c r="S997" s="162">
        <v>846</v>
      </c>
      <c r="T997" s="162" t="s">
        <v>2706</v>
      </c>
      <c r="U997" s="162">
        <v>1118</v>
      </c>
      <c r="V997" s="162" t="s">
        <v>2706</v>
      </c>
      <c r="W997" s="162">
        <v>874</v>
      </c>
      <c r="X997" s="162" t="s">
        <v>2706</v>
      </c>
      <c r="Y997" s="162">
        <v>894</v>
      </c>
      <c r="Z997" s="162" t="s">
        <v>2706</v>
      </c>
      <c r="AA997" s="162">
        <v>838</v>
      </c>
      <c r="AB997" s="162" t="s">
        <v>2706</v>
      </c>
      <c r="AC997" s="162">
        <v>673</v>
      </c>
      <c r="AD997" s="162" t="s">
        <v>2706</v>
      </c>
      <c r="AE997" s="162">
        <v>1015</v>
      </c>
      <c r="AF997" s="162" t="s">
        <v>2706</v>
      </c>
      <c r="AG997" s="162">
        <v>1076</v>
      </c>
      <c r="AH997" s="162" t="s">
        <v>2706</v>
      </c>
      <c r="AI997" s="162">
        <v>869</v>
      </c>
      <c r="AJ997" s="162" t="s">
        <v>2706</v>
      </c>
      <c r="AK997" s="162">
        <v>1077</v>
      </c>
      <c r="AL997" s="162" t="s">
        <v>2706</v>
      </c>
      <c r="AM997" s="162">
        <v>10334</v>
      </c>
      <c r="AN997" s="162"/>
      <c r="AP997" s="168"/>
    </row>
    <row r="998" spans="1:42" s="100" customFormat="1" ht="46.8" x14ac:dyDescent="0.3">
      <c r="A998" s="161"/>
      <c r="B998" s="167"/>
      <c r="C998" s="98" t="s">
        <v>2708</v>
      </c>
      <c r="D998" s="163"/>
      <c r="E998" s="26" t="s">
        <v>48</v>
      </c>
      <c r="F998" s="30" t="s">
        <v>49</v>
      </c>
      <c r="G998" s="163"/>
      <c r="H998" s="163"/>
      <c r="I998" s="163"/>
      <c r="J998" s="165"/>
      <c r="K998" s="165"/>
      <c r="L998" s="165"/>
      <c r="M998" s="165"/>
      <c r="N998" s="165"/>
      <c r="O998" s="163"/>
      <c r="P998" s="163"/>
      <c r="Q998" s="163"/>
      <c r="R998" s="163"/>
      <c r="S998" s="163"/>
      <c r="T998" s="163"/>
      <c r="U998" s="163"/>
      <c r="V998" s="163"/>
      <c r="W998" s="163"/>
      <c r="X998" s="163"/>
      <c r="Y998" s="163"/>
      <c r="Z998" s="163"/>
      <c r="AA998" s="163"/>
      <c r="AB998" s="163"/>
      <c r="AC998" s="163"/>
      <c r="AD998" s="163"/>
      <c r="AE998" s="163"/>
      <c r="AF998" s="163"/>
      <c r="AG998" s="163"/>
      <c r="AH998" s="163"/>
      <c r="AI998" s="163"/>
      <c r="AJ998" s="163"/>
      <c r="AK998" s="163"/>
      <c r="AL998" s="163"/>
      <c r="AM998" s="163"/>
      <c r="AN998" s="163"/>
      <c r="AP998" s="169"/>
    </row>
    <row r="999" spans="1:42" s="100" customFormat="1" ht="46.8" x14ac:dyDescent="0.3">
      <c r="A999" s="160">
        <v>719</v>
      </c>
      <c r="B999" s="166" t="s">
        <v>1513</v>
      </c>
      <c r="C999" s="98" t="s">
        <v>2708</v>
      </c>
      <c r="D999" s="162" t="s">
        <v>2712</v>
      </c>
      <c r="E999" s="26" t="s">
        <v>144</v>
      </c>
      <c r="F999" s="30" t="s">
        <v>49</v>
      </c>
      <c r="G999" s="162" t="s">
        <v>2704</v>
      </c>
      <c r="H999" s="162">
        <v>27</v>
      </c>
      <c r="I999" s="162" t="str">
        <f t="shared" si="86"/>
        <v>с ЛН</v>
      </c>
      <c r="J999" s="164">
        <v>5</v>
      </c>
      <c r="K999" s="164" t="s">
        <v>528</v>
      </c>
      <c r="L999" s="164" t="s">
        <v>528</v>
      </c>
      <c r="M999" s="164" t="s">
        <v>2705</v>
      </c>
      <c r="N999" s="164" t="s">
        <v>2705</v>
      </c>
      <c r="O999" s="162">
        <v>372</v>
      </c>
      <c r="P999" s="162" t="s">
        <v>2706</v>
      </c>
      <c r="Q999" s="162">
        <v>336</v>
      </c>
      <c r="R999" s="162" t="s">
        <v>2706</v>
      </c>
      <c r="S999" s="162">
        <v>372</v>
      </c>
      <c r="T999" s="162" t="s">
        <v>2706</v>
      </c>
      <c r="U999" s="162">
        <v>360</v>
      </c>
      <c r="V999" s="162" t="s">
        <v>2706</v>
      </c>
      <c r="W999" s="162">
        <v>372</v>
      </c>
      <c r="X999" s="162" t="s">
        <v>2706</v>
      </c>
      <c r="Y999" s="162">
        <v>360</v>
      </c>
      <c r="Z999" s="162" t="s">
        <v>2706</v>
      </c>
      <c r="AA999" s="162">
        <v>372</v>
      </c>
      <c r="AB999" s="162" t="s">
        <v>2706</v>
      </c>
      <c r="AC999" s="162">
        <v>140</v>
      </c>
      <c r="AD999" s="162" t="s">
        <v>2706</v>
      </c>
      <c r="AE999" s="162">
        <v>281</v>
      </c>
      <c r="AF999" s="162" t="s">
        <v>2706</v>
      </c>
      <c r="AG999" s="162">
        <v>177</v>
      </c>
      <c r="AH999" s="162" t="s">
        <v>2706</v>
      </c>
      <c r="AI999" s="162">
        <v>496</v>
      </c>
      <c r="AJ999" s="162" t="s">
        <v>2706</v>
      </c>
      <c r="AK999" s="162">
        <v>177</v>
      </c>
      <c r="AL999" s="162" t="s">
        <v>2706</v>
      </c>
      <c r="AM999" s="162">
        <v>3675</v>
      </c>
      <c r="AN999" s="162"/>
      <c r="AP999" s="168"/>
    </row>
    <row r="1000" spans="1:42" s="100" customFormat="1" ht="46.8" x14ac:dyDescent="0.3">
      <c r="A1000" s="161"/>
      <c r="B1000" s="167"/>
      <c r="C1000" s="98" t="s">
        <v>2708</v>
      </c>
      <c r="D1000" s="163"/>
      <c r="E1000" s="26" t="s">
        <v>48</v>
      </c>
      <c r="F1000" s="30" t="s">
        <v>49</v>
      </c>
      <c r="G1000" s="163"/>
      <c r="H1000" s="163"/>
      <c r="I1000" s="163"/>
      <c r="J1000" s="165"/>
      <c r="K1000" s="165"/>
      <c r="L1000" s="165"/>
      <c r="M1000" s="165"/>
      <c r="N1000" s="165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  <c r="AA1000" s="163"/>
      <c r="AB1000" s="163"/>
      <c r="AC1000" s="163"/>
      <c r="AD1000" s="163"/>
      <c r="AE1000" s="163"/>
      <c r="AF1000" s="163"/>
      <c r="AG1000" s="163"/>
      <c r="AH1000" s="163"/>
      <c r="AI1000" s="163"/>
      <c r="AJ1000" s="163"/>
      <c r="AK1000" s="163"/>
      <c r="AL1000" s="163"/>
      <c r="AM1000" s="163"/>
      <c r="AN1000" s="163"/>
      <c r="AP1000" s="169"/>
    </row>
    <row r="1001" spans="1:42" s="100" customFormat="1" ht="46.8" x14ac:dyDescent="0.3">
      <c r="A1001" s="160">
        <v>720</v>
      </c>
      <c r="B1001" s="166" t="s">
        <v>1515</v>
      </c>
      <c r="C1001" s="98" t="s">
        <v>2708</v>
      </c>
      <c r="D1001" s="162" t="s">
        <v>2712</v>
      </c>
      <c r="E1001" s="26" t="s">
        <v>144</v>
      </c>
      <c r="F1001" s="30" t="s">
        <v>49</v>
      </c>
      <c r="G1001" s="162" t="s">
        <v>2704</v>
      </c>
      <c r="H1001" s="162">
        <v>36</v>
      </c>
      <c r="I1001" s="162" t="str">
        <f t="shared" si="86"/>
        <v>с ЛН</v>
      </c>
      <c r="J1001" s="164">
        <v>6</v>
      </c>
      <c r="K1001" s="164" t="s">
        <v>528</v>
      </c>
      <c r="L1001" s="164" t="s">
        <v>528</v>
      </c>
      <c r="M1001" s="164" t="s">
        <v>2705</v>
      </c>
      <c r="N1001" s="164" t="s">
        <v>2705</v>
      </c>
      <c r="O1001" s="162">
        <v>979</v>
      </c>
      <c r="P1001" s="162" t="s">
        <v>2706</v>
      </c>
      <c r="Q1001" s="162">
        <v>1306</v>
      </c>
      <c r="R1001" s="162" t="s">
        <v>2706</v>
      </c>
      <c r="S1001" s="162">
        <v>709</v>
      </c>
      <c r="T1001" s="162" t="s">
        <v>2706</v>
      </c>
      <c r="U1001" s="162">
        <v>1127</v>
      </c>
      <c r="V1001" s="162" t="s">
        <v>2706</v>
      </c>
      <c r="W1001" s="162">
        <v>809</v>
      </c>
      <c r="X1001" s="162" t="s">
        <v>2706</v>
      </c>
      <c r="Y1001" s="162">
        <v>1182</v>
      </c>
      <c r="Z1001" s="162" t="s">
        <v>2706</v>
      </c>
      <c r="AA1001" s="162">
        <v>891</v>
      </c>
      <c r="AB1001" s="162" t="s">
        <v>2706</v>
      </c>
      <c r="AC1001" s="162">
        <v>760</v>
      </c>
      <c r="AD1001" s="162" t="s">
        <v>2706</v>
      </c>
      <c r="AE1001" s="162">
        <v>1477</v>
      </c>
      <c r="AF1001" s="162" t="s">
        <v>2706</v>
      </c>
      <c r="AG1001" s="162">
        <v>897</v>
      </c>
      <c r="AH1001" s="162" t="s">
        <v>2706</v>
      </c>
      <c r="AI1001" s="162">
        <v>538</v>
      </c>
      <c r="AJ1001" s="162" t="s">
        <v>2706</v>
      </c>
      <c r="AK1001" s="162">
        <v>1116</v>
      </c>
      <c r="AL1001" s="162" t="s">
        <v>2706</v>
      </c>
      <c r="AM1001" s="162">
        <v>11031</v>
      </c>
      <c r="AN1001" s="162"/>
      <c r="AP1001" s="168"/>
    </row>
    <row r="1002" spans="1:42" s="100" customFormat="1" ht="46.8" x14ac:dyDescent="0.3">
      <c r="A1002" s="161"/>
      <c r="B1002" s="167"/>
      <c r="C1002" s="98" t="s">
        <v>2708</v>
      </c>
      <c r="D1002" s="163"/>
      <c r="E1002" s="26" t="s">
        <v>48</v>
      </c>
      <c r="F1002" s="30" t="s">
        <v>49</v>
      </c>
      <c r="G1002" s="163"/>
      <c r="H1002" s="163"/>
      <c r="I1002" s="163"/>
      <c r="J1002" s="165"/>
      <c r="K1002" s="165"/>
      <c r="L1002" s="165"/>
      <c r="M1002" s="165"/>
      <c r="N1002" s="165"/>
      <c r="O1002" s="163"/>
      <c r="P1002" s="163"/>
      <c r="Q1002" s="163"/>
      <c r="R1002" s="163"/>
      <c r="S1002" s="163"/>
      <c r="T1002" s="163"/>
      <c r="U1002" s="163"/>
      <c r="V1002" s="163"/>
      <c r="W1002" s="163"/>
      <c r="X1002" s="163"/>
      <c r="Y1002" s="163"/>
      <c r="Z1002" s="163"/>
      <c r="AA1002" s="163"/>
      <c r="AB1002" s="163"/>
      <c r="AC1002" s="163"/>
      <c r="AD1002" s="163"/>
      <c r="AE1002" s="163"/>
      <c r="AF1002" s="163"/>
      <c r="AG1002" s="163"/>
      <c r="AH1002" s="163"/>
      <c r="AI1002" s="163"/>
      <c r="AJ1002" s="163"/>
      <c r="AK1002" s="163"/>
      <c r="AL1002" s="163"/>
      <c r="AM1002" s="163"/>
      <c r="AN1002" s="163"/>
      <c r="AP1002" s="169"/>
    </row>
    <row r="1003" spans="1:42" s="100" customFormat="1" ht="46.8" x14ac:dyDescent="0.3">
      <c r="A1003" s="160">
        <v>721</v>
      </c>
      <c r="B1003" s="166" t="s">
        <v>1517</v>
      </c>
      <c r="C1003" s="98" t="s">
        <v>2708</v>
      </c>
      <c r="D1003" s="162" t="s">
        <v>2712</v>
      </c>
      <c r="E1003" s="26" t="s">
        <v>144</v>
      </c>
      <c r="F1003" s="30" t="s">
        <v>49</v>
      </c>
      <c r="G1003" s="162" t="s">
        <v>2704</v>
      </c>
      <c r="H1003" s="162">
        <v>47</v>
      </c>
      <c r="I1003" s="162" t="str">
        <f t="shared" si="86"/>
        <v>с ЛН</v>
      </c>
      <c r="J1003" s="164">
        <v>7</v>
      </c>
      <c r="K1003" s="164" t="s">
        <v>528</v>
      </c>
      <c r="L1003" s="164" t="s">
        <v>528</v>
      </c>
      <c r="M1003" s="164" t="s">
        <v>2705</v>
      </c>
      <c r="N1003" s="164" t="s">
        <v>2705</v>
      </c>
      <c r="O1003" s="162">
        <v>1316</v>
      </c>
      <c r="P1003" s="162" t="s">
        <v>2706</v>
      </c>
      <c r="Q1003" s="162">
        <v>1585</v>
      </c>
      <c r="R1003" s="162" t="s">
        <v>2706</v>
      </c>
      <c r="S1003" s="162">
        <v>1597</v>
      </c>
      <c r="T1003" s="162" t="s">
        <v>2706</v>
      </c>
      <c r="U1003" s="162">
        <v>2133</v>
      </c>
      <c r="V1003" s="162" t="s">
        <v>2706</v>
      </c>
      <c r="W1003" s="162">
        <v>984</v>
      </c>
      <c r="X1003" s="162" t="s">
        <v>2706</v>
      </c>
      <c r="Y1003" s="162">
        <v>1198</v>
      </c>
      <c r="Z1003" s="162" t="s">
        <v>2706</v>
      </c>
      <c r="AA1003" s="162">
        <v>850</v>
      </c>
      <c r="AB1003" s="162" t="s">
        <v>2706</v>
      </c>
      <c r="AC1003" s="162">
        <v>1207</v>
      </c>
      <c r="AD1003" s="162" t="s">
        <v>2706</v>
      </c>
      <c r="AE1003" s="162">
        <v>1071</v>
      </c>
      <c r="AF1003" s="162" t="s">
        <v>2706</v>
      </c>
      <c r="AG1003" s="162">
        <v>933</v>
      </c>
      <c r="AH1003" s="162" t="s">
        <v>2706</v>
      </c>
      <c r="AI1003" s="162">
        <v>1275</v>
      </c>
      <c r="AJ1003" s="162" t="s">
        <v>2706</v>
      </c>
      <c r="AK1003" s="162">
        <v>1090</v>
      </c>
      <c r="AL1003" s="162" t="s">
        <v>2706</v>
      </c>
      <c r="AM1003" s="162">
        <v>14032</v>
      </c>
      <c r="AN1003" s="162"/>
      <c r="AP1003" s="168"/>
    </row>
    <row r="1004" spans="1:42" s="100" customFormat="1" ht="46.8" x14ac:dyDescent="0.3">
      <c r="A1004" s="161"/>
      <c r="B1004" s="167"/>
      <c r="C1004" s="98" t="s">
        <v>2708</v>
      </c>
      <c r="D1004" s="163"/>
      <c r="E1004" s="26" t="s">
        <v>48</v>
      </c>
      <c r="F1004" s="30" t="s">
        <v>49</v>
      </c>
      <c r="G1004" s="163"/>
      <c r="H1004" s="163"/>
      <c r="I1004" s="163"/>
      <c r="J1004" s="165"/>
      <c r="K1004" s="165"/>
      <c r="L1004" s="165"/>
      <c r="M1004" s="165"/>
      <c r="N1004" s="165"/>
      <c r="O1004" s="163"/>
      <c r="P1004" s="163"/>
      <c r="Q1004" s="163"/>
      <c r="R1004" s="163"/>
      <c r="S1004" s="163"/>
      <c r="T1004" s="163"/>
      <c r="U1004" s="163"/>
      <c r="V1004" s="163"/>
      <c r="W1004" s="163"/>
      <c r="X1004" s="163"/>
      <c r="Y1004" s="163"/>
      <c r="Z1004" s="163"/>
      <c r="AA1004" s="163"/>
      <c r="AB1004" s="163"/>
      <c r="AC1004" s="163"/>
      <c r="AD1004" s="163"/>
      <c r="AE1004" s="163"/>
      <c r="AF1004" s="163"/>
      <c r="AG1004" s="163"/>
      <c r="AH1004" s="163"/>
      <c r="AI1004" s="163"/>
      <c r="AJ1004" s="163"/>
      <c r="AK1004" s="163"/>
      <c r="AL1004" s="163"/>
      <c r="AM1004" s="163"/>
      <c r="AN1004" s="163"/>
      <c r="AP1004" s="169"/>
    </row>
    <row r="1005" spans="1:42" s="100" customFormat="1" ht="46.8" x14ac:dyDescent="0.3">
      <c r="A1005" s="160">
        <v>722</v>
      </c>
      <c r="B1005" s="166" t="s">
        <v>1519</v>
      </c>
      <c r="C1005" s="98" t="s">
        <v>2708</v>
      </c>
      <c r="D1005" s="162" t="s">
        <v>2712</v>
      </c>
      <c r="E1005" s="26" t="s">
        <v>144</v>
      </c>
      <c r="F1005" s="30" t="s">
        <v>49</v>
      </c>
      <c r="G1005" s="162" t="s">
        <v>2704</v>
      </c>
      <c r="H1005" s="162">
        <v>16</v>
      </c>
      <c r="I1005" s="162" t="str">
        <f t="shared" si="86"/>
        <v>с ЛН</v>
      </c>
      <c r="J1005" s="164">
        <v>3</v>
      </c>
      <c r="K1005" s="164" t="s">
        <v>528</v>
      </c>
      <c r="L1005" s="164" t="s">
        <v>528</v>
      </c>
      <c r="M1005" s="164" t="s">
        <v>2705</v>
      </c>
      <c r="N1005" s="164" t="s">
        <v>2705</v>
      </c>
      <c r="O1005" s="162">
        <v>5934</v>
      </c>
      <c r="P1005" s="162" t="s">
        <v>2706</v>
      </c>
      <c r="Q1005" s="162">
        <v>5934</v>
      </c>
      <c r="R1005" s="162" t="s">
        <v>2706</v>
      </c>
      <c r="S1005" s="162">
        <v>5934</v>
      </c>
      <c r="T1005" s="162" t="s">
        <v>2706</v>
      </c>
      <c r="U1005" s="162">
        <v>5934</v>
      </c>
      <c r="V1005" s="162" t="s">
        <v>2706</v>
      </c>
      <c r="W1005" s="162">
        <v>5934</v>
      </c>
      <c r="X1005" s="162" t="s">
        <v>2706</v>
      </c>
      <c r="Y1005" s="162">
        <v>5934</v>
      </c>
      <c r="Z1005" s="162" t="s">
        <v>2706</v>
      </c>
      <c r="AA1005" s="162">
        <v>5934</v>
      </c>
      <c r="AB1005" s="162" t="s">
        <v>2706</v>
      </c>
      <c r="AC1005" s="162">
        <v>5934</v>
      </c>
      <c r="AD1005" s="162" t="s">
        <v>2706</v>
      </c>
      <c r="AE1005" s="162">
        <v>5934</v>
      </c>
      <c r="AF1005" s="162" t="s">
        <v>2706</v>
      </c>
      <c r="AG1005" s="162">
        <v>5934</v>
      </c>
      <c r="AH1005" s="162" t="s">
        <v>2706</v>
      </c>
      <c r="AI1005" s="162">
        <v>68</v>
      </c>
      <c r="AJ1005" s="162" t="s">
        <v>2706</v>
      </c>
      <c r="AK1005" s="162">
        <v>5934</v>
      </c>
      <c r="AL1005" s="162" t="s">
        <v>2706</v>
      </c>
      <c r="AM1005" s="162">
        <v>59408</v>
      </c>
      <c r="AN1005" s="162"/>
      <c r="AP1005" s="168"/>
    </row>
    <row r="1006" spans="1:42" s="100" customFormat="1" ht="46.8" x14ac:dyDescent="0.3">
      <c r="A1006" s="161"/>
      <c r="B1006" s="167"/>
      <c r="C1006" s="98" t="s">
        <v>2708</v>
      </c>
      <c r="D1006" s="163"/>
      <c r="E1006" s="26" t="s">
        <v>48</v>
      </c>
      <c r="F1006" s="30" t="s">
        <v>49</v>
      </c>
      <c r="G1006" s="163"/>
      <c r="H1006" s="163"/>
      <c r="I1006" s="163"/>
      <c r="J1006" s="165"/>
      <c r="K1006" s="165"/>
      <c r="L1006" s="165"/>
      <c r="M1006" s="165"/>
      <c r="N1006" s="165"/>
      <c r="O1006" s="163"/>
      <c r="P1006" s="163"/>
      <c r="Q1006" s="163"/>
      <c r="R1006" s="163"/>
      <c r="S1006" s="163"/>
      <c r="T1006" s="163"/>
      <c r="U1006" s="163"/>
      <c r="V1006" s="163"/>
      <c r="W1006" s="163"/>
      <c r="X1006" s="163"/>
      <c r="Y1006" s="163"/>
      <c r="Z1006" s="163"/>
      <c r="AA1006" s="163"/>
      <c r="AB1006" s="163"/>
      <c r="AC1006" s="163"/>
      <c r="AD1006" s="163"/>
      <c r="AE1006" s="163"/>
      <c r="AF1006" s="163"/>
      <c r="AG1006" s="163"/>
      <c r="AH1006" s="163"/>
      <c r="AI1006" s="163"/>
      <c r="AJ1006" s="163"/>
      <c r="AK1006" s="163"/>
      <c r="AL1006" s="163"/>
      <c r="AM1006" s="163"/>
      <c r="AN1006" s="163"/>
      <c r="AP1006" s="169"/>
    </row>
    <row r="1007" spans="1:42" s="100" customFormat="1" ht="46.8" x14ac:dyDescent="0.3">
      <c r="A1007" s="160">
        <v>723</v>
      </c>
      <c r="B1007" s="166" t="s">
        <v>1520</v>
      </c>
      <c r="C1007" s="98" t="s">
        <v>2708</v>
      </c>
      <c r="D1007" s="162" t="s">
        <v>2712</v>
      </c>
      <c r="E1007" s="26" t="s">
        <v>144</v>
      </c>
      <c r="F1007" s="30" t="s">
        <v>49</v>
      </c>
      <c r="G1007" s="162" t="s">
        <v>2704</v>
      </c>
      <c r="H1007" s="162">
        <v>36</v>
      </c>
      <c r="I1007" s="162" t="str">
        <f t="shared" si="86"/>
        <v>с ЛН</v>
      </c>
      <c r="J1007" s="164">
        <v>6</v>
      </c>
      <c r="K1007" s="164" t="s">
        <v>528</v>
      </c>
      <c r="L1007" s="164" t="s">
        <v>528</v>
      </c>
      <c r="M1007" s="164" t="s">
        <v>2705</v>
      </c>
      <c r="N1007" s="164" t="s">
        <v>2705</v>
      </c>
      <c r="O1007" s="162">
        <v>393</v>
      </c>
      <c r="P1007" s="162" t="s">
        <v>2706</v>
      </c>
      <c r="Q1007" s="162">
        <v>393</v>
      </c>
      <c r="R1007" s="162" t="s">
        <v>2706</v>
      </c>
      <c r="S1007" s="162">
        <v>393</v>
      </c>
      <c r="T1007" s="162" t="s">
        <v>2706</v>
      </c>
      <c r="U1007" s="162">
        <v>393</v>
      </c>
      <c r="V1007" s="162" t="s">
        <v>2706</v>
      </c>
      <c r="W1007" s="162">
        <v>393</v>
      </c>
      <c r="X1007" s="162" t="s">
        <v>2706</v>
      </c>
      <c r="Y1007" s="162">
        <v>238</v>
      </c>
      <c r="Z1007" s="162" t="s">
        <v>2706</v>
      </c>
      <c r="AA1007" s="162">
        <v>141</v>
      </c>
      <c r="AB1007" s="162" t="s">
        <v>2706</v>
      </c>
      <c r="AC1007" s="162">
        <v>150</v>
      </c>
      <c r="AD1007" s="162" t="s">
        <v>2706</v>
      </c>
      <c r="AE1007" s="162">
        <v>236</v>
      </c>
      <c r="AF1007" s="162" t="s">
        <v>2706</v>
      </c>
      <c r="AG1007" s="162">
        <v>328</v>
      </c>
      <c r="AH1007" s="162" t="s">
        <v>2706</v>
      </c>
      <c r="AI1007" s="162">
        <v>373</v>
      </c>
      <c r="AJ1007" s="162" t="s">
        <v>2706</v>
      </c>
      <c r="AK1007" s="162">
        <v>306</v>
      </c>
      <c r="AL1007" s="162" t="s">
        <v>2706</v>
      </c>
      <c r="AM1007" s="162">
        <v>3587</v>
      </c>
      <c r="AN1007" s="162"/>
      <c r="AP1007" s="168"/>
    </row>
    <row r="1008" spans="1:42" s="100" customFormat="1" ht="46.8" x14ac:dyDescent="0.3">
      <c r="A1008" s="161"/>
      <c r="B1008" s="167"/>
      <c r="C1008" s="98" t="s">
        <v>2708</v>
      </c>
      <c r="D1008" s="163"/>
      <c r="E1008" s="26" t="s">
        <v>48</v>
      </c>
      <c r="F1008" s="30" t="s">
        <v>49</v>
      </c>
      <c r="G1008" s="163"/>
      <c r="H1008" s="163"/>
      <c r="I1008" s="163"/>
      <c r="J1008" s="165"/>
      <c r="K1008" s="165"/>
      <c r="L1008" s="165"/>
      <c r="M1008" s="165"/>
      <c r="N1008" s="165"/>
      <c r="O1008" s="163"/>
      <c r="P1008" s="163"/>
      <c r="Q1008" s="163"/>
      <c r="R1008" s="163"/>
      <c r="S1008" s="163"/>
      <c r="T1008" s="163"/>
      <c r="U1008" s="163"/>
      <c r="V1008" s="163"/>
      <c r="W1008" s="163"/>
      <c r="X1008" s="163"/>
      <c r="Y1008" s="163"/>
      <c r="Z1008" s="163"/>
      <c r="AA1008" s="163"/>
      <c r="AB1008" s="163"/>
      <c r="AC1008" s="163"/>
      <c r="AD1008" s="163"/>
      <c r="AE1008" s="163"/>
      <c r="AF1008" s="163"/>
      <c r="AG1008" s="163"/>
      <c r="AH1008" s="163"/>
      <c r="AI1008" s="163"/>
      <c r="AJ1008" s="163"/>
      <c r="AK1008" s="163"/>
      <c r="AL1008" s="163"/>
      <c r="AM1008" s="163"/>
      <c r="AN1008" s="163"/>
      <c r="AP1008" s="169"/>
    </row>
    <row r="1009" spans="1:42" s="100" customFormat="1" ht="46.8" x14ac:dyDescent="0.3">
      <c r="A1009" s="160">
        <v>724</v>
      </c>
      <c r="B1009" s="166" t="s">
        <v>1522</v>
      </c>
      <c r="C1009" s="98" t="s">
        <v>2708</v>
      </c>
      <c r="D1009" s="162" t="s">
        <v>2712</v>
      </c>
      <c r="E1009" s="26" t="s">
        <v>144</v>
      </c>
      <c r="F1009" s="30" t="s">
        <v>49</v>
      </c>
      <c r="G1009" s="162" t="s">
        <v>2704</v>
      </c>
      <c r="H1009" s="162">
        <v>24</v>
      </c>
      <c r="I1009" s="162" t="str">
        <f t="shared" si="86"/>
        <v>с ЛН</v>
      </c>
      <c r="J1009" s="164">
        <v>4</v>
      </c>
      <c r="K1009" s="164" t="s">
        <v>528</v>
      </c>
      <c r="L1009" s="164" t="s">
        <v>528</v>
      </c>
      <c r="M1009" s="164" t="s">
        <v>2705</v>
      </c>
      <c r="N1009" s="164" t="s">
        <v>2705</v>
      </c>
      <c r="O1009" s="162">
        <v>521</v>
      </c>
      <c r="P1009" s="162" t="s">
        <v>2706</v>
      </c>
      <c r="Q1009" s="162">
        <v>959</v>
      </c>
      <c r="R1009" s="162" t="s">
        <v>2706</v>
      </c>
      <c r="S1009" s="162">
        <v>576</v>
      </c>
      <c r="T1009" s="162" t="s">
        <v>2706</v>
      </c>
      <c r="U1009" s="162">
        <v>893</v>
      </c>
      <c r="V1009" s="162" t="s">
        <v>2706</v>
      </c>
      <c r="W1009" s="162">
        <v>622</v>
      </c>
      <c r="X1009" s="162" t="s">
        <v>2706</v>
      </c>
      <c r="Y1009" s="162">
        <v>567</v>
      </c>
      <c r="Z1009" s="162" t="s">
        <v>2706</v>
      </c>
      <c r="AA1009" s="162">
        <v>425</v>
      </c>
      <c r="AB1009" s="162" t="s">
        <v>2706</v>
      </c>
      <c r="AC1009" s="162">
        <v>603</v>
      </c>
      <c r="AD1009" s="162" t="s">
        <v>2706</v>
      </c>
      <c r="AE1009" s="162">
        <v>545</v>
      </c>
      <c r="AF1009" s="162" t="s">
        <v>2706</v>
      </c>
      <c r="AG1009" s="162">
        <v>452</v>
      </c>
      <c r="AH1009" s="162" t="s">
        <v>2706</v>
      </c>
      <c r="AI1009" s="162">
        <v>744</v>
      </c>
      <c r="AJ1009" s="162" t="s">
        <v>2706</v>
      </c>
      <c r="AK1009" s="162">
        <v>631</v>
      </c>
      <c r="AL1009" s="162" t="s">
        <v>2706</v>
      </c>
      <c r="AM1009" s="162">
        <v>6935</v>
      </c>
      <c r="AN1009" s="162"/>
      <c r="AP1009" s="168"/>
    </row>
    <row r="1010" spans="1:42" s="100" customFormat="1" ht="46.8" x14ac:dyDescent="0.3">
      <c r="A1010" s="161"/>
      <c r="B1010" s="167"/>
      <c r="C1010" s="98" t="s">
        <v>2708</v>
      </c>
      <c r="D1010" s="163"/>
      <c r="E1010" s="26" t="s">
        <v>48</v>
      </c>
      <c r="F1010" s="30" t="s">
        <v>49</v>
      </c>
      <c r="G1010" s="163"/>
      <c r="H1010" s="163"/>
      <c r="I1010" s="163"/>
      <c r="J1010" s="165"/>
      <c r="K1010" s="165"/>
      <c r="L1010" s="165"/>
      <c r="M1010" s="165"/>
      <c r="N1010" s="165"/>
      <c r="O1010" s="163"/>
      <c r="P1010" s="163"/>
      <c r="Q1010" s="163"/>
      <c r="R1010" s="163"/>
      <c r="S1010" s="163"/>
      <c r="T1010" s="163"/>
      <c r="U1010" s="163"/>
      <c r="V1010" s="163"/>
      <c r="W1010" s="163"/>
      <c r="X1010" s="163"/>
      <c r="Y1010" s="163"/>
      <c r="Z1010" s="163"/>
      <c r="AA1010" s="163"/>
      <c r="AB1010" s="163"/>
      <c r="AC1010" s="163"/>
      <c r="AD1010" s="163"/>
      <c r="AE1010" s="163"/>
      <c r="AF1010" s="163"/>
      <c r="AG1010" s="163"/>
      <c r="AH1010" s="163"/>
      <c r="AI1010" s="163"/>
      <c r="AJ1010" s="163"/>
      <c r="AK1010" s="163"/>
      <c r="AL1010" s="163"/>
      <c r="AM1010" s="163"/>
      <c r="AN1010" s="163"/>
      <c r="AP1010" s="169"/>
    </row>
    <row r="1011" spans="1:42" s="100" customFormat="1" ht="46.8" x14ac:dyDescent="0.3">
      <c r="A1011" s="160">
        <v>725</v>
      </c>
      <c r="B1011" s="166" t="s">
        <v>1523</v>
      </c>
      <c r="C1011" s="98" t="s">
        <v>2708</v>
      </c>
      <c r="D1011" s="162" t="s">
        <v>2712</v>
      </c>
      <c r="E1011" s="26" t="s">
        <v>144</v>
      </c>
      <c r="F1011" s="30" t="s">
        <v>49</v>
      </c>
      <c r="G1011" s="162" t="s">
        <v>2704</v>
      </c>
      <c r="H1011" s="162">
        <v>66</v>
      </c>
      <c r="I1011" s="162" t="str">
        <f t="shared" si="86"/>
        <v>с ЛН</v>
      </c>
      <c r="J1011" s="164">
        <v>11</v>
      </c>
      <c r="K1011" s="164" t="s">
        <v>528</v>
      </c>
      <c r="L1011" s="164" t="s">
        <v>528</v>
      </c>
      <c r="M1011" s="164" t="s">
        <v>2705</v>
      </c>
      <c r="N1011" s="164" t="s">
        <v>2705</v>
      </c>
      <c r="O1011" s="162">
        <v>2969</v>
      </c>
      <c r="P1011" s="162" t="s">
        <v>2706</v>
      </c>
      <c r="Q1011" s="162">
        <v>3268</v>
      </c>
      <c r="R1011" s="162" t="s">
        <v>2706</v>
      </c>
      <c r="S1011" s="162">
        <v>1612</v>
      </c>
      <c r="T1011" s="162" t="s">
        <v>2706</v>
      </c>
      <c r="U1011" s="162">
        <v>2967</v>
      </c>
      <c r="V1011" s="162" t="s">
        <v>2706</v>
      </c>
      <c r="W1011" s="162">
        <v>2587</v>
      </c>
      <c r="X1011" s="162" t="s">
        <v>2706</v>
      </c>
      <c r="Y1011" s="162">
        <v>2230</v>
      </c>
      <c r="Z1011" s="162" t="s">
        <v>2706</v>
      </c>
      <c r="AA1011" s="162">
        <v>1979</v>
      </c>
      <c r="AB1011" s="162" t="s">
        <v>2706</v>
      </c>
      <c r="AC1011" s="162">
        <v>2550</v>
      </c>
      <c r="AD1011" s="162" t="s">
        <v>2706</v>
      </c>
      <c r="AE1011" s="162">
        <v>2472</v>
      </c>
      <c r="AF1011" s="162" t="s">
        <v>2706</v>
      </c>
      <c r="AG1011" s="162">
        <v>2214</v>
      </c>
      <c r="AH1011" s="162" t="s">
        <v>2706</v>
      </c>
      <c r="AI1011" s="162">
        <v>2830</v>
      </c>
      <c r="AJ1011" s="162" t="s">
        <v>2706</v>
      </c>
      <c r="AK1011" s="162">
        <v>2515</v>
      </c>
      <c r="AL1011" s="162" t="s">
        <v>2706</v>
      </c>
      <c r="AM1011" s="162">
        <v>27643</v>
      </c>
      <c r="AN1011" s="162"/>
      <c r="AP1011" s="168"/>
    </row>
    <row r="1012" spans="1:42" s="100" customFormat="1" ht="46.8" x14ac:dyDescent="0.3">
      <c r="A1012" s="161"/>
      <c r="B1012" s="167"/>
      <c r="C1012" s="98" t="s">
        <v>2708</v>
      </c>
      <c r="D1012" s="163"/>
      <c r="E1012" s="26" t="s">
        <v>48</v>
      </c>
      <c r="F1012" s="30" t="s">
        <v>49</v>
      </c>
      <c r="G1012" s="163"/>
      <c r="H1012" s="163"/>
      <c r="I1012" s="163"/>
      <c r="J1012" s="165"/>
      <c r="K1012" s="165"/>
      <c r="L1012" s="165"/>
      <c r="M1012" s="165"/>
      <c r="N1012" s="165"/>
      <c r="O1012" s="163"/>
      <c r="P1012" s="163"/>
      <c r="Q1012" s="163"/>
      <c r="R1012" s="163"/>
      <c r="S1012" s="163"/>
      <c r="T1012" s="163"/>
      <c r="U1012" s="163"/>
      <c r="V1012" s="163"/>
      <c r="W1012" s="163"/>
      <c r="X1012" s="163"/>
      <c r="Y1012" s="163"/>
      <c r="Z1012" s="163"/>
      <c r="AA1012" s="163"/>
      <c r="AB1012" s="163"/>
      <c r="AC1012" s="163"/>
      <c r="AD1012" s="163"/>
      <c r="AE1012" s="163"/>
      <c r="AF1012" s="163"/>
      <c r="AG1012" s="163"/>
      <c r="AH1012" s="163"/>
      <c r="AI1012" s="163"/>
      <c r="AJ1012" s="163"/>
      <c r="AK1012" s="163"/>
      <c r="AL1012" s="163"/>
      <c r="AM1012" s="163"/>
      <c r="AN1012" s="163"/>
      <c r="AP1012" s="169"/>
    </row>
    <row r="1013" spans="1:42" s="100" customFormat="1" ht="46.8" x14ac:dyDescent="0.3">
      <c r="A1013" s="160">
        <v>726</v>
      </c>
      <c r="B1013" s="166" t="s">
        <v>1525</v>
      </c>
      <c r="C1013" s="98" t="s">
        <v>2708</v>
      </c>
      <c r="D1013" s="162" t="s">
        <v>2712</v>
      </c>
      <c r="E1013" s="26" t="s">
        <v>144</v>
      </c>
      <c r="F1013" s="30" t="s">
        <v>49</v>
      </c>
      <c r="G1013" s="162" t="s">
        <v>2704</v>
      </c>
      <c r="H1013" s="162">
        <v>24</v>
      </c>
      <c r="I1013" s="162" t="str">
        <f t="shared" si="86"/>
        <v>с ЛН</v>
      </c>
      <c r="J1013" s="164">
        <v>4</v>
      </c>
      <c r="K1013" s="164" t="s">
        <v>528</v>
      </c>
      <c r="L1013" s="164" t="s">
        <v>528</v>
      </c>
      <c r="M1013" s="164" t="s">
        <v>2705</v>
      </c>
      <c r="N1013" s="164" t="s">
        <v>2705</v>
      </c>
      <c r="O1013" s="162">
        <v>2240</v>
      </c>
      <c r="P1013" s="162" t="s">
        <v>2706</v>
      </c>
      <c r="Q1013" s="162">
        <v>2125</v>
      </c>
      <c r="R1013" s="162" t="s">
        <v>2706</v>
      </c>
      <c r="S1013" s="162">
        <v>2102</v>
      </c>
      <c r="T1013" s="162" t="s">
        <v>2706</v>
      </c>
      <c r="U1013" s="162">
        <v>2746</v>
      </c>
      <c r="V1013" s="162" t="s">
        <v>2706</v>
      </c>
      <c r="W1013" s="162">
        <v>1875</v>
      </c>
      <c r="X1013" s="162" t="s">
        <v>2706</v>
      </c>
      <c r="Y1013" s="162">
        <v>2501</v>
      </c>
      <c r="Z1013" s="162" t="s">
        <v>2706</v>
      </c>
      <c r="AA1013" s="162">
        <v>1845</v>
      </c>
      <c r="AB1013" s="162" t="s">
        <v>2706</v>
      </c>
      <c r="AC1013" s="162">
        <v>1489</v>
      </c>
      <c r="AD1013" s="162" t="s">
        <v>2706</v>
      </c>
      <c r="AE1013" s="162">
        <v>2264</v>
      </c>
      <c r="AF1013" s="162" t="s">
        <v>2706</v>
      </c>
      <c r="AG1013" s="162">
        <v>1454</v>
      </c>
      <c r="AH1013" s="162" t="s">
        <v>2706</v>
      </c>
      <c r="AI1013" s="162">
        <v>819</v>
      </c>
      <c r="AJ1013" s="162" t="s">
        <v>2706</v>
      </c>
      <c r="AK1013" s="162">
        <v>1891</v>
      </c>
      <c r="AL1013" s="162" t="s">
        <v>2706</v>
      </c>
      <c r="AM1013" s="162">
        <v>21862</v>
      </c>
      <c r="AN1013" s="162"/>
      <c r="AP1013" s="168"/>
    </row>
    <row r="1014" spans="1:42" s="100" customFormat="1" ht="46.8" x14ac:dyDescent="0.3">
      <c r="A1014" s="161"/>
      <c r="B1014" s="167"/>
      <c r="C1014" s="98" t="s">
        <v>2708</v>
      </c>
      <c r="D1014" s="163"/>
      <c r="E1014" s="26" t="s">
        <v>48</v>
      </c>
      <c r="F1014" s="30" t="s">
        <v>49</v>
      </c>
      <c r="G1014" s="163"/>
      <c r="H1014" s="163"/>
      <c r="I1014" s="163"/>
      <c r="J1014" s="165"/>
      <c r="K1014" s="165"/>
      <c r="L1014" s="165"/>
      <c r="M1014" s="165"/>
      <c r="N1014" s="165"/>
      <c r="O1014" s="163"/>
      <c r="P1014" s="163"/>
      <c r="Q1014" s="163"/>
      <c r="R1014" s="163"/>
      <c r="S1014" s="163"/>
      <c r="T1014" s="163"/>
      <c r="U1014" s="163"/>
      <c r="V1014" s="163"/>
      <c r="W1014" s="163"/>
      <c r="X1014" s="163"/>
      <c r="Y1014" s="163"/>
      <c r="Z1014" s="163"/>
      <c r="AA1014" s="163"/>
      <c r="AB1014" s="163"/>
      <c r="AC1014" s="163"/>
      <c r="AD1014" s="163"/>
      <c r="AE1014" s="163"/>
      <c r="AF1014" s="163"/>
      <c r="AG1014" s="163"/>
      <c r="AH1014" s="163"/>
      <c r="AI1014" s="163"/>
      <c r="AJ1014" s="163"/>
      <c r="AK1014" s="163"/>
      <c r="AL1014" s="163"/>
      <c r="AM1014" s="163"/>
      <c r="AN1014" s="163"/>
      <c r="AP1014" s="169"/>
    </row>
    <row r="1015" spans="1:42" s="100" customFormat="1" ht="46.8" x14ac:dyDescent="0.3">
      <c r="A1015" s="160">
        <v>727</v>
      </c>
      <c r="B1015" s="166" t="s">
        <v>1526</v>
      </c>
      <c r="C1015" s="98" t="s">
        <v>2708</v>
      </c>
      <c r="D1015" s="162" t="s">
        <v>2712</v>
      </c>
      <c r="E1015" s="26" t="s">
        <v>144</v>
      </c>
      <c r="F1015" s="30" t="s">
        <v>49</v>
      </c>
      <c r="G1015" s="162" t="s">
        <v>2704</v>
      </c>
      <c r="H1015" s="162">
        <v>24</v>
      </c>
      <c r="I1015" s="162" t="str">
        <f t="shared" si="86"/>
        <v>с ЛН</v>
      </c>
      <c r="J1015" s="164">
        <v>5</v>
      </c>
      <c r="K1015" s="164" t="s">
        <v>528</v>
      </c>
      <c r="L1015" s="164" t="s">
        <v>528</v>
      </c>
      <c r="M1015" s="164" t="s">
        <v>2705</v>
      </c>
      <c r="N1015" s="164" t="s">
        <v>2705</v>
      </c>
      <c r="O1015" s="162">
        <v>976</v>
      </c>
      <c r="P1015" s="162" t="s">
        <v>2706</v>
      </c>
      <c r="Q1015" s="162">
        <v>646</v>
      </c>
      <c r="R1015" s="162" t="s">
        <v>2706</v>
      </c>
      <c r="S1015" s="162">
        <v>521</v>
      </c>
      <c r="T1015" s="162" t="s">
        <v>2706</v>
      </c>
      <c r="U1015" s="162">
        <v>483</v>
      </c>
      <c r="V1015" s="162" t="s">
        <v>2706</v>
      </c>
      <c r="W1015" s="162">
        <v>385</v>
      </c>
      <c r="X1015" s="162" t="s">
        <v>2706</v>
      </c>
      <c r="Y1015" s="162">
        <v>345</v>
      </c>
      <c r="Z1015" s="162" t="s">
        <v>2706</v>
      </c>
      <c r="AA1015" s="162">
        <v>174</v>
      </c>
      <c r="AB1015" s="162" t="s">
        <v>2706</v>
      </c>
      <c r="AC1015" s="162">
        <v>301</v>
      </c>
      <c r="AD1015" s="162" t="s">
        <v>2706</v>
      </c>
      <c r="AE1015" s="162">
        <v>318</v>
      </c>
      <c r="AF1015" s="162" t="s">
        <v>2706</v>
      </c>
      <c r="AG1015" s="162">
        <v>317</v>
      </c>
      <c r="AH1015" s="162" t="s">
        <v>2706</v>
      </c>
      <c r="AI1015" s="162">
        <v>562</v>
      </c>
      <c r="AJ1015" s="162" t="s">
        <v>2706</v>
      </c>
      <c r="AK1015" s="162">
        <v>440</v>
      </c>
      <c r="AL1015" s="162" t="s">
        <v>2706</v>
      </c>
      <c r="AM1015" s="162">
        <v>5167</v>
      </c>
      <c r="AN1015" s="162"/>
      <c r="AP1015" s="168"/>
    </row>
    <row r="1016" spans="1:42" s="100" customFormat="1" ht="46.8" x14ac:dyDescent="0.3">
      <c r="A1016" s="161"/>
      <c r="B1016" s="167"/>
      <c r="C1016" s="98" t="s">
        <v>2708</v>
      </c>
      <c r="D1016" s="163"/>
      <c r="E1016" s="26" t="s">
        <v>48</v>
      </c>
      <c r="F1016" s="30" t="s">
        <v>49</v>
      </c>
      <c r="G1016" s="163"/>
      <c r="H1016" s="163"/>
      <c r="I1016" s="163"/>
      <c r="J1016" s="165"/>
      <c r="K1016" s="165"/>
      <c r="L1016" s="165"/>
      <c r="M1016" s="165"/>
      <c r="N1016" s="165"/>
      <c r="O1016" s="163"/>
      <c r="P1016" s="163"/>
      <c r="Q1016" s="163"/>
      <c r="R1016" s="163"/>
      <c r="S1016" s="163"/>
      <c r="T1016" s="163"/>
      <c r="U1016" s="163"/>
      <c r="V1016" s="163"/>
      <c r="W1016" s="163"/>
      <c r="X1016" s="163"/>
      <c r="Y1016" s="163"/>
      <c r="Z1016" s="163"/>
      <c r="AA1016" s="163"/>
      <c r="AB1016" s="163"/>
      <c r="AC1016" s="163"/>
      <c r="AD1016" s="163"/>
      <c r="AE1016" s="163"/>
      <c r="AF1016" s="163"/>
      <c r="AG1016" s="163"/>
      <c r="AH1016" s="163"/>
      <c r="AI1016" s="163"/>
      <c r="AJ1016" s="163"/>
      <c r="AK1016" s="163"/>
      <c r="AL1016" s="163"/>
      <c r="AM1016" s="163"/>
      <c r="AN1016" s="163"/>
      <c r="AP1016" s="169"/>
    </row>
    <row r="1017" spans="1:42" s="100" customFormat="1" ht="46.8" x14ac:dyDescent="0.3">
      <c r="A1017" s="160">
        <v>728</v>
      </c>
      <c r="B1017" s="166" t="s">
        <v>1528</v>
      </c>
      <c r="C1017" s="98" t="s">
        <v>2708</v>
      </c>
      <c r="D1017" s="162" t="s">
        <v>2712</v>
      </c>
      <c r="E1017" s="26" t="s">
        <v>144</v>
      </c>
      <c r="F1017" s="30" t="s">
        <v>49</v>
      </c>
      <c r="G1017" s="162" t="s">
        <v>2707</v>
      </c>
      <c r="H1017" s="162">
        <v>27</v>
      </c>
      <c r="I1017" s="162" t="str">
        <f t="shared" si="86"/>
        <v>СВД</v>
      </c>
      <c r="J1017" s="164">
        <v>5</v>
      </c>
      <c r="K1017" s="164" t="s">
        <v>529</v>
      </c>
      <c r="L1017" s="164" t="s">
        <v>529</v>
      </c>
      <c r="M1017" s="164" t="s">
        <v>2705</v>
      </c>
      <c r="N1017" s="164" t="s">
        <v>2705</v>
      </c>
      <c r="O1017" s="162">
        <v>1917</v>
      </c>
      <c r="P1017" s="162" t="s">
        <v>2706</v>
      </c>
      <c r="Q1017" s="162">
        <v>1928</v>
      </c>
      <c r="R1017" s="162" t="s">
        <v>2706</v>
      </c>
      <c r="S1017" s="162">
        <v>669</v>
      </c>
      <c r="T1017" s="162" t="s">
        <v>2706</v>
      </c>
      <c r="U1017" s="162">
        <v>1204</v>
      </c>
      <c r="V1017" s="162" t="s">
        <v>2706</v>
      </c>
      <c r="W1017" s="162">
        <v>1345</v>
      </c>
      <c r="X1017" s="162" t="s">
        <v>2706</v>
      </c>
      <c r="Y1017" s="162">
        <v>1404</v>
      </c>
      <c r="Z1017" s="162" t="s">
        <v>2706</v>
      </c>
      <c r="AA1017" s="162">
        <v>1271</v>
      </c>
      <c r="AB1017" s="162" t="s">
        <v>2706</v>
      </c>
      <c r="AC1017" s="162">
        <v>703</v>
      </c>
      <c r="AD1017" s="162" t="s">
        <v>2706</v>
      </c>
      <c r="AE1017" s="162">
        <v>989</v>
      </c>
      <c r="AF1017" s="162" t="s">
        <v>2706</v>
      </c>
      <c r="AG1017" s="162">
        <v>393</v>
      </c>
      <c r="AH1017" s="162" t="s">
        <v>2706</v>
      </c>
      <c r="AI1017" s="162">
        <v>1804</v>
      </c>
      <c r="AJ1017" s="162" t="s">
        <v>2706</v>
      </c>
      <c r="AK1017" s="162">
        <v>1002</v>
      </c>
      <c r="AL1017" s="162" t="s">
        <v>2706</v>
      </c>
      <c r="AM1017" s="162">
        <v>13926</v>
      </c>
      <c r="AN1017" s="162"/>
      <c r="AP1017" s="168"/>
    </row>
    <row r="1018" spans="1:42" s="100" customFormat="1" ht="46.8" x14ac:dyDescent="0.3">
      <c r="A1018" s="161"/>
      <c r="B1018" s="167"/>
      <c r="C1018" s="98" t="s">
        <v>2708</v>
      </c>
      <c r="D1018" s="163"/>
      <c r="E1018" s="26" t="s">
        <v>48</v>
      </c>
      <c r="F1018" s="30" t="s">
        <v>49</v>
      </c>
      <c r="G1018" s="163"/>
      <c r="H1018" s="163"/>
      <c r="I1018" s="163"/>
      <c r="J1018" s="165"/>
      <c r="K1018" s="165"/>
      <c r="L1018" s="165"/>
      <c r="M1018" s="165"/>
      <c r="N1018" s="165"/>
      <c r="O1018" s="163"/>
      <c r="P1018" s="163"/>
      <c r="Q1018" s="163"/>
      <c r="R1018" s="163"/>
      <c r="S1018" s="163"/>
      <c r="T1018" s="163"/>
      <c r="U1018" s="163"/>
      <c r="V1018" s="163"/>
      <c r="W1018" s="163"/>
      <c r="X1018" s="163"/>
      <c r="Y1018" s="163"/>
      <c r="Z1018" s="163"/>
      <c r="AA1018" s="163"/>
      <c r="AB1018" s="163"/>
      <c r="AC1018" s="163"/>
      <c r="AD1018" s="163"/>
      <c r="AE1018" s="163"/>
      <c r="AF1018" s="163"/>
      <c r="AG1018" s="163"/>
      <c r="AH1018" s="163"/>
      <c r="AI1018" s="163"/>
      <c r="AJ1018" s="163"/>
      <c r="AK1018" s="163"/>
      <c r="AL1018" s="163"/>
      <c r="AM1018" s="163"/>
      <c r="AN1018" s="163"/>
      <c r="AP1018" s="169"/>
    </row>
    <row r="1019" spans="1:42" s="100" customFormat="1" ht="46.8" x14ac:dyDescent="0.3">
      <c r="A1019" s="160">
        <v>729</v>
      </c>
      <c r="B1019" s="166" t="s">
        <v>1529</v>
      </c>
      <c r="C1019" s="98" t="s">
        <v>2708</v>
      </c>
      <c r="D1019" s="162" t="s">
        <v>2712</v>
      </c>
      <c r="E1019" s="26" t="s">
        <v>144</v>
      </c>
      <c r="F1019" s="30" t="s">
        <v>49</v>
      </c>
      <c r="G1019" s="162" t="s">
        <v>2707</v>
      </c>
      <c r="H1019" s="162">
        <v>18</v>
      </c>
      <c r="I1019" s="162" t="str">
        <f t="shared" si="86"/>
        <v>СВД</v>
      </c>
      <c r="J1019" s="164">
        <v>3</v>
      </c>
      <c r="K1019" s="164" t="s">
        <v>528</v>
      </c>
      <c r="L1019" s="164" t="s">
        <v>528</v>
      </c>
      <c r="M1019" s="164" t="s">
        <v>2705</v>
      </c>
      <c r="N1019" s="164" t="s">
        <v>2705</v>
      </c>
      <c r="O1019" s="162">
        <v>0</v>
      </c>
      <c r="P1019" s="162" t="s">
        <v>2706</v>
      </c>
      <c r="Q1019" s="162">
        <v>0</v>
      </c>
      <c r="R1019" s="162" t="s">
        <v>2706</v>
      </c>
      <c r="S1019" s="162">
        <v>0</v>
      </c>
      <c r="T1019" s="162" t="s">
        <v>2706</v>
      </c>
      <c r="U1019" s="162">
        <v>0</v>
      </c>
      <c r="V1019" s="162" t="s">
        <v>2706</v>
      </c>
      <c r="W1019" s="162">
        <v>0</v>
      </c>
      <c r="X1019" s="162" t="s">
        <v>2706</v>
      </c>
      <c r="Y1019" s="162">
        <v>0</v>
      </c>
      <c r="Z1019" s="162" t="s">
        <v>2706</v>
      </c>
      <c r="AA1019" s="162">
        <v>0</v>
      </c>
      <c r="AB1019" s="162" t="s">
        <v>2706</v>
      </c>
      <c r="AC1019" s="162">
        <v>0</v>
      </c>
      <c r="AD1019" s="162" t="s">
        <v>2706</v>
      </c>
      <c r="AE1019" s="162">
        <v>0</v>
      </c>
      <c r="AF1019" s="162" t="s">
        <v>2706</v>
      </c>
      <c r="AG1019" s="162">
        <v>0</v>
      </c>
      <c r="AH1019" s="162" t="s">
        <v>2706</v>
      </c>
      <c r="AI1019" s="162">
        <v>0</v>
      </c>
      <c r="AJ1019" s="162" t="s">
        <v>2706</v>
      </c>
      <c r="AK1019" s="162">
        <v>0</v>
      </c>
      <c r="AL1019" s="162" t="s">
        <v>2706</v>
      </c>
      <c r="AM1019" s="162">
        <v>0</v>
      </c>
      <c r="AN1019" s="162"/>
      <c r="AP1019" s="168"/>
    </row>
    <row r="1020" spans="1:42" s="100" customFormat="1" ht="46.8" x14ac:dyDescent="0.3">
      <c r="A1020" s="161"/>
      <c r="B1020" s="167"/>
      <c r="C1020" s="98" t="s">
        <v>2708</v>
      </c>
      <c r="D1020" s="163"/>
      <c r="E1020" s="26" t="s">
        <v>48</v>
      </c>
      <c r="F1020" s="30" t="s">
        <v>49</v>
      </c>
      <c r="G1020" s="163"/>
      <c r="H1020" s="163"/>
      <c r="I1020" s="163"/>
      <c r="J1020" s="165"/>
      <c r="K1020" s="165"/>
      <c r="L1020" s="165"/>
      <c r="M1020" s="165"/>
      <c r="N1020" s="165"/>
      <c r="O1020" s="163"/>
      <c r="P1020" s="163"/>
      <c r="Q1020" s="163"/>
      <c r="R1020" s="163"/>
      <c r="S1020" s="163"/>
      <c r="T1020" s="163"/>
      <c r="U1020" s="163"/>
      <c r="V1020" s="163"/>
      <c r="W1020" s="163"/>
      <c r="X1020" s="163"/>
      <c r="Y1020" s="163"/>
      <c r="Z1020" s="163"/>
      <c r="AA1020" s="163"/>
      <c r="AB1020" s="163"/>
      <c r="AC1020" s="163"/>
      <c r="AD1020" s="163"/>
      <c r="AE1020" s="163"/>
      <c r="AF1020" s="163"/>
      <c r="AG1020" s="163"/>
      <c r="AH1020" s="163"/>
      <c r="AI1020" s="163"/>
      <c r="AJ1020" s="163"/>
      <c r="AK1020" s="163"/>
      <c r="AL1020" s="163"/>
      <c r="AM1020" s="163"/>
      <c r="AN1020" s="163"/>
      <c r="AP1020" s="169"/>
    </row>
    <row r="1021" spans="1:42" s="100" customFormat="1" ht="46.8" x14ac:dyDescent="0.3">
      <c r="A1021" s="160">
        <v>730</v>
      </c>
      <c r="B1021" s="166" t="s">
        <v>1530</v>
      </c>
      <c r="C1021" s="98" t="s">
        <v>2708</v>
      </c>
      <c r="D1021" s="162" t="s">
        <v>2712</v>
      </c>
      <c r="E1021" s="26" t="s">
        <v>144</v>
      </c>
      <c r="F1021" s="30" t="s">
        <v>49</v>
      </c>
      <c r="G1021" s="162" t="s">
        <v>2704</v>
      </c>
      <c r="H1021" s="162">
        <v>15</v>
      </c>
      <c r="I1021" s="162" t="str">
        <f t="shared" si="86"/>
        <v>с ЛН</v>
      </c>
      <c r="J1021" s="164">
        <v>3</v>
      </c>
      <c r="K1021" s="164" t="s">
        <v>528</v>
      </c>
      <c r="L1021" s="164" t="s">
        <v>528</v>
      </c>
      <c r="M1021" s="164" t="s">
        <v>2705</v>
      </c>
      <c r="N1021" s="164" t="s">
        <v>2705</v>
      </c>
      <c r="O1021" s="162">
        <v>0</v>
      </c>
      <c r="P1021" s="162" t="s">
        <v>2706</v>
      </c>
      <c r="Q1021" s="162">
        <v>0</v>
      </c>
      <c r="R1021" s="162" t="s">
        <v>2706</v>
      </c>
      <c r="S1021" s="162">
        <v>0</v>
      </c>
      <c r="T1021" s="162" t="s">
        <v>2706</v>
      </c>
      <c r="U1021" s="162">
        <v>0</v>
      </c>
      <c r="V1021" s="162" t="s">
        <v>2706</v>
      </c>
      <c r="W1021" s="162">
        <v>0</v>
      </c>
      <c r="X1021" s="162" t="s">
        <v>2706</v>
      </c>
      <c r="Y1021" s="162">
        <v>0</v>
      </c>
      <c r="Z1021" s="162" t="s">
        <v>2706</v>
      </c>
      <c r="AA1021" s="162">
        <v>0</v>
      </c>
      <c r="AB1021" s="162" t="s">
        <v>2706</v>
      </c>
      <c r="AC1021" s="162">
        <v>0</v>
      </c>
      <c r="AD1021" s="162" t="s">
        <v>2706</v>
      </c>
      <c r="AE1021" s="162">
        <v>0</v>
      </c>
      <c r="AF1021" s="162" t="s">
        <v>2706</v>
      </c>
      <c r="AG1021" s="162">
        <v>0</v>
      </c>
      <c r="AH1021" s="162" t="s">
        <v>2706</v>
      </c>
      <c r="AI1021" s="162">
        <v>230</v>
      </c>
      <c r="AJ1021" s="162" t="s">
        <v>2706</v>
      </c>
      <c r="AK1021" s="162">
        <v>0</v>
      </c>
      <c r="AL1021" s="162" t="s">
        <v>2706</v>
      </c>
      <c r="AM1021" s="162">
        <v>230</v>
      </c>
      <c r="AN1021" s="162"/>
      <c r="AP1021" s="168"/>
    </row>
    <row r="1022" spans="1:42" s="100" customFormat="1" ht="46.8" x14ac:dyDescent="0.3">
      <c r="A1022" s="161"/>
      <c r="B1022" s="167"/>
      <c r="C1022" s="98" t="s">
        <v>2708</v>
      </c>
      <c r="D1022" s="163"/>
      <c r="E1022" s="26" t="s">
        <v>48</v>
      </c>
      <c r="F1022" s="30" t="s">
        <v>49</v>
      </c>
      <c r="G1022" s="163"/>
      <c r="H1022" s="163"/>
      <c r="I1022" s="163"/>
      <c r="J1022" s="165"/>
      <c r="K1022" s="165"/>
      <c r="L1022" s="165"/>
      <c r="M1022" s="165"/>
      <c r="N1022" s="165"/>
      <c r="O1022" s="163"/>
      <c r="P1022" s="163"/>
      <c r="Q1022" s="163"/>
      <c r="R1022" s="163"/>
      <c r="S1022" s="163"/>
      <c r="T1022" s="163"/>
      <c r="U1022" s="163"/>
      <c r="V1022" s="163"/>
      <c r="W1022" s="163"/>
      <c r="X1022" s="163"/>
      <c r="Y1022" s="163"/>
      <c r="Z1022" s="163"/>
      <c r="AA1022" s="163"/>
      <c r="AB1022" s="163"/>
      <c r="AC1022" s="163"/>
      <c r="AD1022" s="163"/>
      <c r="AE1022" s="163"/>
      <c r="AF1022" s="163"/>
      <c r="AG1022" s="163"/>
      <c r="AH1022" s="163"/>
      <c r="AI1022" s="163"/>
      <c r="AJ1022" s="163"/>
      <c r="AK1022" s="163"/>
      <c r="AL1022" s="163"/>
      <c r="AM1022" s="163"/>
      <c r="AN1022" s="163"/>
      <c r="AP1022" s="169"/>
    </row>
    <row r="1023" spans="1:42" s="100" customFormat="1" ht="46.8" x14ac:dyDescent="0.3">
      <c r="A1023" s="160">
        <v>731</v>
      </c>
      <c r="B1023" s="166" t="s">
        <v>1531</v>
      </c>
      <c r="C1023" s="98" t="s">
        <v>2708</v>
      </c>
      <c r="D1023" s="162" t="s">
        <v>2712</v>
      </c>
      <c r="E1023" s="26" t="s">
        <v>144</v>
      </c>
      <c r="F1023" s="30" t="s">
        <v>49</v>
      </c>
      <c r="G1023" s="162" t="s">
        <v>2704</v>
      </c>
      <c r="H1023" s="162">
        <v>17</v>
      </c>
      <c r="I1023" s="162" t="str">
        <f t="shared" si="86"/>
        <v>с ЛН</v>
      </c>
      <c r="J1023" s="164">
        <v>3</v>
      </c>
      <c r="K1023" s="164" t="s">
        <v>528</v>
      </c>
      <c r="L1023" s="164" t="s">
        <v>528</v>
      </c>
      <c r="M1023" s="164" t="s">
        <v>2705</v>
      </c>
      <c r="N1023" s="164" t="s">
        <v>2705</v>
      </c>
      <c r="O1023" s="162">
        <v>325</v>
      </c>
      <c r="P1023" s="162" t="s">
        <v>2706</v>
      </c>
      <c r="Q1023" s="162">
        <v>276</v>
      </c>
      <c r="R1023" s="162" t="s">
        <v>2706</v>
      </c>
      <c r="S1023" s="162">
        <v>118</v>
      </c>
      <c r="T1023" s="162" t="s">
        <v>2706</v>
      </c>
      <c r="U1023" s="162">
        <v>234</v>
      </c>
      <c r="V1023" s="162" t="s">
        <v>2706</v>
      </c>
      <c r="W1023" s="162">
        <v>380</v>
      </c>
      <c r="X1023" s="162" t="s">
        <v>2706</v>
      </c>
      <c r="Y1023" s="162">
        <v>244</v>
      </c>
      <c r="Z1023" s="162" t="s">
        <v>2706</v>
      </c>
      <c r="AA1023" s="162">
        <v>17</v>
      </c>
      <c r="AB1023" s="162" t="s">
        <v>2706</v>
      </c>
      <c r="AC1023" s="162">
        <v>119</v>
      </c>
      <c r="AD1023" s="162" t="s">
        <v>2706</v>
      </c>
      <c r="AE1023" s="162">
        <v>160</v>
      </c>
      <c r="AF1023" s="162" t="s">
        <v>2706</v>
      </c>
      <c r="AG1023" s="162">
        <v>121</v>
      </c>
      <c r="AH1023" s="162" t="s">
        <v>2706</v>
      </c>
      <c r="AI1023" s="162">
        <v>2280</v>
      </c>
      <c r="AJ1023" s="162" t="s">
        <v>2706</v>
      </c>
      <c r="AK1023" s="162">
        <v>235</v>
      </c>
      <c r="AL1023" s="162" t="s">
        <v>2706</v>
      </c>
      <c r="AM1023" s="162">
        <v>4390</v>
      </c>
      <c r="AN1023" s="162"/>
      <c r="AP1023" s="168"/>
    </row>
    <row r="1024" spans="1:42" s="100" customFormat="1" ht="46.8" x14ac:dyDescent="0.3">
      <c r="A1024" s="161"/>
      <c r="B1024" s="167"/>
      <c r="C1024" s="98" t="s">
        <v>2708</v>
      </c>
      <c r="D1024" s="163"/>
      <c r="E1024" s="26" t="s">
        <v>48</v>
      </c>
      <c r="F1024" s="30" t="s">
        <v>49</v>
      </c>
      <c r="G1024" s="163"/>
      <c r="H1024" s="163"/>
      <c r="I1024" s="163"/>
      <c r="J1024" s="165"/>
      <c r="K1024" s="165"/>
      <c r="L1024" s="165"/>
      <c r="M1024" s="165"/>
      <c r="N1024" s="165"/>
      <c r="O1024" s="163"/>
      <c r="P1024" s="163"/>
      <c r="Q1024" s="163"/>
      <c r="R1024" s="163"/>
      <c r="S1024" s="163"/>
      <c r="T1024" s="163"/>
      <c r="U1024" s="163"/>
      <c r="V1024" s="163"/>
      <c r="W1024" s="163"/>
      <c r="X1024" s="163"/>
      <c r="Y1024" s="163"/>
      <c r="Z1024" s="163"/>
      <c r="AA1024" s="163"/>
      <c r="AB1024" s="163"/>
      <c r="AC1024" s="163"/>
      <c r="AD1024" s="163"/>
      <c r="AE1024" s="163"/>
      <c r="AF1024" s="163"/>
      <c r="AG1024" s="163"/>
      <c r="AH1024" s="163"/>
      <c r="AI1024" s="163"/>
      <c r="AJ1024" s="163"/>
      <c r="AK1024" s="163"/>
      <c r="AL1024" s="163"/>
      <c r="AM1024" s="163"/>
      <c r="AN1024" s="163"/>
      <c r="AP1024" s="169"/>
    </row>
    <row r="1025" spans="1:42" s="100" customFormat="1" ht="46.8" x14ac:dyDescent="0.3">
      <c r="A1025" s="160">
        <v>732</v>
      </c>
      <c r="B1025" s="166" t="s">
        <v>1533</v>
      </c>
      <c r="C1025" s="98" t="s">
        <v>2708</v>
      </c>
      <c r="D1025" s="162" t="s">
        <v>2712</v>
      </c>
      <c r="E1025" s="26" t="s">
        <v>144</v>
      </c>
      <c r="F1025" s="30" t="s">
        <v>49</v>
      </c>
      <c r="G1025" s="162" t="s">
        <v>2704</v>
      </c>
      <c r="H1025" s="162">
        <v>18</v>
      </c>
      <c r="I1025" s="162" t="str">
        <f t="shared" si="86"/>
        <v>с ЛН</v>
      </c>
      <c r="J1025" s="164">
        <v>3</v>
      </c>
      <c r="K1025" s="164" t="s">
        <v>528</v>
      </c>
      <c r="L1025" s="164" t="s">
        <v>528</v>
      </c>
      <c r="M1025" s="164" t="s">
        <v>2705</v>
      </c>
      <c r="N1025" s="164" t="s">
        <v>2705</v>
      </c>
      <c r="O1025" s="162">
        <v>520</v>
      </c>
      <c r="P1025" s="162" t="s">
        <v>2706</v>
      </c>
      <c r="Q1025" s="162">
        <v>540</v>
      </c>
      <c r="R1025" s="162" t="s">
        <v>2706</v>
      </c>
      <c r="S1025" s="162">
        <v>691</v>
      </c>
      <c r="T1025" s="162" t="s">
        <v>2706</v>
      </c>
      <c r="U1025" s="162">
        <v>1077</v>
      </c>
      <c r="V1025" s="162" t="s">
        <v>2706</v>
      </c>
      <c r="W1025" s="162">
        <v>456</v>
      </c>
      <c r="X1025" s="162" t="s">
        <v>2706</v>
      </c>
      <c r="Y1025" s="162">
        <v>456</v>
      </c>
      <c r="Z1025" s="162" t="s">
        <v>2706</v>
      </c>
      <c r="AA1025" s="162">
        <v>473</v>
      </c>
      <c r="AB1025" s="162" t="s">
        <v>2706</v>
      </c>
      <c r="AC1025" s="162">
        <v>0</v>
      </c>
      <c r="AD1025" s="162" t="s">
        <v>2706</v>
      </c>
      <c r="AE1025" s="162">
        <v>0</v>
      </c>
      <c r="AF1025" s="162" t="s">
        <v>2706</v>
      </c>
      <c r="AG1025" s="162">
        <v>0</v>
      </c>
      <c r="AH1025" s="162" t="s">
        <v>2706</v>
      </c>
      <c r="AI1025" s="162">
        <v>0</v>
      </c>
      <c r="AJ1025" s="162" t="s">
        <v>2706</v>
      </c>
      <c r="AK1025" s="162">
        <v>0</v>
      </c>
      <c r="AL1025" s="162" t="s">
        <v>2706</v>
      </c>
      <c r="AM1025" s="162">
        <v>4213</v>
      </c>
      <c r="AN1025" s="162"/>
      <c r="AP1025" s="168"/>
    </row>
    <row r="1026" spans="1:42" s="100" customFormat="1" ht="46.8" x14ac:dyDescent="0.3">
      <c r="A1026" s="161"/>
      <c r="B1026" s="167"/>
      <c r="C1026" s="98" t="s">
        <v>2708</v>
      </c>
      <c r="D1026" s="163"/>
      <c r="E1026" s="26" t="s">
        <v>48</v>
      </c>
      <c r="F1026" s="30" t="s">
        <v>49</v>
      </c>
      <c r="G1026" s="163"/>
      <c r="H1026" s="163"/>
      <c r="I1026" s="163"/>
      <c r="J1026" s="165"/>
      <c r="K1026" s="165"/>
      <c r="L1026" s="165"/>
      <c r="M1026" s="165"/>
      <c r="N1026" s="165"/>
      <c r="O1026" s="163"/>
      <c r="P1026" s="163"/>
      <c r="Q1026" s="163"/>
      <c r="R1026" s="163"/>
      <c r="S1026" s="163"/>
      <c r="T1026" s="163"/>
      <c r="U1026" s="163"/>
      <c r="V1026" s="163"/>
      <c r="W1026" s="163"/>
      <c r="X1026" s="163"/>
      <c r="Y1026" s="163"/>
      <c r="Z1026" s="163"/>
      <c r="AA1026" s="163"/>
      <c r="AB1026" s="163"/>
      <c r="AC1026" s="163"/>
      <c r="AD1026" s="163"/>
      <c r="AE1026" s="163"/>
      <c r="AF1026" s="163"/>
      <c r="AG1026" s="163"/>
      <c r="AH1026" s="163"/>
      <c r="AI1026" s="163"/>
      <c r="AJ1026" s="163"/>
      <c r="AK1026" s="163"/>
      <c r="AL1026" s="163"/>
      <c r="AM1026" s="163"/>
      <c r="AN1026" s="163"/>
      <c r="AP1026" s="169"/>
    </row>
    <row r="1027" spans="1:42" s="100" customFormat="1" ht="46.8" x14ac:dyDescent="0.3">
      <c r="A1027" s="160">
        <v>733</v>
      </c>
      <c r="B1027" s="166" t="s">
        <v>1535</v>
      </c>
      <c r="C1027" s="98" t="s">
        <v>2708</v>
      </c>
      <c r="D1027" s="162" t="s">
        <v>2712</v>
      </c>
      <c r="E1027" s="26" t="s">
        <v>144</v>
      </c>
      <c r="F1027" s="30" t="s">
        <v>49</v>
      </c>
      <c r="G1027" s="162" t="s">
        <v>2704</v>
      </c>
      <c r="H1027" s="162">
        <v>60</v>
      </c>
      <c r="I1027" s="162" t="str">
        <f t="shared" si="86"/>
        <v>с ЛН</v>
      </c>
      <c r="J1027" s="164">
        <v>10</v>
      </c>
      <c r="K1027" s="164" t="s">
        <v>528</v>
      </c>
      <c r="L1027" s="164" t="s">
        <v>528</v>
      </c>
      <c r="M1027" s="164" t="s">
        <v>2705</v>
      </c>
      <c r="N1027" s="164" t="s">
        <v>2705</v>
      </c>
      <c r="O1027" s="162">
        <v>898</v>
      </c>
      <c r="P1027" s="162" t="s">
        <v>2706</v>
      </c>
      <c r="Q1027" s="162">
        <v>713</v>
      </c>
      <c r="R1027" s="162" t="s">
        <v>2706</v>
      </c>
      <c r="S1027" s="162">
        <v>520</v>
      </c>
      <c r="T1027" s="162" t="s">
        <v>2706</v>
      </c>
      <c r="U1027" s="162">
        <v>614</v>
      </c>
      <c r="V1027" s="162" t="s">
        <v>2706</v>
      </c>
      <c r="W1027" s="162">
        <v>340</v>
      </c>
      <c r="X1027" s="162" t="s">
        <v>2706</v>
      </c>
      <c r="Y1027" s="162">
        <v>196</v>
      </c>
      <c r="Z1027" s="162" t="s">
        <v>2706</v>
      </c>
      <c r="AA1027" s="162">
        <v>196</v>
      </c>
      <c r="AB1027" s="162" t="s">
        <v>2706</v>
      </c>
      <c r="AC1027" s="162">
        <v>331</v>
      </c>
      <c r="AD1027" s="162" t="s">
        <v>2706</v>
      </c>
      <c r="AE1027" s="162">
        <v>426</v>
      </c>
      <c r="AF1027" s="162" t="s">
        <v>2706</v>
      </c>
      <c r="AG1027" s="162">
        <v>316</v>
      </c>
      <c r="AH1027" s="162" t="s">
        <v>2706</v>
      </c>
      <c r="AI1027" s="162">
        <v>386</v>
      </c>
      <c r="AJ1027" s="162" t="s">
        <v>2706</v>
      </c>
      <c r="AK1027" s="162">
        <v>448</v>
      </c>
      <c r="AL1027" s="162" t="s">
        <v>2706</v>
      </c>
      <c r="AM1027" s="162">
        <v>5053</v>
      </c>
      <c r="AN1027" s="162"/>
      <c r="AP1027" s="168"/>
    </row>
    <row r="1028" spans="1:42" s="100" customFormat="1" ht="46.8" x14ac:dyDescent="0.3">
      <c r="A1028" s="161"/>
      <c r="B1028" s="167"/>
      <c r="C1028" s="98" t="s">
        <v>2708</v>
      </c>
      <c r="D1028" s="163"/>
      <c r="E1028" s="26" t="s">
        <v>48</v>
      </c>
      <c r="F1028" s="30" t="s">
        <v>49</v>
      </c>
      <c r="G1028" s="163"/>
      <c r="H1028" s="163"/>
      <c r="I1028" s="163"/>
      <c r="J1028" s="165"/>
      <c r="K1028" s="165"/>
      <c r="L1028" s="165"/>
      <c r="M1028" s="165"/>
      <c r="N1028" s="165"/>
      <c r="O1028" s="163"/>
      <c r="P1028" s="163"/>
      <c r="Q1028" s="163"/>
      <c r="R1028" s="163"/>
      <c r="S1028" s="163"/>
      <c r="T1028" s="163"/>
      <c r="U1028" s="163"/>
      <c r="V1028" s="163"/>
      <c r="W1028" s="163"/>
      <c r="X1028" s="163"/>
      <c r="Y1028" s="163"/>
      <c r="Z1028" s="163"/>
      <c r="AA1028" s="163"/>
      <c r="AB1028" s="163"/>
      <c r="AC1028" s="163"/>
      <c r="AD1028" s="163"/>
      <c r="AE1028" s="163"/>
      <c r="AF1028" s="163"/>
      <c r="AG1028" s="163"/>
      <c r="AH1028" s="163"/>
      <c r="AI1028" s="163"/>
      <c r="AJ1028" s="163"/>
      <c r="AK1028" s="163"/>
      <c r="AL1028" s="163"/>
      <c r="AM1028" s="163"/>
      <c r="AN1028" s="163"/>
      <c r="AP1028" s="169"/>
    </row>
    <row r="1029" spans="1:42" s="100" customFormat="1" ht="46.8" x14ac:dyDescent="0.3">
      <c r="A1029" s="160">
        <v>734</v>
      </c>
      <c r="B1029" s="166" t="s">
        <v>1537</v>
      </c>
      <c r="C1029" s="98" t="s">
        <v>2708</v>
      </c>
      <c r="D1029" s="162" t="s">
        <v>2712</v>
      </c>
      <c r="E1029" s="26" t="s">
        <v>144</v>
      </c>
      <c r="F1029" s="30" t="s">
        <v>49</v>
      </c>
      <c r="G1029" s="162" t="s">
        <v>2704</v>
      </c>
      <c r="H1029" s="162">
        <v>20</v>
      </c>
      <c r="I1029" s="162" t="str">
        <f t="shared" si="86"/>
        <v>с ЛН</v>
      </c>
      <c r="J1029" s="164">
        <v>4</v>
      </c>
      <c r="K1029" s="164" t="s">
        <v>528</v>
      </c>
      <c r="L1029" s="164" t="s">
        <v>528</v>
      </c>
      <c r="M1029" s="164" t="s">
        <v>2705</v>
      </c>
      <c r="N1029" s="164" t="s">
        <v>2705</v>
      </c>
      <c r="O1029" s="162">
        <v>340</v>
      </c>
      <c r="P1029" s="162" t="s">
        <v>2706</v>
      </c>
      <c r="Q1029" s="162">
        <v>271</v>
      </c>
      <c r="R1029" s="162" t="s">
        <v>2706</v>
      </c>
      <c r="S1029" s="162">
        <v>303</v>
      </c>
      <c r="T1029" s="162" t="s">
        <v>2706</v>
      </c>
      <c r="U1029" s="162">
        <v>331</v>
      </c>
      <c r="V1029" s="162" t="s">
        <v>2706</v>
      </c>
      <c r="W1029" s="162">
        <v>281</v>
      </c>
      <c r="X1029" s="162" t="s">
        <v>2706</v>
      </c>
      <c r="Y1029" s="162">
        <v>187</v>
      </c>
      <c r="Z1029" s="162" t="s">
        <v>2706</v>
      </c>
      <c r="AA1029" s="162">
        <v>208</v>
      </c>
      <c r="AB1029" s="162" t="s">
        <v>2706</v>
      </c>
      <c r="AC1029" s="162">
        <v>208</v>
      </c>
      <c r="AD1029" s="162" t="s">
        <v>2706</v>
      </c>
      <c r="AE1029" s="162">
        <v>242</v>
      </c>
      <c r="AF1029" s="162" t="s">
        <v>2706</v>
      </c>
      <c r="AG1029" s="162">
        <v>212</v>
      </c>
      <c r="AH1029" s="162" t="s">
        <v>2706</v>
      </c>
      <c r="AI1029" s="162">
        <v>1087</v>
      </c>
      <c r="AJ1029" s="162" t="s">
        <v>2706</v>
      </c>
      <c r="AK1029" s="162">
        <v>299</v>
      </c>
      <c r="AL1029" s="162" t="s">
        <v>2706</v>
      </c>
      <c r="AM1029" s="162">
        <v>3761</v>
      </c>
      <c r="AN1029" s="162"/>
      <c r="AP1029" s="168"/>
    </row>
    <row r="1030" spans="1:42" s="100" customFormat="1" ht="46.8" x14ac:dyDescent="0.3">
      <c r="A1030" s="161"/>
      <c r="B1030" s="167"/>
      <c r="C1030" s="98" t="s">
        <v>2708</v>
      </c>
      <c r="D1030" s="163"/>
      <c r="E1030" s="26" t="s">
        <v>48</v>
      </c>
      <c r="F1030" s="30" t="s">
        <v>49</v>
      </c>
      <c r="G1030" s="163"/>
      <c r="H1030" s="163"/>
      <c r="I1030" s="163"/>
      <c r="J1030" s="165"/>
      <c r="K1030" s="165"/>
      <c r="L1030" s="165"/>
      <c r="M1030" s="165"/>
      <c r="N1030" s="165"/>
      <c r="O1030" s="163"/>
      <c r="P1030" s="163"/>
      <c r="Q1030" s="163"/>
      <c r="R1030" s="163"/>
      <c r="S1030" s="163"/>
      <c r="T1030" s="163"/>
      <c r="U1030" s="163"/>
      <c r="V1030" s="163"/>
      <c r="W1030" s="163"/>
      <c r="X1030" s="163"/>
      <c r="Y1030" s="163"/>
      <c r="Z1030" s="163"/>
      <c r="AA1030" s="163"/>
      <c r="AB1030" s="163"/>
      <c r="AC1030" s="163"/>
      <c r="AD1030" s="163"/>
      <c r="AE1030" s="163"/>
      <c r="AF1030" s="163"/>
      <c r="AG1030" s="163"/>
      <c r="AH1030" s="163"/>
      <c r="AI1030" s="163"/>
      <c r="AJ1030" s="163"/>
      <c r="AK1030" s="163"/>
      <c r="AL1030" s="163"/>
      <c r="AM1030" s="163"/>
      <c r="AN1030" s="163"/>
      <c r="AP1030" s="169"/>
    </row>
    <row r="1031" spans="1:42" s="100" customFormat="1" ht="46.8" x14ac:dyDescent="0.3">
      <c r="A1031" s="160">
        <v>735</v>
      </c>
      <c r="B1031" s="166" t="s">
        <v>1538</v>
      </c>
      <c r="C1031" s="98" t="s">
        <v>2708</v>
      </c>
      <c r="D1031" s="162" t="s">
        <v>2712</v>
      </c>
      <c r="E1031" s="26" t="s">
        <v>144</v>
      </c>
      <c r="F1031" s="30" t="s">
        <v>49</v>
      </c>
      <c r="G1031" s="162" t="s">
        <v>2704</v>
      </c>
      <c r="H1031" s="162">
        <v>15</v>
      </c>
      <c r="I1031" s="162" t="str">
        <f t="shared" si="86"/>
        <v>с ЛН</v>
      </c>
      <c r="J1031" s="164">
        <v>3</v>
      </c>
      <c r="K1031" s="164" t="s">
        <v>528</v>
      </c>
      <c r="L1031" s="164" t="s">
        <v>528</v>
      </c>
      <c r="M1031" s="164" t="s">
        <v>2705</v>
      </c>
      <c r="N1031" s="164" t="s">
        <v>2705</v>
      </c>
      <c r="O1031" s="162">
        <v>0</v>
      </c>
      <c r="P1031" s="162" t="s">
        <v>2706</v>
      </c>
      <c r="Q1031" s="162">
        <v>271</v>
      </c>
      <c r="R1031" s="162" t="s">
        <v>2706</v>
      </c>
      <c r="S1031" s="162">
        <v>303</v>
      </c>
      <c r="T1031" s="162" t="s">
        <v>2706</v>
      </c>
      <c r="U1031" s="162">
        <v>331</v>
      </c>
      <c r="V1031" s="162" t="s">
        <v>2706</v>
      </c>
      <c r="W1031" s="162">
        <v>281</v>
      </c>
      <c r="X1031" s="162" t="s">
        <v>2706</v>
      </c>
      <c r="Y1031" s="162">
        <v>187</v>
      </c>
      <c r="Z1031" s="162" t="s">
        <v>2706</v>
      </c>
      <c r="AA1031" s="162">
        <v>208</v>
      </c>
      <c r="AB1031" s="162" t="s">
        <v>2706</v>
      </c>
      <c r="AC1031" s="162">
        <v>208</v>
      </c>
      <c r="AD1031" s="162" t="s">
        <v>2706</v>
      </c>
      <c r="AE1031" s="162">
        <v>242</v>
      </c>
      <c r="AF1031" s="162" t="s">
        <v>2706</v>
      </c>
      <c r="AG1031" s="162">
        <v>212</v>
      </c>
      <c r="AH1031" s="162" t="s">
        <v>2706</v>
      </c>
      <c r="AI1031" s="162">
        <v>1087</v>
      </c>
      <c r="AJ1031" s="162" t="s">
        <v>2706</v>
      </c>
      <c r="AK1031" s="162">
        <v>299</v>
      </c>
      <c r="AL1031" s="162" t="s">
        <v>2706</v>
      </c>
      <c r="AM1031" s="162">
        <v>3421</v>
      </c>
      <c r="AN1031" s="162"/>
      <c r="AP1031" s="168"/>
    </row>
    <row r="1032" spans="1:42" s="100" customFormat="1" ht="46.8" x14ac:dyDescent="0.3">
      <c r="A1032" s="161"/>
      <c r="B1032" s="167"/>
      <c r="C1032" s="98" t="s">
        <v>2708</v>
      </c>
      <c r="D1032" s="163"/>
      <c r="E1032" s="26" t="s">
        <v>48</v>
      </c>
      <c r="F1032" s="30" t="s">
        <v>49</v>
      </c>
      <c r="G1032" s="163"/>
      <c r="H1032" s="163"/>
      <c r="I1032" s="163"/>
      <c r="J1032" s="165"/>
      <c r="K1032" s="165"/>
      <c r="L1032" s="165"/>
      <c r="M1032" s="165"/>
      <c r="N1032" s="165"/>
      <c r="O1032" s="163"/>
      <c r="P1032" s="163"/>
      <c r="Q1032" s="163"/>
      <c r="R1032" s="163"/>
      <c r="S1032" s="163"/>
      <c r="T1032" s="163"/>
      <c r="U1032" s="163"/>
      <c r="V1032" s="163"/>
      <c r="W1032" s="163"/>
      <c r="X1032" s="163"/>
      <c r="Y1032" s="163"/>
      <c r="Z1032" s="163"/>
      <c r="AA1032" s="163"/>
      <c r="AB1032" s="163"/>
      <c r="AC1032" s="163"/>
      <c r="AD1032" s="163"/>
      <c r="AE1032" s="163"/>
      <c r="AF1032" s="163"/>
      <c r="AG1032" s="163"/>
      <c r="AH1032" s="163"/>
      <c r="AI1032" s="163"/>
      <c r="AJ1032" s="163"/>
      <c r="AK1032" s="163"/>
      <c r="AL1032" s="163"/>
      <c r="AM1032" s="163"/>
      <c r="AN1032" s="163"/>
      <c r="AP1032" s="169"/>
    </row>
    <row r="1033" spans="1:42" s="100" customFormat="1" ht="46.8" x14ac:dyDescent="0.3">
      <c r="A1033" s="160">
        <v>736</v>
      </c>
      <c r="B1033" s="166" t="s">
        <v>1539</v>
      </c>
      <c r="C1033" s="98" t="s">
        <v>2708</v>
      </c>
      <c r="D1033" s="162" t="s">
        <v>2712</v>
      </c>
      <c r="E1033" s="26" t="s">
        <v>144</v>
      </c>
      <c r="F1033" s="30" t="s">
        <v>49</v>
      </c>
      <c r="G1033" s="162" t="s">
        <v>2704</v>
      </c>
      <c r="H1033" s="162">
        <v>22</v>
      </c>
      <c r="I1033" s="162" t="str">
        <f t="shared" si="86"/>
        <v>с ЛН</v>
      </c>
      <c r="J1033" s="164">
        <v>4</v>
      </c>
      <c r="K1033" s="164" t="s">
        <v>529</v>
      </c>
      <c r="L1033" s="164" t="s">
        <v>529</v>
      </c>
      <c r="M1033" s="164" t="s">
        <v>2705</v>
      </c>
      <c r="N1033" s="164" t="s">
        <v>2705</v>
      </c>
      <c r="O1033" s="162">
        <v>470</v>
      </c>
      <c r="P1033" s="162" t="s">
        <v>2706</v>
      </c>
      <c r="Q1033" s="162">
        <v>416</v>
      </c>
      <c r="R1033" s="162" t="s">
        <v>2706</v>
      </c>
      <c r="S1033" s="162">
        <v>300</v>
      </c>
      <c r="T1033" s="162" t="s">
        <v>2706</v>
      </c>
      <c r="U1033" s="162">
        <v>543</v>
      </c>
      <c r="V1033" s="162" t="s">
        <v>2706</v>
      </c>
      <c r="W1033" s="162">
        <v>309</v>
      </c>
      <c r="X1033" s="162" t="s">
        <v>2706</v>
      </c>
      <c r="Y1033" s="162">
        <v>445</v>
      </c>
      <c r="Z1033" s="162" t="s">
        <v>2706</v>
      </c>
      <c r="AA1033" s="162">
        <v>297</v>
      </c>
      <c r="AB1033" s="162" t="s">
        <v>2706</v>
      </c>
      <c r="AC1033" s="162">
        <v>329</v>
      </c>
      <c r="AD1033" s="162" t="s">
        <v>2706</v>
      </c>
      <c r="AE1033" s="162">
        <v>300</v>
      </c>
      <c r="AF1033" s="162" t="s">
        <v>2706</v>
      </c>
      <c r="AG1033" s="162">
        <v>222</v>
      </c>
      <c r="AH1033" s="162" t="s">
        <v>2706</v>
      </c>
      <c r="AI1033" s="162">
        <v>104</v>
      </c>
      <c r="AJ1033" s="162" t="s">
        <v>2706</v>
      </c>
      <c r="AK1033" s="162">
        <v>323</v>
      </c>
      <c r="AL1033" s="162" t="s">
        <v>2706</v>
      </c>
      <c r="AM1033" s="162">
        <v>3729</v>
      </c>
      <c r="AN1033" s="162"/>
      <c r="AP1033" s="168"/>
    </row>
    <row r="1034" spans="1:42" s="100" customFormat="1" ht="46.8" x14ac:dyDescent="0.3">
      <c r="A1034" s="161"/>
      <c r="B1034" s="167"/>
      <c r="C1034" s="98" t="s">
        <v>2708</v>
      </c>
      <c r="D1034" s="163"/>
      <c r="E1034" s="26" t="s">
        <v>48</v>
      </c>
      <c r="F1034" s="30" t="s">
        <v>49</v>
      </c>
      <c r="G1034" s="163"/>
      <c r="H1034" s="163"/>
      <c r="I1034" s="163"/>
      <c r="J1034" s="165"/>
      <c r="K1034" s="165"/>
      <c r="L1034" s="165"/>
      <c r="M1034" s="165"/>
      <c r="N1034" s="165"/>
      <c r="O1034" s="163"/>
      <c r="P1034" s="163"/>
      <c r="Q1034" s="163"/>
      <c r="R1034" s="163"/>
      <c r="S1034" s="163"/>
      <c r="T1034" s="163"/>
      <c r="U1034" s="163"/>
      <c r="V1034" s="163"/>
      <c r="W1034" s="163"/>
      <c r="X1034" s="163"/>
      <c r="Y1034" s="163"/>
      <c r="Z1034" s="163"/>
      <c r="AA1034" s="163"/>
      <c r="AB1034" s="163"/>
      <c r="AC1034" s="163"/>
      <c r="AD1034" s="163"/>
      <c r="AE1034" s="163"/>
      <c r="AF1034" s="163"/>
      <c r="AG1034" s="163"/>
      <c r="AH1034" s="163"/>
      <c r="AI1034" s="163"/>
      <c r="AJ1034" s="163"/>
      <c r="AK1034" s="163"/>
      <c r="AL1034" s="163"/>
      <c r="AM1034" s="163"/>
      <c r="AN1034" s="163"/>
      <c r="AP1034" s="169"/>
    </row>
    <row r="1035" spans="1:42" s="100" customFormat="1" ht="46.8" x14ac:dyDescent="0.3">
      <c r="A1035" s="160">
        <v>737</v>
      </c>
      <c r="B1035" s="166" t="s">
        <v>1540</v>
      </c>
      <c r="C1035" s="98" t="s">
        <v>2708</v>
      </c>
      <c r="D1035" s="162" t="s">
        <v>2712</v>
      </c>
      <c r="E1035" s="26" t="s">
        <v>144</v>
      </c>
      <c r="F1035" s="30" t="s">
        <v>49</v>
      </c>
      <c r="G1035" s="162" t="s">
        <v>2704</v>
      </c>
      <c r="H1035" s="162">
        <v>16</v>
      </c>
      <c r="I1035" s="162" t="str">
        <f t="shared" si="86"/>
        <v>с ЛН</v>
      </c>
      <c r="J1035" s="164">
        <v>3</v>
      </c>
      <c r="K1035" s="164" t="s">
        <v>528</v>
      </c>
      <c r="L1035" s="164" t="s">
        <v>528</v>
      </c>
      <c r="M1035" s="164" t="s">
        <v>2705</v>
      </c>
      <c r="N1035" s="164" t="s">
        <v>2705</v>
      </c>
      <c r="O1035" s="162">
        <v>0</v>
      </c>
      <c r="P1035" s="162" t="s">
        <v>2706</v>
      </c>
      <c r="Q1035" s="162">
        <v>0</v>
      </c>
      <c r="R1035" s="162" t="s">
        <v>2706</v>
      </c>
      <c r="S1035" s="162">
        <v>0</v>
      </c>
      <c r="T1035" s="162" t="s">
        <v>2706</v>
      </c>
      <c r="U1035" s="162">
        <v>0</v>
      </c>
      <c r="V1035" s="162" t="s">
        <v>2706</v>
      </c>
      <c r="W1035" s="162">
        <v>0</v>
      </c>
      <c r="X1035" s="162" t="s">
        <v>2706</v>
      </c>
      <c r="Y1035" s="162">
        <v>0</v>
      </c>
      <c r="Z1035" s="162" t="s">
        <v>2706</v>
      </c>
      <c r="AA1035" s="162">
        <v>0</v>
      </c>
      <c r="AB1035" s="162" t="s">
        <v>2706</v>
      </c>
      <c r="AC1035" s="162">
        <v>0</v>
      </c>
      <c r="AD1035" s="162" t="s">
        <v>2706</v>
      </c>
      <c r="AE1035" s="162">
        <v>0</v>
      </c>
      <c r="AF1035" s="162" t="s">
        <v>2706</v>
      </c>
      <c r="AG1035" s="162">
        <v>0</v>
      </c>
      <c r="AH1035" s="162" t="s">
        <v>2706</v>
      </c>
      <c r="AI1035" s="162">
        <v>0</v>
      </c>
      <c r="AJ1035" s="162" t="s">
        <v>2706</v>
      </c>
      <c r="AK1035" s="162">
        <v>0</v>
      </c>
      <c r="AL1035" s="162" t="s">
        <v>2706</v>
      </c>
      <c r="AM1035" s="162">
        <v>0</v>
      </c>
      <c r="AN1035" s="162"/>
      <c r="AP1035" s="168"/>
    </row>
    <row r="1036" spans="1:42" s="100" customFormat="1" ht="46.8" x14ac:dyDescent="0.3">
      <c r="A1036" s="161"/>
      <c r="B1036" s="167"/>
      <c r="C1036" s="98" t="s">
        <v>2708</v>
      </c>
      <c r="D1036" s="163"/>
      <c r="E1036" s="26" t="s">
        <v>48</v>
      </c>
      <c r="F1036" s="30" t="s">
        <v>49</v>
      </c>
      <c r="G1036" s="163"/>
      <c r="H1036" s="163"/>
      <c r="I1036" s="163"/>
      <c r="J1036" s="165"/>
      <c r="K1036" s="165"/>
      <c r="L1036" s="165"/>
      <c r="M1036" s="165"/>
      <c r="N1036" s="165"/>
      <c r="O1036" s="163"/>
      <c r="P1036" s="163"/>
      <c r="Q1036" s="163"/>
      <c r="R1036" s="163"/>
      <c r="S1036" s="163"/>
      <c r="T1036" s="163"/>
      <c r="U1036" s="163"/>
      <c r="V1036" s="163"/>
      <c r="W1036" s="163"/>
      <c r="X1036" s="163"/>
      <c r="Y1036" s="163"/>
      <c r="Z1036" s="163"/>
      <c r="AA1036" s="163"/>
      <c r="AB1036" s="163"/>
      <c r="AC1036" s="163"/>
      <c r="AD1036" s="163"/>
      <c r="AE1036" s="163"/>
      <c r="AF1036" s="163"/>
      <c r="AG1036" s="163"/>
      <c r="AH1036" s="163"/>
      <c r="AI1036" s="163"/>
      <c r="AJ1036" s="163"/>
      <c r="AK1036" s="163"/>
      <c r="AL1036" s="163"/>
      <c r="AM1036" s="163"/>
      <c r="AN1036" s="163"/>
      <c r="AP1036" s="169"/>
    </row>
    <row r="1037" spans="1:42" s="100" customFormat="1" ht="46.8" x14ac:dyDescent="0.3">
      <c r="A1037" s="160">
        <v>738</v>
      </c>
      <c r="B1037" s="166" t="s">
        <v>1541</v>
      </c>
      <c r="C1037" s="98" t="s">
        <v>2708</v>
      </c>
      <c r="D1037" s="162" t="s">
        <v>2712</v>
      </c>
      <c r="E1037" s="26" t="s">
        <v>144</v>
      </c>
      <c r="F1037" s="30" t="s">
        <v>49</v>
      </c>
      <c r="G1037" s="162" t="s">
        <v>2704</v>
      </c>
      <c r="H1037" s="162">
        <v>15</v>
      </c>
      <c r="I1037" s="162" t="str">
        <f t="shared" si="86"/>
        <v>с ЛН</v>
      </c>
      <c r="J1037" s="164">
        <v>3</v>
      </c>
      <c r="K1037" s="164" t="s">
        <v>528</v>
      </c>
      <c r="L1037" s="164" t="s">
        <v>528</v>
      </c>
      <c r="M1037" s="164" t="s">
        <v>2705</v>
      </c>
      <c r="N1037" s="164" t="s">
        <v>2705</v>
      </c>
      <c r="O1037" s="162">
        <v>0</v>
      </c>
      <c r="P1037" s="162" t="s">
        <v>2706</v>
      </c>
      <c r="Q1037" s="162">
        <v>0</v>
      </c>
      <c r="R1037" s="162" t="s">
        <v>2706</v>
      </c>
      <c r="S1037" s="162">
        <v>0</v>
      </c>
      <c r="T1037" s="162" t="s">
        <v>2706</v>
      </c>
      <c r="U1037" s="162">
        <v>0</v>
      </c>
      <c r="V1037" s="162" t="s">
        <v>2706</v>
      </c>
      <c r="W1037" s="162">
        <v>0</v>
      </c>
      <c r="X1037" s="162" t="s">
        <v>2706</v>
      </c>
      <c r="Y1037" s="162">
        <v>0</v>
      </c>
      <c r="Z1037" s="162" t="s">
        <v>2706</v>
      </c>
      <c r="AA1037" s="162">
        <v>0</v>
      </c>
      <c r="AB1037" s="162" t="s">
        <v>2706</v>
      </c>
      <c r="AC1037" s="162">
        <v>0</v>
      </c>
      <c r="AD1037" s="162" t="s">
        <v>2706</v>
      </c>
      <c r="AE1037" s="162">
        <v>0</v>
      </c>
      <c r="AF1037" s="162" t="s">
        <v>2706</v>
      </c>
      <c r="AG1037" s="162">
        <v>0</v>
      </c>
      <c r="AH1037" s="162" t="s">
        <v>2706</v>
      </c>
      <c r="AI1037" s="162">
        <v>0</v>
      </c>
      <c r="AJ1037" s="162" t="s">
        <v>2706</v>
      </c>
      <c r="AK1037" s="162">
        <v>0</v>
      </c>
      <c r="AL1037" s="162" t="s">
        <v>2706</v>
      </c>
      <c r="AM1037" s="162">
        <v>0</v>
      </c>
      <c r="AN1037" s="162"/>
      <c r="AP1037" s="168"/>
    </row>
    <row r="1038" spans="1:42" s="100" customFormat="1" ht="46.8" x14ac:dyDescent="0.3">
      <c r="A1038" s="161"/>
      <c r="B1038" s="167"/>
      <c r="C1038" s="98" t="s">
        <v>2708</v>
      </c>
      <c r="D1038" s="163"/>
      <c r="E1038" s="26" t="s">
        <v>48</v>
      </c>
      <c r="F1038" s="30" t="s">
        <v>49</v>
      </c>
      <c r="G1038" s="163"/>
      <c r="H1038" s="163"/>
      <c r="I1038" s="163"/>
      <c r="J1038" s="165"/>
      <c r="K1038" s="165"/>
      <c r="L1038" s="165"/>
      <c r="M1038" s="165"/>
      <c r="N1038" s="165"/>
      <c r="O1038" s="163"/>
      <c r="P1038" s="163"/>
      <c r="Q1038" s="163"/>
      <c r="R1038" s="163"/>
      <c r="S1038" s="163"/>
      <c r="T1038" s="163"/>
      <c r="U1038" s="163"/>
      <c r="V1038" s="163"/>
      <c r="W1038" s="163"/>
      <c r="X1038" s="163"/>
      <c r="Y1038" s="163"/>
      <c r="Z1038" s="163"/>
      <c r="AA1038" s="163"/>
      <c r="AB1038" s="163"/>
      <c r="AC1038" s="163"/>
      <c r="AD1038" s="163"/>
      <c r="AE1038" s="163"/>
      <c r="AF1038" s="163"/>
      <c r="AG1038" s="163"/>
      <c r="AH1038" s="163"/>
      <c r="AI1038" s="163"/>
      <c r="AJ1038" s="163"/>
      <c r="AK1038" s="163"/>
      <c r="AL1038" s="163"/>
      <c r="AM1038" s="163"/>
      <c r="AN1038" s="163"/>
      <c r="AP1038" s="169"/>
    </row>
    <row r="1039" spans="1:42" s="100" customFormat="1" ht="46.8" x14ac:dyDescent="0.3">
      <c r="A1039" s="160">
        <v>739</v>
      </c>
      <c r="B1039" s="166" t="s">
        <v>1543</v>
      </c>
      <c r="C1039" s="98" t="s">
        <v>2708</v>
      </c>
      <c r="D1039" s="162" t="s">
        <v>2712</v>
      </c>
      <c r="E1039" s="26" t="s">
        <v>144</v>
      </c>
      <c r="F1039" s="30" t="s">
        <v>49</v>
      </c>
      <c r="G1039" s="162" t="s">
        <v>2704</v>
      </c>
      <c r="H1039" s="162">
        <v>33</v>
      </c>
      <c r="I1039" s="162" t="str">
        <f t="shared" si="86"/>
        <v>с ЛН</v>
      </c>
      <c r="J1039" s="164">
        <v>5</v>
      </c>
      <c r="K1039" s="164" t="s">
        <v>528</v>
      </c>
      <c r="L1039" s="164" t="s">
        <v>528</v>
      </c>
      <c r="M1039" s="164" t="s">
        <v>2705</v>
      </c>
      <c r="N1039" s="164" t="s">
        <v>2705</v>
      </c>
      <c r="O1039" s="162">
        <v>740</v>
      </c>
      <c r="P1039" s="162" t="s">
        <v>2706</v>
      </c>
      <c r="Q1039" s="162">
        <v>875</v>
      </c>
      <c r="R1039" s="162" t="s">
        <v>2706</v>
      </c>
      <c r="S1039" s="162">
        <v>497</v>
      </c>
      <c r="T1039" s="162" t="s">
        <v>2706</v>
      </c>
      <c r="U1039" s="162">
        <v>866</v>
      </c>
      <c r="V1039" s="162" t="s">
        <v>2706</v>
      </c>
      <c r="W1039" s="162">
        <v>723</v>
      </c>
      <c r="X1039" s="162" t="s">
        <v>2706</v>
      </c>
      <c r="Y1039" s="162">
        <v>548</v>
      </c>
      <c r="Z1039" s="162" t="s">
        <v>2706</v>
      </c>
      <c r="AA1039" s="162">
        <v>708</v>
      </c>
      <c r="AB1039" s="162" t="s">
        <v>2706</v>
      </c>
      <c r="AC1039" s="162">
        <v>753</v>
      </c>
      <c r="AD1039" s="162" t="s">
        <v>2706</v>
      </c>
      <c r="AE1039" s="162">
        <v>832</v>
      </c>
      <c r="AF1039" s="162" t="s">
        <v>2706</v>
      </c>
      <c r="AG1039" s="162">
        <v>1464</v>
      </c>
      <c r="AH1039" s="162" t="s">
        <v>2706</v>
      </c>
      <c r="AI1039" s="162">
        <v>337</v>
      </c>
      <c r="AJ1039" s="162" t="s">
        <v>2706</v>
      </c>
      <c r="AK1039" s="162">
        <v>1260</v>
      </c>
      <c r="AL1039" s="162" t="s">
        <v>2706</v>
      </c>
      <c r="AM1039" s="162">
        <v>8850</v>
      </c>
      <c r="AN1039" s="162"/>
      <c r="AP1039" s="168"/>
    </row>
    <row r="1040" spans="1:42" s="100" customFormat="1" ht="46.8" x14ac:dyDescent="0.3">
      <c r="A1040" s="161"/>
      <c r="B1040" s="167"/>
      <c r="C1040" s="98" t="s">
        <v>2708</v>
      </c>
      <c r="D1040" s="163"/>
      <c r="E1040" s="26" t="s">
        <v>48</v>
      </c>
      <c r="F1040" s="30" t="s">
        <v>49</v>
      </c>
      <c r="G1040" s="163"/>
      <c r="H1040" s="163"/>
      <c r="I1040" s="163"/>
      <c r="J1040" s="165"/>
      <c r="K1040" s="165"/>
      <c r="L1040" s="165"/>
      <c r="M1040" s="165"/>
      <c r="N1040" s="165"/>
      <c r="O1040" s="163"/>
      <c r="P1040" s="163"/>
      <c r="Q1040" s="163"/>
      <c r="R1040" s="163"/>
      <c r="S1040" s="163"/>
      <c r="T1040" s="163"/>
      <c r="U1040" s="163"/>
      <c r="V1040" s="163"/>
      <c r="W1040" s="163"/>
      <c r="X1040" s="163"/>
      <c r="Y1040" s="163"/>
      <c r="Z1040" s="163"/>
      <c r="AA1040" s="163"/>
      <c r="AB1040" s="163"/>
      <c r="AC1040" s="163"/>
      <c r="AD1040" s="163"/>
      <c r="AE1040" s="163"/>
      <c r="AF1040" s="163"/>
      <c r="AG1040" s="163"/>
      <c r="AH1040" s="163"/>
      <c r="AI1040" s="163"/>
      <c r="AJ1040" s="163"/>
      <c r="AK1040" s="163"/>
      <c r="AL1040" s="163"/>
      <c r="AM1040" s="163"/>
      <c r="AN1040" s="163"/>
      <c r="AP1040" s="169"/>
    </row>
    <row r="1041" spans="1:42" s="100" customFormat="1" ht="46.8" x14ac:dyDescent="0.3">
      <c r="A1041" s="160">
        <v>740</v>
      </c>
      <c r="B1041" s="166" t="s">
        <v>1544</v>
      </c>
      <c r="C1041" s="98" t="s">
        <v>2708</v>
      </c>
      <c r="D1041" s="162" t="s">
        <v>2712</v>
      </c>
      <c r="E1041" s="26" t="s">
        <v>144</v>
      </c>
      <c r="F1041" s="30" t="s">
        <v>49</v>
      </c>
      <c r="G1041" s="162" t="s">
        <v>2704</v>
      </c>
      <c r="H1041" s="162">
        <v>33</v>
      </c>
      <c r="I1041" s="162" t="str">
        <f t="shared" si="86"/>
        <v>с ЛН</v>
      </c>
      <c r="J1041" s="164">
        <v>5</v>
      </c>
      <c r="K1041" s="164" t="s">
        <v>528</v>
      </c>
      <c r="L1041" s="164" t="s">
        <v>528</v>
      </c>
      <c r="M1041" s="164" t="s">
        <v>2705</v>
      </c>
      <c r="N1041" s="164" t="s">
        <v>2705</v>
      </c>
      <c r="O1041" s="162">
        <v>414</v>
      </c>
      <c r="P1041" s="162" t="s">
        <v>2706</v>
      </c>
      <c r="Q1041" s="162">
        <v>456</v>
      </c>
      <c r="R1041" s="162" t="s">
        <v>2706</v>
      </c>
      <c r="S1041" s="162">
        <v>223</v>
      </c>
      <c r="T1041" s="162" t="s">
        <v>2706</v>
      </c>
      <c r="U1041" s="162">
        <v>486</v>
      </c>
      <c r="V1041" s="162" t="s">
        <v>2706</v>
      </c>
      <c r="W1041" s="162">
        <v>446</v>
      </c>
      <c r="X1041" s="162" t="s">
        <v>2706</v>
      </c>
      <c r="Y1041" s="162">
        <v>311</v>
      </c>
      <c r="Z1041" s="162" t="s">
        <v>2706</v>
      </c>
      <c r="AA1041" s="162">
        <v>276</v>
      </c>
      <c r="AB1041" s="162" t="s">
        <v>2706</v>
      </c>
      <c r="AC1041" s="162">
        <v>372</v>
      </c>
      <c r="AD1041" s="162" t="s">
        <v>2706</v>
      </c>
      <c r="AE1041" s="162">
        <v>410</v>
      </c>
      <c r="AF1041" s="162" t="s">
        <v>2706</v>
      </c>
      <c r="AG1041" s="162">
        <v>0</v>
      </c>
      <c r="AH1041" s="162" t="s">
        <v>2706</v>
      </c>
      <c r="AI1041" s="162">
        <v>1134</v>
      </c>
      <c r="AJ1041" s="162" t="s">
        <v>2706</v>
      </c>
      <c r="AK1041" s="162">
        <v>503</v>
      </c>
      <c r="AL1041" s="162" t="s">
        <v>2706</v>
      </c>
      <c r="AM1041" s="162">
        <v>4617</v>
      </c>
      <c r="AN1041" s="162"/>
      <c r="AP1041" s="168"/>
    </row>
    <row r="1042" spans="1:42" s="100" customFormat="1" ht="46.8" x14ac:dyDescent="0.3">
      <c r="A1042" s="161"/>
      <c r="B1042" s="167"/>
      <c r="C1042" s="98" t="s">
        <v>2708</v>
      </c>
      <c r="D1042" s="163"/>
      <c r="E1042" s="26" t="s">
        <v>48</v>
      </c>
      <c r="F1042" s="30" t="s">
        <v>49</v>
      </c>
      <c r="G1042" s="163"/>
      <c r="H1042" s="163"/>
      <c r="I1042" s="163"/>
      <c r="J1042" s="165"/>
      <c r="K1042" s="165"/>
      <c r="L1042" s="165"/>
      <c r="M1042" s="165"/>
      <c r="N1042" s="165"/>
      <c r="O1042" s="163"/>
      <c r="P1042" s="163"/>
      <c r="Q1042" s="163"/>
      <c r="R1042" s="163"/>
      <c r="S1042" s="163"/>
      <c r="T1042" s="163"/>
      <c r="U1042" s="163"/>
      <c r="V1042" s="163"/>
      <c r="W1042" s="163"/>
      <c r="X1042" s="163"/>
      <c r="Y1042" s="163"/>
      <c r="Z1042" s="163"/>
      <c r="AA1042" s="163"/>
      <c r="AB1042" s="163"/>
      <c r="AC1042" s="163"/>
      <c r="AD1042" s="163"/>
      <c r="AE1042" s="163"/>
      <c r="AF1042" s="163"/>
      <c r="AG1042" s="163"/>
      <c r="AH1042" s="163"/>
      <c r="AI1042" s="163"/>
      <c r="AJ1042" s="163"/>
      <c r="AK1042" s="163"/>
      <c r="AL1042" s="163"/>
      <c r="AM1042" s="163"/>
      <c r="AN1042" s="163"/>
      <c r="AP1042" s="169"/>
    </row>
    <row r="1043" spans="1:42" s="100" customFormat="1" ht="46.8" x14ac:dyDescent="0.3">
      <c r="A1043" s="160">
        <v>741</v>
      </c>
      <c r="B1043" s="166" t="s">
        <v>1546</v>
      </c>
      <c r="C1043" s="98" t="s">
        <v>2708</v>
      </c>
      <c r="D1043" s="162" t="s">
        <v>2712</v>
      </c>
      <c r="E1043" s="26" t="s">
        <v>144</v>
      </c>
      <c r="F1043" s="30" t="s">
        <v>49</v>
      </c>
      <c r="G1043" s="162" t="s">
        <v>2704</v>
      </c>
      <c r="H1043" s="162">
        <v>22</v>
      </c>
      <c r="I1043" s="162" t="str">
        <f t="shared" ref="I1043:I1079" si="87">G1043</f>
        <v>с ЛН</v>
      </c>
      <c r="J1043" s="164">
        <v>4</v>
      </c>
      <c r="K1043" s="164" t="s">
        <v>528</v>
      </c>
      <c r="L1043" s="164" t="s">
        <v>528</v>
      </c>
      <c r="M1043" s="164" t="s">
        <v>2705</v>
      </c>
      <c r="N1043" s="164" t="s">
        <v>2705</v>
      </c>
      <c r="O1043" s="162">
        <v>469</v>
      </c>
      <c r="P1043" s="162" t="s">
        <v>2706</v>
      </c>
      <c r="Q1043" s="162">
        <v>577</v>
      </c>
      <c r="R1043" s="162" t="s">
        <v>2706</v>
      </c>
      <c r="S1043" s="162">
        <v>290</v>
      </c>
      <c r="T1043" s="162" t="s">
        <v>2706</v>
      </c>
      <c r="U1043" s="162">
        <v>448</v>
      </c>
      <c r="V1043" s="162" t="s">
        <v>2706</v>
      </c>
      <c r="W1043" s="162">
        <v>325</v>
      </c>
      <c r="X1043" s="162" t="s">
        <v>2706</v>
      </c>
      <c r="Y1043" s="162">
        <v>234</v>
      </c>
      <c r="Z1043" s="162" t="s">
        <v>2706</v>
      </c>
      <c r="AA1043" s="162">
        <v>304</v>
      </c>
      <c r="AB1043" s="162" t="s">
        <v>2706</v>
      </c>
      <c r="AC1043" s="162">
        <v>359</v>
      </c>
      <c r="AD1043" s="162" t="s">
        <v>2706</v>
      </c>
      <c r="AE1043" s="162">
        <v>860</v>
      </c>
      <c r="AF1043" s="162" t="s">
        <v>2706</v>
      </c>
      <c r="AG1043" s="162">
        <v>255</v>
      </c>
      <c r="AH1043" s="162" t="s">
        <v>2706</v>
      </c>
      <c r="AI1043" s="162">
        <v>1409</v>
      </c>
      <c r="AJ1043" s="162" t="s">
        <v>2706</v>
      </c>
      <c r="AK1043" s="162">
        <v>321</v>
      </c>
      <c r="AL1043" s="162" t="s">
        <v>2706</v>
      </c>
      <c r="AM1043" s="162">
        <v>5492</v>
      </c>
      <c r="AN1043" s="162"/>
      <c r="AP1043" s="168"/>
    </row>
    <row r="1044" spans="1:42" s="100" customFormat="1" ht="46.8" x14ac:dyDescent="0.3">
      <c r="A1044" s="161"/>
      <c r="B1044" s="167"/>
      <c r="C1044" s="98" t="s">
        <v>2708</v>
      </c>
      <c r="D1044" s="163"/>
      <c r="E1044" s="26" t="s">
        <v>48</v>
      </c>
      <c r="F1044" s="30" t="s">
        <v>49</v>
      </c>
      <c r="G1044" s="163"/>
      <c r="H1044" s="163"/>
      <c r="I1044" s="163"/>
      <c r="J1044" s="165"/>
      <c r="K1044" s="165"/>
      <c r="L1044" s="165"/>
      <c r="M1044" s="165"/>
      <c r="N1044" s="165"/>
      <c r="O1044" s="163"/>
      <c r="P1044" s="163"/>
      <c r="Q1044" s="163"/>
      <c r="R1044" s="163"/>
      <c r="S1044" s="163"/>
      <c r="T1044" s="163"/>
      <c r="U1044" s="163"/>
      <c r="V1044" s="163"/>
      <c r="W1044" s="163"/>
      <c r="X1044" s="163"/>
      <c r="Y1044" s="163"/>
      <c r="Z1044" s="163"/>
      <c r="AA1044" s="163"/>
      <c r="AB1044" s="163"/>
      <c r="AC1044" s="163"/>
      <c r="AD1044" s="163"/>
      <c r="AE1044" s="163"/>
      <c r="AF1044" s="163"/>
      <c r="AG1044" s="163"/>
      <c r="AH1044" s="163"/>
      <c r="AI1044" s="163"/>
      <c r="AJ1044" s="163"/>
      <c r="AK1044" s="163"/>
      <c r="AL1044" s="163"/>
      <c r="AM1044" s="163"/>
      <c r="AN1044" s="163"/>
      <c r="AP1044" s="169"/>
    </row>
    <row r="1045" spans="1:42" s="100" customFormat="1" ht="46.8" x14ac:dyDescent="0.3">
      <c r="A1045" s="160">
        <v>742</v>
      </c>
      <c r="B1045" s="166" t="s">
        <v>1548</v>
      </c>
      <c r="C1045" s="98" t="s">
        <v>2708</v>
      </c>
      <c r="D1045" s="162" t="s">
        <v>2712</v>
      </c>
      <c r="E1045" s="26" t="s">
        <v>144</v>
      </c>
      <c r="F1045" s="30" t="s">
        <v>49</v>
      </c>
      <c r="G1045" s="162" t="s">
        <v>2704</v>
      </c>
      <c r="H1045" s="162">
        <v>36</v>
      </c>
      <c r="I1045" s="162" t="str">
        <f t="shared" si="87"/>
        <v>с ЛН</v>
      </c>
      <c r="J1045" s="164">
        <v>6</v>
      </c>
      <c r="K1045" s="164" t="s">
        <v>528</v>
      </c>
      <c r="L1045" s="164" t="s">
        <v>528</v>
      </c>
      <c r="M1045" s="164" t="s">
        <v>2705</v>
      </c>
      <c r="N1045" s="164" t="s">
        <v>2705</v>
      </c>
      <c r="O1045" s="162">
        <v>1972</v>
      </c>
      <c r="P1045" s="162" t="s">
        <v>2706</v>
      </c>
      <c r="Q1045" s="162">
        <v>2027</v>
      </c>
      <c r="R1045" s="162" t="s">
        <v>2706</v>
      </c>
      <c r="S1045" s="162">
        <v>1047</v>
      </c>
      <c r="T1045" s="162" t="s">
        <v>2706</v>
      </c>
      <c r="U1045" s="162">
        <v>1994</v>
      </c>
      <c r="V1045" s="162" t="s">
        <v>2706</v>
      </c>
      <c r="W1045" s="162">
        <v>1739</v>
      </c>
      <c r="X1045" s="162" t="s">
        <v>2706</v>
      </c>
      <c r="Y1045" s="162">
        <v>1517</v>
      </c>
      <c r="Z1045" s="162" t="s">
        <v>2706</v>
      </c>
      <c r="AA1045" s="162">
        <v>1393</v>
      </c>
      <c r="AB1045" s="162" t="s">
        <v>2706</v>
      </c>
      <c r="AC1045" s="162">
        <v>1669</v>
      </c>
      <c r="AD1045" s="162" t="s">
        <v>2706</v>
      </c>
      <c r="AE1045" s="162">
        <v>1215</v>
      </c>
      <c r="AF1045" s="162" t="s">
        <v>2706</v>
      </c>
      <c r="AG1045" s="162">
        <v>2068</v>
      </c>
      <c r="AH1045" s="162" t="s">
        <v>2706</v>
      </c>
      <c r="AI1045" s="162">
        <v>360</v>
      </c>
      <c r="AJ1045" s="162" t="s">
        <v>2706</v>
      </c>
      <c r="AK1045" s="162">
        <v>1073</v>
      </c>
      <c r="AL1045" s="162" t="s">
        <v>2706</v>
      </c>
      <c r="AM1045" s="162">
        <v>16405</v>
      </c>
      <c r="AN1045" s="162"/>
      <c r="AP1045" s="168"/>
    </row>
    <row r="1046" spans="1:42" s="100" customFormat="1" ht="46.8" x14ac:dyDescent="0.3">
      <c r="A1046" s="161"/>
      <c r="B1046" s="167"/>
      <c r="C1046" s="98" t="s">
        <v>2708</v>
      </c>
      <c r="D1046" s="163"/>
      <c r="E1046" s="26" t="s">
        <v>48</v>
      </c>
      <c r="F1046" s="30" t="s">
        <v>49</v>
      </c>
      <c r="G1046" s="163"/>
      <c r="H1046" s="163"/>
      <c r="I1046" s="163"/>
      <c r="J1046" s="165"/>
      <c r="K1046" s="165"/>
      <c r="L1046" s="165"/>
      <c r="M1046" s="165"/>
      <c r="N1046" s="165"/>
      <c r="O1046" s="163"/>
      <c r="P1046" s="163"/>
      <c r="Q1046" s="163"/>
      <c r="R1046" s="163"/>
      <c r="S1046" s="163"/>
      <c r="T1046" s="163"/>
      <c r="U1046" s="163"/>
      <c r="V1046" s="163"/>
      <c r="W1046" s="163"/>
      <c r="X1046" s="163"/>
      <c r="Y1046" s="163"/>
      <c r="Z1046" s="163"/>
      <c r="AA1046" s="163"/>
      <c r="AB1046" s="163"/>
      <c r="AC1046" s="163"/>
      <c r="AD1046" s="163"/>
      <c r="AE1046" s="163"/>
      <c r="AF1046" s="163"/>
      <c r="AG1046" s="163"/>
      <c r="AH1046" s="163"/>
      <c r="AI1046" s="163"/>
      <c r="AJ1046" s="163"/>
      <c r="AK1046" s="163"/>
      <c r="AL1046" s="163"/>
      <c r="AM1046" s="163"/>
      <c r="AN1046" s="163"/>
      <c r="AP1046" s="169"/>
    </row>
    <row r="1047" spans="1:42" s="100" customFormat="1" ht="46.8" x14ac:dyDescent="0.3">
      <c r="A1047" s="160">
        <v>743</v>
      </c>
      <c r="B1047" s="166" t="s">
        <v>1549</v>
      </c>
      <c r="C1047" s="98" t="s">
        <v>2708</v>
      </c>
      <c r="D1047" s="162" t="s">
        <v>2712</v>
      </c>
      <c r="E1047" s="26" t="s">
        <v>144</v>
      </c>
      <c r="F1047" s="30" t="s">
        <v>49</v>
      </c>
      <c r="G1047" s="162"/>
      <c r="H1047" s="162"/>
      <c r="I1047" s="162"/>
      <c r="J1047" s="164"/>
      <c r="K1047" s="164" t="s">
        <v>528</v>
      </c>
      <c r="L1047" s="164" t="s">
        <v>528</v>
      </c>
      <c r="M1047" s="164" t="s">
        <v>2705</v>
      </c>
      <c r="N1047" s="164" t="s">
        <v>2705</v>
      </c>
      <c r="O1047" s="162">
        <v>170</v>
      </c>
      <c r="P1047" s="162" t="s">
        <v>2706</v>
      </c>
      <c r="Q1047" s="162">
        <v>191</v>
      </c>
      <c r="R1047" s="162" t="s">
        <v>2706</v>
      </c>
      <c r="S1047" s="162">
        <v>95</v>
      </c>
      <c r="T1047" s="162" t="s">
        <v>2706</v>
      </c>
      <c r="U1047" s="162">
        <v>182</v>
      </c>
      <c r="V1047" s="162" t="s">
        <v>2706</v>
      </c>
      <c r="W1047" s="162">
        <v>106</v>
      </c>
      <c r="X1047" s="162" t="s">
        <v>2706</v>
      </c>
      <c r="Y1047" s="162">
        <v>75</v>
      </c>
      <c r="Z1047" s="162" t="s">
        <v>2706</v>
      </c>
      <c r="AA1047" s="162">
        <v>191</v>
      </c>
      <c r="AB1047" s="162" t="s">
        <v>2706</v>
      </c>
      <c r="AC1047" s="162">
        <v>157</v>
      </c>
      <c r="AD1047" s="162" t="s">
        <v>2706</v>
      </c>
      <c r="AE1047" s="162">
        <v>130</v>
      </c>
      <c r="AF1047" s="162" t="s">
        <v>2706</v>
      </c>
      <c r="AG1047" s="162">
        <v>118</v>
      </c>
      <c r="AH1047" s="162" t="s">
        <v>2706</v>
      </c>
      <c r="AI1047" s="162">
        <v>535</v>
      </c>
      <c r="AJ1047" s="162" t="s">
        <v>2706</v>
      </c>
      <c r="AK1047" s="162">
        <v>770</v>
      </c>
      <c r="AL1047" s="162" t="s">
        <v>2706</v>
      </c>
      <c r="AM1047" s="162">
        <v>2563</v>
      </c>
      <c r="AN1047" s="162"/>
      <c r="AP1047" s="168"/>
    </row>
    <row r="1048" spans="1:42" s="100" customFormat="1" ht="46.8" x14ac:dyDescent="0.3">
      <c r="A1048" s="161"/>
      <c r="B1048" s="167"/>
      <c r="C1048" s="98" t="s">
        <v>2708</v>
      </c>
      <c r="D1048" s="163"/>
      <c r="E1048" s="26" t="s">
        <v>48</v>
      </c>
      <c r="F1048" s="30" t="s">
        <v>49</v>
      </c>
      <c r="G1048" s="163"/>
      <c r="H1048" s="163"/>
      <c r="I1048" s="163"/>
      <c r="J1048" s="165"/>
      <c r="K1048" s="165"/>
      <c r="L1048" s="165"/>
      <c r="M1048" s="165"/>
      <c r="N1048" s="165"/>
      <c r="O1048" s="163"/>
      <c r="P1048" s="163"/>
      <c r="Q1048" s="163"/>
      <c r="R1048" s="163"/>
      <c r="S1048" s="163"/>
      <c r="T1048" s="163"/>
      <c r="U1048" s="163"/>
      <c r="V1048" s="163"/>
      <c r="W1048" s="163"/>
      <c r="X1048" s="163"/>
      <c r="Y1048" s="163"/>
      <c r="Z1048" s="163"/>
      <c r="AA1048" s="163"/>
      <c r="AB1048" s="163"/>
      <c r="AC1048" s="163"/>
      <c r="AD1048" s="163"/>
      <c r="AE1048" s="163"/>
      <c r="AF1048" s="163"/>
      <c r="AG1048" s="163"/>
      <c r="AH1048" s="163"/>
      <c r="AI1048" s="163"/>
      <c r="AJ1048" s="163"/>
      <c r="AK1048" s="163"/>
      <c r="AL1048" s="163"/>
      <c r="AM1048" s="163"/>
      <c r="AN1048" s="163"/>
      <c r="AP1048" s="169"/>
    </row>
    <row r="1049" spans="1:42" s="100" customFormat="1" ht="46.8" x14ac:dyDescent="0.3">
      <c r="A1049" s="160">
        <v>744</v>
      </c>
      <c r="B1049" s="166" t="s">
        <v>1550</v>
      </c>
      <c r="C1049" s="98" t="s">
        <v>2708</v>
      </c>
      <c r="D1049" s="162" t="s">
        <v>2712</v>
      </c>
      <c r="E1049" s="26" t="s">
        <v>144</v>
      </c>
      <c r="F1049" s="30" t="s">
        <v>49</v>
      </c>
      <c r="G1049" s="162" t="s">
        <v>2704</v>
      </c>
      <c r="H1049" s="162">
        <v>16</v>
      </c>
      <c r="I1049" s="162" t="str">
        <f t="shared" si="87"/>
        <v>с ЛН</v>
      </c>
      <c r="J1049" s="164">
        <v>3</v>
      </c>
      <c r="K1049" s="164" t="s">
        <v>528</v>
      </c>
      <c r="L1049" s="164" t="s">
        <v>528</v>
      </c>
      <c r="M1049" s="164" t="s">
        <v>2705</v>
      </c>
      <c r="N1049" s="164" t="s">
        <v>2705</v>
      </c>
      <c r="O1049" s="162">
        <v>606</v>
      </c>
      <c r="P1049" s="162" t="s">
        <v>2706</v>
      </c>
      <c r="Q1049" s="162">
        <v>614</v>
      </c>
      <c r="R1049" s="162" t="s">
        <v>2706</v>
      </c>
      <c r="S1049" s="162">
        <v>275</v>
      </c>
      <c r="T1049" s="162" t="s">
        <v>2706</v>
      </c>
      <c r="U1049" s="162">
        <v>536</v>
      </c>
      <c r="V1049" s="162" t="s">
        <v>2706</v>
      </c>
      <c r="W1049" s="162">
        <v>454</v>
      </c>
      <c r="X1049" s="162" t="s">
        <v>2706</v>
      </c>
      <c r="Y1049" s="162">
        <v>310</v>
      </c>
      <c r="Z1049" s="162" t="s">
        <v>2706</v>
      </c>
      <c r="AA1049" s="162">
        <v>300</v>
      </c>
      <c r="AB1049" s="162" t="s">
        <v>2706</v>
      </c>
      <c r="AC1049" s="162">
        <v>329</v>
      </c>
      <c r="AD1049" s="162" t="s">
        <v>2706</v>
      </c>
      <c r="AE1049" s="162">
        <v>372</v>
      </c>
      <c r="AF1049" s="162" t="s">
        <v>2706</v>
      </c>
      <c r="AG1049" s="162">
        <v>316</v>
      </c>
      <c r="AH1049" s="162" t="s">
        <v>2706</v>
      </c>
      <c r="AI1049" s="162">
        <v>532</v>
      </c>
      <c r="AJ1049" s="162" t="s">
        <v>2706</v>
      </c>
      <c r="AK1049" s="162">
        <v>525</v>
      </c>
      <c r="AL1049" s="162" t="s">
        <v>2706</v>
      </c>
      <c r="AM1049" s="162">
        <v>4840</v>
      </c>
      <c r="AN1049" s="162"/>
      <c r="AP1049" s="168"/>
    </row>
    <row r="1050" spans="1:42" s="100" customFormat="1" ht="46.8" x14ac:dyDescent="0.3">
      <c r="A1050" s="161"/>
      <c r="B1050" s="167"/>
      <c r="C1050" s="98" t="s">
        <v>2708</v>
      </c>
      <c r="D1050" s="163"/>
      <c r="E1050" s="26" t="s">
        <v>48</v>
      </c>
      <c r="F1050" s="30" t="s">
        <v>49</v>
      </c>
      <c r="G1050" s="163"/>
      <c r="H1050" s="163"/>
      <c r="I1050" s="163"/>
      <c r="J1050" s="165"/>
      <c r="K1050" s="165"/>
      <c r="L1050" s="165"/>
      <c r="M1050" s="165"/>
      <c r="N1050" s="165"/>
      <c r="O1050" s="163"/>
      <c r="P1050" s="163"/>
      <c r="Q1050" s="163"/>
      <c r="R1050" s="163"/>
      <c r="S1050" s="163"/>
      <c r="T1050" s="163"/>
      <c r="U1050" s="163"/>
      <c r="V1050" s="163"/>
      <c r="W1050" s="163"/>
      <c r="X1050" s="163"/>
      <c r="Y1050" s="163"/>
      <c r="Z1050" s="163"/>
      <c r="AA1050" s="163"/>
      <c r="AB1050" s="163"/>
      <c r="AC1050" s="163"/>
      <c r="AD1050" s="163"/>
      <c r="AE1050" s="163"/>
      <c r="AF1050" s="163"/>
      <c r="AG1050" s="163"/>
      <c r="AH1050" s="163"/>
      <c r="AI1050" s="163"/>
      <c r="AJ1050" s="163"/>
      <c r="AK1050" s="163"/>
      <c r="AL1050" s="163"/>
      <c r="AM1050" s="163"/>
      <c r="AN1050" s="163"/>
      <c r="AP1050" s="169"/>
    </row>
    <row r="1051" spans="1:42" s="100" customFormat="1" ht="46.8" x14ac:dyDescent="0.3">
      <c r="A1051" s="160">
        <v>745</v>
      </c>
      <c r="B1051" s="166" t="s">
        <v>1551</v>
      </c>
      <c r="C1051" s="98" t="s">
        <v>2708</v>
      </c>
      <c r="D1051" s="162" t="s">
        <v>2712</v>
      </c>
      <c r="E1051" s="26" t="s">
        <v>144</v>
      </c>
      <c r="F1051" s="30" t="s">
        <v>49</v>
      </c>
      <c r="G1051" s="162" t="s">
        <v>2704</v>
      </c>
      <c r="H1051" s="162">
        <v>24</v>
      </c>
      <c r="I1051" s="162" t="str">
        <f t="shared" si="87"/>
        <v>с ЛН</v>
      </c>
      <c r="J1051" s="164">
        <v>5</v>
      </c>
      <c r="K1051" s="164" t="s">
        <v>528</v>
      </c>
      <c r="L1051" s="164" t="s">
        <v>528</v>
      </c>
      <c r="M1051" s="164" t="s">
        <v>2705</v>
      </c>
      <c r="N1051" s="164" t="s">
        <v>2705</v>
      </c>
      <c r="O1051" s="162">
        <v>0</v>
      </c>
      <c r="P1051" s="162" t="s">
        <v>2706</v>
      </c>
      <c r="Q1051" s="162">
        <v>0</v>
      </c>
      <c r="R1051" s="162" t="s">
        <v>2706</v>
      </c>
      <c r="S1051" s="162">
        <v>0</v>
      </c>
      <c r="T1051" s="162" t="s">
        <v>2706</v>
      </c>
      <c r="U1051" s="162">
        <v>0</v>
      </c>
      <c r="V1051" s="162" t="s">
        <v>2706</v>
      </c>
      <c r="W1051" s="162">
        <v>0</v>
      </c>
      <c r="X1051" s="162" t="s">
        <v>2706</v>
      </c>
      <c r="Y1051" s="162">
        <v>0</v>
      </c>
      <c r="Z1051" s="162" t="s">
        <v>2706</v>
      </c>
      <c r="AA1051" s="162">
        <v>0</v>
      </c>
      <c r="AB1051" s="162" t="s">
        <v>2706</v>
      </c>
      <c r="AC1051" s="162">
        <v>0</v>
      </c>
      <c r="AD1051" s="162" t="s">
        <v>2706</v>
      </c>
      <c r="AE1051" s="162">
        <v>0</v>
      </c>
      <c r="AF1051" s="162" t="s">
        <v>2706</v>
      </c>
      <c r="AG1051" s="162">
        <v>0</v>
      </c>
      <c r="AH1051" s="162" t="s">
        <v>2706</v>
      </c>
      <c r="AI1051" s="162">
        <v>0</v>
      </c>
      <c r="AJ1051" s="162" t="s">
        <v>2706</v>
      </c>
      <c r="AK1051" s="162">
        <v>0</v>
      </c>
      <c r="AL1051" s="162" t="s">
        <v>2706</v>
      </c>
      <c r="AM1051" s="162">
        <v>0</v>
      </c>
      <c r="AN1051" s="162"/>
      <c r="AP1051" s="168"/>
    </row>
    <row r="1052" spans="1:42" s="100" customFormat="1" ht="46.8" x14ac:dyDescent="0.3">
      <c r="A1052" s="161"/>
      <c r="B1052" s="167"/>
      <c r="C1052" s="98" t="s">
        <v>2708</v>
      </c>
      <c r="D1052" s="163"/>
      <c r="E1052" s="26" t="s">
        <v>48</v>
      </c>
      <c r="F1052" s="30" t="s">
        <v>49</v>
      </c>
      <c r="G1052" s="163"/>
      <c r="H1052" s="163"/>
      <c r="I1052" s="163"/>
      <c r="J1052" s="165"/>
      <c r="K1052" s="165"/>
      <c r="L1052" s="165"/>
      <c r="M1052" s="165"/>
      <c r="N1052" s="165"/>
      <c r="O1052" s="163"/>
      <c r="P1052" s="163"/>
      <c r="Q1052" s="163"/>
      <c r="R1052" s="163"/>
      <c r="S1052" s="163"/>
      <c r="T1052" s="163"/>
      <c r="U1052" s="163"/>
      <c r="V1052" s="163"/>
      <c r="W1052" s="163"/>
      <c r="X1052" s="163"/>
      <c r="Y1052" s="163"/>
      <c r="Z1052" s="163"/>
      <c r="AA1052" s="163"/>
      <c r="AB1052" s="163"/>
      <c r="AC1052" s="163"/>
      <c r="AD1052" s="163"/>
      <c r="AE1052" s="163"/>
      <c r="AF1052" s="163"/>
      <c r="AG1052" s="163"/>
      <c r="AH1052" s="163"/>
      <c r="AI1052" s="163"/>
      <c r="AJ1052" s="163"/>
      <c r="AK1052" s="163"/>
      <c r="AL1052" s="163"/>
      <c r="AM1052" s="163"/>
      <c r="AN1052" s="163"/>
      <c r="AP1052" s="169"/>
    </row>
    <row r="1053" spans="1:42" s="100" customFormat="1" ht="46.8" x14ac:dyDescent="0.3">
      <c r="A1053" s="160">
        <v>746</v>
      </c>
      <c r="B1053" s="166" t="s">
        <v>1553</v>
      </c>
      <c r="C1053" s="98" t="s">
        <v>2708</v>
      </c>
      <c r="D1053" s="162" t="s">
        <v>2712</v>
      </c>
      <c r="E1053" s="26" t="s">
        <v>144</v>
      </c>
      <c r="F1053" s="30" t="s">
        <v>49</v>
      </c>
      <c r="G1053" s="162" t="s">
        <v>2704</v>
      </c>
      <c r="H1053" s="162">
        <v>24</v>
      </c>
      <c r="I1053" s="162" t="str">
        <f t="shared" si="87"/>
        <v>с ЛН</v>
      </c>
      <c r="J1053" s="164">
        <v>6</v>
      </c>
      <c r="K1053" s="164" t="s">
        <v>529</v>
      </c>
      <c r="L1053" s="164" t="s">
        <v>529</v>
      </c>
      <c r="M1053" s="164" t="s">
        <v>2705</v>
      </c>
      <c r="N1053" s="164" t="s">
        <v>2705</v>
      </c>
      <c r="O1053" s="162">
        <v>587</v>
      </c>
      <c r="P1053" s="162" t="s">
        <v>2706</v>
      </c>
      <c r="Q1053" s="162">
        <v>537</v>
      </c>
      <c r="R1053" s="162" t="s">
        <v>2706</v>
      </c>
      <c r="S1053" s="162">
        <v>342</v>
      </c>
      <c r="T1053" s="162" t="s">
        <v>2706</v>
      </c>
      <c r="U1053" s="162">
        <v>458</v>
      </c>
      <c r="V1053" s="162" t="s">
        <v>2706</v>
      </c>
      <c r="W1053" s="162">
        <v>277</v>
      </c>
      <c r="X1053" s="162" t="s">
        <v>2706</v>
      </c>
      <c r="Y1053" s="162">
        <v>193</v>
      </c>
      <c r="Z1053" s="162" t="s">
        <v>2706</v>
      </c>
      <c r="AA1053" s="162">
        <v>157</v>
      </c>
      <c r="AB1053" s="162" t="s">
        <v>2706</v>
      </c>
      <c r="AC1053" s="162">
        <v>240</v>
      </c>
      <c r="AD1053" s="162" t="s">
        <v>2706</v>
      </c>
      <c r="AE1053" s="162">
        <v>386</v>
      </c>
      <c r="AF1053" s="162" t="s">
        <v>2706</v>
      </c>
      <c r="AG1053" s="162">
        <v>277</v>
      </c>
      <c r="AH1053" s="162" t="s">
        <v>2706</v>
      </c>
      <c r="AI1053" s="162">
        <v>160</v>
      </c>
      <c r="AJ1053" s="162" t="s">
        <v>2706</v>
      </c>
      <c r="AK1053" s="162">
        <v>296</v>
      </c>
      <c r="AL1053" s="162" t="s">
        <v>2706</v>
      </c>
      <c r="AM1053" s="162">
        <v>3670</v>
      </c>
      <c r="AN1053" s="162"/>
      <c r="AP1053" s="168"/>
    </row>
    <row r="1054" spans="1:42" s="100" customFormat="1" ht="46.8" x14ac:dyDescent="0.3">
      <c r="A1054" s="161"/>
      <c r="B1054" s="167"/>
      <c r="C1054" s="98" t="s">
        <v>2708</v>
      </c>
      <c r="D1054" s="163"/>
      <c r="E1054" s="26" t="s">
        <v>48</v>
      </c>
      <c r="F1054" s="30" t="s">
        <v>49</v>
      </c>
      <c r="G1054" s="163"/>
      <c r="H1054" s="163"/>
      <c r="I1054" s="163"/>
      <c r="J1054" s="165"/>
      <c r="K1054" s="165"/>
      <c r="L1054" s="165"/>
      <c r="M1054" s="165"/>
      <c r="N1054" s="165"/>
      <c r="O1054" s="163"/>
      <c r="P1054" s="163"/>
      <c r="Q1054" s="163"/>
      <c r="R1054" s="163"/>
      <c r="S1054" s="163"/>
      <c r="T1054" s="163"/>
      <c r="U1054" s="163"/>
      <c r="V1054" s="163"/>
      <c r="W1054" s="163"/>
      <c r="X1054" s="163"/>
      <c r="Y1054" s="163"/>
      <c r="Z1054" s="163"/>
      <c r="AA1054" s="163"/>
      <c r="AB1054" s="163"/>
      <c r="AC1054" s="163"/>
      <c r="AD1054" s="163"/>
      <c r="AE1054" s="163"/>
      <c r="AF1054" s="163"/>
      <c r="AG1054" s="163"/>
      <c r="AH1054" s="163"/>
      <c r="AI1054" s="163"/>
      <c r="AJ1054" s="163"/>
      <c r="AK1054" s="163"/>
      <c r="AL1054" s="163"/>
      <c r="AM1054" s="163"/>
      <c r="AN1054" s="163"/>
      <c r="AP1054" s="169"/>
    </row>
    <row r="1055" spans="1:42" s="100" customFormat="1" ht="46.8" x14ac:dyDescent="0.3">
      <c r="A1055" s="160">
        <v>747</v>
      </c>
      <c r="B1055" s="166" t="s">
        <v>1555</v>
      </c>
      <c r="C1055" s="98" t="s">
        <v>2708</v>
      </c>
      <c r="D1055" s="162" t="s">
        <v>2712</v>
      </c>
      <c r="E1055" s="26" t="s">
        <v>144</v>
      </c>
      <c r="F1055" s="30" t="s">
        <v>49</v>
      </c>
      <c r="G1055" s="162" t="s">
        <v>2704</v>
      </c>
      <c r="H1055" s="162">
        <v>13</v>
      </c>
      <c r="I1055" s="162" t="str">
        <f t="shared" si="87"/>
        <v>с ЛН</v>
      </c>
      <c r="J1055" s="164">
        <v>3</v>
      </c>
      <c r="K1055" s="164" t="s">
        <v>528</v>
      </c>
      <c r="L1055" s="164" t="s">
        <v>528</v>
      </c>
      <c r="M1055" s="164" t="s">
        <v>2705</v>
      </c>
      <c r="N1055" s="164" t="s">
        <v>2705</v>
      </c>
      <c r="O1055" s="162">
        <v>0</v>
      </c>
      <c r="P1055" s="162" t="s">
        <v>2706</v>
      </c>
      <c r="Q1055" s="162">
        <v>0</v>
      </c>
      <c r="R1055" s="162" t="s">
        <v>2706</v>
      </c>
      <c r="S1055" s="162">
        <v>0</v>
      </c>
      <c r="T1055" s="162" t="s">
        <v>2706</v>
      </c>
      <c r="U1055" s="162">
        <v>0</v>
      </c>
      <c r="V1055" s="162" t="s">
        <v>2706</v>
      </c>
      <c r="W1055" s="162">
        <v>0</v>
      </c>
      <c r="X1055" s="162" t="s">
        <v>2706</v>
      </c>
      <c r="Y1055" s="162">
        <v>0</v>
      </c>
      <c r="Z1055" s="162" t="s">
        <v>2706</v>
      </c>
      <c r="AA1055" s="162">
        <v>0</v>
      </c>
      <c r="AB1055" s="162" t="s">
        <v>2706</v>
      </c>
      <c r="AC1055" s="162">
        <v>0</v>
      </c>
      <c r="AD1055" s="162" t="s">
        <v>2706</v>
      </c>
      <c r="AE1055" s="162">
        <v>0</v>
      </c>
      <c r="AF1055" s="162" t="s">
        <v>2706</v>
      </c>
      <c r="AG1055" s="162">
        <v>0</v>
      </c>
      <c r="AH1055" s="162" t="s">
        <v>2706</v>
      </c>
      <c r="AI1055" s="162">
        <v>0</v>
      </c>
      <c r="AJ1055" s="162" t="s">
        <v>2706</v>
      </c>
      <c r="AK1055" s="162">
        <v>0</v>
      </c>
      <c r="AL1055" s="162" t="s">
        <v>2706</v>
      </c>
      <c r="AM1055" s="162">
        <v>0</v>
      </c>
      <c r="AN1055" s="162"/>
      <c r="AP1055" s="168"/>
    </row>
    <row r="1056" spans="1:42" s="100" customFormat="1" ht="46.8" x14ac:dyDescent="0.3">
      <c r="A1056" s="161"/>
      <c r="B1056" s="167"/>
      <c r="C1056" s="98" t="s">
        <v>2708</v>
      </c>
      <c r="D1056" s="163"/>
      <c r="E1056" s="26" t="s">
        <v>48</v>
      </c>
      <c r="F1056" s="30" t="s">
        <v>49</v>
      </c>
      <c r="G1056" s="163"/>
      <c r="H1056" s="163"/>
      <c r="I1056" s="163"/>
      <c r="J1056" s="165"/>
      <c r="K1056" s="165"/>
      <c r="L1056" s="165"/>
      <c r="M1056" s="165"/>
      <c r="N1056" s="165"/>
      <c r="O1056" s="163"/>
      <c r="P1056" s="163"/>
      <c r="Q1056" s="163"/>
      <c r="R1056" s="163"/>
      <c r="S1056" s="163"/>
      <c r="T1056" s="163"/>
      <c r="U1056" s="163"/>
      <c r="V1056" s="163"/>
      <c r="W1056" s="163"/>
      <c r="X1056" s="163"/>
      <c r="Y1056" s="163"/>
      <c r="Z1056" s="163"/>
      <c r="AA1056" s="163"/>
      <c r="AB1056" s="163"/>
      <c r="AC1056" s="163"/>
      <c r="AD1056" s="163"/>
      <c r="AE1056" s="163"/>
      <c r="AF1056" s="163"/>
      <c r="AG1056" s="163"/>
      <c r="AH1056" s="163"/>
      <c r="AI1056" s="163"/>
      <c r="AJ1056" s="163"/>
      <c r="AK1056" s="163"/>
      <c r="AL1056" s="163"/>
      <c r="AM1056" s="163"/>
      <c r="AN1056" s="163"/>
      <c r="AP1056" s="169"/>
    </row>
    <row r="1057" spans="1:42" s="100" customFormat="1" ht="46.8" x14ac:dyDescent="0.3">
      <c r="A1057" s="160">
        <v>748</v>
      </c>
      <c r="B1057" s="166" t="s">
        <v>1556</v>
      </c>
      <c r="C1057" s="98" t="s">
        <v>2708</v>
      </c>
      <c r="D1057" s="162" t="s">
        <v>2712</v>
      </c>
      <c r="E1057" s="26" t="s">
        <v>144</v>
      </c>
      <c r="F1057" s="30" t="s">
        <v>49</v>
      </c>
      <c r="G1057" s="162" t="s">
        <v>2704</v>
      </c>
      <c r="H1057" s="162">
        <v>22</v>
      </c>
      <c r="I1057" s="162" t="str">
        <f t="shared" si="87"/>
        <v>с ЛН</v>
      </c>
      <c r="J1057" s="164">
        <v>4</v>
      </c>
      <c r="K1057" s="164" t="s">
        <v>528</v>
      </c>
      <c r="L1057" s="164" t="s">
        <v>528</v>
      </c>
      <c r="M1057" s="164" t="s">
        <v>2705</v>
      </c>
      <c r="N1057" s="164" t="s">
        <v>2705</v>
      </c>
      <c r="O1057" s="162">
        <v>0</v>
      </c>
      <c r="P1057" s="162" t="s">
        <v>2706</v>
      </c>
      <c r="Q1057" s="162">
        <v>0</v>
      </c>
      <c r="R1057" s="162" t="s">
        <v>2706</v>
      </c>
      <c r="S1057" s="162">
        <v>0</v>
      </c>
      <c r="T1057" s="162" t="s">
        <v>2706</v>
      </c>
      <c r="U1057" s="162">
        <v>0</v>
      </c>
      <c r="V1057" s="162" t="s">
        <v>2706</v>
      </c>
      <c r="W1057" s="162">
        <v>0</v>
      </c>
      <c r="X1057" s="162" t="s">
        <v>2706</v>
      </c>
      <c r="Y1057" s="162">
        <v>0</v>
      </c>
      <c r="Z1057" s="162" t="s">
        <v>2706</v>
      </c>
      <c r="AA1057" s="162">
        <v>0</v>
      </c>
      <c r="AB1057" s="162" t="s">
        <v>2706</v>
      </c>
      <c r="AC1057" s="162">
        <v>0</v>
      </c>
      <c r="AD1057" s="162" t="s">
        <v>2706</v>
      </c>
      <c r="AE1057" s="162">
        <v>0</v>
      </c>
      <c r="AF1057" s="162" t="s">
        <v>2706</v>
      </c>
      <c r="AG1057" s="162">
        <v>0</v>
      </c>
      <c r="AH1057" s="162" t="s">
        <v>2706</v>
      </c>
      <c r="AI1057" s="162">
        <v>0</v>
      </c>
      <c r="AJ1057" s="162" t="s">
        <v>2706</v>
      </c>
      <c r="AK1057" s="162">
        <v>0</v>
      </c>
      <c r="AL1057" s="162" t="s">
        <v>2706</v>
      </c>
      <c r="AM1057" s="162">
        <v>0</v>
      </c>
      <c r="AN1057" s="162"/>
      <c r="AP1057" s="168"/>
    </row>
    <row r="1058" spans="1:42" s="100" customFormat="1" ht="46.8" x14ac:dyDescent="0.3">
      <c r="A1058" s="161"/>
      <c r="B1058" s="167"/>
      <c r="C1058" s="98" t="s">
        <v>2708</v>
      </c>
      <c r="D1058" s="163"/>
      <c r="E1058" s="26" t="s">
        <v>48</v>
      </c>
      <c r="F1058" s="30" t="s">
        <v>49</v>
      </c>
      <c r="G1058" s="163"/>
      <c r="H1058" s="163"/>
      <c r="I1058" s="163"/>
      <c r="J1058" s="165"/>
      <c r="K1058" s="165"/>
      <c r="L1058" s="165"/>
      <c r="M1058" s="165"/>
      <c r="N1058" s="165"/>
      <c r="O1058" s="163"/>
      <c r="P1058" s="163"/>
      <c r="Q1058" s="163"/>
      <c r="R1058" s="163"/>
      <c r="S1058" s="163"/>
      <c r="T1058" s="163"/>
      <c r="U1058" s="163"/>
      <c r="V1058" s="163"/>
      <c r="W1058" s="163"/>
      <c r="X1058" s="163"/>
      <c r="Y1058" s="163"/>
      <c r="Z1058" s="163"/>
      <c r="AA1058" s="163"/>
      <c r="AB1058" s="163"/>
      <c r="AC1058" s="163"/>
      <c r="AD1058" s="163"/>
      <c r="AE1058" s="163"/>
      <c r="AF1058" s="163"/>
      <c r="AG1058" s="163"/>
      <c r="AH1058" s="163"/>
      <c r="AI1058" s="163"/>
      <c r="AJ1058" s="163"/>
      <c r="AK1058" s="163"/>
      <c r="AL1058" s="163"/>
      <c r="AM1058" s="163"/>
      <c r="AN1058" s="163"/>
      <c r="AP1058" s="169"/>
    </row>
    <row r="1059" spans="1:42" s="100" customFormat="1" ht="46.8" x14ac:dyDescent="0.3">
      <c r="A1059" s="160">
        <v>749</v>
      </c>
      <c r="B1059" s="166" t="s">
        <v>1558</v>
      </c>
      <c r="C1059" s="98" t="s">
        <v>2708</v>
      </c>
      <c r="D1059" s="162" t="s">
        <v>2712</v>
      </c>
      <c r="E1059" s="26" t="s">
        <v>144</v>
      </c>
      <c r="F1059" s="30" t="s">
        <v>49</v>
      </c>
      <c r="G1059" s="162" t="s">
        <v>2704</v>
      </c>
      <c r="H1059" s="162">
        <v>22</v>
      </c>
      <c r="I1059" s="162" t="str">
        <f t="shared" si="87"/>
        <v>с ЛН</v>
      </c>
      <c r="J1059" s="164">
        <v>4</v>
      </c>
      <c r="K1059" s="164" t="s">
        <v>528</v>
      </c>
      <c r="L1059" s="164" t="s">
        <v>528</v>
      </c>
      <c r="M1059" s="164" t="s">
        <v>2705</v>
      </c>
      <c r="N1059" s="164" t="s">
        <v>2705</v>
      </c>
      <c r="O1059" s="162">
        <v>497</v>
      </c>
      <c r="P1059" s="162" t="s">
        <v>2706</v>
      </c>
      <c r="Q1059" s="162">
        <v>552</v>
      </c>
      <c r="R1059" s="162" t="s">
        <v>2706</v>
      </c>
      <c r="S1059" s="162">
        <v>282</v>
      </c>
      <c r="T1059" s="162" t="s">
        <v>2706</v>
      </c>
      <c r="U1059" s="162">
        <v>562</v>
      </c>
      <c r="V1059" s="162" t="s">
        <v>2706</v>
      </c>
      <c r="W1059" s="162">
        <v>475</v>
      </c>
      <c r="X1059" s="162" t="s">
        <v>2706</v>
      </c>
      <c r="Y1059" s="162">
        <v>428</v>
      </c>
      <c r="Z1059" s="162" t="s">
        <v>2706</v>
      </c>
      <c r="AA1059" s="162">
        <v>728</v>
      </c>
      <c r="AB1059" s="162" t="s">
        <v>2706</v>
      </c>
      <c r="AC1059" s="162">
        <v>599</v>
      </c>
      <c r="AD1059" s="162" t="s">
        <v>2706</v>
      </c>
      <c r="AE1059" s="162">
        <v>491</v>
      </c>
      <c r="AF1059" s="162" t="s">
        <v>2706</v>
      </c>
      <c r="AG1059" s="162">
        <v>344</v>
      </c>
      <c r="AH1059" s="162" t="s">
        <v>2706</v>
      </c>
      <c r="AI1059" s="162">
        <v>46</v>
      </c>
      <c r="AJ1059" s="162" t="s">
        <v>2706</v>
      </c>
      <c r="AK1059" s="162">
        <v>483</v>
      </c>
      <c r="AL1059" s="162" t="s">
        <v>2706</v>
      </c>
      <c r="AM1059" s="162">
        <v>4888</v>
      </c>
      <c r="AN1059" s="162"/>
      <c r="AP1059" s="168"/>
    </row>
    <row r="1060" spans="1:42" s="100" customFormat="1" ht="46.8" x14ac:dyDescent="0.3">
      <c r="A1060" s="161"/>
      <c r="B1060" s="167"/>
      <c r="C1060" s="98" t="s">
        <v>2708</v>
      </c>
      <c r="D1060" s="163"/>
      <c r="E1060" s="26" t="s">
        <v>48</v>
      </c>
      <c r="F1060" s="30" t="s">
        <v>49</v>
      </c>
      <c r="G1060" s="163"/>
      <c r="H1060" s="163"/>
      <c r="I1060" s="163"/>
      <c r="J1060" s="165"/>
      <c r="K1060" s="165"/>
      <c r="L1060" s="165"/>
      <c r="M1060" s="165"/>
      <c r="N1060" s="165"/>
      <c r="O1060" s="163"/>
      <c r="P1060" s="163"/>
      <c r="Q1060" s="163"/>
      <c r="R1060" s="163"/>
      <c r="S1060" s="163"/>
      <c r="T1060" s="163"/>
      <c r="U1060" s="163"/>
      <c r="V1060" s="163"/>
      <c r="W1060" s="163"/>
      <c r="X1060" s="163"/>
      <c r="Y1060" s="163"/>
      <c r="Z1060" s="163"/>
      <c r="AA1060" s="163"/>
      <c r="AB1060" s="163"/>
      <c r="AC1060" s="163"/>
      <c r="AD1060" s="163"/>
      <c r="AE1060" s="163"/>
      <c r="AF1060" s="163"/>
      <c r="AG1060" s="163"/>
      <c r="AH1060" s="163"/>
      <c r="AI1060" s="163"/>
      <c r="AJ1060" s="163"/>
      <c r="AK1060" s="163"/>
      <c r="AL1060" s="163"/>
      <c r="AM1060" s="163"/>
      <c r="AN1060" s="163"/>
      <c r="AP1060" s="169"/>
    </row>
    <row r="1061" spans="1:42" s="100" customFormat="1" ht="46.8" x14ac:dyDescent="0.3">
      <c r="A1061" s="160">
        <v>750</v>
      </c>
      <c r="B1061" s="166" t="s">
        <v>1560</v>
      </c>
      <c r="C1061" s="98" t="s">
        <v>2708</v>
      </c>
      <c r="D1061" s="162" t="s">
        <v>2712</v>
      </c>
      <c r="E1061" s="26" t="s">
        <v>144</v>
      </c>
      <c r="F1061" s="30" t="s">
        <v>49</v>
      </c>
      <c r="G1061" s="162" t="s">
        <v>2704</v>
      </c>
      <c r="H1061" s="162">
        <v>40</v>
      </c>
      <c r="I1061" s="162" t="str">
        <f t="shared" si="87"/>
        <v>с ЛН</v>
      </c>
      <c r="J1061" s="164">
        <v>9</v>
      </c>
      <c r="K1061" s="164" t="s">
        <v>528</v>
      </c>
      <c r="L1061" s="164" t="s">
        <v>528</v>
      </c>
      <c r="M1061" s="164" t="s">
        <v>2705</v>
      </c>
      <c r="N1061" s="164" t="s">
        <v>2705</v>
      </c>
      <c r="O1061" s="162">
        <v>1257</v>
      </c>
      <c r="P1061" s="162" t="s">
        <v>2706</v>
      </c>
      <c r="Q1061" s="162">
        <v>1494</v>
      </c>
      <c r="R1061" s="162" t="s">
        <v>2706</v>
      </c>
      <c r="S1061" s="162">
        <v>1134</v>
      </c>
      <c r="T1061" s="162" t="s">
        <v>2706</v>
      </c>
      <c r="U1061" s="162">
        <v>1631</v>
      </c>
      <c r="V1061" s="162" t="s">
        <v>2706</v>
      </c>
      <c r="W1061" s="162">
        <v>1081</v>
      </c>
      <c r="X1061" s="162" t="s">
        <v>2706</v>
      </c>
      <c r="Y1061" s="162">
        <v>981</v>
      </c>
      <c r="Z1061" s="162" t="s">
        <v>2706</v>
      </c>
      <c r="AA1061" s="162">
        <v>711</v>
      </c>
      <c r="AB1061" s="162" t="s">
        <v>2706</v>
      </c>
      <c r="AC1061" s="162">
        <v>809</v>
      </c>
      <c r="AD1061" s="162" t="s">
        <v>2706</v>
      </c>
      <c r="AE1061" s="162">
        <v>665</v>
      </c>
      <c r="AF1061" s="162" t="s">
        <v>2706</v>
      </c>
      <c r="AG1061" s="162">
        <v>1329</v>
      </c>
      <c r="AH1061" s="162" t="s">
        <v>2706</v>
      </c>
      <c r="AI1061" s="162">
        <v>1168</v>
      </c>
      <c r="AJ1061" s="162" t="s">
        <v>2706</v>
      </c>
      <c r="AK1061" s="162">
        <v>1406</v>
      </c>
      <c r="AL1061" s="162" t="s">
        <v>2706</v>
      </c>
      <c r="AM1061" s="162">
        <v>12857</v>
      </c>
      <c r="AN1061" s="162"/>
      <c r="AP1061" s="168"/>
    </row>
    <row r="1062" spans="1:42" s="100" customFormat="1" ht="46.8" x14ac:dyDescent="0.3">
      <c r="A1062" s="161"/>
      <c r="B1062" s="167"/>
      <c r="C1062" s="98" t="s">
        <v>2708</v>
      </c>
      <c r="D1062" s="163"/>
      <c r="E1062" s="26" t="s">
        <v>48</v>
      </c>
      <c r="F1062" s="30" t="s">
        <v>49</v>
      </c>
      <c r="G1062" s="163"/>
      <c r="H1062" s="163"/>
      <c r="I1062" s="163"/>
      <c r="J1062" s="165"/>
      <c r="K1062" s="165"/>
      <c r="L1062" s="165"/>
      <c r="M1062" s="165"/>
      <c r="N1062" s="165"/>
      <c r="O1062" s="163"/>
      <c r="P1062" s="163"/>
      <c r="Q1062" s="163"/>
      <c r="R1062" s="163"/>
      <c r="S1062" s="163"/>
      <c r="T1062" s="163"/>
      <c r="U1062" s="163"/>
      <c r="V1062" s="163"/>
      <c r="W1062" s="163"/>
      <c r="X1062" s="163"/>
      <c r="Y1062" s="163"/>
      <c r="Z1062" s="163"/>
      <c r="AA1062" s="163"/>
      <c r="AB1062" s="163"/>
      <c r="AC1062" s="163"/>
      <c r="AD1062" s="163"/>
      <c r="AE1062" s="163"/>
      <c r="AF1062" s="163"/>
      <c r="AG1062" s="163"/>
      <c r="AH1062" s="163"/>
      <c r="AI1062" s="163"/>
      <c r="AJ1062" s="163"/>
      <c r="AK1062" s="163"/>
      <c r="AL1062" s="163"/>
      <c r="AM1062" s="163"/>
      <c r="AN1062" s="163"/>
      <c r="AP1062" s="169"/>
    </row>
    <row r="1063" spans="1:42" s="100" customFormat="1" ht="46.8" x14ac:dyDescent="0.3">
      <c r="A1063" s="160">
        <v>751</v>
      </c>
      <c r="B1063" s="166" t="s">
        <v>1561</v>
      </c>
      <c r="C1063" s="98" t="s">
        <v>2708</v>
      </c>
      <c r="D1063" s="162" t="s">
        <v>2712</v>
      </c>
      <c r="E1063" s="26" t="s">
        <v>144</v>
      </c>
      <c r="F1063" s="30" t="s">
        <v>49</v>
      </c>
      <c r="G1063" s="162" t="s">
        <v>2704</v>
      </c>
      <c r="H1063" s="162">
        <v>36</v>
      </c>
      <c r="I1063" s="162" t="str">
        <f t="shared" si="87"/>
        <v>с ЛН</v>
      </c>
      <c r="J1063" s="164">
        <v>6</v>
      </c>
      <c r="K1063" s="164" t="s">
        <v>528</v>
      </c>
      <c r="L1063" s="164" t="s">
        <v>528</v>
      </c>
      <c r="M1063" s="164" t="s">
        <v>2705</v>
      </c>
      <c r="N1063" s="164" t="s">
        <v>2705</v>
      </c>
      <c r="O1063" s="162">
        <v>552</v>
      </c>
      <c r="P1063" s="162" t="s">
        <v>2706</v>
      </c>
      <c r="Q1063" s="162">
        <v>593</v>
      </c>
      <c r="R1063" s="162" t="s">
        <v>2706</v>
      </c>
      <c r="S1063" s="162">
        <v>371</v>
      </c>
      <c r="T1063" s="162" t="s">
        <v>2706</v>
      </c>
      <c r="U1063" s="162">
        <v>600</v>
      </c>
      <c r="V1063" s="162" t="s">
        <v>2706</v>
      </c>
      <c r="W1063" s="162">
        <v>456</v>
      </c>
      <c r="X1063" s="162" t="s">
        <v>2706</v>
      </c>
      <c r="Y1063" s="162">
        <v>481</v>
      </c>
      <c r="Z1063" s="162" t="s">
        <v>2706</v>
      </c>
      <c r="AA1063" s="162">
        <v>374</v>
      </c>
      <c r="AB1063" s="162" t="s">
        <v>2706</v>
      </c>
      <c r="AC1063" s="162">
        <v>467</v>
      </c>
      <c r="AD1063" s="162" t="s">
        <v>2706</v>
      </c>
      <c r="AE1063" s="162">
        <v>444</v>
      </c>
      <c r="AF1063" s="162" t="s">
        <v>2706</v>
      </c>
      <c r="AG1063" s="162">
        <v>816</v>
      </c>
      <c r="AH1063" s="162" t="s">
        <v>2706</v>
      </c>
      <c r="AI1063" s="162">
        <v>789</v>
      </c>
      <c r="AJ1063" s="162" t="s">
        <v>2706</v>
      </c>
      <c r="AK1063" s="162">
        <v>1048</v>
      </c>
      <c r="AL1063" s="162" t="s">
        <v>2706</v>
      </c>
      <c r="AM1063" s="162">
        <v>6524</v>
      </c>
      <c r="AN1063" s="162"/>
      <c r="AP1063" s="168"/>
    </row>
    <row r="1064" spans="1:42" s="100" customFormat="1" ht="46.8" x14ac:dyDescent="0.3">
      <c r="A1064" s="161"/>
      <c r="B1064" s="167"/>
      <c r="C1064" s="98" t="s">
        <v>2708</v>
      </c>
      <c r="D1064" s="163"/>
      <c r="E1064" s="26" t="s">
        <v>48</v>
      </c>
      <c r="F1064" s="30" t="s">
        <v>49</v>
      </c>
      <c r="G1064" s="163"/>
      <c r="H1064" s="163"/>
      <c r="I1064" s="163"/>
      <c r="J1064" s="165"/>
      <c r="K1064" s="165"/>
      <c r="L1064" s="165"/>
      <c r="M1064" s="165"/>
      <c r="N1064" s="165"/>
      <c r="O1064" s="163"/>
      <c r="P1064" s="163"/>
      <c r="Q1064" s="163"/>
      <c r="R1064" s="163"/>
      <c r="S1064" s="163"/>
      <c r="T1064" s="163"/>
      <c r="U1064" s="163"/>
      <c r="V1064" s="163"/>
      <c r="W1064" s="163"/>
      <c r="X1064" s="163"/>
      <c r="Y1064" s="163"/>
      <c r="Z1064" s="163"/>
      <c r="AA1064" s="163"/>
      <c r="AB1064" s="163"/>
      <c r="AC1064" s="163"/>
      <c r="AD1064" s="163"/>
      <c r="AE1064" s="163"/>
      <c r="AF1064" s="163"/>
      <c r="AG1064" s="163"/>
      <c r="AH1064" s="163"/>
      <c r="AI1064" s="163"/>
      <c r="AJ1064" s="163"/>
      <c r="AK1064" s="163"/>
      <c r="AL1064" s="163"/>
      <c r="AM1064" s="163"/>
      <c r="AN1064" s="163"/>
      <c r="AP1064" s="169"/>
    </row>
    <row r="1065" spans="1:42" s="100" customFormat="1" ht="46.8" x14ac:dyDescent="0.3">
      <c r="A1065" s="160">
        <v>752</v>
      </c>
      <c r="B1065" s="166" t="s">
        <v>1562</v>
      </c>
      <c r="C1065" s="98" t="s">
        <v>2708</v>
      </c>
      <c r="D1065" s="162" t="s">
        <v>2712</v>
      </c>
      <c r="E1065" s="26" t="s">
        <v>144</v>
      </c>
      <c r="F1065" s="30" t="s">
        <v>49</v>
      </c>
      <c r="G1065" s="162" t="s">
        <v>2704</v>
      </c>
      <c r="H1065" s="162">
        <v>20</v>
      </c>
      <c r="I1065" s="162" t="str">
        <f t="shared" si="87"/>
        <v>с ЛН</v>
      </c>
      <c r="J1065" s="164">
        <v>4</v>
      </c>
      <c r="K1065" s="164" t="s">
        <v>528</v>
      </c>
      <c r="L1065" s="164" t="s">
        <v>528</v>
      </c>
      <c r="M1065" s="164" t="s">
        <v>2705</v>
      </c>
      <c r="N1065" s="164" t="s">
        <v>2705</v>
      </c>
      <c r="O1065" s="162">
        <v>268</v>
      </c>
      <c r="P1065" s="162" t="s">
        <v>2706</v>
      </c>
      <c r="Q1065" s="162">
        <v>275</v>
      </c>
      <c r="R1065" s="162" t="s">
        <v>2706</v>
      </c>
      <c r="S1065" s="162">
        <v>170</v>
      </c>
      <c r="T1065" s="162" t="s">
        <v>2706</v>
      </c>
      <c r="U1065" s="162">
        <v>306</v>
      </c>
      <c r="V1065" s="162" t="s">
        <v>2706</v>
      </c>
      <c r="W1065" s="162">
        <v>1013</v>
      </c>
      <c r="X1065" s="162" t="s">
        <v>2706</v>
      </c>
      <c r="Y1065" s="162">
        <v>220</v>
      </c>
      <c r="Z1065" s="162" t="s">
        <v>2706</v>
      </c>
      <c r="AA1065" s="162">
        <v>128</v>
      </c>
      <c r="AB1065" s="162" t="s">
        <v>2706</v>
      </c>
      <c r="AC1065" s="162" t="e">
        <v>#N/A</v>
      </c>
      <c r="AD1065" s="162" t="s">
        <v>2706</v>
      </c>
      <c r="AE1065" s="162">
        <v>129</v>
      </c>
      <c r="AF1065" s="162" t="s">
        <v>2706</v>
      </c>
      <c r="AG1065" s="162">
        <v>206</v>
      </c>
      <c r="AH1065" s="162" t="s">
        <v>2706</v>
      </c>
      <c r="AI1065" s="162">
        <v>528</v>
      </c>
      <c r="AJ1065" s="162" t="s">
        <v>2706</v>
      </c>
      <c r="AK1065" s="162">
        <v>130</v>
      </c>
      <c r="AL1065" s="162" t="s">
        <v>2706</v>
      </c>
      <c r="AM1065" s="162">
        <v>3373</v>
      </c>
      <c r="AN1065" s="162"/>
      <c r="AP1065" s="168"/>
    </row>
    <row r="1066" spans="1:42" s="100" customFormat="1" ht="46.8" x14ac:dyDescent="0.3">
      <c r="A1066" s="161"/>
      <c r="B1066" s="167"/>
      <c r="C1066" s="98" t="s">
        <v>2708</v>
      </c>
      <c r="D1066" s="163"/>
      <c r="E1066" s="26" t="s">
        <v>48</v>
      </c>
      <c r="F1066" s="30" t="s">
        <v>49</v>
      </c>
      <c r="G1066" s="163"/>
      <c r="H1066" s="163"/>
      <c r="I1066" s="163"/>
      <c r="J1066" s="165"/>
      <c r="K1066" s="165"/>
      <c r="L1066" s="165"/>
      <c r="M1066" s="165"/>
      <c r="N1066" s="165"/>
      <c r="O1066" s="163"/>
      <c r="P1066" s="163"/>
      <c r="Q1066" s="163"/>
      <c r="R1066" s="163"/>
      <c r="S1066" s="163"/>
      <c r="T1066" s="163"/>
      <c r="U1066" s="163"/>
      <c r="V1066" s="163"/>
      <c r="W1066" s="163"/>
      <c r="X1066" s="163"/>
      <c r="Y1066" s="163"/>
      <c r="Z1066" s="163"/>
      <c r="AA1066" s="163"/>
      <c r="AB1066" s="163"/>
      <c r="AC1066" s="163"/>
      <c r="AD1066" s="163"/>
      <c r="AE1066" s="163"/>
      <c r="AF1066" s="163"/>
      <c r="AG1066" s="163"/>
      <c r="AH1066" s="163"/>
      <c r="AI1066" s="163"/>
      <c r="AJ1066" s="163"/>
      <c r="AK1066" s="163"/>
      <c r="AL1066" s="163"/>
      <c r="AM1066" s="163"/>
      <c r="AN1066" s="163"/>
      <c r="AP1066" s="169"/>
    </row>
    <row r="1067" spans="1:42" s="100" customFormat="1" ht="46.8" x14ac:dyDescent="0.3">
      <c r="A1067" s="160">
        <v>753</v>
      </c>
      <c r="B1067" s="166" t="s">
        <v>1563</v>
      </c>
      <c r="C1067" s="98" t="s">
        <v>2708</v>
      </c>
      <c r="D1067" s="162" t="s">
        <v>2712</v>
      </c>
      <c r="E1067" s="26" t="s">
        <v>144</v>
      </c>
      <c r="F1067" s="30" t="s">
        <v>49</v>
      </c>
      <c r="G1067" s="162" t="s">
        <v>2704</v>
      </c>
      <c r="H1067" s="162">
        <v>22</v>
      </c>
      <c r="I1067" s="162" t="str">
        <f t="shared" si="87"/>
        <v>с ЛН</v>
      </c>
      <c r="J1067" s="164">
        <v>4</v>
      </c>
      <c r="K1067" s="164" t="s">
        <v>528</v>
      </c>
      <c r="L1067" s="164" t="s">
        <v>528</v>
      </c>
      <c r="M1067" s="164" t="s">
        <v>2705</v>
      </c>
      <c r="N1067" s="164" t="s">
        <v>2705</v>
      </c>
      <c r="O1067" s="162">
        <v>0</v>
      </c>
      <c r="P1067" s="162" t="s">
        <v>2706</v>
      </c>
      <c r="Q1067" s="162">
        <v>0</v>
      </c>
      <c r="R1067" s="162" t="s">
        <v>2706</v>
      </c>
      <c r="S1067" s="162">
        <v>0</v>
      </c>
      <c r="T1067" s="162" t="s">
        <v>2706</v>
      </c>
      <c r="U1067" s="162">
        <v>0</v>
      </c>
      <c r="V1067" s="162" t="s">
        <v>2706</v>
      </c>
      <c r="W1067" s="162">
        <v>0</v>
      </c>
      <c r="X1067" s="162" t="s">
        <v>2706</v>
      </c>
      <c r="Y1067" s="162">
        <v>0</v>
      </c>
      <c r="Z1067" s="162" t="s">
        <v>2706</v>
      </c>
      <c r="AA1067" s="162">
        <v>0</v>
      </c>
      <c r="AB1067" s="162" t="s">
        <v>2706</v>
      </c>
      <c r="AC1067" s="162">
        <v>0</v>
      </c>
      <c r="AD1067" s="162" t="s">
        <v>2706</v>
      </c>
      <c r="AE1067" s="162">
        <v>0</v>
      </c>
      <c r="AF1067" s="162" t="s">
        <v>2706</v>
      </c>
      <c r="AG1067" s="162">
        <v>0</v>
      </c>
      <c r="AH1067" s="162" t="s">
        <v>2706</v>
      </c>
      <c r="AI1067" s="162">
        <v>0</v>
      </c>
      <c r="AJ1067" s="162" t="s">
        <v>2706</v>
      </c>
      <c r="AK1067" s="162">
        <v>0</v>
      </c>
      <c r="AL1067" s="162" t="s">
        <v>2706</v>
      </c>
      <c r="AM1067" s="162">
        <v>0</v>
      </c>
      <c r="AN1067" s="162"/>
      <c r="AP1067" s="168"/>
    </row>
    <row r="1068" spans="1:42" s="100" customFormat="1" ht="46.8" x14ac:dyDescent="0.3">
      <c r="A1068" s="161"/>
      <c r="B1068" s="167"/>
      <c r="C1068" s="98" t="s">
        <v>2708</v>
      </c>
      <c r="D1068" s="163"/>
      <c r="E1068" s="26" t="s">
        <v>48</v>
      </c>
      <c r="F1068" s="30" t="s">
        <v>49</v>
      </c>
      <c r="G1068" s="163"/>
      <c r="H1068" s="163"/>
      <c r="I1068" s="163"/>
      <c r="J1068" s="165"/>
      <c r="K1068" s="165"/>
      <c r="L1068" s="165"/>
      <c r="M1068" s="165"/>
      <c r="N1068" s="165"/>
      <c r="O1068" s="163"/>
      <c r="P1068" s="163"/>
      <c r="Q1068" s="163"/>
      <c r="R1068" s="163"/>
      <c r="S1068" s="163"/>
      <c r="T1068" s="163"/>
      <c r="U1068" s="163"/>
      <c r="V1068" s="163"/>
      <c r="W1068" s="163"/>
      <c r="X1068" s="163"/>
      <c r="Y1068" s="163"/>
      <c r="Z1068" s="163"/>
      <c r="AA1068" s="163"/>
      <c r="AB1068" s="163"/>
      <c r="AC1068" s="163"/>
      <c r="AD1068" s="163"/>
      <c r="AE1068" s="163"/>
      <c r="AF1068" s="163"/>
      <c r="AG1068" s="163"/>
      <c r="AH1068" s="163"/>
      <c r="AI1068" s="163"/>
      <c r="AJ1068" s="163"/>
      <c r="AK1068" s="163"/>
      <c r="AL1068" s="163"/>
      <c r="AM1068" s="163"/>
      <c r="AN1068" s="163"/>
      <c r="AP1068" s="169"/>
    </row>
    <row r="1069" spans="1:42" s="100" customFormat="1" ht="46.8" x14ac:dyDescent="0.3">
      <c r="A1069" s="160">
        <v>754</v>
      </c>
      <c r="B1069" s="166" t="s">
        <v>1564</v>
      </c>
      <c r="C1069" s="98" t="s">
        <v>2708</v>
      </c>
      <c r="D1069" s="162" t="s">
        <v>2712</v>
      </c>
      <c r="E1069" s="26" t="s">
        <v>144</v>
      </c>
      <c r="F1069" s="30" t="s">
        <v>49</v>
      </c>
      <c r="G1069" s="162" t="s">
        <v>2704</v>
      </c>
      <c r="H1069" s="162">
        <v>37</v>
      </c>
      <c r="I1069" s="162" t="str">
        <f t="shared" si="87"/>
        <v>с ЛН</v>
      </c>
      <c r="J1069" s="164">
        <v>7</v>
      </c>
      <c r="K1069" s="164" t="s">
        <v>528</v>
      </c>
      <c r="L1069" s="164" t="s">
        <v>528</v>
      </c>
      <c r="M1069" s="164" t="s">
        <v>2705</v>
      </c>
      <c r="N1069" s="164" t="s">
        <v>2705</v>
      </c>
      <c r="O1069" s="162">
        <v>1406</v>
      </c>
      <c r="P1069" s="162" t="s">
        <v>2706</v>
      </c>
      <c r="Q1069" s="162">
        <v>1242</v>
      </c>
      <c r="R1069" s="162" t="s">
        <v>2706</v>
      </c>
      <c r="S1069" s="162">
        <v>754</v>
      </c>
      <c r="T1069" s="162" t="s">
        <v>2706</v>
      </c>
      <c r="U1069" s="162">
        <v>1083</v>
      </c>
      <c r="V1069" s="162" t="s">
        <v>2706</v>
      </c>
      <c r="W1069" s="162">
        <v>947</v>
      </c>
      <c r="X1069" s="162" t="s">
        <v>2706</v>
      </c>
      <c r="Y1069" s="162">
        <v>1189</v>
      </c>
      <c r="Z1069" s="162" t="s">
        <v>2706</v>
      </c>
      <c r="AA1069" s="162">
        <v>861</v>
      </c>
      <c r="AB1069" s="162" t="s">
        <v>2706</v>
      </c>
      <c r="AC1069" s="162">
        <v>992</v>
      </c>
      <c r="AD1069" s="162" t="s">
        <v>2706</v>
      </c>
      <c r="AE1069" s="162">
        <v>1167</v>
      </c>
      <c r="AF1069" s="162" t="s">
        <v>2706</v>
      </c>
      <c r="AG1069" s="162">
        <v>825</v>
      </c>
      <c r="AH1069" s="162" t="s">
        <v>2706</v>
      </c>
      <c r="AI1069" s="162">
        <v>556</v>
      </c>
      <c r="AJ1069" s="162" t="s">
        <v>2706</v>
      </c>
      <c r="AK1069" s="162">
        <v>714</v>
      </c>
      <c r="AL1069" s="162" t="s">
        <v>2706</v>
      </c>
      <c r="AM1069" s="162">
        <v>10744</v>
      </c>
      <c r="AN1069" s="162"/>
      <c r="AP1069" s="168"/>
    </row>
    <row r="1070" spans="1:42" s="100" customFormat="1" ht="46.8" x14ac:dyDescent="0.3">
      <c r="A1070" s="161"/>
      <c r="B1070" s="167"/>
      <c r="C1070" s="98" t="s">
        <v>2708</v>
      </c>
      <c r="D1070" s="163"/>
      <c r="E1070" s="26" t="s">
        <v>48</v>
      </c>
      <c r="F1070" s="30" t="s">
        <v>49</v>
      </c>
      <c r="G1070" s="163"/>
      <c r="H1070" s="163"/>
      <c r="I1070" s="163"/>
      <c r="J1070" s="165"/>
      <c r="K1070" s="165"/>
      <c r="L1070" s="165"/>
      <c r="M1070" s="165"/>
      <c r="N1070" s="165"/>
      <c r="O1070" s="163"/>
      <c r="P1070" s="163"/>
      <c r="Q1070" s="163"/>
      <c r="R1070" s="163"/>
      <c r="S1070" s="163"/>
      <c r="T1070" s="163"/>
      <c r="U1070" s="163"/>
      <c r="V1070" s="163"/>
      <c r="W1070" s="163"/>
      <c r="X1070" s="163"/>
      <c r="Y1070" s="163"/>
      <c r="Z1070" s="163"/>
      <c r="AA1070" s="163"/>
      <c r="AB1070" s="163"/>
      <c r="AC1070" s="163"/>
      <c r="AD1070" s="163"/>
      <c r="AE1070" s="163"/>
      <c r="AF1070" s="163"/>
      <c r="AG1070" s="163"/>
      <c r="AH1070" s="163"/>
      <c r="AI1070" s="163"/>
      <c r="AJ1070" s="163"/>
      <c r="AK1070" s="163"/>
      <c r="AL1070" s="163"/>
      <c r="AM1070" s="163"/>
      <c r="AN1070" s="163"/>
      <c r="AP1070" s="169"/>
    </row>
    <row r="1071" spans="1:42" s="100" customFormat="1" ht="46.8" x14ac:dyDescent="0.3">
      <c r="A1071" s="160">
        <v>755</v>
      </c>
      <c r="B1071" s="166" t="s">
        <v>1565</v>
      </c>
      <c r="C1071" s="98" t="s">
        <v>2708</v>
      </c>
      <c r="D1071" s="162" t="s">
        <v>2712</v>
      </c>
      <c r="E1071" s="26" t="s">
        <v>144</v>
      </c>
      <c r="F1071" s="30" t="s">
        <v>49</v>
      </c>
      <c r="G1071" s="162" t="s">
        <v>2704</v>
      </c>
      <c r="H1071" s="162">
        <v>18</v>
      </c>
      <c r="I1071" s="162" t="str">
        <f t="shared" si="87"/>
        <v>с ЛН</v>
      </c>
      <c r="J1071" s="164">
        <v>4</v>
      </c>
      <c r="K1071" s="164" t="s">
        <v>528</v>
      </c>
      <c r="L1071" s="164" t="s">
        <v>528</v>
      </c>
      <c r="M1071" s="164" t="s">
        <v>2705</v>
      </c>
      <c r="N1071" s="164" t="s">
        <v>2705</v>
      </c>
      <c r="O1071" s="162">
        <v>0</v>
      </c>
      <c r="P1071" s="162" t="s">
        <v>2706</v>
      </c>
      <c r="Q1071" s="162">
        <v>0</v>
      </c>
      <c r="R1071" s="162" t="s">
        <v>2706</v>
      </c>
      <c r="S1071" s="162">
        <v>0</v>
      </c>
      <c r="T1071" s="162" t="s">
        <v>2706</v>
      </c>
      <c r="U1071" s="162">
        <v>0</v>
      </c>
      <c r="V1071" s="162" t="s">
        <v>2706</v>
      </c>
      <c r="W1071" s="162">
        <v>0</v>
      </c>
      <c r="X1071" s="162" t="s">
        <v>2706</v>
      </c>
      <c r="Y1071" s="162">
        <v>0</v>
      </c>
      <c r="Z1071" s="162" t="s">
        <v>2706</v>
      </c>
      <c r="AA1071" s="162">
        <v>0</v>
      </c>
      <c r="AB1071" s="162" t="s">
        <v>2706</v>
      </c>
      <c r="AC1071" s="162">
        <v>0</v>
      </c>
      <c r="AD1071" s="162" t="s">
        <v>2706</v>
      </c>
      <c r="AE1071" s="162">
        <v>0</v>
      </c>
      <c r="AF1071" s="162" t="s">
        <v>2706</v>
      </c>
      <c r="AG1071" s="162">
        <v>0</v>
      </c>
      <c r="AH1071" s="162" t="s">
        <v>2706</v>
      </c>
      <c r="AI1071" s="162">
        <v>0</v>
      </c>
      <c r="AJ1071" s="162" t="s">
        <v>2706</v>
      </c>
      <c r="AK1071" s="162">
        <v>0</v>
      </c>
      <c r="AL1071" s="162" t="s">
        <v>2706</v>
      </c>
      <c r="AM1071" s="162">
        <v>0</v>
      </c>
      <c r="AN1071" s="162"/>
      <c r="AP1071" s="168"/>
    </row>
    <row r="1072" spans="1:42" s="100" customFormat="1" ht="46.8" x14ac:dyDescent="0.3">
      <c r="A1072" s="161"/>
      <c r="B1072" s="167"/>
      <c r="C1072" s="98" t="s">
        <v>2708</v>
      </c>
      <c r="D1072" s="163"/>
      <c r="E1072" s="26" t="s">
        <v>48</v>
      </c>
      <c r="F1072" s="30" t="s">
        <v>49</v>
      </c>
      <c r="G1072" s="163"/>
      <c r="H1072" s="163"/>
      <c r="I1072" s="163"/>
      <c r="J1072" s="165"/>
      <c r="K1072" s="165"/>
      <c r="L1072" s="165"/>
      <c r="M1072" s="165"/>
      <c r="N1072" s="165"/>
      <c r="O1072" s="163"/>
      <c r="P1072" s="163"/>
      <c r="Q1072" s="163"/>
      <c r="R1072" s="163"/>
      <c r="S1072" s="163"/>
      <c r="T1072" s="163"/>
      <c r="U1072" s="163"/>
      <c r="V1072" s="163"/>
      <c r="W1072" s="163"/>
      <c r="X1072" s="163"/>
      <c r="Y1072" s="163"/>
      <c r="Z1072" s="163"/>
      <c r="AA1072" s="163"/>
      <c r="AB1072" s="163"/>
      <c r="AC1072" s="163"/>
      <c r="AD1072" s="163"/>
      <c r="AE1072" s="163"/>
      <c r="AF1072" s="163"/>
      <c r="AG1072" s="163"/>
      <c r="AH1072" s="163"/>
      <c r="AI1072" s="163"/>
      <c r="AJ1072" s="163"/>
      <c r="AK1072" s="163"/>
      <c r="AL1072" s="163"/>
      <c r="AM1072" s="163"/>
      <c r="AN1072" s="163"/>
      <c r="AP1072" s="169"/>
    </row>
    <row r="1073" spans="1:42" s="100" customFormat="1" ht="46.8" x14ac:dyDescent="0.3">
      <c r="A1073" s="160">
        <v>756</v>
      </c>
      <c r="B1073" s="166" t="s">
        <v>1566</v>
      </c>
      <c r="C1073" s="98" t="s">
        <v>2708</v>
      </c>
      <c r="D1073" s="162" t="s">
        <v>2712</v>
      </c>
      <c r="E1073" s="26" t="s">
        <v>144</v>
      </c>
      <c r="F1073" s="30" t="s">
        <v>49</v>
      </c>
      <c r="G1073" s="162" t="s">
        <v>2704</v>
      </c>
      <c r="H1073" s="162">
        <v>17</v>
      </c>
      <c r="I1073" s="162" t="str">
        <f t="shared" si="87"/>
        <v>с ЛН</v>
      </c>
      <c r="J1073" s="164">
        <v>3</v>
      </c>
      <c r="K1073" s="164" t="s">
        <v>528</v>
      </c>
      <c r="L1073" s="164" t="s">
        <v>528</v>
      </c>
      <c r="M1073" s="164" t="s">
        <v>2705</v>
      </c>
      <c r="N1073" s="164" t="s">
        <v>2705</v>
      </c>
      <c r="O1073" s="162">
        <v>118</v>
      </c>
      <c r="P1073" s="162" t="s">
        <v>2706</v>
      </c>
      <c r="Q1073" s="162">
        <v>192</v>
      </c>
      <c r="R1073" s="162" t="s">
        <v>2706</v>
      </c>
      <c r="S1073" s="162">
        <v>151</v>
      </c>
      <c r="T1073" s="162" t="s">
        <v>2706</v>
      </c>
      <c r="U1073" s="162">
        <v>188</v>
      </c>
      <c r="V1073" s="162" t="s">
        <v>2706</v>
      </c>
      <c r="W1073" s="162">
        <v>144</v>
      </c>
      <c r="X1073" s="162" t="s">
        <v>2706</v>
      </c>
      <c r="Y1073" s="162">
        <v>83</v>
      </c>
      <c r="Z1073" s="162" t="s">
        <v>2706</v>
      </c>
      <c r="AA1073" s="162">
        <v>67</v>
      </c>
      <c r="AB1073" s="162" t="s">
        <v>2706</v>
      </c>
      <c r="AC1073" s="162">
        <v>114</v>
      </c>
      <c r="AD1073" s="162" t="s">
        <v>2706</v>
      </c>
      <c r="AE1073" s="162">
        <v>110</v>
      </c>
      <c r="AF1073" s="162" t="s">
        <v>2706</v>
      </c>
      <c r="AG1073" s="162">
        <v>70</v>
      </c>
      <c r="AH1073" s="162" t="s">
        <v>2706</v>
      </c>
      <c r="AI1073" s="162">
        <v>105</v>
      </c>
      <c r="AJ1073" s="162" t="s">
        <v>2706</v>
      </c>
      <c r="AK1073" s="162">
        <v>98</v>
      </c>
      <c r="AL1073" s="162" t="s">
        <v>2706</v>
      </c>
      <c r="AM1073" s="162">
        <v>1326</v>
      </c>
      <c r="AN1073" s="162"/>
      <c r="AP1073" s="168"/>
    </row>
    <row r="1074" spans="1:42" s="100" customFormat="1" ht="46.8" x14ac:dyDescent="0.3">
      <c r="A1074" s="161"/>
      <c r="B1074" s="167"/>
      <c r="C1074" s="98" t="s">
        <v>2708</v>
      </c>
      <c r="D1074" s="163"/>
      <c r="E1074" s="26" t="s">
        <v>48</v>
      </c>
      <c r="F1074" s="30" t="s">
        <v>49</v>
      </c>
      <c r="G1074" s="163"/>
      <c r="H1074" s="163"/>
      <c r="I1074" s="163"/>
      <c r="J1074" s="165"/>
      <c r="K1074" s="165"/>
      <c r="L1074" s="165"/>
      <c r="M1074" s="165"/>
      <c r="N1074" s="165"/>
      <c r="O1074" s="163"/>
      <c r="P1074" s="163"/>
      <c r="Q1074" s="163"/>
      <c r="R1074" s="163"/>
      <c r="S1074" s="163"/>
      <c r="T1074" s="163"/>
      <c r="U1074" s="163"/>
      <c r="V1074" s="163"/>
      <c r="W1074" s="163"/>
      <c r="X1074" s="163"/>
      <c r="Y1074" s="163"/>
      <c r="Z1074" s="163"/>
      <c r="AA1074" s="163"/>
      <c r="AB1074" s="163"/>
      <c r="AC1074" s="163"/>
      <c r="AD1074" s="163"/>
      <c r="AE1074" s="163"/>
      <c r="AF1074" s="163"/>
      <c r="AG1074" s="163"/>
      <c r="AH1074" s="163"/>
      <c r="AI1074" s="163"/>
      <c r="AJ1074" s="163"/>
      <c r="AK1074" s="163"/>
      <c r="AL1074" s="163"/>
      <c r="AM1074" s="163"/>
      <c r="AN1074" s="163"/>
      <c r="AP1074" s="169"/>
    </row>
    <row r="1075" spans="1:42" s="100" customFormat="1" ht="46.8" x14ac:dyDescent="0.3">
      <c r="A1075" s="160">
        <v>757</v>
      </c>
      <c r="B1075" s="166" t="s">
        <v>1567</v>
      </c>
      <c r="C1075" s="98" t="s">
        <v>2708</v>
      </c>
      <c r="D1075" s="162" t="s">
        <v>2712</v>
      </c>
      <c r="E1075" s="26" t="s">
        <v>144</v>
      </c>
      <c r="F1075" s="30" t="s">
        <v>49</v>
      </c>
      <c r="G1075" s="162"/>
      <c r="H1075" s="162"/>
      <c r="I1075" s="162"/>
      <c r="J1075" s="164"/>
      <c r="K1075" s="164" t="s">
        <v>528</v>
      </c>
      <c r="L1075" s="164" t="s">
        <v>528</v>
      </c>
      <c r="M1075" s="164" t="s">
        <v>2705</v>
      </c>
      <c r="N1075" s="164" t="s">
        <v>2705</v>
      </c>
      <c r="O1075" s="162">
        <v>538</v>
      </c>
      <c r="P1075" s="162" t="s">
        <v>2706</v>
      </c>
      <c r="Q1075" s="162">
        <v>635</v>
      </c>
      <c r="R1075" s="162" t="s">
        <v>2706</v>
      </c>
      <c r="S1075" s="162">
        <v>690</v>
      </c>
      <c r="T1075" s="162" t="s">
        <v>2706</v>
      </c>
      <c r="U1075" s="162">
        <v>660</v>
      </c>
      <c r="V1075" s="162" t="s">
        <v>2706</v>
      </c>
      <c r="W1075" s="162">
        <v>418</v>
      </c>
      <c r="X1075" s="162" t="s">
        <v>2706</v>
      </c>
      <c r="Y1075" s="162">
        <v>471</v>
      </c>
      <c r="Z1075" s="162" t="s">
        <v>2706</v>
      </c>
      <c r="AA1075" s="162">
        <v>257</v>
      </c>
      <c r="AB1075" s="162" t="s">
        <v>2706</v>
      </c>
      <c r="AC1075" s="162">
        <v>315</v>
      </c>
      <c r="AD1075" s="162" t="s">
        <v>2706</v>
      </c>
      <c r="AE1075" s="162">
        <v>437</v>
      </c>
      <c r="AF1075" s="162" t="s">
        <v>2706</v>
      </c>
      <c r="AG1075" s="162">
        <v>369</v>
      </c>
      <c r="AH1075" s="162" t="s">
        <v>2706</v>
      </c>
      <c r="AI1075" s="162">
        <v>534</v>
      </c>
      <c r="AJ1075" s="162" t="s">
        <v>2706</v>
      </c>
      <c r="AK1075" s="162">
        <v>647</v>
      </c>
      <c r="AL1075" s="162" t="s">
        <v>2706</v>
      </c>
      <c r="AM1075" s="162">
        <v>5656</v>
      </c>
      <c r="AN1075" s="162"/>
      <c r="AP1075" s="168"/>
    </row>
    <row r="1076" spans="1:42" s="100" customFormat="1" ht="46.8" x14ac:dyDescent="0.3">
      <c r="A1076" s="161"/>
      <c r="B1076" s="167"/>
      <c r="C1076" s="98" t="s">
        <v>2708</v>
      </c>
      <c r="D1076" s="163"/>
      <c r="E1076" s="26" t="s">
        <v>48</v>
      </c>
      <c r="F1076" s="30" t="s">
        <v>49</v>
      </c>
      <c r="G1076" s="163"/>
      <c r="H1076" s="163"/>
      <c r="I1076" s="163"/>
      <c r="J1076" s="165"/>
      <c r="K1076" s="165"/>
      <c r="L1076" s="165"/>
      <c r="M1076" s="165"/>
      <c r="N1076" s="165"/>
      <c r="O1076" s="163"/>
      <c r="P1076" s="163"/>
      <c r="Q1076" s="163"/>
      <c r="R1076" s="163"/>
      <c r="S1076" s="163"/>
      <c r="T1076" s="163"/>
      <c r="U1076" s="163"/>
      <c r="V1076" s="163"/>
      <c r="W1076" s="163"/>
      <c r="X1076" s="163"/>
      <c r="Y1076" s="163"/>
      <c r="Z1076" s="163"/>
      <c r="AA1076" s="163"/>
      <c r="AB1076" s="163"/>
      <c r="AC1076" s="163"/>
      <c r="AD1076" s="163"/>
      <c r="AE1076" s="163"/>
      <c r="AF1076" s="163"/>
      <c r="AG1076" s="163"/>
      <c r="AH1076" s="163"/>
      <c r="AI1076" s="163"/>
      <c r="AJ1076" s="163"/>
      <c r="AK1076" s="163"/>
      <c r="AL1076" s="163"/>
      <c r="AM1076" s="163"/>
      <c r="AN1076" s="163"/>
      <c r="AP1076" s="169"/>
    </row>
    <row r="1077" spans="1:42" s="100" customFormat="1" ht="46.8" x14ac:dyDescent="0.3">
      <c r="A1077" s="160">
        <v>758</v>
      </c>
      <c r="B1077" s="166" t="s">
        <v>1569</v>
      </c>
      <c r="C1077" s="98" t="s">
        <v>2708</v>
      </c>
      <c r="D1077" s="162" t="s">
        <v>2712</v>
      </c>
      <c r="E1077" s="26" t="s">
        <v>144</v>
      </c>
      <c r="F1077" s="30" t="s">
        <v>49</v>
      </c>
      <c r="G1077" s="162" t="s">
        <v>2704</v>
      </c>
      <c r="H1077" s="162">
        <v>37</v>
      </c>
      <c r="I1077" s="162" t="str">
        <f t="shared" si="87"/>
        <v>с ЛН</v>
      </c>
      <c r="J1077" s="164">
        <v>7</v>
      </c>
      <c r="K1077" s="164" t="s">
        <v>528</v>
      </c>
      <c r="L1077" s="164" t="s">
        <v>528</v>
      </c>
      <c r="M1077" s="164" t="s">
        <v>2705</v>
      </c>
      <c r="N1077" s="164" t="s">
        <v>2705</v>
      </c>
      <c r="O1077" s="162">
        <v>1185</v>
      </c>
      <c r="P1077" s="162" t="s">
        <v>2706</v>
      </c>
      <c r="Q1077" s="162">
        <v>1073</v>
      </c>
      <c r="R1077" s="162" t="s">
        <v>2706</v>
      </c>
      <c r="S1077" s="162">
        <v>1267</v>
      </c>
      <c r="T1077" s="162" t="s">
        <v>2706</v>
      </c>
      <c r="U1077" s="162">
        <v>1349</v>
      </c>
      <c r="V1077" s="162" t="s">
        <v>2706</v>
      </c>
      <c r="W1077" s="162">
        <v>1056</v>
      </c>
      <c r="X1077" s="162" t="s">
        <v>2706</v>
      </c>
      <c r="Y1077" s="162">
        <v>1091</v>
      </c>
      <c r="Z1077" s="162" t="s">
        <v>2706</v>
      </c>
      <c r="AA1077" s="162">
        <v>753</v>
      </c>
      <c r="AB1077" s="162" t="s">
        <v>2706</v>
      </c>
      <c r="AC1077" s="162">
        <v>995</v>
      </c>
      <c r="AD1077" s="162" t="s">
        <v>2706</v>
      </c>
      <c r="AE1077" s="162">
        <v>912</v>
      </c>
      <c r="AF1077" s="162" t="s">
        <v>2706</v>
      </c>
      <c r="AG1077" s="162">
        <v>1122</v>
      </c>
      <c r="AH1077" s="162" t="s">
        <v>2706</v>
      </c>
      <c r="AI1077" s="162">
        <v>1113</v>
      </c>
      <c r="AJ1077" s="162" t="s">
        <v>2706</v>
      </c>
      <c r="AK1077" s="162">
        <v>1074</v>
      </c>
      <c r="AL1077" s="162" t="s">
        <v>2706</v>
      </c>
      <c r="AM1077" s="162">
        <v>11995</v>
      </c>
      <c r="AN1077" s="162"/>
      <c r="AP1077" s="168"/>
    </row>
    <row r="1078" spans="1:42" s="100" customFormat="1" ht="46.8" x14ac:dyDescent="0.3">
      <c r="A1078" s="161"/>
      <c r="B1078" s="167"/>
      <c r="C1078" s="98" t="s">
        <v>2708</v>
      </c>
      <c r="D1078" s="163"/>
      <c r="E1078" s="26" t="s">
        <v>48</v>
      </c>
      <c r="F1078" s="30" t="s">
        <v>49</v>
      </c>
      <c r="G1078" s="163"/>
      <c r="H1078" s="163"/>
      <c r="I1078" s="163"/>
      <c r="J1078" s="165"/>
      <c r="K1078" s="165"/>
      <c r="L1078" s="165"/>
      <c r="M1078" s="165"/>
      <c r="N1078" s="165"/>
      <c r="O1078" s="163"/>
      <c r="P1078" s="163"/>
      <c r="Q1078" s="163"/>
      <c r="R1078" s="163"/>
      <c r="S1078" s="163"/>
      <c r="T1078" s="163"/>
      <c r="U1078" s="163"/>
      <c r="V1078" s="163"/>
      <c r="W1078" s="163"/>
      <c r="X1078" s="163"/>
      <c r="Y1078" s="163"/>
      <c r="Z1078" s="163"/>
      <c r="AA1078" s="163"/>
      <c r="AB1078" s="163"/>
      <c r="AC1078" s="163"/>
      <c r="AD1078" s="163"/>
      <c r="AE1078" s="163"/>
      <c r="AF1078" s="163"/>
      <c r="AG1078" s="163"/>
      <c r="AH1078" s="163"/>
      <c r="AI1078" s="163"/>
      <c r="AJ1078" s="163"/>
      <c r="AK1078" s="163"/>
      <c r="AL1078" s="163"/>
      <c r="AM1078" s="163"/>
      <c r="AN1078" s="163"/>
      <c r="AP1078" s="169"/>
    </row>
    <row r="1079" spans="1:42" s="100" customFormat="1" ht="46.8" x14ac:dyDescent="0.3">
      <c r="A1079" s="160">
        <v>759</v>
      </c>
      <c r="B1079" s="166" t="s">
        <v>1570</v>
      </c>
      <c r="C1079" s="98" t="s">
        <v>2708</v>
      </c>
      <c r="D1079" s="162" t="s">
        <v>2712</v>
      </c>
      <c r="E1079" s="26" t="s">
        <v>144</v>
      </c>
      <c r="F1079" s="30" t="s">
        <v>49</v>
      </c>
      <c r="G1079" s="162" t="s">
        <v>2704</v>
      </c>
      <c r="H1079" s="162">
        <v>28</v>
      </c>
      <c r="I1079" s="162" t="str">
        <f t="shared" si="87"/>
        <v>с ЛН</v>
      </c>
      <c r="J1079" s="164">
        <v>6</v>
      </c>
      <c r="K1079" s="164" t="s">
        <v>528</v>
      </c>
      <c r="L1079" s="164" t="s">
        <v>528</v>
      </c>
      <c r="M1079" s="164" t="s">
        <v>2705</v>
      </c>
      <c r="N1079" s="164" t="s">
        <v>2705</v>
      </c>
      <c r="O1079" s="162">
        <v>781</v>
      </c>
      <c r="P1079" s="162" t="s">
        <v>2706</v>
      </c>
      <c r="Q1079" s="162">
        <v>838</v>
      </c>
      <c r="R1079" s="162" t="s">
        <v>2706</v>
      </c>
      <c r="S1079" s="162">
        <v>520</v>
      </c>
      <c r="T1079" s="162" t="s">
        <v>2706</v>
      </c>
      <c r="U1079" s="162">
        <v>788</v>
      </c>
      <c r="V1079" s="162" t="s">
        <v>2706</v>
      </c>
      <c r="W1079" s="162">
        <v>533</v>
      </c>
      <c r="X1079" s="162" t="s">
        <v>2706</v>
      </c>
      <c r="Y1079" s="162">
        <v>619</v>
      </c>
      <c r="Z1079" s="162" t="s">
        <v>2706</v>
      </c>
      <c r="AA1079" s="162">
        <v>504</v>
      </c>
      <c r="AB1079" s="162" t="s">
        <v>2706</v>
      </c>
      <c r="AC1079" s="162">
        <v>543</v>
      </c>
      <c r="AD1079" s="162" t="s">
        <v>2706</v>
      </c>
      <c r="AE1079" s="162">
        <v>522</v>
      </c>
      <c r="AF1079" s="162" t="s">
        <v>2706</v>
      </c>
      <c r="AG1079" s="162">
        <v>922</v>
      </c>
      <c r="AH1079" s="162" t="s">
        <v>2706</v>
      </c>
      <c r="AI1079" s="162">
        <v>717</v>
      </c>
      <c r="AJ1079" s="162" t="s">
        <v>2706</v>
      </c>
      <c r="AK1079" s="162">
        <v>619</v>
      </c>
      <c r="AL1079" s="162" t="s">
        <v>2706</v>
      </c>
      <c r="AM1079" s="162">
        <v>7363</v>
      </c>
      <c r="AN1079" s="162"/>
      <c r="AP1079" s="168"/>
    </row>
    <row r="1080" spans="1:42" s="100" customFormat="1" ht="46.8" x14ac:dyDescent="0.3">
      <c r="A1080" s="161"/>
      <c r="B1080" s="167"/>
      <c r="C1080" s="98" t="s">
        <v>2708</v>
      </c>
      <c r="D1080" s="163"/>
      <c r="E1080" s="26" t="s">
        <v>48</v>
      </c>
      <c r="F1080" s="30" t="s">
        <v>49</v>
      </c>
      <c r="G1080" s="163"/>
      <c r="H1080" s="163"/>
      <c r="I1080" s="163"/>
      <c r="J1080" s="165"/>
      <c r="K1080" s="165"/>
      <c r="L1080" s="165"/>
      <c r="M1080" s="165"/>
      <c r="N1080" s="165"/>
      <c r="O1080" s="163"/>
      <c r="P1080" s="163"/>
      <c r="Q1080" s="163"/>
      <c r="R1080" s="163"/>
      <c r="S1080" s="163"/>
      <c r="T1080" s="163"/>
      <c r="U1080" s="163"/>
      <c r="V1080" s="163"/>
      <c r="W1080" s="163"/>
      <c r="X1080" s="163"/>
      <c r="Y1080" s="163"/>
      <c r="Z1080" s="163"/>
      <c r="AA1080" s="163"/>
      <c r="AB1080" s="163"/>
      <c r="AC1080" s="163"/>
      <c r="AD1080" s="163"/>
      <c r="AE1080" s="163"/>
      <c r="AF1080" s="163"/>
      <c r="AG1080" s="163"/>
      <c r="AH1080" s="163"/>
      <c r="AI1080" s="163"/>
      <c r="AJ1080" s="163"/>
      <c r="AK1080" s="163"/>
      <c r="AL1080" s="163"/>
      <c r="AM1080" s="163"/>
      <c r="AN1080" s="163"/>
      <c r="AP1080" s="169"/>
    </row>
    <row r="1081" spans="1:42" s="100" customFormat="1" ht="46.8" x14ac:dyDescent="0.3">
      <c r="A1081" s="160">
        <v>760</v>
      </c>
      <c r="B1081" s="166" t="s">
        <v>1571</v>
      </c>
      <c r="C1081" s="98" t="s">
        <v>2708</v>
      </c>
      <c r="D1081" s="162" t="s">
        <v>2712</v>
      </c>
      <c r="E1081" s="26" t="s">
        <v>144</v>
      </c>
      <c r="F1081" s="30" t="s">
        <v>49</v>
      </c>
      <c r="G1081" s="162"/>
      <c r="H1081" s="162"/>
      <c r="I1081" s="162"/>
      <c r="J1081" s="164"/>
      <c r="K1081" s="164" t="s">
        <v>528</v>
      </c>
      <c r="L1081" s="164" t="s">
        <v>528</v>
      </c>
      <c r="M1081" s="164" t="s">
        <v>2705</v>
      </c>
      <c r="N1081" s="164" t="s">
        <v>2705</v>
      </c>
      <c r="O1081" s="162">
        <v>566</v>
      </c>
      <c r="P1081" s="162" t="s">
        <v>2706</v>
      </c>
      <c r="Q1081" s="162">
        <v>485</v>
      </c>
      <c r="R1081" s="162" t="s">
        <v>2706</v>
      </c>
      <c r="S1081" s="162">
        <v>257</v>
      </c>
      <c r="T1081" s="162" t="s">
        <v>2706</v>
      </c>
      <c r="U1081" s="162">
        <v>426</v>
      </c>
      <c r="V1081" s="162" t="s">
        <v>2706</v>
      </c>
      <c r="W1081" s="162">
        <v>327</v>
      </c>
      <c r="X1081" s="162" t="s">
        <v>2706</v>
      </c>
      <c r="Y1081" s="162">
        <v>517</v>
      </c>
      <c r="Z1081" s="162" t="s">
        <v>2706</v>
      </c>
      <c r="AA1081" s="162">
        <v>384</v>
      </c>
      <c r="AB1081" s="162" t="s">
        <v>2706</v>
      </c>
      <c r="AC1081" s="162">
        <v>540</v>
      </c>
      <c r="AD1081" s="162" t="s">
        <v>2706</v>
      </c>
      <c r="AE1081" s="162">
        <v>455</v>
      </c>
      <c r="AF1081" s="162" t="s">
        <v>2706</v>
      </c>
      <c r="AG1081" s="162">
        <v>614</v>
      </c>
      <c r="AH1081" s="162" t="s">
        <v>2706</v>
      </c>
      <c r="AI1081" s="162">
        <v>546</v>
      </c>
      <c r="AJ1081" s="162" t="s">
        <v>2706</v>
      </c>
      <c r="AK1081" s="162">
        <v>633</v>
      </c>
      <c r="AL1081" s="162" t="s">
        <v>2706</v>
      </c>
      <c r="AM1081" s="162">
        <v>5210</v>
      </c>
      <c r="AN1081" s="162"/>
      <c r="AP1081" s="168"/>
    </row>
    <row r="1082" spans="1:42" s="100" customFormat="1" ht="46.8" x14ac:dyDescent="0.3">
      <c r="A1082" s="161"/>
      <c r="B1082" s="167"/>
      <c r="C1082" s="98" t="s">
        <v>2708</v>
      </c>
      <c r="D1082" s="163"/>
      <c r="E1082" s="26" t="s">
        <v>48</v>
      </c>
      <c r="F1082" s="30" t="s">
        <v>49</v>
      </c>
      <c r="G1082" s="163"/>
      <c r="H1082" s="163"/>
      <c r="I1082" s="163"/>
      <c r="J1082" s="165"/>
      <c r="K1082" s="165"/>
      <c r="L1082" s="165"/>
      <c r="M1082" s="165"/>
      <c r="N1082" s="165"/>
      <c r="O1082" s="163"/>
      <c r="P1082" s="163"/>
      <c r="Q1082" s="163"/>
      <c r="R1082" s="163"/>
      <c r="S1082" s="163"/>
      <c r="T1082" s="163"/>
      <c r="U1082" s="163"/>
      <c r="V1082" s="163"/>
      <c r="W1082" s="163"/>
      <c r="X1082" s="163"/>
      <c r="Y1082" s="163"/>
      <c r="Z1082" s="163"/>
      <c r="AA1082" s="163"/>
      <c r="AB1082" s="163"/>
      <c r="AC1082" s="163"/>
      <c r="AD1082" s="163"/>
      <c r="AE1082" s="163"/>
      <c r="AF1082" s="163"/>
      <c r="AG1082" s="163"/>
      <c r="AH1082" s="163"/>
      <c r="AI1082" s="163"/>
      <c r="AJ1082" s="163"/>
      <c r="AK1082" s="163"/>
      <c r="AL1082" s="163"/>
      <c r="AM1082" s="163"/>
      <c r="AN1082" s="163"/>
      <c r="AP1082" s="169"/>
    </row>
    <row r="1083" spans="1:42" s="100" customFormat="1" ht="46.8" x14ac:dyDescent="0.3">
      <c r="A1083" s="160">
        <v>761</v>
      </c>
      <c r="B1083" s="166" t="s">
        <v>1572</v>
      </c>
      <c r="C1083" s="98" t="s">
        <v>2708</v>
      </c>
      <c r="D1083" s="162" t="s">
        <v>2712</v>
      </c>
      <c r="E1083" s="26" t="s">
        <v>144</v>
      </c>
      <c r="F1083" s="30" t="s">
        <v>49</v>
      </c>
      <c r="G1083" s="162" t="s">
        <v>2704</v>
      </c>
      <c r="H1083" s="162">
        <v>17</v>
      </c>
      <c r="I1083" s="162" t="str">
        <f>G1083</f>
        <v>с ЛН</v>
      </c>
      <c r="J1083" s="164">
        <v>3</v>
      </c>
      <c r="K1083" s="164" t="s">
        <v>528</v>
      </c>
      <c r="L1083" s="164" t="s">
        <v>528</v>
      </c>
      <c r="M1083" s="164" t="s">
        <v>2705</v>
      </c>
      <c r="N1083" s="164" t="s">
        <v>2705</v>
      </c>
      <c r="O1083" s="162">
        <v>999</v>
      </c>
      <c r="P1083" s="162" t="s">
        <v>2706</v>
      </c>
      <c r="Q1083" s="162">
        <v>1023</v>
      </c>
      <c r="R1083" s="162" t="s">
        <v>2706</v>
      </c>
      <c r="S1083" s="162">
        <v>514</v>
      </c>
      <c r="T1083" s="162" t="s">
        <v>2706</v>
      </c>
      <c r="U1083" s="162">
        <v>878</v>
      </c>
      <c r="V1083" s="162" t="s">
        <v>2706</v>
      </c>
      <c r="W1083" s="162">
        <v>505</v>
      </c>
      <c r="X1083" s="162" t="s">
        <v>2706</v>
      </c>
      <c r="Y1083" s="162">
        <v>584</v>
      </c>
      <c r="Z1083" s="162" t="s">
        <v>2706</v>
      </c>
      <c r="AA1083" s="162">
        <v>418</v>
      </c>
      <c r="AB1083" s="162" t="s">
        <v>2706</v>
      </c>
      <c r="AC1083" s="162">
        <v>513</v>
      </c>
      <c r="AD1083" s="162" t="s">
        <v>2706</v>
      </c>
      <c r="AE1083" s="162">
        <v>431</v>
      </c>
      <c r="AF1083" s="162" t="s">
        <v>2706</v>
      </c>
      <c r="AG1083" s="162">
        <v>933</v>
      </c>
      <c r="AH1083" s="162" t="s">
        <v>2706</v>
      </c>
      <c r="AI1083" s="162">
        <v>782</v>
      </c>
      <c r="AJ1083" s="162" t="s">
        <v>2706</v>
      </c>
      <c r="AK1083" s="162">
        <v>877</v>
      </c>
      <c r="AL1083" s="162" t="s">
        <v>2706</v>
      </c>
      <c r="AM1083" s="162">
        <v>7944</v>
      </c>
      <c r="AN1083" s="162"/>
      <c r="AP1083" s="168"/>
    </row>
    <row r="1084" spans="1:42" s="100" customFormat="1" ht="46.8" x14ac:dyDescent="0.3">
      <c r="A1084" s="161"/>
      <c r="B1084" s="167"/>
      <c r="C1084" s="98" t="s">
        <v>2708</v>
      </c>
      <c r="D1084" s="163"/>
      <c r="E1084" s="26" t="s">
        <v>48</v>
      </c>
      <c r="F1084" s="30" t="s">
        <v>49</v>
      </c>
      <c r="G1084" s="163"/>
      <c r="H1084" s="163"/>
      <c r="I1084" s="163"/>
      <c r="J1084" s="165"/>
      <c r="K1084" s="165"/>
      <c r="L1084" s="165"/>
      <c r="M1084" s="165"/>
      <c r="N1084" s="165"/>
      <c r="O1084" s="163"/>
      <c r="P1084" s="163"/>
      <c r="Q1084" s="163"/>
      <c r="R1084" s="163"/>
      <c r="S1084" s="163"/>
      <c r="T1084" s="163"/>
      <c r="U1084" s="163"/>
      <c r="V1084" s="163"/>
      <c r="W1084" s="163"/>
      <c r="X1084" s="163"/>
      <c r="Y1084" s="163"/>
      <c r="Z1084" s="163"/>
      <c r="AA1084" s="163"/>
      <c r="AB1084" s="163"/>
      <c r="AC1084" s="163"/>
      <c r="AD1084" s="163"/>
      <c r="AE1084" s="163"/>
      <c r="AF1084" s="163"/>
      <c r="AG1084" s="163"/>
      <c r="AH1084" s="163"/>
      <c r="AI1084" s="163"/>
      <c r="AJ1084" s="163"/>
      <c r="AK1084" s="163"/>
      <c r="AL1084" s="163"/>
      <c r="AM1084" s="163"/>
      <c r="AN1084" s="163"/>
      <c r="AP1084" s="169"/>
    </row>
    <row r="1085" spans="1:42" s="100" customFormat="1" ht="46.8" x14ac:dyDescent="0.3">
      <c r="A1085" s="160">
        <v>762</v>
      </c>
      <c r="B1085" s="166" t="s">
        <v>1574</v>
      </c>
      <c r="C1085" s="98" t="s">
        <v>2708</v>
      </c>
      <c r="D1085" s="162" t="s">
        <v>2712</v>
      </c>
      <c r="E1085" s="26" t="s">
        <v>144</v>
      </c>
      <c r="F1085" s="30" t="s">
        <v>49</v>
      </c>
      <c r="G1085" s="162" t="s">
        <v>2704</v>
      </c>
      <c r="H1085" s="162">
        <v>32</v>
      </c>
      <c r="I1085" s="162" t="str">
        <f t="shared" ref="I1085" si="88">G1085</f>
        <v>с ЛН</v>
      </c>
      <c r="J1085" s="164">
        <v>7</v>
      </c>
      <c r="K1085" s="164" t="s">
        <v>528</v>
      </c>
      <c r="L1085" s="164" t="s">
        <v>528</v>
      </c>
      <c r="M1085" s="164" t="s">
        <v>2705</v>
      </c>
      <c r="N1085" s="164" t="s">
        <v>2705</v>
      </c>
      <c r="O1085" s="162">
        <v>147</v>
      </c>
      <c r="P1085" s="162" t="s">
        <v>2706</v>
      </c>
      <c r="Q1085" s="162">
        <v>172</v>
      </c>
      <c r="R1085" s="162" t="s">
        <v>2706</v>
      </c>
      <c r="S1085" s="162">
        <v>94</v>
      </c>
      <c r="T1085" s="162" t="s">
        <v>2706</v>
      </c>
      <c r="U1085" s="162">
        <v>151</v>
      </c>
      <c r="V1085" s="162" t="s">
        <v>2706</v>
      </c>
      <c r="W1085" s="162">
        <v>185</v>
      </c>
      <c r="X1085" s="162" t="s">
        <v>2706</v>
      </c>
      <c r="Y1085" s="162">
        <v>263</v>
      </c>
      <c r="Z1085" s="162" t="s">
        <v>2706</v>
      </c>
      <c r="AA1085" s="162">
        <v>102</v>
      </c>
      <c r="AB1085" s="162" t="s">
        <v>2706</v>
      </c>
      <c r="AC1085" s="162">
        <v>148</v>
      </c>
      <c r="AD1085" s="162" t="s">
        <v>2706</v>
      </c>
      <c r="AE1085" s="162">
        <v>135</v>
      </c>
      <c r="AF1085" s="162" t="s">
        <v>2706</v>
      </c>
      <c r="AG1085" s="162">
        <v>153</v>
      </c>
      <c r="AH1085" s="162" t="s">
        <v>2706</v>
      </c>
      <c r="AI1085" s="162">
        <v>176</v>
      </c>
      <c r="AJ1085" s="162" t="s">
        <v>2706</v>
      </c>
      <c r="AK1085" s="162">
        <v>198</v>
      </c>
      <c r="AL1085" s="162" t="s">
        <v>2706</v>
      </c>
      <c r="AM1085" s="162">
        <v>1776</v>
      </c>
      <c r="AN1085" s="162"/>
      <c r="AP1085" s="168"/>
    </row>
    <row r="1086" spans="1:42" s="100" customFormat="1" ht="46.8" x14ac:dyDescent="0.3">
      <c r="A1086" s="161"/>
      <c r="B1086" s="167"/>
      <c r="C1086" s="98" t="s">
        <v>2708</v>
      </c>
      <c r="D1086" s="163"/>
      <c r="E1086" s="26" t="s">
        <v>48</v>
      </c>
      <c r="F1086" s="30" t="s">
        <v>49</v>
      </c>
      <c r="G1086" s="163"/>
      <c r="H1086" s="163"/>
      <c r="I1086" s="163"/>
      <c r="J1086" s="165"/>
      <c r="K1086" s="165"/>
      <c r="L1086" s="165"/>
      <c r="M1086" s="165"/>
      <c r="N1086" s="165"/>
      <c r="O1086" s="163"/>
      <c r="P1086" s="163"/>
      <c r="Q1086" s="163"/>
      <c r="R1086" s="163"/>
      <c r="S1086" s="163"/>
      <c r="T1086" s="163"/>
      <c r="U1086" s="163"/>
      <c r="V1086" s="163"/>
      <c r="W1086" s="163"/>
      <c r="X1086" s="163"/>
      <c r="Y1086" s="163"/>
      <c r="Z1086" s="163"/>
      <c r="AA1086" s="163"/>
      <c r="AB1086" s="163"/>
      <c r="AC1086" s="163"/>
      <c r="AD1086" s="163"/>
      <c r="AE1086" s="163"/>
      <c r="AF1086" s="163"/>
      <c r="AG1086" s="163"/>
      <c r="AH1086" s="163"/>
      <c r="AI1086" s="163"/>
      <c r="AJ1086" s="163"/>
      <c r="AK1086" s="163"/>
      <c r="AL1086" s="163"/>
      <c r="AM1086" s="163"/>
      <c r="AN1086" s="163"/>
      <c r="AP1086" s="169"/>
    </row>
    <row r="1087" spans="1:42" s="100" customFormat="1" ht="46.8" x14ac:dyDescent="0.3">
      <c r="A1087" s="160">
        <v>763</v>
      </c>
      <c r="B1087" s="166" t="s">
        <v>1576</v>
      </c>
      <c r="C1087" s="98" t="s">
        <v>2708</v>
      </c>
      <c r="D1087" s="162" t="s">
        <v>2712</v>
      </c>
      <c r="E1087" s="26" t="s">
        <v>144</v>
      </c>
      <c r="F1087" s="30" t="s">
        <v>49</v>
      </c>
      <c r="G1087" s="162" t="s">
        <v>2704</v>
      </c>
      <c r="H1087" s="162">
        <v>17</v>
      </c>
      <c r="I1087" s="162" t="str">
        <f t="shared" ref="I1087" si="89">G1087</f>
        <v>с ЛН</v>
      </c>
      <c r="J1087" s="164">
        <v>3</v>
      </c>
      <c r="K1087" s="164" t="s">
        <v>528</v>
      </c>
      <c r="L1087" s="164" t="s">
        <v>528</v>
      </c>
      <c r="M1087" s="164" t="s">
        <v>2705</v>
      </c>
      <c r="N1087" s="164" t="s">
        <v>2705</v>
      </c>
      <c r="O1087" s="162">
        <v>651</v>
      </c>
      <c r="P1087" s="162" t="s">
        <v>2706</v>
      </c>
      <c r="Q1087" s="162">
        <v>291</v>
      </c>
      <c r="R1087" s="162" t="s">
        <v>2706</v>
      </c>
      <c r="S1087" s="162">
        <v>939</v>
      </c>
      <c r="T1087" s="162" t="s">
        <v>2706</v>
      </c>
      <c r="U1087" s="162">
        <v>576</v>
      </c>
      <c r="V1087" s="162" t="s">
        <v>2706</v>
      </c>
      <c r="W1087" s="162">
        <v>297</v>
      </c>
      <c r="X1087" s="162" t="s">
        <v>2706</v>
      </c>
      <c r="Y1087" s="162">
        <v>497</v>
      </c>
      <c r="Z1087" s="162" t="s">
        <v>2706</v>
      </c>
      <c r="AA1087" s="162">
        <v>184</v>
      </c>
      <c r="AB1087" s="162" t="s">
        <v>2706</v>
      </c>
      <c r="AC1087" s="162">
        <v>274</v>
      </c>
      <c r="AD1087" s="162" t="s">
        <v>2706</v>
      </c>
      <c r="AE1087" s="162">
        <v>238</v>
      </c>
      <c r="AF1087" s="162" t="s">
        <v>2706</v>
      </c>
      <c r="AG1087" s="162">
        <v>188</v>
      </c>
      <c r="AH1087" s="162" t="s">
        <v>2706</v>
      </c>
      <c r="AI1087" s="162">
        <v>230</v>
      </c>
      <c r="AJ1087" s="162" t="s">
        <v>2706</v>
      </c>
      <c r="AK1087" s="162">
        <v>217</v>
      </c>
      <c r="AL1087" s="162" t="s">
        <v>2706</v>
      </c>
      <c r="AM1087" s="162">
        <v>4308</v>
      </c>
      <c r="AN1087" s="162"/>
      <c r="AP1087" s="168"/>
    </row>
    <row r="1088" spans="1:42" s="100" customFormat="1" ht="46.8" x14ac:dyDescent="0.3">
      <c r="A1088" s="161"/>
      <c r="B1088" s="167"/>
      <c r="C1088" s="98" t="s">
        <v>2708</v>
      </c>
      <c r="D1088" s="163"/>
      <c r="E1088" s="26" t="s">
        <v>48</v>
      </c>
      <c r="F1088" s="30" t="s">
        <v>49</v>
      </c>
      <c r="G1088" s="163"/>
      <c r="H1088" s="163"/>
      <c r="I1088" s="163"/>
      <c r="J1088" s="165"/>
      <c r="K1088" s="165"/>
      <c r="L1088" s="165"/>
      <c r="M1088" s="165"/>
      <c r="N1088" s="165"/>
      <c r="O1088" s="163"/>
      <c r="P1088" s="163"/>
      <c r="Q1088" s="163"/>
      <c r="R1088" s="163"/>
      <c r="S1088" s="163"/>
      <c r="T1088" s="163"/>
      <c r="U1088" s="163"/>
      <c r="V1088" s="163"/>
      <c r="W1088" s="163"/>
      <c r="X1088" s="163"/>
      <c r="Y1088" s="163"/>
      <c r="Z1088" s="163"/>
      <c r="AA1088" s="163"/>
      <c r="AB1088" s="163"/>
      <c r="AC1088" s="163"/>
      <c r="AD1088" s="163"/>
      <c r="AE1088" s="163"/>
      <c r="AF1088" s="163"/>
      <c r="AG1088" s="163"/>
      <c r="AH1088" s="163"/>
      <c r="AI1088" s="163"/>
      <c r="AJ1088" s="163"/>
      <c r="AK1088" s="163"/>
      <c r="AL1088" s="163"/>
      <c r="AM1088" s="163"/>
      <c r="AN1088" s="163"/>
      <c r="AP1088" s="169"/>
    </row>
    <row r="1089" spans="1:42" s="100" customFormat="1" ht="46.8" x14ac:dyDescent="0.3">
      <c r="A1089" s="160">
        <v>764</v>
      </c>
      <c r="B1089" s="166" t="s">
        <v>1577</v>
      </c>
      <c r="C1089" s="98" t="s">
        <v>2708</v>
      </c>
      <c r="D1089" s="162" t="s">
        <v>2712</v>
      </c>
      <c r="E1089" s="26" t="s">
        <v>144</v>
      </c>
      <c r="F1089" s="30" t="s">
        <v>49</v>
      </c>
      <c r="G1089" s="162" t="s">
        <v>2704</v>
      </c>
      <c r="H1089" s="162">
        <v>60</v>
      </c>
      <c r="I1089" s="162" t="str">
        <f t="shared" ref="I1089" si="90">G1089</f>
        <v>с ЛН</v>
      </c>
      <c r="J1089" s="164">
        <v>10</v>
      </c>
      <c r="K1089" s="164" t="s">
        <v>528</v>
      </c>
      <c r="L1089" s="164" t="s">
        <v>528</v>
      </c>
      <c r="M1089" s="164" t="s">
        <v>2705</v>
      </c>
      <c r="N1089" s="164" t="s">
        <v>2705</v>
      </c>
      <c r="O1089" s="162">
        <v>4594</v>
      </c>
      <c r="P1089" s="162" t="s">
        <v>2706</v>
      </c>
      <c r="Q1089" s="162">
        <v>5164</v>
      </c>
      <c r="R1089" s="162" t="s">
        <v>2706</v>
      </c>
      <c r="S1089" s="162">
        <v>3292</v>
      </c>
      <c r="T1089" s="162" t="s">
        <v>2706</v>
      </c>
      <c r="U1089" s="162">
        <v>5247</v>
      </c>
      <c r="V1089" s="162" t="s">
        <v>2706</v>
      </c>
      <c r="W1089" s="162">
        <v>3072</v>
      </c>
      <c r="X1089" s="162" t="s">
        <v>2706</v>
      </c>
      <c r="Y1089" s="162">
        <v>3039</v>
      </c>
      <c r="Z1089" s="162" t="s">
        <v>2706</v>
      </c>
      <c r="AA1089" s="162">
        <v>2351</v>
      </c>
      <c r="AB1089" s="162" t="s">
        <v>2706</v>
      </c>
      <c r="AC1089" s="162">
        <v>2795</v>
      </c>
      <c r="AD1089" s="162" t="s">
        <v>2706</v>
      </c>
      <c r="AE1089" s="162">
        <v>2747</v>
      </c>
      <c r="AF1089" s="162" t="s">
        <v>2706</v>
      </c>
      <c r="AG1089" s="162">
        <v>3449</v>
      </c>
      <c r="AH1089" s="162" t="s">
        <v>2706</v>
      </c>
      <c r="AI1089" s="162">
        <v>932</v>
      </c>
      <c r="AJ1089" s="162" t="s">
        <v>2706</v>
      </c>
      <c r="AK1089" s="162">
        <v>4089</v>
      </c>
      <c r="AL1089" s="162" t="s">
        <v>2706</v>
      </c>
      <c r="AM1089" s="162">
        <v>37976</v>
      </c>
      <c r="AN1089" s="162"/>
      <c r="AP1089" s="168"/>
    </row>
    <row r="1090" spans="1:42" s="100" customFormat="1" ht="46.8" x14ac:dyDescent="0.3">
      <c r="A1090" s="161"/>
      <c r="B1090" s="167"/>
      <c r="C1090" s="98" t="s">
        <v>2708</v>
      </c>
      <c r="D1090" s="163"/>
      <c r="E1090" s="26" t="s">
        <v>48</v>
      </c>
      <c r="F1090" s="30" t="s">
        <v>49</v>
      </c>
      <c r="G1090" s="163"/>
      <c r="H1090" s="163"/>
      <c r="I1090" s="163"/>
      <c r="J1090" s="165"/>
      <c r="K1090" s="165"/>
      <c r="L1090" s="165"/>
      <c r="M1090" s="165"/>
      <c r="N1090" s="165"/>
      <c r="O1090" s="163"/>
      <c r="P1090" s="163"/>
      <c r="Q1090" s="163"/>
      <c r="R1090" s="163"/>
      <c r="S1090" s="163"/>
      <c r="T1090" s="163"/>
      <c r="U1090" s="163"/>
      <c r="V1090" s="163"/>
      <c r="W1090" s="163"/>
      <c r="X1090" s="163"/>
      <c r="Y1090" s="163"/>
      <c r="Z1090" s="163"/>
      <c r="AA1090" s="163"/>
      <c r="AB1090" s="163"/>
      <c r="AC1090" s="163"/>
      <c r="AD1090" s="163"/>
      <c r="AE1090" s="163"/>
      <c r="AF1090" s="163"/>
      <c r="AG1090" s="163"/>
      <c r="AH1090" s="163"/>
      <c r="AI1090" s="163"/>
      <c r="AJ1090" s="163"/>
      <c r="AK1090" s="163"/>
      <c r="AL1090" s="163"/>
      <c r="AM1090" s="163"/>
      <c r="AN1090" s="163"/>
      <c r="AP1090" s="169"/>
    </row>
    <row r="1091" spans="1:42" s="100" customFormat="1" ht="46.8" x14ac:dyDescent="0.3">
      <c r="A1091" s="160">
        <v>765</v>
      </c>
      <c r="B1091" s="166" t="s">
        <v>1579</v>
      </c>
      <c r="C1091" s="98" t="s">
        <v>2708</v>
      </c>
      <c r="D1091" s="162" t="s">
        <v>2712</v>
      </c>
      <c r="E1091" s="26" t="s">
        <v>144</v>
      </c>
      <c r="F1091" s="30" t="s">
        <v>49</v>
      </c>
      <c r="G1091" s="162" t="s">
        <v>2704</v>
      </c>
      <c r="H1091" s="162">
        <v>47</v>
      </c>
      <c r="I1091" s="162" t="str">
        <f t="shared" ref="I1091" si="91">G1091</f>
        <v>с ЛН</v>
      </c>
      <c r="J1091" s="164">
        <v>7</v>
      </c>
      <c r="K1091" s="164" t="s">
        <v>528</v>
      </c>
      <c r="L1091" s="164" t="s">
        <v>528</v>
      </c>
      <c r="M1091" s="164" t="s">
        <v>2705</v>
      </c>
      <c r="N1091" s="164" t="s">
        <v>2705</v>
      </c>
      <c r="O1091" s="162">
        <v>1693</v>
      </c>
      <c r="P1091" s="162" t="s">
        <v>2706</v>
      </c>
      <c r="Q1091" s="162">
        <v>1878</v>
      </c>
      <c r="R1091" s="162" t="s">
        <v>2706</v>
      </c>
      <c r="S1091" s="162">
        <v>1036</v>
      </c>
      <c r="T1091" s="162" t="s">
        <v>2706</v>
      </c>
      <c r="U1091" s="162">
        <v>1985</v>
      </c>
      <c r="V1091" s="162" t="s">
        <v>2706</v>
      </c>
      <c r="W1091" s="162">
        <v>1694</v>
      </c>
      <c r="X1091" s="162" t="s">
        <v>2706</v>
      </c>
      <c r="Y1091" s="162">
        <v>1932</v>
      </c>
      <c r="Z1091" s="162" t="s">
        <v>2706</v>
      </c>
      <c r="AA1091" s="162">
        <v>1305</v>
      </c>
      <c r="AB1091" s="162" t="s">
        <v>2706</v>
      </c>
      <c r="AC1091" s="162">
        <v>1339</v>
      </c>
      <c r="AD1091" s="162" t="s">
        <v>2706</v>
      </c>
      <c r="AE1091" s="162">
        <v>4071</v>
      </c>
      <c r="AF1091" s="162" t="s">
        <v>2706</v>
      </c>
      <c r="AG1091" s="162">
        <v>1394</v>
      </c>
      <c r="AH1091" s="162" t="s">
        <v>2706</v>
      </c>
      <c r="AI1091" s="162">
        <v>167</v>
      </c>
      <c r="AJ1091" s="162" t="s">
        <v>2706</v>
      </c>
      <c r="AK1091" s="162">
        <v>904</v>
      </c>
      <c r="AL1091" s="162" t="s">
        <v>2706</v>
      </c>
      <c r="AM1091" s="162">
        <v>18059</v>
      </c>
      <c r="AN1091" s="162"/>
      <c r="AP1091" s="168"/>
    </row>
    <row r="1092" spans="1:42" s="100" customFormat="1" ht="46.8" x14ac:dyDescent="0.3">
      <c r="A1092" s="161"/>
      <c r="B1092" s="167"/>
      <c r="C1092" s="98" t="s">
        <v>2708</v>
      </c>
      <c r="D1092" s="163"/>
      <c r="E1092" s="26" t="s">
        <v>48</v>
      </c>
      <c r="F1092" s="30" t="s">
        <v>49</v>
      </c>
      <c r="G1092" s="163"/>
      <c r="H1092" s="163"/>
      <c r="I1092" s="163"/>
      <c r="J1092" s="165"/>
      <c r="K1092" s="165"/>
      <c r="L1092" s="165"/>
      <c r="M1092" s="165"/>
      <c r="N1092" s="165"/>
      <c r="O1092" s="163"/>
      <c r="P1092" s="163"/>
      <c r="Q1092" s="163"/>
      <c r="R1092" s="163"/>
      <c r="S1092" s="163"/>
      <c r="T1092" s="163"/>
      <c r="U1092" s="163"/>
      <c r="V1092" s="163"/>
      <c r="W1092" s="163"/>
      <c r="X1092" s="163"/>
      <c r="Y1092" s="163"/>
      <c r="Z1092" s="163"/>
      <c r="AA1092" s="163"/>
      <c r="AB1092" s="163"/>
      <c r="AC1092" s="163"/>
      <c r="AD1092" s="163"/>
      <c r="AE1092" s="163"/>
      <c r="AF1092" s="163"/>
      <c r="AG1092" s="163"/>
      <c r="AH1092" s="163"/>
      <c r="AI1092" s="163"/>
      <c r="AJ1092" s="163"/>
      <c r="AK1092" s="163"/>
      <c r="AL1092" s="163"/>
      <c r="AM1092" s="163"/>
      <c r="AN1092" s="163"/>
      <c r="AP1092" s="169"/>
    </row>
    <row r="1093" spans="1:42" s="100" customFormat="1" ht="46.8" x14ac:dyDescent="0.3">
      <c r="A1093" s="160">
        <v>766</v>
      </c>
      <c r="B1093" s="166" t="s">
        <v>1580</v>
      </c>
      <c r="C1093" s="98" t="s">
        <v>2708</v>
      </c>
      <c r="D1093" s="162" t="s">
        <v>2712</v>
      </c>
      <c r="E1093" s="26" t="s">
        <v>144</v>
      </c>
      <c r="F1093" s="30" t="s">
        <v>49</v>
      </c>
      <c r="G1093" s="162" t="s">
        <v>2704</v>
      </c>
      <c r="H1093" s="162">
        <v>16</v>
      </c>
      <c r="I1093" s="162" t="str">
        <f t="shared" ref="I1093" si="92">G1093</f>
        <v>с ЛН</v>
      </c>
      <c r="J1093" s="164">
        <v>3</v>
      </c>
      <c r="K1093" s="164" t="s">
        <v>528</v>
      </c>
      <c r="L1093" s="164" t="s">
        <v>528</v>
      </c>
      <c r="M1093" s="164" t="s">
        <v>2705</v>
      </c>
      <c r="N1093" s="164" t="s">
        <v>2705</v>
      </c>
      <c r="O1093" s="162">
        <v>152</v>
      </c>
      <c r="P1093" s="162" t="s">
        <v>2706</v>
      </c>
      <c r="Q1093" s="162">
        <v>178</v>
      </c>
      <c r="R1093" s="162" t="s">
        <v>2706</v>
      </c>
      <c r="S1093" s="162">
        <v>115</v>
      </c>
      <c r="T1093" s="162" t="s">
        <v>2706</v>
      </c>
      <c r="U1093" s="162">
        <v>168</v>
      </c>
      <c r="V1093" s="162" t="s">
        <v>2706</v>
      </c>
      <c r="W1093" s="162">
        <v>126</v>
      </c>
      <c r="X1093" s="162" t="s">
        <v>2706</v>
      </c>
      <c r="Y1093" s="162">
        <v>116</v>
      </c>
      <c r="Z1093" s="162" t="s">
        <v>2706</v>
      </c>
      <c r="AA1093" s="162">
        <v>121</v>
      </c>
      <c r="AB1093" s="162" t="s">
        <v>2706</v>
      </c>
      <c r="AC1093" s="162">
        <v>109</v>
      </c>
      <c r="AD1093" s="162" t="s">
        <v>2706</v>
      </c>
      <c r="AE1093" s="162">
        <v>127</v>
      </c>
      <c r="AF1093" s="162" t="s">
        <v>2706</v>
      </c>
      <c r="AG1093" s="162">
        <v>121</v>
      </c>
      <c r="AH1093" s="162" t="s">
        <v>2706</v>
      </c>
      <c r="AI1093" s="162">
        <v>732</v>
      </c>
      <c r="AJ1093" s="162" t="s">
        <v>2706</v>
      </c>
      <c r="AK1093" s="162">
        <v>190</v>
      </c>
      <c r="AL1093" s="162" t="s">
        <v>2706</v>
      </c>
      <c r="AM1093" s="162">
        <v>2146</v>
      </c>
      <c r="AN1093" s="162"/>
      <c r="AP1093" s="168"/>
    </row>
    <row r="1094" spans="1:42" s="100" customFormat="1" ht="46.8" x14ac:dyDescent="0.3">
      <c r="A1094" s="161"/>
      <c r="B1094" s="167"/>
      <c r="C1094" s="98" t="s">
        <v>2708</v>
      </c>
      <c r="D1094" s="163"/>
      <c r="E1094" s="26" t="s">
        <v>48</v>
      </c>
      <c r="F1094" s="30" t="s">
        <v>49</v>
      </c>
      <c r="G1094" s="163"/>
      <c r="H1094" s="163"/>
      <c r="I1094" s="163"/>
      <c r="J1094" s="165"/>
      <c r="K1094" s="165"/>
      <c r="L1094" s="165"/>
      <c r="M1094" s="165"/>
      <c r="N1094" s="165"/>
      <c r="O1094" s="163"/>
      <c r="P1094" s="163"/>
      <c r="Q1094" s="163"/>
      <c r="R1094" s="163"/>
      <c r="S1094" s="163"/>
      <c r="T1094" s="163"/>
      <c r="U1094" s="163"/>
      <c r="V1094" s="163"/>
      <c r="W1094" s="163"/>
      <c r="X1094" s="163"/>
      <c r="Y1094" s="163"/>
      <c r="Z1094" s="163"/>
      <c r="AA1094" s="163"/>
      <c r="AB1094" s="163"/>
      <c r="AC1094" s="163"/>
      <c r="AD1094" s="163"/>
      <c r="AE1094" s="163"/>
      <c r="AF1094" s="163"/>
      <c r="AG1094" s="163"/>
      <c r="AH1094" s="163"/>
      <c r="AI1094" s="163"/>
      <c r="AJ1094" s="163"/>
      <c r="AK1094" s="163"/>
      <c r="AL1094" s="163"/>
      <c r="AM1094" s="163"/>
      <c r="AN1094" s="163"/>
      <c r="AP1094" s="169"/>
    </row>
    <row r="1095" spans="1:42" s="100" customFormat="1" ht="46.8" x14ac:dyDescent="0.3">
      <c r="A1095" s="160">
        <v>767</v>
      </c>
      <c r="B1095" s="166" t="s">
        <v>1581</v>
      </c>
      <c r="C1095" s="98" t="s">
        <v>2708</v>
      </c>
      <c r="D1095" s="162" t="s">
        <v>2712</v>
      </c>
      <c r="E1095" s="26" t="s">
        <v>144</v>
      </c>
      <c r="F1095" s="30" t="s">
        <v>49</v>
      </c>
      <c r="G1095" s="162" t="s">
        <v>2704</v>
      </c>
      <c r="H1095" s="162">
        <v>17</v>
      </c>
      <c r="I1095" s="162" t="str">
        <f t="shared" ref="I1095" si="93">G1095</f>
        <v>с ЛН</v>
      </c>
      <c r="J1095" s="164">
        <v>3</v>
      </c>
      <c r="K1095" s="164" t="s">
        <v>528</v>
      </c>
      <c r="L1095" s="164" t="s">
        <v>528</v>
      </c>
      <c r="M1095" s="164" t="s">
        <v>2705</v>
      </c>
      <c r="N1095" s="164" t="s">
        <v>2705</v>
      </c>
      <c r="O1095" s="162">
        <v>149</v>
      </c>
      <c r="P1095" s="162" t="s">
        <v>2706</v>
      </c>
      <c r="Q1095" s="162">
        <v>153</v>
      </c>
      <c r="R1095" s="162" t="s">
        <v>2706</v>
      </c>
      <c r="S1095" s="162">
        <v>105</v>
      </c>
      <c r="T1095" s="162" t="s">
        <v>2706</v>
      </c>
      <c r="U1095" s="162">
        <v>101</v>
      </c>
      <c r="V1095" s="162" t="s">
        <v>2706</v>
      </c>
      <c r="W1095" s="162">
        <v>68</v>
      </c>
      <c r="X1095" s="162" t="s">
        <v>2706</v>
      </c>
      <c r="Y1095" s="162">
        <v>86</v>
      </c>
      <c r="Z1095" s="162" t="s">
        <v>2706</v>
      </c>
      <c r="AA1095" s="162">
        <v>75</v>
      </c>
      <c r="AB1095" s="162" t="s">
        <v>2706</v>
      </c>
      <c r="AC1095" s="162">
        <v>142</v>
      </c>
      <c r="AD1095" s="162" t="s">
        <v>2706</v>
      </c>
      <c r="AE1095" s="162">
        <v>137</v>
      </c>
      <c r="AF1095" s="162" t="s">
        <v>2706</v>
      </c>
      <c r="AG1095" s="162">
        <v>163</v>
      </c>
      <c r="AH1095" s="162" t="s">
        <v>2706</v>
      </c>
      <c r="AI1095" s="162">
        <v>136</v>
      </c>
      <c r="AJ1095" s="162" t="s">
        <v>2706</v>
      </c>
      <c r="AK1095" s="162">
        <v>235</v>
      </c>
      <c r="AL1095" s="162" t="s">
        <v>2706</v>
      </c>
      <c r="AM1095" s="162">
        <v>1408</v>
      </c>
      <c r="AN1095" s="162"/>
      <c r="AP1095" s="168"/>
    </row>
    <row r="1096" spans="1:42" s="100" customFormat="1" ht="46.8" x14ac:dyDescent="0.3">
      <c r="A1096" s="161"/>
      <c r="B1096" s="167"/>
      <c r="C1096" s="98" t="s">
        <v>2708</v>
      </c>
      <c r="D1096" s="163"/>
      <c r="E1096" s="26" t="s">
        <v>48</v>
      </c>
      <c r="F1096" s="30" t="s">
        <v>49</v>
      </c>
      <c r="G1096" s="163"/>
      <c r="H1096" s="163"/>
      <c r="I1096" s="163"/>
      <c r="J1096" s="165"/>
      <c r="K1096" s="165"/>
      <c r="L1096" s="165"/>
      <c r="M1096" s="165"/>
      <c r="N1096" s="165"/>
      <c r="O1096" s="163"/>
      <c r="P1096" s="163"/>
      <c r="Q1096" s="163"/>
      <c r="R1096" s="163"/>
      <c r="S1096" s="163"/>
      <c r="T1096" s="163"/>
      <c r="U1096" s="163"/>
      <c r="V1096" s="163"/>
      <c r="W1096" s="163"/>
      <c r="X1096" s="163"/>
      <c r="Y1096" s="163"/>
      <c r="Z1096" s="163"/>
      <c r="AA1096" s="163"/>
      <c r="AB1096" s="163"/>
      <c r="AC1096" s="163"/>
      <c r="AD1096" s="163"/>
      <c r="AE1096" s="163"/>
      <c r="AF1096" s="163"/>
      <c r="AG1096" s="163"/>
      <c r="AH1096" s="163"/>
      <c r="AI1096" s="163"/>
      <c r="AJ1096" s="163"/>
      <c r="AK1096" s="163"/>
      <c r="AL1096" s="163"/>
      <c r="AM1096" s="163"/>
      <c r="AN1096" s="163"/>
      <c r="AP1096" s="169"/>
    </row>
    <row r="1097" spans="1:42" s="100" customFormat="1" ht="46.8" x14ac:dyDescent="0.3">
      <c r="A1097" s="160">
        <v>768</v>
      </c>
      <c r="B1097" s="166" t="s">
        <v>1584</v>
      </c>
      <c r="C1097" s="98" t="s">
        <v>2708</v>
      </c>
      <c r="D1097" s="162" t="s">
        <v>2712</v>
      </c>
      <c r="E1097" s="26" t="s">
        <v>144</v>
      </c>
      <c r="F1097" s="30" t="s">
        <v>49</v>
      </c>
      <c r="G1097" s="162" t="s">
        <v>2704</v>
      </c>
      <c r="H1097" s="162">
        <v>24</v>
      </c>
      <c r="I1097" s="162" t="str">
        <f t="shared" ref="I1097" si="94">G1097</f>
        <v>с ЛН</v>
      </c>
      <c r="J1097" s="164">
        <v>6</v>
      </c>
      <c r="K1097" s="164" t="s">
        <v>528</v>
      </c>
      <c r="L1097" s="164" t="s">
        <v>528</v>
      </c>
      <c r="M1097" s="164" t="s">
        <v>2705</v>
      </c>
      <c r="N1097" s="164" t="s">
        <v>2705</v>
      </c>
      <c r="O1097" s="162">
        <v>301</v>
      </c>
      <c r="P1097" s="162" t="s">
        <v>2706</v>
      </c>
      <c r="Q1097" s="162">
        <v>402</v>
      </c>
      <c r="R1097" s="162" t="s">
        <v>2706</v>
      </c>
      <c r="S1097" s="162">
        <v>243</v>
      </c>
      <c r="T1097" s="162" t="s">
        <v>2706</v>
      </c>
      <c r="U1097" s="162">
        <v>368</v>
      </c>
      <c r="V1097" s="162" t="s">
        <v>2706</v>
      </c>
      <c r="W1097" s="162">
        <v>217</v>
      </c>
      <c r="X1097" s="162" t="s">
        <v>2706</v>
      </c>
      <c r="Y1097" s="162">
        <v>300</v>
      </c>
      <c r="Z1097" s="162" t="s">
        <v>2706</v>
      </c>
      <c r="AA1097" s="162">
        <v>174</v>
      </c>
      <c r="AB1097" s="162" t="s">
        <v>2706</v>
      </c>
      <c r="AC1097" s="162">
        <v>273</v>
      </c>
      <c r="AD1097" s="162" t="s">
        <v>2706</v>
      </c>
      <c r="AE1097" s="162">
        <v>231</v>
      </c>
      <c r="AF1097" s="162" t="s">
        <v>2706</v>
      </c>
      <c r="AG1097" s="162">
        <v>387</v>
      </c>
      <c r="AH1097" s="162" t="s">
        <v>2706</v>
      </c>
      <c r="AI1097" s="162">
        <v>8269</v>
      </c>
      <c r="AJ1097" s="162" t="s">
        <v>2706</v>
      </c>
      <c r="AK1097" s="162">
        <v>285</v>
      </c>
      <c r="AL1097" s="162" t="s">
        <v>2706</v>
      </c>
      <c r="AM1097" s="162">
        <v>11177</v>
      </c>
      <c r="AN1097" s="162"/>
      <c r="AP1097" s="168"/>
    </row>
    <row r="1098" spans="1:42" s="100" customFormat="1" ht="46.8" x14ac:dyDescent="0.3">
      <c r="A1098" s="161"/>
      <c r="B1098" s="167"/>
      <c r="C1098" s="98" t="s">
        <v>2708</v>
      </c>
      <c r="D1098" s="163"/>
      <c r="E1098" s="26" t="s">
        <v>48</v>
      </c>
      <c r="F1098" s="30" t="s">
        <v>49</v>
      </c>
      <c r="G1098" s="163"/>
      <c r="H1098" s="163"/>
      <c r="I1098" s="163"/>
      <c r="J1098" s="165"/>
      <c r="K1098" s="165"/>
      <c r="L1098" s="165"/>
      <c r="M1098" s="165"/>
      <c r="N1098" s="165"/>
      <c r="O1098" s="163"/>
      <c r="P1098" s="163"/>
      <c r="Q1098" s="163"/>
      <c r="R1098" s="163"/>
      <c r="S1098" s="163"/>
      <c r="T1098" s="163"/>
      <c r="U1098" s="163"/>
      <c r="V1098" s="163"/>
      <c r="W1098" s="163"/>
      <c r="X1098" s="163"/>
      <c r="Y1098" s="163"/>
      <c r="Z1098" s="163"/>
      <c r="AA1098" s="163"/>
      <c r="AB1098" s="163"/>
      <c r="AC1098" s="163"/>
      <c r="AD1098" s="163"/>
      <c r="AE1098" s="163"/>
      <c r="AF1098" s="163"/>
      <c r="AG1098" s="163"/>
      <c r="AH1098" s="163"/>
      <c r="AI1098" s="163"/>
      <c r="AJ1098" s="163"/>
      <c r="AK1098" s="163"/>
      <c r="AL1098" s="163"/>
      <c r="AM1098" s="163"/>
      <c r="AN1098" s="163"/>
      <c r="AP1098" s="169"/>
    </row>
    <row r="1099" spans="1:42" s="100" customFormat="1" ht="46.8" x14ac:dyDescent="0.3">
      <c r="A1099" s="160">
        <v>769</v>
      </c>
      <c r="B1099" s="166" t="s">
        <v>1585</v>
      </c>
      <c r="C1099" s="98" t="s">
        <v>2708</v>
      </c>
      <c r="D1099" s="162" t="s">
        <v>2712</v>
      </c>
      <c r="E1099" s="26" t="s">
        <v>144</v>
      </c>
      <c r="F1099" s="30" t="s">
        <v>49</v>
      </c>
      <c r="G1099" s="162" t="s">
        <v>2704</v>
      </c>
      <c r="H1099" s="162">
        <v>13</v>
      </c>
      <c r="I1099" s="162" t="str">
        <f t="shared" ref="I1099" si="95">G1099</f>
        <v>с ЛН</v>
      </c>
      <c r="J1099" s="164">
        <v>3</v>
      </c>
      <c r="K1099" s="164" t="s">
        <v>528</v>
      </c>
      <c r="L1099" s="164" t="s">
        <v>528</v>
      </c>
      <c r="M1099" s="164" t="s">
        <v>2705</v>
      </c>
      <c r="N1099" s="164" t="s">
        <v>2705</v>
      </c>
      <c r="O1099" s="162">
        <v>0</v>
      </c>
      <c r="P1099" s="162" t="s">
        <v>2706</v>
      </c>
      <c r="Q1099" s="162">
        <v>0</v>
      </c>
      <c r="R1099" s="162" t="s">
        <v>2706</v>
      </c>
      <c r="S1099" s="162">
        <v>0</v>
      </c>
      <c r="T1099" s="162" t="s">
        <v>2706</v>
      </c>
      <c r="U1099" s="162">
        <v>0</v>
      </c>
      <c r="V1099" s="162" t="s">
        <v>2706</v>
      </c>
      <c r="W1099" s="162">
        <v>0</v>
      </c>
      <c r="X1099" s="162" t="s">
        <v>2706</v>
      </c>
      <c r="Y1099" s="162">
        <v>0</v>
      </c>
      <c r="Z1099" s="162" t="s">
        <v>2706</v>
      </c>
      <c r="AA1099" s="162">
        <v>0</v>
      </c>
      <c r="AB1099" s="162" t="s">
        <v>2706</v>
      </c>
      <c r="AC1099" s="162">
        <v>0</v>
      </c>
      <c r="AD1099" s="162" t="s">
        <v>2706</v>
      </c>
      <c r="AE1099" s="162">
        <v>0</v>
      </c>
      <c r="AF1099" s="162" t="s">
        <v>2706</v>
      </c>
      <c r="AG1099" s="162">
        <v>0</v>
      </c>
      <c r="AH1099" s="162" t="s">
        <v>2706</v>
      </c>
      <c r="AI1099" s="162">
        <v>0</v>
      </c>
      <c r="AJ1099" s="162" t="s">
        <v>2706</v>
      </c>
      <c r="AK1099" s="162">
        <v>0</v>
      </c>
      <c r="AL1099" s="162" t="s">
        <v>2706</v>
      </c>
      <c r="AM1099" s="162">
        <v>0</v>
      </c>
      <c r="AN1099" s="162"/>
      <c r="AP1099" s="168"/>
    </row>
    <row r="1100" spans="1:42" s="100" customFormat="1" ht="46.8" x14ac:dyDescent="0.3">
      <c r="A1100" s="161"/>
      <c r="B1100" s="167"/>
      <c r="C1100" s="98" t="s">
        <v>2708</v>
      </c>
      <c r="D1100" s="163"/>
      <c r="E1100" s="26" t="s">
        <v>48</v>
      </c>
      <c r="F1100" s="30" t="s">
        <v>49</v>
      </c>
      <c r="G1100" s="163"/>
      <c r="H1100" s="163"/>
      <c r="I1100" s="163"/>
      <c r="J1100" s="165"/>
      <c r="K1100" s="165"/>
      <c r="L1100" s="165"/>
      <c r="M1100" s="165"/>
      <c r="N1100" s="165"/>
      <c r="O1100" s="163"/>
      <c r="P1100" s="163"/>
      <c r="Q1100" s="163"/>
      <c r="R1100" s="163"/>
      <c r="S1100" s="163"/>
      <c r="T1100" s="163"/>
      <c r="U1100" s="163"/>
      <c r="V1100" s="163"/>
      <c r="W1100" s="163"/>
      <c r="X1100" s="163"/>
      <c r="Y1100" s="163"/>
      <c r="Z1100" s="163"/>
      <c r="AA1100" s="163"/>
      <c r="AB1100" s="163"/>
      <c r="AC1100" s="163"/>
      <c r="AD1100" s="163"/>
      <c r="AE1100" s="163"/>
      <c r="AF1100" s="163"/>
      <c r="AG1100" s="163"/>
      <c r="AH1100" s="163"/>
      <c r="AI1100" s="163"/>
      <c r="AJ1100" s="163"/>
      <c r="AK1100" s="163"/>
      <c r="AL1100" s="163"/>
      <c r="AM1100" s="163"/>
      <c r="AN1100" s="163"/>
      <c r="AP1100" s="169"/>
    </row>
    <row r="1101" spans="1:42" s="100" customFormat="1" ht="46.8" x14ac:dyDescent="0.3">
      <c r="A1101" s="160">
        <v>770</v>
      </c>
      <c r="B1101" s="166" t="s">
        <v>1586</v>
      </c>
      <c r="C1101" s="98" t="s">
        <v>2708</v>
      </c>
      <c r="D1101" s="162" t="s">
        <v>2712</v>
      </c>
      <c r="E1101" s="26" t="s">
        <v>144</v>
      </c>
      <c r="F1101" s="30" t="s">
        <v>49</v>
      </c>
      <c r="G1101" s="162"/>
      <c r="H1101" s="162"/>
      <c r="I1101" s="162"/>
      <c r="J1101" s="164"/>
      <c r="K1101" s="164" t="s">
        <v>528</v>
      </c>
      <c r="L1101" s="164" t="s">
        <v>528</v>
      </c>
      <c r="M1101" s="164" t="s">
        <v>2705</v>
      </c>
      <c r="N1101" s="164" t="s">
        <v>2705</v>
      </c>
      <c r="O1101" s="162">
        <v>0</v>
      </c>
      <c r="P1101" s="162" t="s">
        <v>2706</v>
      </c>
      <c r="Q1101" s="162">
        <v>0</v>
      </c>
      <c r="R1101" s="162" t="s">
        <v>2706</v>
      </c>
      <c r="S1101" s="162">
        <v>499</v>
      </c>
      <c r="T1101" s="162" t="s">
        <v>2706</v>
      </c>
      <c r="U1101" s="162">
        <v>599</v>
      </c>
      <c r="V1101" s="162" t="s">
        <v>2706</v>
      </c>
      <c r="W1101" s="162">
        <v>599</v>
      </c>
      <c r="X1101" s="162" t="s">
        <v>2706</v>
      </c>
      <c r="Y1101" s="162">
        <v>298</v>
      </c>
      <c r="Z1101" s="162" t="s">
        <v>2706</v>
      </c>
      <c r="AA1101" s="162">
        <v>304</v>
      </c>
      <c r="AB1101" s="162" t="s">
        <v>2706</v>
      </c>
      <c r="AC1101" s="162">
        <v>380</v>
      </c>
      <c r="AD1101" s="162" t="s">
        <v>2706</v>
      </c>
      <c r="AE1101" s="162">
        <v>404</v>
      </c>
      <c r="AF1101" s="162" t="s">
        <v>2706</v>
      </c>
      <c r="AG1101" s="162">
        <v>272</v>
      </c>
      <c r="AH1101" s="162" t="s">
        <v>2706</v>
      </c>
      <c r="AI1101" s="162">
        <v>416</v>
      </c>
      <c r="AJ1101" s="162" t="s">
        <v>2706</v>
      </c>
      <c r="AK1101" s="162">
        <v>357</v>
      </c>
      <c r="AL1101" s="162" t="s">
        <v>2706</v>
      </c>
      <c r="AM1101" s="162">
        <v>3748</v>
      </c>
      <c r="AN1101" s="162"/>
      <c r="AP1101" s="168"/>
    </row>
    <row r="1102" spans="1:42" s="100" customFormat="1" ht="46.8" x14ac:dyDescent="0.3">
      <c r="A1102" s="161"/>
      <c r="B1102" s="167"/>
      <c r="C1102" s="98" t="s">
        <v>2708</v>
      </c>
      <c r="D1102" s="163"/>
      <c r="E1102" s="26" t="s">
        <v>48</v>
      </c>
      <c r="F1102" s="30" t="s">
        <v>49</v>
      </c>
      <c r="G1102" s="163"/>
      <c r="H1102" s="163"/>
      <c r="I1102" s="163"/>
      <c r="J1102" s="165"/>
      <c r="K1102" s="165"/>
      <c r="L1102" s="165"/>
      <c r="M1102" s="165"/>
      <c r="N1102" s="165"/>
      <c r="O1102" s="163"/>
      <c r="P1102" s="163"/>
      <c r="Q1102" s="163"/>
      <c r="R1102" s="163"/>
      <c r="S1102" s="163"/>
      <c r="T1102" s="163"/>
      <c r="U1102" s="163"/>
      <c r="V1102" s="163"/>
      <c r="W1102" s="163"/>
      <c r="X1102" s="163"/>
      <c r="Y1102" s="163"/>
      <c r="Z1102" s="163"/>
      <c r="AA1102" s="163"/>
      <c r="AB1102" s="163"/>
      <c r="AC1102" s="163"/>
      <c r="AD1102" s="163"/>
      <c r="AE1102" s="163"/>
      <c r="AF1102" s="163"/>
      <c r="AG1102" s="163"/>
      <c r="AH1102" s="163"/>
      <c r="AI1102" s="163"/>
      <c r="AJ1102" s="163"/>
      <c r="AK1102" s="163"/>
      <c r="AL1102" s="163"/>
      <c r="AM1102" s="163"/>
      <c r="AN1102" s="163"/>
      <c r="AP1102" s="169"/>
    </row>
    <row r="1103" spans="1:42" s="100" customFormat="1" ht="46.8" x14ac:dyDescent="0.3">
      <c r="A1103" s="160">
        <v>771</v>
      </c>
      <c r="B1103" s="166" t="s">
        <v>1589</v>
      </c>
      <c r="C1103" s="98" t="s">
        <v>2708</v>
      </c>
      <c r="D1103" s="162" t="s">
        <v>2712</v>
      </c>
      <c r="E1103" s="26" t="s">
        <v>144</v>
      </c>
      <c r="F1103" s="30" t="s">
        <v>49</v>
      </c>
      <c r="G1103" s="162" t="s">
        <v>2704</v>
      </c>
      <c r="H1103" s="162">
        <v>47</v>
      </c>
      <c r="I1103" s="162" t="str">
        <f t="shared" ref="I1103" si="96">G1103</f>
        <v>с ЛН</v>
      </c>
      <c r="J1103" s="164">
        <v>7</v>
      </c>
      <c r="K1103" s="164" t="s">
        <v>528</v>
      </c>
      <c r="L1103" s="164" t="s">
        <v>528</v>
      </c>
      <c r="M1103" s="164" t="s">
        <v>2705</v>
      </c>
      <c r="N1103" s="164" t="s">
        <v>2705</v>
      </c>
      <c r="O1103" s="162">
        <v>1812</v>
      </c>
      <c r="P1103" s="162" t="s">
        <v>2706</v>
      </c>
      <c r="Q1103" s="162">
        <v>832</v>
      </c>
      <c r="R1103" s="162" t="s">
        <v>2706</v>
      </c>
      <c r="S1103" s="162">
        <v>834</v>
      </c>
      <c r="T1103" s="162" t="s">
        <v>2706</v>
      </c>
      <c r="U1103" s="162">
        <v>1114</v>
      </c>
      <c r="V1103" s="162" t="s">
        <v>2706</v>
      </c>
      <c r="W1103" s="162">
        <v>1419</v>
      </c>
      <c r="X1103" s="162" t="s">
        <v>2706</v>
      </c>
      <c r="Y1103" s="162">
        <v>1205</v>
      </c>
      <c r="Z1103" s="162" t="s">
        <v>2706</v>
      </c>
      <c r="AA1103" s="162">
        <v>894</v>
      </c>
      <c r="AB1103" s="162" t="s">
        <v>2706</v>
      </c>
      <c r="AC1103" s="162">
        <v>1564</v>
      </c>
      <c r="AD1103" s="162" t="s">
        <v>2706</v>
      </c>
      <c r="AE1103" s="162">
        <v>1455</v>
      </c>
      <c r="AF1103" s="162" t="s">
        <v>2706</v>
      </c>
      <c r="AG1103" s="162">
        <v>1275</v>
      </c>
      <c r="AH1103" s="162" t="s">
        <v>2706</v>
      </c>
      <c r="AI1103" s="162">
        <v>1260</v>
      </c>
      <c r="AJ1103" s="162" t="s">
        <v>2706</v>
      </c>
      <c r="AK1103" s="162">
        <v>1166</v>
      </c>
      <c r="AL1103" s="162" t="s">
        <v>2706</v>
      </c>
      <c r="AM1103" s="162">
        <v>13266</v>
      </c>
      <c r="AN1103" s="162"/>
      <c r="AP1103" s="168"/>
    </row>
    <row r="1104" spans="1:42" s="100" customFormat="1" ht="46.8" x14ac:dyDescent="0.3">
      <c r="A1104" s="161"/>
      <c r="B1104" s="167"/>
      <c r="C1104" s="98" t="s">
        <v>2708</v>
      </c>
      <c r="D1104" s="163"/>
      <c r="E1104" s="26" t="s">
        <v>48</v>
      </c>
      <c r="F1104" s="30" t="s">
        <v>49</v>
      </c>
      <c r="G1104" s="163"/>
      <c r="H1104" s="163"/>
      <c r="I1104" s="163"/>
      <c r="J1104" s="165"/>
      <c r="K1104" s="165"/>
      <c r="L1104" s="165"/>
      <c r="M1104" s="165"/>
      <c r="N1104" s="165"/>
      <c r="O1104" s="163"/>
      <c r="P1104" s="163"/>
      <c r="Q1104" s="163"/>
      <c r="R1104" s="163"/>
      <c r="S1104" s="163"/>
      <c r="T1104" s="163"/>
      <c r="U1104" s="163"/>
      <c r="V1104" s="163"/>
      <c r="W1104" s="163"/>
      <c r="X1104" s="163"/>
      <c r="Y1104" s="163"/>
      <c r="Z1104" s="163"/>
      <c r="AA1104" s="163"/>
      <c r="AB1104" s="163"/>
      <c r="AC1104" s="163"/>
      <c r="AD1104" s="163"/>
      <c r="AE1104" s="163"/>
      <c r="AF1104" s="163"/>
      <c r="AG1104" s="163"/>
      <c r="AH1104" s="163"/>
      <c r="AI1104" s="163"/>
      <c r="AJ1104" s="163"/>
      <c r="AK1104" s="163"/>
      <c r="AL1104" s="163"/>
      <c r="AM1104" s="163"/>
      <c r="AN1104" s="163"/>
      <c r="AP1104" s="169"/>
    </row>
    <row r="1105" spans="1:42" s="100" customFormat="1" ht="46.8" x14ac:dyDescent="0.3">
      <c r="A1105" s="160">
        <v>772</v>
      </c>
      <c r="B1105" s="166" t="s">
        <v>1590</v>
      </c>
      <c r="C1105" s="98" t="s">
        <v>2708</v>
      </c>
      <c r="D1105" s="162" t="s">
        <v>2712</v>
      </c>
      <c r="E1105" s="26" t="s">
        <v>144</v>
      </c>
      <c r="F1105" s="30" t="s">
        <v>49</v>
      </c>
      <c r="G1105" s="162" t="s">
        <v>2704</v>
      </c>
      <c r="H1105" s="162">
        <v>30</v>
      </c>
      <c r="I1105" s="162" t="str">
        <f t="shared" ref="I1105" si="97">G1105</f>
        <v>с ЛН</v>
      </c>
      <c r="J1105" s="164">
        <v>5</v>
      </c>
      <c r="K1105" s="164" t="s">
        <v>528</v>
      </c>
      <c r="L1105" s="164" t="s">
        <v>528</v>
      </c>
      <c r="M1105" s="164" t="s">
        <v>2705</v>
      </c>
      <c r="N1105" s="164" t="s">
        <v>2705</v>
      </c>
      <c r="O1105" s="162">
        <v>956</v>
      </c>
      <c r="P1105" s="162" t="s">
        <v>2706</v>
      </c>
      <c r="Q1105" s="162">
        <v>1076</v>
      </c>
      <c r="R1105" s="162" t="s">
        <v>2706</v>
      </c>
      <c r="S1105" s="162">
        <v>595</v>
      </c>
      <c r="T1105" s="162" t="s">
        <v>2706</v>
      </c>
      <c r="U1105" s="162">
        <v>731</v>
      </c>
      <c r="V1105" s="162" t="s">
        <v>2706</v>
      </c>
      <c r="W1105" s="162">
        <v>731</v>
      </c>
      <c r="X1105" s="162" t="s">
        <v>2706</v>
      </c>
      <c r="Y1105" s="162">
        <v>703</v>
      </c>
      <c r="Z1105" s="162" t="s">
        <v>2706</v>
      </c>
      <c r="AA1105" s="162">
        <v>553</v>
      </c>
      <c r="AB1105" s="162" t="s">
        <v>2706</v>
      </c>
      <c r="AC1105" s="162">
        <v>688</v>
      </c>
      <c r="AD1105" s="162" t="s">
        <v>2706</v>
      </c>
      <c r="AE1105" s="162">
        <v>672</v>
      </c>
      <c r="AF1105" s="162" t="s">
        <v>2706</v>
      </c>
      <c r="AG1105" s="162">
        <v>829</v>
      </c>
      <c r="AH1105" s="162" t="s">
        <v>2706</v>
      </c>
      <c r="AI1105" s="162">
        <v>1328</v>
      </c>
      <c r="AJ1105" s="162" t="s">
        <v>2706</v>
      </c>
      <c r="AK1105" s="162">
        <v>870</v>
      </c>
      <c r="AL1105" s="162" t="s">
        <v>2706</v>
      </c>
      <c r="AM1105" s="162">
        <v>9044</v>
      </c>
      <c r="AN1105" s="162"/>
      <c r="AP1105" s="168"/>
    </row>
    <row r="1106" spans="1:42" s="100" customFormat="1" ht="46.8" x14ac:dyDescent="0.3">
      <c r="A1106" s="161"/>
      <c r="B1106" s="167"/>
      <c r="C1106" s="98" t="s">
        <v>2708</v>
      </c>
      <c r="D1106" s="163"/>
      <c r="E1106" s="26" t="s">
        <v>48</v>
      </c>
      <c r="F1106" s="30" t="s">
        <v>49</v>
      </c>
      <c r="G1106" s="163"/>
      <c r="H1106" s="163"/>
      <c r="I1106" s="163"/>
      <c r="J1106" s="165"/>
      <c r="K1106" s="165"/>
      <c r="L1106" s="165"/>
      <c r="M1106" s="165"/>
      <c r="N1106" s="165"/>
      <c r="O1106" s="163"/>
      <c r="P1106" s="163"/>
      <c r="Q1106" s="163"/>
      <c r="R1106" s="163"/>
      <c r="S1106" s="163"/>
      <c r="T1106" s="163"/>
      <c r="U1106" s="163"/>
      <c r="V1106" s="163"/>
      <c r="W1106" s="163"/>
      <c r="X1106" s="163"/>
      <c r="Y1106" s="163"/>
      <c r="Z1106" s="163"/>
      <c r="AA1106" s="163"/>
      <c r="AB1106" s="163"/>
      <c r="AC1106" s="163"/>
      <c r="AD1106" s="163"/>
      <c r="AE1106" s="163"/>
      <c r="AF1106" s="163"/>
      <c r="AG1106" s="163"/>
      <c r="AH1106" s="163"/>
      <c r="AI1106" s="163"/>
      <c r="AJ1106" s="163"/>
      <c r="AK1106" s="163"/>
      <c r="AL1106" s="163"/>
      <c r="AM1106" s="163"/>
      <c r="AN1106" s="163"/>
      <c r="AP1106" s="169"/>
    </row>
    <row r="1107" spans="1:42" s="100" customFormat="1" ht="46.8" x14ac:dyDescent="0.3">
      <c r="A1107" s="160">
        <v>773</v>
      </c>
      <c r="B1107" s="166" t="s">
        <v>1591</v>
      </c>
      <c r="C1107" s="98" t="s">
        <v>2708</v>
      </c>
      <c r="D1107" s="162" t="s">
        <v>2712</v>
      </c>
      <c r="E1107" s="26" t="s">
        <v>144</v>
      </c>
      <c r="F1107" s="30" t="s">
        <v>49</v>
      </c>
      <c r="G1107" s="162"/>
      <c r="H1107" s="162"/>
      <c r="I1107" s="162"/>
      <c r="J1107" s="164"/>
      <c r="K1107" s="164" t="s">
        <v>528</v>
      </c>
      <c r="L1107" s="164" t="s">
        <v>528</v>
      </c>
      <c r="M1107" s="164" t="s">
        <v>2705</v>
      </c>
      <c r="N1107" s="164" t="s">
        <v>2705</v>
      </c>
      <c r="O1107" s="162">
        <v>222</v>
      </c>
      <c r="P1107" s="162" t="s">
        <v>2706</v>
      </c>
      <c r="Q1107" s="162">
        <v>222</v>
      </c>
      <c r="R1107" s="162" t="s">
        <v>2706</v>
      </c>
      <c r="S1107" s="162">
        <v>222</v>
      </c>
      <c r="T1107" s="162" t="s">
        <v>2706</v>
      </c>
      <c r="U1107" s="162">
        <v>222</v>
      </c>
      <c r="V1107" s="162" t="s">
        <v>2706</v>
      </c>
      <c r="W1107" s="162">
        <v>222</v>
      </c>
      <c r="X1107" s="162" t="s">
        <v>2706</v>
      </c>
      <c r="Y1107" s="162">
        <v>85</v>
      </c>
      <c r="Z1107" s="162" t="s">
        <v>2706</v>
      </c>
      <c r="AA1107" s="162">
        <v>85</v>
      </c>
      <c r="AB1107" s="162" t="s">
        <v>2706</v>
      </c>
      <c r="AC1107" s="162">
        <v>85</v>
      </c>
      <c r="AD1107" s="162" t="s">
        <v>2706</v>
      </c>
      <c r="AE1107" s="162">
        <v>85</v>
      </c>
      <c r="AF1107" s="162" t="s">
        <v>2706</v>
      </c>
      <c r="AG1107" s="162">
        <v>85</v>
      </c>
      <c r="AH1107" s="162" t="s">
        <v>2706</v>
      </c>
      <c r="AI1107" s="162">
        <v>2691</v>
      </c>
      <c r="AJ1107" s="162" t="s">
        <v>2706</v>
      </c>
      <c r="AK1107" s="162">
        <v>85</v>
      </c>
      <c r="AL1107" s="162" t="s">
        <v>2706</v>
      </c>
      <c r="AM1107" s="162">
        <v>4226</v>
      </c>
      <c r="AN1107" s="162"/>
      <c r="AP1107" s="168"/>
    </row>
    <row r="1108" spans="1:42" s="100" customFormat="1" ht="46.8" x14ac:dyDescent="0.3">
      <c r="A1108" s="161"/>
      <c r="B1108" s="167"/>
      <c r="C1108" s="98" t="s">
        <v>2708</v>
      </c>
      <c r="D1108" s="163"/>
      <c r="E1108" s="26" t="s">
        <v>48</v>
      </c>
      <c r="F1108" s="30" t="s">
        <v>49</v>
      </c>
      <c r="G1108" s="163"/>
      <c r="H1108" s="163"/>
      <c r="I1108" s="163"/>
      <c r="J1108" s="165"/>
      <c r="K1108" s="165"/>
      <c r="L1108" s="165"/>
      <c r="M1108" s="165"/>
      <c r="N1108" s="165"/>
      <c r="O1108" s="163"/>
      <c r="P1108" s="163"/>
      <c r="Q1108" s="163"/>
      <c r="R1108" s="163"/>
      <c r="S1108" s="163"/>
      <c r="T1108" s="163"/>
      <c r="U1108" s="163"/>
      <c r="V1108" s="163"/>
      <c r="W1108" s="163"/>
      <c r="X1108" s="163"/>
      <c r="Y1108" s="163"/>
      <c r="Z1108" s="163"/>
      <c r="AA1108" s="163"/>
      <c r="AB1108" s="163"/>
      <c r="AC1108" s="163"/>
      <c r="AD1108" s="163"/>
      <c r="AE1108" s="163"/>
      <c r="AF1108" s="163"/>
      <c r="AG1108" s="163"/>
      <c r="AH1108" s="163"/>
      <c r="AI1108" s="163"/>
      <c r="AJ1108" s="163"/>
      <c r="AK1108" s="163"/>
      <c r="AL1108" s="163"/>
      <c r="AM1108" s="163"/>
      <c r="AN1108" s="163"/>
      <c r="AP1108" s="169"/>
    </row>
    <row r="1109" spans="1:42" s="100" customFormat="1" ht="46.8" x14ac:dyDescent="0.3">
      <c r="A1109" s="160">
        <v>774</v>
      </c>
      <c r="B1109" s="166" t="s">
        <v>1592</v>
      </c>
      <c r="C1109" s="98" t="s">
        <v>2708</v>
      </c>
      <c r="D1109" s="162" t="s">
        <v>2712</v>
      </c>
      <c r="E1109" s="26" t="s">
        <v>144</v>
      </c>
      <c r="F1109" s="30" t="s">
        <v>49</v>
      </c>
      <c r="G1109" s="162" t="s">
        <v>2704</v>
      </c>
      <c r="H1109" s="162">
        <v>16</v>
      </c>
      <c r="I1109" s="162" t="str">
        <f t="shared" ref="I1109" si="98">G1109</f>
        <v>с ЛН</v>
      </c>
      <c r="J1109" s="164">
        <v>3</v>
      </c>
      <c r="K1109" s="164" t="s">
        <v>528</v>
      </c>
      <c r="L1109" s="164" t="s">
        <v>528</v>
      </c>
      <c r="M1109" s="164" t="s">
        <v>2705</v>
      </c>
      <c r="N1109" s="164" t="s">
        <v>2705</v>
      </c>
      <c r="O1109" s="162">
        <v>0</v>
      </c>
      <c r="P1109" s="162" t="s">
        <v>2706</v>
      </c>
      <c r="Q1109" s="162">
        <v>0</v>
      </c>
      <c r="R1109" s="162" t="s">
        <v>2706</v>
      </c>
      <c r="S1109" s="162">
        <v>0</v>
      </c>
      <c r="T1109" s="162" t="s">
        <v>2706</v>
      </c>
      <c r="U1109" s="162">
        <v>0</v>
      </c>
      <c r="V1109" s="162" t="s">
        <v>2706</v>
      </c>
      <c r="W1109" s="162">
        <v>0</v>
      </c>
      <c r="X1109" s="162" t="s">
        <v>2706</v>
      </c>
      <c r="Y1109" s="162">
        <v>0</v>
      </c>
      <c r="Z1109" s="162" t="s">
        <v>2706</v>
      </c>
      <c r="AA1109" s="162">
        <v>0</v>
      </c>
      <c r="AB1109" s="162" t="s">
        <v>2706</v>
      </c>
      <c r="AC1109" s="162">
        <v>0</v>
      </c>
      <c r="AD1109" s="162" t="s">
        <v>2706</v>
      </c>
      <c r="AE1109" s="162">
        <v>0</v>
      </c>
      <c r="AF1109" s="162" t="s">
        <v>2706</v>
      </c>
      <c r="AG1109" s="162">
        <v>0</v>
      </c>
      <c r="AH1109" s="162" t="s">
        <v>2706</v>
      </c>
      <c r="AI1109" s="162">
        <v>0</v>
      </c>
      <c r="AJ1109" s="162" t="s">
        <v>2706</v>
      </c>
      <c r="AK1109" s="162">
        <v>0</v>
      </c>
      <c r="AL1109" s="162" t="s">
        <v>2706</v>
      </c>
      <c r="AM1109" s="162">
        <v>0</v>
      </c>
      <c r="AN1109" s="162"/>
      <c r="AP1109" s="168"/>
    </row>
    <row r="1110" spans="1:42" s="100" customFormat="1" ht="46.8" x14ac:dyDescent="0.3">
      <c r="A1110" s="161"/>
      <c r="B1110" s="167"/>
      <c r="C1110" s="98" t="s">
        <v>2708</v>
      </c>
      <c r="D1110" s="163"/>
      <c r="E1110" s="26" t="s">
        <v>48</v>
      </c>
      <c r="F1110" s="30" t="s">
        <v>49</v>
      </c>
      <c r="G1110" s="163"/>
      <c r="H1110" s="163"/>
      <c r="I1110" s="163"/>
      <c r="J1110" s="165"/>
      <c r="K1110" s="165"/>
      <c r="L1110" s="165"/>
      <c r="M1110" s="165"/>
      <c r="N1110" s="165"/>
      <c r="O1110" s="163"/>
      <c r="P1110" s="163"/>
      <c r="Q1110" s="163"/>
      <c r="R1110" s="163"/>
      <c r="S1110" s="163"/>
      <c r="T1110" s="163"/>
      <c r="U1110" s="163"/>
      <c r="V1110" s="163"/>
      <c r="W1110" s="163"/>
      <c r="X1110" s="163"/>
      <c r="Y1110" s="163"/>
      <c r="Z1110" s="163"/>
      <c r="AA1110" s="163"/>
      <c r="AB1110" s="163"/>
      <c r="AC1110" s="163"/>
      <c r="AD1110" s="163"/>
      <c r="AE1110" s="163"/>
      <c r="AF1110" s="163"/>
      <c r="AG1110" s="163"/>
      <c r="AH1110" s="163"/>
      <c r="AI1110" s="163"/>
      <c r="AJ1110" s="163"/>
      <c r="AK1110" s="163"/>
      <c r="AL1110" s="163"/>
      <c r="AM1110" s="163"/>
      <c r="AN1110" s="163"/>
      <c r="AP1110" s="169"/>
    </row>
    <row r="1111" spans="1:42" s="100" customFormat="1" ht="46.8" x14ac:dyDescent="0.3">
      <c r="A1111" s="160">
        <v>775</v>
      </c>
      <c r="B1111" s="166" t="s">
        <v>1594</v>
      </c>
      <c r="C1111" s="98" t="s">
        <v>2708</v>
      </c>
      <c r="D1111" s="162" t="s">
        <v>2712</v>
      </c>
      <c r="E1111" s="26" t="s">
        <v>144</v>
      </c>
      <c r="F1111" s="30" t="s">
        <v>49</v>
      </c>
      <c r="G1111" s="162" t="s">
        <v>2704</v>
      </c>
      <c r="H1111" s="162">
        <v>42</v>
      </c>
      <c r="I1111" s="162" t="str">
        <f t="shared" ref="I1111" si="99">G1111</f>
        <v>с ЛН</v>
      </c>
      <c r="J1111" s="164">
        <v>7</v>
      </c>
      <c r="K1111" s="164" t="s">
        <v>528</v>
      </c>
      <c r="L1111" s="164" t="s">
        <v>528</v>
      </c>
      <c r="M1111" s="164" t="s">
        <v>2705</v>
      </c>
      <c r="N1111" s="164" t="s">
        <v>2705</v>
      </c>
      <c r="O1111" s="162">
        <v>1197</v>
      </c>
      <c r="P1111" s="162" t="s">
        <v>2706</v>
      </c>
      <c r="Q1111" s="162">
        <v>1302</v>
      </c>
      <c r="R1111" s="162" t="s">
        <v>2706</v>
      </c>
      <c r="S1111" s="162">
        <v>1081</v>
      </c>
      <c r="T1111" s="162" t="s">
        <v>2706</v>
      </c>
      <c r="U1111" s="162">
        <v>1586</v>
      </c>
      <c r="V1111" s="162" t="s">
        <v>2706</v>
      </c>
      <c r="W1111" s="162">
        <v>891</v>
      </c>
      <c r="X1111" s="162" t="s">
        <v>2706</v>
      </c>
      <c r="Y1111" s="162">
        <v>1054</v>
      </c>
      <c r="Z1111" s="162" t="s">
        <v>2706</v>
      </c>
      <c r="AA1111" s="162">
        <v>685</v>
      </c>
      <c r="AB1111" s="162" t="s">
        <v>2706</v>
      </c>
      <c r="AC1111" s="162">
        <v>965</v>
      </c>
      <c r="AD1111" s="162" t="s">
        <v>2706</v>
      </c>
      <c r="AE1111" s="162">
        <v>1018</v>
      </c>
      <c r="AF1111" s="162" t="s">
        <v>2706</v>
      </c>
      <c r="AG1111" s="162">
        <v>1334</v>
      </c>
      <c r="AH1111" s="162" t="s">
        <v>2706</v>
      </c>
      <c r="AI1111" s="162">
        <v>1351</v>
      </c>
      <c r="AJ1111" s="162" t="s">
        <v>2706</v>
      </c>
      <c r="AK1111" s="162">
        <v>1399</v>
      </c>
      <c r="AL1111" s="162" t="s">
        <v>2706</v>
      </c>
      <c r="AM1111" s="162">
        <v>12898</v>
      </c>
      <c r="AN1111" s="162"/>
      <c r="AP1111" s="168"/>
    </row>
    <row r="1112" spans="1:42" s="100" customFormat="1" ht="46.8" x14ac:dyDescent="0.3">
      <c r="A1112" s="161"/>
      <c r="B1112" s="167"/>
      <c r="C1112" s="98" t="s">
        <v>2708</v>
      </c>
      <c r="D1112" s="163"/>
      <c r="E1112" s="26" t="s">
        <v>48</v>
      </c>
      <c r="F1112" s="30" t="s">
        <v>49</v>
      </c>
      <c r="G1112" s="163"/>
      <c r="H1112" s="163"/>
      <c r="I1112" s="163"/>
      <c r="J1112" s="165"/>
      <c r="K1112" s="165"/>
      <c r="L1112" s="165"/>
      <c r="M1112" s="165"/>
      <c r="N1112" s="165"/>
      <c r="O1112" s="163"/>
      <c r="P1112" s="163"/>
      <c r="Q1112" s="163"/>
      <c r="R1112" s="163"/>
      <c r="S1112" s="163"/>
      <c r="T1112" s="163"/>
      <c r="U1112" s="163"/>
      <c r="V1112" s="163"/>
      <c r="W1112" s="163"/>
      <c r="X1112" s="163"/>
      <c r="Y1112" s="163"/>
      <c r="Z1112" s="163"/>
      <c r="AA1112" s="163"/>
      <c r="AB1112" s="163"/>
      <c r="AC1112" s="163"/>
      <c r="AD1112" s="163"/>
      <c r="AE1112" s="163"/>
      <c r="AF1112" s="163"/>
      <c r="AG1112" s="163"/>
      <c r="AH1112" s="163"/>
      <c r="AI1112" s="163"/>
      <c r="AJ1112" s="163"/>
      <c r="AK1112" s="163"/>
      <c r="AL1112" s="163"/>
      <c r="AM1112" s="163"/>
      <c r="AN1112" s="163"/>
      <c r="AP1112" s="169"/>
    </row>
    <row r="1113" spans="1:42" s="100" customFormat="1" ht="46.8" x14ac:dyDescent="0.3">
      <c r="A1113" s="160">
        <v>776</v>
      </c>
      <c r="B1113" s="166" t="s">
        <v>1595</v>
      </c>
      <c r="C1113" s="98" t="s">
        <v>2708</v>
      </c>
      <c r="D1113" s="162" t="s">
        <v>2712</v>
      </c>
      <c r="E1113" s="26" t="s">
        <v>144</v>
      </c>
      <c r="F1113" s="30" t="s">
        <v>49</v>
      </c>
      <c r="G1113" s="162" t="s">
        <v>2704</v>
      </c>
      <c r="H1113" s="162">
        <v>54</v>
      </c>
      <c r="I1113" s="162" t="str">
        <f t="shared" ref="I1113:I1175" si="100">G1113</f>
        <v>с ЛН</v>
      </c>
      <c r="J1113" s="164">
        <v>9</v>
      </c>
      <c r="K1113" s="164" t="s">
        <v>528</v>
      </c>
      <c r="L1113" s="164" t="s">
        <v>528</v>
      </c>
      <c r="M1113" s="164" t="s">
        <v>2705</v>
      </c>
      <c r="N1113" s="164" t="s">
        <v>2705</v>
      </c>
      <c r="O1113" s="162">
        <v>2738</v>
      </c>
      <c r="P1113" s="162" t="s">
        <v>2706</v>
      </c>
      <c r="Q1113" s="162">
        <v>4064</v>
      </c>
      <c r="R1113" s="162" t="s">
        <v>2706</v>
      </c>
      <c r="S1113" s="162">
        <v>2381</v>
      </c>
      <c r="T1113" s="162" t="s">
        <v>2706</v>
      </c>
      <c r="U1113" s="162">
        <v>3063</v>
      </c>
      <c r="V1113" s="162" t="s">
        <v>2706</v>
      </c>
      <c r="W1113" s="162">
        <v>3398</v>
      </c>
      <c r="X1113" s="162" t="s">
        <v>2706</v>
      </c>
      <c r="Y1113" s="162">
        <v>3415</v>
      </c>
      <c r="Z1113" s="162" t="s">
        <v>2706</v>
      </c>
      <c r="AA1113" s="162">
        <v>2560</v>
      </c>
      <c r="AB1113" s="162" t="s">
        <v>2706</v>
      </c>
      <c r="AC1113" s="162">
        <v>3288</v>
      </c>
      <c r="AD1113" s="162" t="s">
        <v>2706</v>
      </c>
      <c r="AE1113" s="162">
        <v>2784</v>
      </c>
      <c r="AF1113" s="162" t="s">
        <v>2706</v>
      </c>
      <c r="AG1113" s="162">
        <v>2960</v>
      </c>
      <c r="AH1113" s="162" t="s">
        <v>2706</v>
      </c>
      <c r="AI1113" s="162">
        <v>310</v>
      </c>
      <c r="AJ1113" s="162" t="s">
        <v>2706</v>
      </c>
      <c r="AK1113" s="162">
        <v>3170</v>
      </c>
      <c r="AL1113" s="162" t="s">
        <v>2706</v>
      </c>
      <c r="AM1113" s="162">
        <v>30843</v>
      </c>
      <c r="AN1113" s="162"/>
      <c r="AP1113" s="168"/>
    </row>
    <row r="1114" spans="1:42" s="100" customFormat="1" ht="46.8" x14ac:dyDescent="0.3">
      <c r="A1114" s="161"/>
      <c r="B1114" s="167"/>
      <c r="C1114" s="98" t="s">
        <v>2708</v>
      </c>
      <c r="D1114" s="163"/>
      <c r="E1114" s="26" t="s">
        <v>48</v>
      </c>
      <c r="F1114" s="30" t="s">
        <v>49</v>
      </c>
      <c r="G1114" s="163"/>
      <c r="H1114" s="163"/>
      <c r="I1114" s="163"/>
      <c r="J1114" s="165"/>
      <c r="K1114" s="165"/>
      <c r="L1114" s="165"/>
      <c r="M1114" s="165"/>
      <c r="N1114" s="165"/>
      <c r="O1114" s="163"/>
      <c r="P1114" s="163"/>
      <c r="Q1114" s="163"/>
      <c r="R1114" s="163"/>
      <c r="S1114" s="163"/>
      <c r="T1114" s="163"/>
      <c r="U1114" s="163"/>
      <c r="V1114" s="163"/>
      <c r="W1114" s="163"/>
      <c r="X1114" s="163"/>
      <c r="Y1114" s="163"/>
      <c r="Z1114" s="163"/>
      <c r="AA1114" s="163"/>
      <c r="AB1114" s="163"/>
      <c r="AC1114" s="163"/>
      <c r="AD1114" s="163"/>
      <c r="AE1114" s="163"/>
      <c r="AF1114" s="163"/>
      <c r="AG1114" s="163"/>
      <c r="AH1114" s="163"/>
      <c r="AI1114" s="163"/>
      <c r="AJ1114" s="163"/>
      <c r="AK1114" s="163"/>
      <c r="AL1114" s="163"/>
      <c r="AM1114" s="163"/>
      <c r="AN1114" s="163"/>
      <c r="AP1114" s="169"/>
    </row>
    <row r="1115" spans="1:42" s="100" customFormat="1" ht="46.8" x14ac:dyDescent="0.3">
      <c r="A1115" s="160">
        <v>777</v>
      </c>
      <c r="B1115" s="166" t="s">
        <v>1597</v>
      </c>
      <c r="C1115" s="98" t="s">
        <v>2708</v>
      </c>
      <c r="D1115" s="162" t="s">
        <v>2712</v>
      </c>
      <c r="E1115" s="26" t="s">
        <v>144</v>
      </c>
      <c r="F1115" s="30" t="s">
        <v>49</v>
      </c>
      <c r="G1115" s="162" t="s">
        <v>2704</v>
      </c>
      <c r="H1115" s="162">
        <v>18</v>
      </c>
      <c r="I1115" s="162" t="str">
        <f t="shared" si="100"/>
        <v>с ЛН</v>
      </c>
      <c r="J1115" s="164">
        <v>4</v>
      </c>
      <c r="K1115" s="164" t="s">
        <v>528</v>
      </c>
      <c r="L1115" s="164" t="s">
        <v>528</v>
      </c>
      <c r="M1115" s="164" t="s">
        <v>2705</v>
      </c>
      <c r="N1115" s="164" t="s">
        <v>2705</v>
      </c>
      <c r="O1115" s="162">
        <v>407</v>
      </c>
      <c r="P1115" s="162" t="s">
        <v>2706</v>
      </c>
      <c r="Q1115" s="162">
        <v>404</v>
      </c>
      <c r="R1115" s="162" t="s">
        <v>2706</v>
      </c>
      <c r="S1115" s="162">
        <v>241</v>
      </c>
      <c r="T1115" s="162" t="s">
        <v>2706</v>
      </c>
      <c r="U1115" s="162">
        <v>314</v>
      </c>
      <c r="V1115" s="162" t="s">
        <v>2706</v>
      </c>
      <c r="W1115" s="162">
        <v>364</v>
      </c>
      <c r="X1115" s="162" t="s">
        <v>2706</v>
      </c>
      <c r="Y1115" s="162">
        <v>337</v>
      </c>
      <c r="Z1115" s="162" t="s">
        <v>2706</v>
      </c>
      <c r="AA1115" s="162">
        <v>192</v>
      </c>
      <c r="AB1115" s="162" t="s">
        <v>2706</v>
      </c>
      <c r="AC1115" s="162">
        <v>274</v>
      </c>
      <c r="AD1115" s="162" t="s">
        <v>2706</v>
      </c>
      <c r="AE1115" s="162">
        <v>330</v>
      </c>
      <c r="AF1115" s="162" t="s">
        <v>2706</v>
      </c>
      <c r="AG1115" s="162">
        <v>225</v>
      </c>
      <c r="AH1115" s="162" t="s">
        <v>2706</v>
      </c>
      <c r="AI1115" s="162">
        <v>102</v>
      </c>
      <c r="AJ1115" s="162" t="s">
        <v>2706</v>
      </c>
      <c r="AK1115" s="162">
        <v>371</v>
      </c>
      <c r="AL1115" s="162" t="s">
        <v>2706</v>
      </c>
      <c r="AM1115" s="162">
        <v>3287</v>
      </c>
      <c r="AN1115" s="162"/>
      <c r="AP1115" s="168"/>
    </row>
    <row r="1116" spans="1:42" s="100" customFormat="1" ht="46.8" x14ac:dyDescent="0.3">
      <c r="A1116" s="161"/>
      <c r="B1116" s="167"/>
      <c r="C1116" s="98" t="s">
        <v>2708</v>
      </c>
      <c r="D1116" s="163"/>
      <c r="E1116" s="26" t="s">
        <v>48</v>
      </c>
      <c r="F1116" s="30" t="s">
        <v>49</v>
      </c>
      <c r="G1116" s="163"/>
      <c r="H1116" s="163"/>
      <c r="I1116" s="163"/>
      <c r="J1116" s="165"/>
      <c r="K1116" s="165"/>
      <c r="L1116" s="165"/>
      <c r="M1116" s="165"/>
      <c r="N1116" s="165"/>
      <c r="O1116" s="163"/>
      <c r="P1116" s="163"/>
      <c r="Q1116" s="163"/>
      <c r="R1116" s="163"/>
      <c r="S1116" s="163"/>
      <c r="T1116" s="163"/>
      <c r="U1116" s="163"/>
      <c r="V1116" s="163"/>
      <c r="W1116" s="163"/>
      <c r="X1116" s="163"/>
      <c r="Y1116" s="163"/>
      <c r="Z1116" s="163"/>
      <c r="AA1116" s="163"/>
      <c r="AB1116" s="163"/>
      <c r="AC1116" s="163"/>
      <c r="AD1116" s="163"/>
      <c r="AE1116" s="163"/>
      <c r="AF1116" s="163"/>
      <c r="AG1116" s="163"/>
      <c r="AH1116" s="163"/>
      <c r="AI1116" s="163"/>
      <c r="AJ1116" s="163"/>
      <c r="AK1116" s="163"/>
      <c r="AL1116" s="163"/>
      <c r="AM1116" s="163"/>
      <c r="AN1116" s="163"/>
      <c r="AP1116" s="169"/>
    </row>
    <row r="1117" spans="1:42" s="100" customFormat="1" ht="46.8" x14ac:dyDescent="0.3">
      <c r="A1117" s="160">
        <v>778</v>
      </c>
      <c r="B1117" s="166" t="s">
        <v>1598</v>
      </c>
      <c r="C1117" s="98" t="s">
        <v>2708</v>
      </c>
      <c r="D1117" s="162" t="s">
        <v>2712</v>
      </c>
      <c r="E1117" s="26" t="s">
        <v>144</v>
      </c>
      <c r="F1117" s="30" t="s">
        <v>49</v>
      </c>
      <c r="G1117" s="162" t="s">
        <v>2704</v>
      </c>
      <c r="H1117" s="162">
        <v>15</v>
      </c>
      <c r="I1117" s="162" t="str">
        <f t="shared" si="100"/>
        <v>с ЛН</v>
      </c>
      <c r="J1117" s="164">
        <v>3</v>
      </c>
      <c r="K1117" s="164" t="s">
        <v>528</v>
      </c>
      <c r="L1117" s="164" t="s">
        <v>528</v>
      </c>
      <c r="M1117" s="164" t="s">
        <v>2705</v>
      </c>
      <c r="N1117" s="164" t="s">
        <v>2705</v>
      </c>
      <c r="O1117" s="162">
        <v>0</v>
      </c>
      <c r="P1117" s="162" t="s">
        <v>2706</v>
      </c>
      <c r="Q1117" s="162">
        <v>0</v>
      </c>
      <c r="R1117" s="162" t="s">
        <v>2706</v>
      </c>
      <c r="S1117" s="162">
        <v>0</v>
      </c>
      <c r="T1117" s="162" t="s">
        <v>2706</v>
      </c>
      <c r="U1117" s="162">
        <v>0</v>
      </c>
      <c r="V1117" s="162" t="s">
        <v>2706</v>
      </c>
      <c r="W1117" s="162">
        <v>0</v>
      </c>
      <c r="X1117" s="162" t="s">
        <v>2706</v>
      </c>
      <c r="Y1117" s="162">
        <v>0</v>
      </c>
      <c r="Z1117" s="162" t="s">
        <v>2706</v>
      </c>
      <c r="AA1117" s="162">
        <v>0</v>
      </c>
      <c r="AB1117" s="162" t="s">
        <v>2706</v>
      </c>
      <c r="AC1117" s="162">
        <v>0</v>
      </c>
      <c r="AD1117" s="162" t="s">
        <v>2706</v>
      </c>
      <c r="AE1117" s="162">
        <v>0</v>
      </c>
      <c r="AF1117" s="162" t="s">
        <v>2706</v>
      </c>
      <c r="AG1117" s="162">
        <v>0</v>
      </c>
      <c r="AH1117" s="162" t="s">
        <v>2706</v>
      </c>
      <c r="AI1117" s="162">
        <v>0</v>
      </c>
      <c r="AJ1117" s="162" t="s">
        <v>2706</v>
      </c>
      <c r="AK1117" s="162">
        <v>0</v>
      </c>
      <c r="AL1117" s="162" t="s">
        <v>2706</v>
      </c>
      <c r="AM1117" s="162">
        <v>0</v>
      </c>
      <c r="AN1117" s="162"/>
      <c r="AP1117" s="168"/>
    </row>
    <row r="1118" spans="1:42" s="100" customFormat="1" ht="46.8" x14ac:dyDescent="0.3">
      <c r="A1118" s="161"/>
      <c r="B1118" s="167"/>
      <c r="C1118" s="98" t="s">
        <v>2708</v>
      </c>
      <c r="D1118" s="163"/>
      <c r="E1118" s="26" t="s">
        <v>48</v>
      </c>
      <c r="F1118" s="30" t="s">
        <v>49</v>
      </c>
      <c r="G1118" s="163"/>
      <c r="H1118" s="163"/>
      <c r="I1118" s="163"/>
      <c r="J1118" s="165"/>
      <c r="K1118" s="165"/>
      <c r="L1118" s="165"/>
      <c r="M1118" s="165"/>
      <c r="N1118" s="165"/>
      <c r="O1118" s="163"/>
      <c r="P1118" s="163"/>
      <c r="Q1118" s="163"/>
      <c r="R1118" s="163"/>
      <c r="S1118" s="163"/>
      <c r="T1118" s="163"/>
      <c r="U1118" s="163"/>
      <c r="V1118" s="163"/>
      <c r="W1118" s="163"/>
      <c r="X1118" s="163"/>
      <c r="Y1118" s="163"/>
      <c r="Z1118" s="163"/>
      <c r="AA1118" s="163"/>
      <c r="AB1118" s="163"/>
      <c r="AC1118" s="163"/>
      <c r="AD1118" s="163"/>
      <c r="AE1118" s="163"/>
      <c r="AF1118" s="163"/>
      <c r="AG1118" s="163"/>
      <c r="AH1118" s="163"/>
      <c r="AI1118" s="163"/>
      <c r="AJ1118" s="163"/>
      <c r="AK1118" s="163"/>
      <c r="AL1118" s="163"/>
      <c r="AM1118" s="163"/>
      <c r="AN1118" s="163"/>
      <c r="AP1118" s="169"/>
    </row>
    <row r="1119" spans="1:42" s="100" customFormat="1" ht="46.8" x14ac:dyDescent="0.3">
      <c r="A1119" s="160">
        <v>779</v>
      </c>
      <c r="B1119" s="166" t="s">
        <v>1600</v>
      </c>
      <c r="C1119" s="98" t="s">
        <v>2708</v>
      </c>
      <c r="D1119" s="162" t="s">
        <v>2712</v>
      </c>
      <c r="E1119" s="26" t="s">
        <v>144</v>
      </c>
      <c r="F1119" s="30" t="s">
        <v>49</v>
      </c>
      <c r="G1119" s="162" t="s">
        <v>2704</v>
      </c>
      <c r="H1119" s="162">
        <v>22</v>
      </c>
      <c r="I1119" s="162" t="str">
        <f t="shared" si="100"/>
        <v>с ЛН</v>
      </c>
      <c r="J1119" s="164">
        <v>4</v>
      </c>
      <c r="K1119" s="164" t="s">
        <v>528</v>
      </c>
      <c r="L1119" s="164" t="s">
        <v>528</v>
      </c>
      <c r="M1119" s="164" t="s">
        <v>2705</v>
      </c>
      <c r="N1119" s="164" t="s">
        <v>2705</v>
      </c>
      <c r="O1119" s="162">
        <v>0</v>
      </c>
      <c r="P1119" s="162" t="s">
        <v>2706</v>
      </c>
      <c r="Q1119" s="162">
        <v>0</v>
      </c>
      <c r="R1119" s="162" t="s">
        <v>2706</v>
      </c>
      <c r="S1119" s="162">
        <v>0</v>
      </c>
      <c r="T1119" s="162" t="s">
        <v>2706</v>
      </c>
      <c r="U1119" s="162">
        <v>0</v>
      </c>
      <c r="V1119" s="162" t="s">
        <v>2706</v>
      </c>
      <c r="W1119" s="162">
        <v>0</v>
      </c>
      <c r="X1119" s="162" t="s">
        <v>2706</v>
      </c>
      <c r="Y1119" s="162">
        <v>0</v>
      </c>
      <c r="Z1119" s="162" t="s">
        <v>2706</v>
      </c>
      <c r="AA1119" s="162">
        <v>0</v>
      </c>
      <c r="AB1119" s="162" t="s">
        <v>2706</v>
      </c>
      <c r="AC1119" s="162">
        <v>0</v>
      </c>
      <c r="AD1119" s="162" t="s">
        <v>2706</v>
      </c>
      <c r="AE1119" s="162">
        <v>0</v>
      </c>
      <c r="AF1119" s="162" t="s">
        <v>2706</v>
      </c>
      <c r="AG1119" s="162">
        <v>0</v>
      </c>
      <c r="AH1119" s="162" t="s">
        <v>2706</v>
      </c>
      <c r="AI1119" s="162">
        <v>0</v>
      </c>
      <c r="AJ1119" s="162" t="s">
        <v>2706</v>
      </c>
      <c r="AK1119" s="162">
        <v>0</v>
      </c>
      <c r="AL1119" s="162" t="s">
        <v>2706</v>
      </c>
      <c r="AM1119" s="162">
        <v>0</v>
      </c>
      <c r="AN1119" s="162"/>
      <c r="AP1119" s="168"/>
    </row>
    <row r="1120" spans="1:42" s="100" customFormat="1" ht="46.8" x14ac:dyDescent="0.3">
      <c r="A1120" s="161"/>
      <c r="B1120" s="167"/>
      <c r="C1120" s="98" t="s">
        <v>2708</v>
      </c>
      <c r="D1120" s="163"/>
      <c r="E1120" s="26" t="s">
        <v>48</v>
      </c>
      <c r="F1120" s="30" t="s">
        <v>49</v>
      </c>
      <c r="G1120" s="163"/>
      <c r="H1120" s="163"/>
      <c r="I1120" s="163"/>
      <c r="J1120" s="165"/>
      <c r="K1120" s="165"/>
      <c r="L1120" s="165"/>
      <c r="M1120" s="165"/>
      <c r="N1120" s="165"/>
      <c r="O1120" s="163"/>
      <c r="P1120" s="163"/>
      <c r="Q1120" s="163"/>
      <c r="R1120" s="163"/>
      <c r="S1120" s="163"/>
      <c r="T1120" s="163"/>
      <c r="U1120" s="163"/>
      <c r="V1120" s="163"/>
      <c r="W1120" s="163"/>
      <c r="X1120" s="163"/>
      <c r="Y1120" s="163"/>
      <c r="Z1120" s="163"/>
      <c r="AA1120" s="163"/>
      <c r="AB1120" s="163"/>
      <c r="AC1120" s="163"/>
      <c r="AD1120" s="163"/>
      <c r="AE1120" s="163"/>
      <c r="AF1120" s="163"/>
      <c r="AG1120" s="163"/>
      <c r="AH1120" s="163"/>
      <c r="AI1120" s="163"/>
      <c r="AJ1120" s="163"/>
      <c r="AK1120" s="163"/>
      <c r="AL1120" s="163"/>
      <c r="AM1120" s="163"/>
      <c r="AN1120" s="163"/>
      <c r="AP1120" s="169"/>
    </row>
    <row r="1121" spans="1:42" s="100" customFormat="1" ht="46.8" x14ac:dyDescent="0.3">
      <c r="A1121" s="160">
        <v>780</v>
      </c>
      <c r="B1121" s="166" t="s">
        <v>1601</v>
      </c>
      <c r="C1121" s="98" t="s">
        <v>2708</v>
      </c>
      <c r="D1121" s="162" t="s">
        <v>2712</v>
      </c>
      <c r="E1121" s="26" t="s">
        <v>144</v>
      </c>
      <c r="F1121" s="30" t="s">
        <v>49</v>
      </c>
      <c r="G1121" s="162" t="s">
        <v>2704</v>
      </c>
      <c r="H1121" s="162">
        <v>22</v>
      </c>
      <c r="I1121" s="162" t="str">
        <f t="shared" si="100"/>
        <v>с ЛН</v>
      </c>
      <c r="J1121" s="164">
        <v>4</v>
      </c>
      <c r="K1121" s="164" t="s">
        <v>528</v>
      </c>
      <c r="L1121" s="164" t="s">
        <v>528</v>
      </c>
      <c r="M1121" s="164" t="s">
        <v>2705</v>
      </c>
      <c r="N1121" s="164" t="s">
        <v>2705</v>
      </c>
      <c r="O1121" s="162">
        <v>0</v>
      </c>
      <c r="P1121" s="162" t="s">
        <v>2706</v>
      </c>
      <c r="Q1121" s="162">
        <v>0</v>
      </c>
      <c r="R1121" s="162" t="s">
        <v>2706</v>
      </c>
      <c r="S1121" s="162">
        <v>0</v>
      </c>
      <c r="T1121" s="162" t="s">
        <v>2706</v>
      </c>
      <c r="U1121" s="162">
        <v>0</v>
      </c>
      <c r="V1121" s="162" t="s">
        <v>2706</v>
      </c>
      <c r="W1121" s="162">
        <v>0</v>
      </c>
      <c r="X1121" s="162" t="s">
        <v>2706</v>
      </c>
      <c r="Y1121" s="162">
        <v>0</v>
      </c>
      <c r="Z1121" s="162" t="s">
        <v>2706</v>
      </c>
      <c r="AA1121" s="162">
        <v>0</v>
      </c>
      <c r="AB1121" s="162" t="s">
        <v>2706</v>
      </c>
      <c r="AC1121" s="162">
        <v>0</v>
      </c>
      <c r="AD1121" s="162" t="s">
        <v>2706</v>
      </c>
      <c r="AE1121" s="162">
        <v>0</v>
      </c>
      <c r="AF1121" s="162" t="s">
        <v>2706</v>
      </c>
      <c r="AG1121" s="162">
        <v>0</v>
      </c>
      <c r="AH1121" s="162" t="s">
        <v>2706</v>
      </c>
      <c r="AI1121" s="162">
        <v>0</v>
      </c>
      <c r="AJ1121" s="162" t="s">
        <v>2706</v>
      </c>
      <c r="AK1121" s="162">
        <v>0</v>
      </c>
      <c r="AL1121" s="162" t="s">
        <v>2706</v>
      </c>
      <c r="AM1121" s="162">
        <v>0</v>
      </c>
      <c r="AN1121" s="162"/>
      <c r="AP1121" s="168"/>
    </row>
    <row r="1122" spans="1:42" s="100" customFormat="1" ht="46.8" x14ac:dyDescent="0.3">
      <c r="A1122" s="161"/>
      <c r="B1122" s="167"/>
      <c r="C1122" s="98" t="s">
        <v>2708</v>
      </c>
      <c r="D1122" s="163"/>
      <c r="E1122" s="26" t="s">
        <v>48</v>
      </c>
      <c r="F1122" s="30" t="s">
        <v>49</v>
      </c>
      <c r="G1122" s="163"/>
      <c r="H1122" s="163"/>
      <c r="I1122" s="163"/>
      <c r="J1122" s="165"/>
      <c r="K1122" s="165"/>
      <c r="L1122" s="165"/>
      <c r="M1122" s="165"/>
      <c r="N1122" s="165"/>
      <c r="O1122" s="163"/>
      <c r="P1122" s="163"/>
      <c r="Q1122" s="163"/>
      <c r="R1122" s="163"/>
      <c r="S1122" s="163"/>
      <c r="T1122" s="163"/>
      <c r="U1122" s="163"/>
      <c r="V1122" s="163"/>
      <c r="W1122" s="163"/>
      <c r="X1122" s="163"/>
      <c r="Y1122" s="163"/>
      <c r="Z1122" s="163"/>
      <c r="AA1122" s="163"/>
      <c r="AB1122" s="163"/>
      <c r="AC1122" s="163"/>
      <c r="AD1122" s="163"/>
      <c r="AE1122" s="163"/>
      <c r="AF1122" s="163"/>
      <c r="AG1122" s="163"/>
      <c r="AH1122" s="163"/>
      <c r="AI1122" s="163"/>
      <c r="AJ1122" s="163"/>
      <c r="AK1122" s="163"/>
      <c r="AL1122" s="163"/>
      <c r="AM1122" s="163"/>
      <c r="AN1122" s="163"/>
      <c r="AP1122" s="169"/>
    </row>
    <row r="1123" spans="1:42" s="100" customFormat="1" ht="46.8" x14ac:dyDescent="0.3">
      <c r="A1123" s="160">
        <v>781</v>
      </c>
      <c r="B1123" s="166" t="s">
        <v>1602</v>
      </c>
      <c r="C1123" s="98" t="s">
        <v>2708</v>
      </c>
      <c r="D1123" s="162" t="s">
        <v>2712</v>
      </c>
      <c r="E1123" s="26" t="s">
        <v>144</v>
      </c>
      <c r="F1123" s="30" t="s">
        <v>49</v>
      </c>
      <c r="G1123" s="162" t="s">
        <v>2704</v>
      </c>
      <c r="H1123" s="162">
        <v>37</v>
      </c>
      <c r="I1123" s="162" t="str">
        <f t="shared" si="100"/>
        <v>с ЛН</v>
      </c>
      <c r="J1123" s="164">
        <v>7</v>
      </c>
      <c r="K1123" s="164" t="s">
        <v>529</v>
      </c>
      <c r="L1123" s="164" t="s">
        <v>529</v>
      </c>
      <c r="M1123" s="164" t="s">
        <v>2705</v>
      </c>
      <c r="N1123" s="164" t="s">
        <v>2705</v>
      </c>
      <c r="O1123" s="162">
        <v>0</v>
      </c>
      <c r="P1123" s="162" t="s">
        <v>2706</v>
      </c>
      <c r="Q1123" s="162">
        <v>0</v>
      </c>
      <c r="R1123" s="162" t="s">
        <v>2706</v>
      </c>
      <c r="S1123" s="162">
        <v>0</v>
      </c>
      <c r="T1123" s="162" t="s">
        <v>2706</v>
      </c>
      <c r="U1123" s="162">
        <v>0</v>
      </c>
      <c r="V1123" s="162" t="s">
        <v>2706</v>
      </c>
      <c r="W1123" s="162">
        <v>0</v>
      </c>
      <c r="X1123" s="162" t="s">
        <v>2706</v>
      </c>
      <c r="Y1123" s="162">
        <v>0</v>
      </c>
      <c r="Z1123" s="162" t="s">
        <v>2706</v>
      </c>
      <c r="AA1123" s="162">
        <v>0</v>
      </c>
      <c r="AB1123" s="162" t="s">
        <v>2706</v>
      </c>
      <c r="AC1123" s="162">
        <v>589</v>
      </c>
      <c r="AD1123" s="162" t="s">
        <v>2706</v>
      </c>
      <c r="AE1123" s="162">
        <v>594</v>
      </c>
      <c r="AF1123" s="162" t="s">
        <v>2706</v>
      </c>
      <c r="AG1123" s="162">
        <v>522</v>
      </c>
      <c r="AH1123" s="162" t="s">
        <v>2706</v>
      </c>
      <c r="AI1123" s="162">
        <v>815</v>
      </c>
      <c r="AJ1123" s="162" t="s">
        <v>2706</v>
      </c>
      <c r="AK1123" s="162">
        <v>574</v>
      </c>
      <c r="AL1123" s="162" t="s">
        <v>2706</v>
      </c>
      <c r="AM1123" s="162">
        <v>2505</v>
      </c>
      <c r="AN1123" s="162"/>
      <c r="AP1123" s="168"/>
    </row>
    <row r="1124" spans="1:42" s="100" customFormat="1" ht="46.8" x14ac:dyDescent="0.3">
      <c r="A1124" s="161"/>
      <c r="B1124" s="167"/>
      <c r="C1124" s="98" t="s">
        <v>2708</v>
      </c>
      <c r="D1124" s="163"/>
      <c r="E1124" s="26" t="s">
        <v>48</v>
      </c>
      <c r="F1124" s="30" t="s">
        <v>49</v>
      </c>
      <c r="G1124" s="163"/>
      <c r="H1124" s="163"/>
      <c r="I1124" s="163"/>
      <c r="J1124" s="165"/>
      <c r="K1124" s="165"/>
      <c r="L1124" s="165"/>
      <c r="M1124" s="165"/>
      <c r="N1124" s="165"/>
      <c r="O1124" s="163"/>
      <c r="P1124" s="163"/>
      <c r="Q1124" s="163"/>
      <c r="R1124" s="163"/>
      <c r="S1124" s="163"/>
      <c r="T1124" s="163"/>
      <c r="U1124" s="163"/>
      <c r="V1124" s="163"/>
      <c r="W1124" s="163"/>
      <c r="X1124" s="163"/>
      <c r="Y1124" s="163"/>
      <c r="Z1124" s="163"/>
      <c r="AA1124" s="163"/>
      <c r="AB1124" s="163"/>
      <c r="AC1124" s="163"/>
      <c r="AD1124" s="163"/>
      <c r="AE1124" s="163"/>
      <c r="AF1124" s="163"/>
      <c r="AG1124" s="163"/>
      <c r="AH1124" s="163"/>
      <c r="AI1124" s="163"/>
      <c r="AJ1124" s="163"/>
      <c r="AK1124" s="163"/>
      <c r="AL1124" s="163"/>
      <c r="AM1124" s="163"/>
      <c r="AN1124" s="163"/>
      <c r="AP1124" s="169"/>
    </row>
    <row r="1125" spans="1:42" s="100" customFormat="1" ht="46.8" x14ac:dyDescent="0.3">
      <c r="A1125" s="160">
        <v>782</v>
      </c>
      <c r="B1125" s="166" t="s">
        <v>1603</v>
      </c>
      <c r="C1125" s="98" t="s">
        <v>2708</v>
      </c>
      <c r="D1125" s="162" t="s">
        <v>2712</v>
      </c>
      <c r="E1125" s="26" t="s">
        <v>144</v>
      </c>
      <c r="F1125" s="30" t="s">
        <v>49</v>
      </c>
      <c r="G1125" s="162" t="s">
        <v>2704</v>
      </c>
      <c r="H1125" s="162">
        <v>22</v>
      </c>
      <c r="I1125" s="162" t="str">
        <f t="shared" si="100"/>
        <v>с ЛН</v>
      </c>
      <c r="J1125" s="164">
        <v>4</v>
      </c>
      <c r="K1125" s="164" t="s">
        <v>528</v>
      </c>
      <c r="L1125" s="164" t="s">
        <v>528</v>
      </c>
      <c r="M1125" s="164" t="s">
        <v>2705</v>
      </c>
      <c r="N1125" s="164" t="s">
        <v>2705</v>
      </c>
      <c r="O1125" s="162">
        <v>422</v>
      </c>
      <c r="P1125" s="162" t="s">
        <v>2706</v>
      </c>
      <c r="Q1125" s="162">
        <v>449</v>
      </c>
      <c r="R1125" s="162" t="s">
        <v>2706</v>
      </c>
      <c r="S1125" s="162">
        <v>214</v>
      </c>
      <c r="T1125" s="162" t="s">
        <v>2706</v>
      </c>
      <c r="U1125" s="162">
        <v>241</v>
      </c>
      <c r="V1125" s="162" t="s">
        <v>2706</v>
      </c>
      <c r="W1125" s="162">
        <v>219</v>
      </c>
      <c r="X1125" s="162" t="s">
        <v>2706</v>
      </c>
      <c r="Y1125" s="162">
        <v>207</v>
      </c>
      <c r="Z1125" s="162" t="s">
        <v>2706</v>
      </c>
      <c r="AA1125" s="162">
        <v>143</v>
      </c>
      <c r="AB1125" s="162" t="s">
        <v>2706</v>
      </c>
      <c r="AC1125" s="162">
        <v>194</v>
      </c>
      <c r="AD1125" s="162" t="s">
        <v>2706</v>
      </c>
      <c r="AE1125" s="162">
        <v>189</v>
      </c>
      <c r="AF1125" s="162" t="s">
        <v>2706</v>
      </c>
      <c r="AG1125" s="162">
        <v>328</v>
      </c>
      <c r="AH1125" s="162" t="s">
        <v>2706</v>
      </c>
      <c r="AI1125" s="162">
        <v>804</v>
      </c>
      <c r="AJ1125" s="162" t="s">
        <v>2706</v>
      </c>
      <c r="AK1125" s="162">
        <v>490</v>
      </c>
      <c r="AL1125" s="162" t="s">
        <v>2706</v>
      </c>
      <c r="AM1125" s="162">
        <v>3706</v>
      </c>
      <c r="AN1125" s="162"/>
      <c r="AP1125" s="168"/>
    </row>
    <row r="1126" spans="1:42" s="100" customFormat="1" ht="46.8" x14ac:dyDescent="0.3">
      <c r="A1126" s="161"/>
      <c r="B1126" s="167"/>
      <c r="C1126" s="98" t="s">
        <v>2708</v>
      </c>
      <c r="D1126" s="163"/>
      <c r="E1126" s="26" t="s">
        <v>48</v>
      </c>
      <c r="F1126" s="30" t="s">
        <v>49</v>
      </c>
      <c r="G1126" s="163"/>
      <c r="H1126" s="163"/>
      <c r="I1126" s="163"/>
      <c r="J1126" s="165"/>
      <c r="K1126" s="165"/>
      <c r="L1126" s="165"/>
      <c r="M1126" s="165"/>
      <c r="N1126" s="165"/>
      <c r="O1126" s="163"/>
      <c r="P1126" s="163"/>
      <c r="Q1126" s="163"/>
      <c r="R1126" s="163"/>
      <c r="S1126" s="163"/>
      <c r="T1126" s="163"/>
      <c r="U1126" s="163"/>
      <c r="V1126" s="163"/>
      <c r="W1126" s="163"/>
      <c r="X1126" s="163"/>
      <c r="Y1126" s="163"/>
      <c r="Z1126" s="163"/>
      <c r="AA1126" s="163"/>
      <c r="AB1126" s="163"/>
      <c r="AC1126" s="163"/>
      <c r="AD1126" s="163"/>
      <c r="AE1126" s="163"/>
      <c r="AF1126" s="163"/>
      <c r="AG1126" s="163"/>
      <c r="AH1126" s="163"/>
      <c r="AI1126" s="163"/>
      <c r="AJ1126" s="163"/>
      <c r="AK1126" s="163"/>
      <c r="AL1126" s="163"/>
      <c r="AM1126" s="163"/>
      <c r="AN1126" s="163"/>
      <c r="AP1126" s="169"/>
    </row>
    <row r="1127" spans="1:42" s="100" customFormat="1" ht="46.8" x14ac:dyDescent="0.3">
      <c r="A1127" s="160">
        <v>783</v>
      </c>
      <c r="B1127" s="166" t="s">
        <v>1604</v>
      </c>
      <c r="C1127" s="98" t="s">
        <v>2708</v>
      </c>
      <c r="D1127" s="162" t="s">
        <v>2712</v>
      </c>
      <c r="E1127" s="26" t="s">
        <v>144</v>
      </c>
      <c r="F1127" s="30" t="s">
        <v>49</v>
      </c>
      <c r="G1127" s="162" t="s">
        <v>2704</v>
      </c>
      <c r="H1127" s="162">
        <v>32</v>
      </c>
      <c r="I1127" s="162" t="str">
        <f t="shared" si="100"/>
        <v>с ЛН</v>
      </c>
      <c r="J1127" s="164">
        <v>6</v>
      </c>
      <c r="K1127" s="164" t="s">
        <v>528</v>
      </c>
      <c r="L1127" s="164" t="s">
        <v>528</v>
      </c>
      <c r="M1127" s="164" t="s">
        <v>2705</v>
      </c>
      <c r="N1127" s="164" t="s">
        <v>2705</v>
      </c>
      <c r="O1127" s="162">
        <v>198</v>
      </c>
      <c r="P1127" s="162" t="s">
        <v>2706</v>
      </c>
      <c r="Q1127" s="162">
        <v>198</v>
      </c>
      <c r="R1127" s="162" t="s">
        <v>2706</v>
      </c>
      <c r="S1127" s="162">
        <v>198</v>
      </c>
      <c r="T1127" s="162" t="s">
        <v>2706</v>
      </c>
      <c r="U1127" s="162">
        <v>198</v>
      </c>
      <c r="V1127" s="162" t="s">
        <v>2706</v>
      </c>
      <c r="W1127" s="162">
        <v>198</v>
      </c>
      <c r="X1127" s="162" t="s">
        <v>2706</v>
      </c>
      <c r="Y1127" s="162">
        <v>318</v>
      </c>
      <c r="Z1127" s="162" t="s">
        <v>2706</v>
      </c>
      <c r="AA1127" s="162">
        <v>313</v>
      </c>
      <c r="AB1127" s="162" t="s">
        <v>2706</v>
      </c>
      <c r="AC1127" s="162">
        <v>595</v>
      </c>
      <c r="AD1127" s="162" t="s">
        <v>2706</v>
      </c>
      <c r="AE1127" s="162">
        <v>452</v>
      </c>
      <c r="AF1127" s="162" t="s">
        <v>2706</v>
      </c>
      <c r="AG1127" s="162">
        <v>517</v>
      </c>
      <c r="AH1127" s="162" t="s">
        <v>2706</v>
      </c>
      <c r="AI1127" s="162">
        <v>476</v>
      </c>
      <c r="AJ1127" s="162" t="s">
        <v>2706</v>
      </c>
      <c r="AK1127" s="162">
        <v>765</v>
      </c>
      <c r="AL1127" s="162" t="s">
        <v>2706</v>
      </c>
      <c r="AM1127" s="162">
        <v>3831</v>
      </c>
      <c r="AN1127" s="162"/>
      <c r="AP1127" s="168"/>
    </row>
    <row r="1128" spans="1:42" s="100" customFormat="1" ht="46.8" x14ac:dyDescent="0.3">
      <c r="A1128" s="161"/>
      <c r="B1128" s="167"/>
      <c r="C1128" s="98" t="s">
        <v>2708</v>
      </c>
      <c r="D1128" s="163"/>
      <c r="E1128" s="26" t="s">
        <v>48</v>
      </c>
      <c r="F1128" s="30" t="s">
        <v>49</v>
      </c>
      <c r="G1128" s="163"/>
      <c r="H1128" s="163"/>
      <c r="I1128" s="163"/>
      <c r="J1128" s="165"/>
      <c r="K1128" s="165"/>
      <c r="L1128" s="165"/>
      <c r="M1128" s="165"/>
      <c r="N1128" s="165"/>
      <c r="O1128" s="163"/>
      <c r="P1128" s="163"/>
      <c r="Q1128" s="163"/>
      <c r="R1128" s="163"/>
      <c r="S1128" s="163"/>
      <c r="T1128" s="163"/>
      <c r="U1128" s="163"/>
      <c r="V1128" s="163"/>
      <c r="W1128" s="163"/>
      <c r="X1128" s="163"/>
      <c r="Y1128" s="163"/>
      <c r="Z1128" s="163"/>
      <c r="AA1128" s="163"/>
      <c r="AB1128" s="163"/>
      <c r="AC1128" s="163"/>
      <c r="AD1128" s="163"/>
      <c r="AE1128" s="163"/>
      <c r="AF1128" s="163"/>
      <c r="AG1128" s="163"/>
      <c r="AH1128" s="163"/>
      <c r="AI1128" s="163"/>
      <c r="AJ1128" s="163"/>
      <c r="AK1128" s="163"/>
      <c r="AL1128" s="163"/>
      <c r="AM1128" s="163"/>
      <c r="AN1128" s="163"/>
      <c r="AP1128" s="169"/>
    </row>
    <row r="1129" spans="1:42" s="100" customFormat="1" ht="46.8" x14ac:dyDescent="0.3">
      <c r="A1129" s="160">
        <v>784</v>
      </c>
      <c r="B1129" s="166" t="s">
        <v>1605</v>
      </c>
      <c r="C1129" s="98" t="s">
        <v>2708</v>
      </c>
      <c r="D1129" s="162" t="s">
        <v>2712</v>
      </c>
      <c r="E1129" s="26" t="s">
        <v>144</v>
      </c>
      <c r="F1129" s="30" t="s">
        <v>49</v>
      </c>
      <c r="G1129" s="162" t="s">
        <v>2704</v>
      </c>
      <c r="H1129" s="162">
        <v>22</v>
      </c>
      <c r="I1129" s="162" t="str">
        <f t="shared" si="100"/>
        <v>с ЛН</v>
      </c>
      <c r="J1129" s="164">
        <v>4</v>
      </c>
      <c r="K1129" s="164" t="s">
        <v>528</v>
      </c>
      <c r="L1129" s="164" t="s">
        <v>528</v>
      </c>
      <c r="M1129" s="164" t="s">
        <v>2705</v>
      </c>
      <c r="N1129" s="164" t="s">
        <v>2705</v>
      </c>
      <c r="O1129" s="162">
        <v>607</v>
      </c>
      <c r="P1129" s="162" t="s">
        <v>2706</v>
      </c>
      <c r="Q1129" s="162">
        <v>659</v>
      </c>
      <c r="R1129" s="162" t="s">
        <v>2706</v>
      </c>
      <c r="S1129" s="162">
        <v>451</v>
      </c>
      <c r="T1129" s="162" t="s">
        <v>2706</v>
      </c>
      <c r="U1129" s="162">
        <v>315</v>
      </c>
      <c r="V1129" s="162" t="s">
        <v>2706</v>
      </c>
      <c r="W1129" s="162">
        <v>306</v>
      </c>
      <c r="X1129" s="162" t="s">
        <v>2706</v>
      </c>
      <c r="Y1129" s="162">
        <v>357</v>
      </c>
      <c r="Z1129" s="162" t="s">
        <v>2706</v>
      </c>
      <c r="AA1129" s="162">
        <v>58</v>
      </c>
      <c r="AB1129" s="162" t="s">
        <v>2706</v>
      </c>
      <c r="AC1129" s="162">
        <v>221</v>
      </c>
      <c r="AD1129" s="162" t="s">
        <v>2706</v>
      </c>
      <c r="AE1129" s="162">
        <v>277</v>
      </c>
      <c r="AF1129" s="162" t="s">
        <v>2706</v>
      </c>
      <c r="AG1129" s="162">
        <v>368</v>
      </c>
      <c r="AH1129" s="162" t="s">
        <v>2706</v>
      </c>
      <c r="AI1129" s="162">
        <v>1267</v>
      </c>
      <c r="AJ1129" s="162" t="s">
        <v>2706</v>
      </c>
      <c r="AK1129" s="162">
        <v>659</v>
      </c>
      <c r="AL1129" s="162" t="s">
        <v>2706</v>
      </c>
      <c r="AM1129" s="162">
        <v>5324</v>
      </c>
      <c r="AN1129" s="162"/>
      <c r="AP1129" s="168"/>
    </row>
    <row r="1130" spans="1:42" s="100" customFormat="1" ht="46.8" x14ac:dyDescent="0.3">
      <c r="A1130" s="161"/>
      <c r="B1130" s="167"/>
      <c r="C1130" s="98" t="s">
        <v>2708</v>
      </c>
      <c r="D1130" s="163"/>
      <c r="E1130" s="26" t="s">
        <v>48</v>
      </c>
      <c r="F1130" s="30" t="s">
        <v>49</v>
      </c>
      <c r="G1130" s="163"/>
      <c r="H1130" s="163"/>
      <c r="I1130" s="163"/>
      <c r="J1130" s="165"/>
      <c r="K1130" s="165"/>
      <c r="L1130" s="165"/>
      <c r="M1130" s="165"/>
      <c r="N1130" s="165"/>
      <c r="O1130" s="163"/>
      <c r="P1130" s="163"/>
      <c r="Q1130" s="163"/>
      <c r="R1130" s="163"/>
      <c r="S1130" s="163"/>
      <c r="T1130" s="163"/>
      <c r="U1130" s="163"/>
      <c r="V1130" s="163"/>
      <c r="W1130" s="163"/>
      <c r="X1130" s="163"/>
      <c r="Y1130" s="163"/>
      <c r="Z1130" s="163"/>
      <c r="AA1130" s="163"/>
      <c r="AB1130" s="163"/>
      <c r="AC1130" s="163"/>
      <c r="AD1130" s="163"/>
      <c r="AE1130" s="163"/>
      <c r="AF1130" s="163"/>
      <c r="AG1130" s="163"/>
      <c r="AH1130" s="163"/>
      <c r="AI1130" s="163"/>
      <c r="AJ1130" s="163"/>
      <c r="AK1130" s="163"/>
      <c r="AL1130" s="163"/>
      <c r="AM1130" s="163"/>
      <c r="AN1130" s="163"/>
      <c r="AP1130" s="169"/>
    </row>
    <row r="1131" spans="1:42" s="100" customFormat="1" ht="46.8" x14ac:dyDescent="0.3">
      <c r="A1131" s="160">
        <v>785</v>
      </c>
      <c r="B1131" s="166" t="s">
        <v>1606</v>
      </c>
      <c r="C1131" s="98" t="s">
        <v>2708</v>
      </c>
      <c r="D1131" s="162" t="s">
        <v>2712</v>
      </c>
      <c r="E1131" s="26" t="s">
        <v>144</v>
      </c>
      <c r="F1131" s="30" t="s">
        <v>49</v>
      </c>
      <c r="G1131" s="162" t="s">
        <v>2704</v>
      </c>
      <c r="H1131" s="162">
        <v>24</v>
      </c>
      <c r="I1131" s="162" t="str">
        <f t="shared" si="100"/>
        <v>с ЛН</v>
      </c>
      <c r="J1131" s="164">
        <v>5</v>
      </c>
      <c r="K1131" s="164" t="s">
        <v>528</v>
      </c>
      <c r="L1131" s="164" t="s">
        <v>528</v>
      </c>
      <c r="M1131" s="164" t="s">
        <v>2705</v>
      </c>
      <c r="N1131" s="164" t="s">
        <v>2705</v>
      </c>
      <c r="O1131" s="162">
        <v>359</v>
      </c>
      <c r="P1131" s="162" t="s">
        <v>2706</v>
      </c>
      <c r="Q1131" s="162">
        <v>392</v>
      </c>
      <c r="R1131" s="162" t="s">
        <v>2706</v>
      </c>
      <c r="S1131" s="162">
        <v>229</v>
      </c>
      <c r="T1131" s="162" t="s">
        <v>2706</v>
      </c>
      <c r="U1131" s="162">
        <v>360</v>
      </c>
      <c r="V1131" s="162" t="s">
        <v>2706</v>
      </c>
      <c r="W1131" s="162">
        <v>224</v>
      </c>
      <c r="X1131" s="162" t="s">
        <v>2706</v>
      </c>
      <c r="Y1131" s="162">
        <v>183</v>
      </c>
      <c r="Z1131" s="162" t="s">
        <v>2706</v>
      </c>
      <c r="AA1131" s="162">
        <v>131</v>
      </c>
      <c r="AB1131" s="162" t="s">
        <v>2706</v>
      </c>
      <c r="AC1131" s="162">
        <v>195</v>
      </c>
      <c r="AD1131" s="162" t="s">
        <v>2706</v>
      </c>
      <c r="AE1131" s="162">
        <v>298</v>
      </c>
      <c r="AF1131" s="162" t="s">
        <v>2706</v>
      </c>
      <c r="AG1131" s="162">
        <v>502</v>
      </c>
      <c r="AH1131" s="162" t="s">
        <v>2706</v>
      </c>
      <c r="AI1131" s="162">
        <v>1858</v>
      </c>
      <c r="AJ1131" s="162" t="s">
        <v>2706</v>
      </c>
      <c r="AK1131" s="162">
        <v>349</v>
      </c>
      <c r="AL1131" s="162" t="s">
        <v>2706</v>
      </c>
      <c r="AM1131" s="162">
        <v>4885</v>
      </c>
      <c r="AN1131" s="162"/>
      <c r="AP1131" s="168"/>
    </row>
    <row r="1132" spans="1:42" s="100" customFormat="1" ht="46.8" x14ac:dyDescent="0.3">
      <c r="A1132" s="161"/>
      <c r="B1132" s="167"/>
      <c r="C1132" s="98" t="s">
        <v>2708</v>
      </c>
      <c r="D1132" s="163"/>
      <c r="E1132" s="26" t="s">
        <v>48</v>
      </c>
      <c r="F1132" s="30" t="s">
        <v>49</v>
      </c>
      <c r="G1132" s="163"/>
      <c r="H1132" s="163"/>
      <c r="I1132" s="163"/>
      <c r="J1132" s="165"/>
      <c r="K1132" s="165"/>
      <c r="L1132" s="165"/>
      <c r="M1132" s="165"/>
      <c r="N1132" s="165"/>
      <c r="O1132" s="163"/>
      <c r="P1132" s="163"/>
      <c r="Q1132" s="163"/>
      <c r="R1132" s="163"/>
      <c r="S1132" s="163"/>
      <c r="T1132" s="163"/>
      <c r="U1132" s="163"/>
      <c r="V1132" s="163"/>
      <c r="W1132" s="163"/>
      <c r="X1132" s="163"/>
      <c r="Y1132" s="163"/>
      <c r="Z1132" s="163"/>
      <c r="AA1132" s="163"/>
      <c r="AB1132" s="163"/>
      <c r="AC1132" s="163"/>
      <c r="AD1132" s="163"/>
      <c r="AE1132" s="163"/>
      <c r="AF1132" s="163"/>
      <c r="AG1132" s="163"/>
      <c r="AH1132" s="163"/>
      <c r="AI1132" s="163"/>
      <c r="AJ1132" s="163"/>
      <c r="AK1132" s="163"/>
      <c r="AL1132" s="163"/>
      <c r="AM1132" s="163"/>
      <c r="AN1132" s="163"/>
      <c r="AP1132" s="169"/>
    </row>
    <row r="1133" spans="1:42" s="100" customFormat="1" ht="46.8" x14ac:dyDescent="0.3">
      <c r="A1133" s="160">
        <v>786</v>
      </c>
      <c r="B1133" s="166" t="s">
        <v>1607</v>
      </c>
      <c r="C1133" s="98" t="s">
        <v>2708</v>
      </c>
      <c r="D1133" s="162" t="s">
        <v>2712</v>
      </c>
      <c r="E1133" s="26" t="s">
        <v>144</v>
      </c>
      <c r="F1133" s="30" t="s">
        <v>49</v>
      </c>
      <c r="G1133" s="162" t="s">
        <v>2704</v>
      </c>
      <c r="H1133" s="162">
        <v>13</v>
      </c>
      <c r="I1133" s="162" t="str">
        <f t="shared" si="100"/>
        <v>с ЛН</v>
      </c>
      <c r="J1133" s="164">
        <v>3</v>
      </c>
      <c r="K1133" s="164" t="s">
        <v>528</v>
      </c>
      <c r="L1133" s="164" t="s">
        <v>528</v>
      </c>
      <c r="M1133" s="164" t="s">
        <v>2705</v>
      </c>
      <c r="N1133" s="164" t="s">
        <v>2705</v>
      </c>
      <c r="O1133" s="162">
        <v>0</v>
      </c>
      <c r="P1133" s="162" t="s">
        <v>2706</v>
      </c>
      <c r="Q1133" s="162">
        <v>0</v>
      </c>
      <c r="R1133" s="162" t="s">
        <v>2706</v>
      </c>
      <c r="S1133" s="162">
        <v>0</v>
      </c>
      <c r="T1133" s="162" t="s">
        <v>2706</v>
      </c>
      <c r="U1133" s="162">
        <v>0</v>
      </c>
      <c r="V1133" s="162" t="s">
        <v>2706</v>
      </c>
      <c r="W1133" s="162">
        <v>0</v>
      </c>
      <c r="X1133" s="162" t="s">
        <v>2706</v>
      </c>
      <c r="Y1133" s="162">
        <v>0</v>
      </c>
      <c r="Z1133" s="162" t="s">
        <v>2706</v>
      </c>
      <c r="AA1133" s="162">
        <v>0</v>
      </c>
      <c r="AB1133" s="162" t="s">
        <v>2706</v>
      </c>
      <c r="AC1133" s="162">
        <v>0</v>
      </c>
      <c r="AD1133" s="162" t="s">
        <v>2706</v>
      </c>
      <c r="AE1133" s="162">
        <v>0</v>
      </c>
      <c r="AF1133" s="162" t="s">
        <v>2706</v>
      </c>
      <c r="AG1133" s="162">
        <v>0</v>
      </c>
      <c r="AH1133" s="162" t="s">
        <v>2706</v>
      </c>
      <c r="AI1133" s="162">
        <v>0</v>
      </c>
      <c r="AJ1133" s="162" t="s">
        <v>2706</v>
      </c>
      <c r="AK1133" s="162">
        <v>0</v>
      </c>
      <c r="AL1133" s="162" t="s">
        <v>2706</v>
      </c>
      <c r="AM1133" s="162">
        <v>0</v>
      </c>
      <c r="AN1133" s="162"/>
      <c r="AP1133" s="168"/>
    </row>
    <row r="1134" spans="1:42" s="100" customFormat="1" ht="46.8" x14ac:dyDescent="0.3">
      <c r="A1134" s="161"/>
      <c r="B1134" s="167"/>
      <c r="C1134" s="98" t="s">
        <v>2708</v>
      </c>
      <c r="D1134" s="163"/>
      <c r="E1134" s="26" t="s">
        <v>48</v>
      </c>
      <c r="F1134" s="30" t="s">
        <v>49</v>
      </c>
      <c r="G1134" s="163"/>
      <c r="H1134" s="163"/>
      <c r="I1134" s="163"/>
      <c r="J1134" s="165"/>
      <c r="K1134" s="165"/>
      <c r="L1134" s="165"/>
      <c r="M1134" s="165"/>
      <c r="N1134" s="165"/>
      <c r="O1134" s="163"/>
      <c r="P1134" s="163"/>
      <c r="Q1134" s="163"/>
      <c r="R1134" s="163"/>
      <c r="S1134" s="163"/>
      <c r="T1134" s="163"/>
      <c r="U1134" s="163"/>
      <c r="V1134" s="163"/>
      <c r="W1134" s="163"/>
      <c r="X1134" s="163"/>
      <c r="Y1134" s="163"/>
      <c r="Z1134" s="163"/>
      <c r="AA1134" s="163"/>
      <c r="AB1134" s="163"/>
      <c r="AC1134" s="163"/>
      <c r="AD1134" s="163"/>
      <c r="AE1134" s="163"/>
      <c r="AF1134" s="163"/>
      <c r="AG1134" s="163"/>
      <c r="AH1134" s="163"/>
      <c r="AI1134" s="163"/>
      <c r="AJ1134" s="163"/>
      <c r="AK1134" s="163"/>
      <c r="AL1134" s="163"/>
      <c r="AM1134" s="163"/>
      <c r="AN1134" s="163"/>
      <c r="AP1134" s="169"/>
    </row>
    <row r="1135" spans="1:42" s="100" customFormat="1" ht="46.8" x14ac:dyDescent="0.3">
      <c r="A1135" s="160">
        <v>787</v>
      </c>
      <c r="B1135" s="166" t="s">
        <v>1608</v>
      </c>
      <c r="C1135" s="98" t="s">
        <v>2708</v>
      </c>
      <c r="D1135" s="162" t="s">
        <v>2712</v>
      </c>
      <c r="E1135" s="26" t="s">
        <v>144</v>
      </c>
      <c r="F1135" s="30" t="s">
        <v>49</v>
      </c>
      <c r="G1135" s="162" t="s">
        <v>2704</v>
      </c>
      <c r="H1135" s="162">
        <v>24</v>
      </c>
      <c r="I1135" s="162" t="str">
        <f t="shared" si="100"/>
        <v>с ЛН</v>
      </c>
      <c r="J1135" s="164">
        <v>5</v>
      </c>
      <c r="K1135" s="164" t="s">
        <v>528</v>
      </c>
      <c r="L1135" s="164" t="s">
        <v>528</v>
      </c>
      <c r="M1135" s="164" t="s">
        <v>2705</v>
      </c>
      <c r="N1135" s="164" t="s">
        <v>2705</v>
      </c>
      <c r="O1135" s="162">
        <v>0</v>
      </c>
      <c r="P1135" s="162" t="s">
        <v>2706</v>
      </c>
      <c r="Q1135" s="162">
        <v>0</v>
      </c>
      <c r="R1135" s="162" t="s">
        <v>2706</v>
      </c>
      <c r="S1135" s="162">
        <v>0</v>
      </c>
      <c r="T1135" s="162" t="s">
        <v>2706</v>
      </c>
      <c r="U1135" s="162">
        <v>0</v>
      </c>
      <c r="V1135" s="162" t="s">
        <v>2706</v>
      </c>
      <c r="W1135" s="162">
        <v>0</v>
      </c>
      <c r="X1135" s="162" t="s">
        <v>2706</v>
      </c>
      <c r="Y1135" s="162">
        <v>0</v>
      </c>
      <c r="Z1135" s="162" t="s">
        <v>2706</v>
      </c>
      <c r="AA1135" s="162">
        <v>0</v>
      </c>
      <c r="AB1135" s="162" t="s">
        <v>2706</v>
      </c>
      <c r="AC1135" s="162">
        <v>0</v>
      </c>
      <c r="AD1135" s="162" t="s">
        <v>2706</v>
      </c>
      <c r="AE1135" s="162">
        <v>0</v>
      </c>
      <c r="AF1135" s="162" t="s">
        <v>2706</v>
      </c>
      <c r="AG1135" s="162">
        <v>0</v>
      </c>
      <c r="AH1135" s="162" t="s">
        <v>2706</v>
      </c>
      <c r="AI1135" s="162">
        <v>0</v>
      </c>
      <c r="AJ1135" s="162" t="s">
        <v>2706</v>
      </c>
      <c r="AK1135" s="162">
        <v>0</v>
      </c>
      <c r="AL1135" s="162" t="s">
        <v>2706</v>
      </c>
      <c r="AM1135" s="162">
        <v>0</v>
      </c>
      <c r="AN1135" s="162"/>
      <c r="AP1135" s="168"/>
    </row>
    <row r="1136" spans="1:42" s="100" customFormat="1" ht="46.8" x14ac:dyDescent="0.3">
      <c r="A1136" s="161"/>
      <c r="B1136" s="167"/>
      <c r="C1136" s="98" t="s">
        <v>2708</v>
      </c>
      <c r="D1136" s="163"/>
      <c r="E1136" s="26" t="s">
        <v>48</v>
      </c>
      <c r="F1136" s="30" t="s">
        <v>49</v>
      </c>
      <c r="G1136" s="163"/>
      <c r="H1136" s="163"/>
      <c r="I1136" s="163"/>
      <c r="J1136" s="165"/>
      <c r="K1136" s="165"/>
      <c r="L1136" s="165"/>
      <c r="M1136" s="165"/>
      <c r="N1136" s="165"/>
      <c r="O1136" s="163"/>
      <c r="P1136" s="163"/>
      <c r="Q1136" s="163"/>
      <c r="R1136" s="163"/>
      <c r="S1136" s="163"/>
      <c r="T1136" s="163"/>
      <c r="U1136" s="163"/>
      <c r="V1136" s="163"/>
      <c r="W1136" s="163"/>
      <c r="X1136" s="163"/>
      <c r="Y1136" s="163"/>
      <c r="Z1136" s="163"/>
      <c r="AA1136" s="163"/>
      <c r="AB1136" s="163"/>
      <c r="AC1136" s="163"/>
      <c r="AD1136" s="163"/>
      <c r="AE1136" s="163"/>
      <c r="AF1136" s="163"/>
      <c r="AG1136" s="163"/>
      <c r="AH1136" s="163"/>
      <c r="AI1136" s="163"/>
      <c r="AJ1136" s="163"/>
      <c r="AK1136" s="163"/>
      <c r="AL1136" s="163"/>
      <c r="AM1136" s="163"/>
      <c r="AN1136" s="163"/>
      <c r="AP1136" s="169"/>
    </row>
    <row r="1137" spans="1:42" s="100" customFormat="1" ht="46.8" x14ac:dyDescent="0.3">
      <c r="A1137" s="160">
        <v>788</v>
      </c>
      <c r="B1137" s="166" t="s">
        <v>1610</v>
      </c>
      <c r="C1137" s="98" t="s">
        <v>2708</v>
      </c>
      <c r="D1137" s="162" t="s">
        <v>2712</v>
      </c>
      <c r="E1137" s="26" t="s">
        <v>144</v>
      </c>
      <c r="F1137" s="30" t="s">
        <v>49</v>
      </c>
      <c r="G1137" s="162" t="s">
        <v>2704</v>
      </c>
      <c r="H1137" s="162">
        <v>20</v>
      </c>
      <c r="I1137" s="162" t="str">
        <f t="shared" si="100"/>
        <v>с ЛН</v>
      </c>
      <c r="J1137" s="164">
        <v>4</v>
      </c>
      <c r="K1137" s="164" t="s">
        <v>528</v>
      </c>
      <c r="L1137" s="164" t="s">
        <v>528</v>
      </c>
      <c r="M1137" s="164" t="s">
        <v>2705</v>
      </c>
      <c r="N1137" s="164" t="s">
        <v>2705</v>
      </c>
      <c r="O1137" s="162">
        <v>8396</v>
      </c>
      <c r="P1137" s="162" t="s">
        <v>2706</v>
      </c>
      <c r="Q1137" s="162">
        <v>9757</v>
      </c>
      <c r="R1137" s="162" t="s">
        <v>2706</v>
      </c>
      <c r="S1137" s="162">
        <v>4961</v>
      </c>
      <c r="T1137" s="162" t="s">
        <v>2706</v>
      </c>
      <c r="U1137" s="162">
        <v>6964</v>
      </c>
      <c r="V1137" s="162" t="s">
        <v>2706</v>
      </c>
      <c r="W1137" s="162">
        <v>7885</v>
      </c>
      <c r="X1137" s="162" t="s">
        <v>2706</v>
      </c>
      <c r="Y1137" s="162">
        <v>7352</v>
      </c>
      <c r="Z1137" s="162" t="s">
        <v>2706</v>
      </c>
      <c r="AA1137" s="162">
        <v>5104</v>
      </c>
      <c r="AB1137" s="162" t="s">
        <v>2706</v>
      </c>
      <c r="AC1137" s="162">
        <v>7798</v>
      </c>
      <c r="AD1137" s="162" t="s">
        <v>2706</v>
      </c>
      <c r="AE1137" s="162">
        <v>4986</v>
      </c>
      <c r="AF1137" s="162" t="s">
        <v>2706</v>
      </c>
      <c r="AG1137" s="162">
        <v>9414</v>
      </c>
      <c r="AH1137" s="162" t="s">
        <v>2706</v>
      </c>
      <c r="AI1137" s="162">
        <v>0</v>
      </c>
      <c r="AJ1137" s="162" t="s">
        <v>2706</v>
      </c>
      <c r="AK1137" s="162">
        <v>7659</v>
      </c>
      <c r="AL1137" s="162" t="s">
        <v>2706</v>
      </c>
      <c r="AM1137" s="162">
        <v>72478</v>
      </c>
      <c r="AN1137" s="162"/>
      <c r="AP1137" s="168"/>
    </row>
    <row r="1138" spans="1:42" s="100" customFormat="1" ht="46.8" x14ac:dyDescent="0.3">
      <c r="A1138" s="161"/>
      <c r="B1138" s="167"/>
      <c r="C1138" s="98" t="s">
        <v>2708</v>
      </c>
      <c r="D1138" s="163"/>
      <c r="E1138" s="26" t="s">
        <v>48</v>
      </c>
      <c r="F1138" s="30" t="s">
        <v>49</v>
      </c>
      <c r="G1138" s="163"/>
      <c r="H1138" s="163"/>
      <c r="I1138" s="163"/>
      <c r="J1138" s="165"/>
      <c r="K1138" s="165"/>
      <c r="L1138" s="165"/>
      <c r="M1138" s="165"/>
      <c r="N1138" s="165"/>
      <c r="O1138" s="163"/>
      <c r="P1138" s="163"/>
      <c r="Q1138" s="163"/>
      <c r="R1138" s="163"/>
      <c r="S1138" s="163"/>
      <c r="T1138" s="163"/>
      <c r="U1138" s="163"/>
      <c r="V1138" s="163"/>
      <c r="W1138" s="163"/>
      <c r="X1138" s="163"/>
      <c r="Y1138" s="163"/>
      <c r="Z1138" s="163"/>
      <c r="AA1138" s="163"/>
      <c r="AB1138" s="163"/>
      <c r="AC1138" s="163"/>
      <c r="AD1138" s="163"/>
      <c r="AE1138" s="163"/>
      <c r="AF1138" s="163"/>
      <c r="AG1138" s="163"/>
      <c r="AH1138" s="163"/>
      <c r="AI1138" s="163"/>
      <c r="AJ1138" s="163"/>
      <c r="AK1138" s="163"/>
      <c r="AL1138" s="163"/>
      <c r="AM1138" s="163"/>
      <c r="AN1138" s="163"/>
      <c r="AP1138" s="169"/>
    </row>
    <row r="1139" spans="1:42" s="100" customFormat="1" ht="46.8" x14ac:dyDescent="0.3">
      <c r="A1139" s="160">
        <v>789</v>
      </c>
      <c r="B1139" s="166" t="s">
        <v>1611</v>
      </c>
      <c r="C1139" s="98" t="s">
        <v>2708</v>
      </c>
      <c r="D1139" s="162" t="s">
        <v>2712</v>
      </c>
      <c r="E1139" s="26" t="s">
        <v>144</v>
      </c>
      <c r="F1139" s="30" t="s">
        <v>49</v>
      </c>
      <c r="G1139" s="162" t="s">
        <v>2704</v>
      </c>
      <c r="H1139" s="162">
        <v>36</v>
      </c>
      <c r="I1139" s="162" t="str">
        <f t="shared" si="100"/>
        <v>с ЛН</v>
      </c>
      <c r="J1139" s="164">
        <v>6</v>
      </c>
      <c r="K1139" s="164" t="s">
        <v>528</v>
      </c>
      <c r="L1139" s="164" t="s">
        <v>528</v>
      </c>
      <c r="M1139" s="164" t="s">
        <v>2705</v>
      </c>
      <c r="N1139" s="164" t="s">
        <v>2705</v>
      </c>
      <c r="O1139" s="162">
        <v>1492</v>
      </c>
      <c r="P1139" s="162" t="s">
        <v>2706</v>
      </c>
      <c r="Q1139" s="162">
        <v>1522</v>
      </c>
      <c r="R1139" s="162" t="s">
        <v>2706</v>
      </c>
      <c r="S1139" s="162">
        <v>1002</v>
      </c>
      <c r="T1139" s="162" t="s">
        <v>2706</v>
      </c>
      <c r="U1139" s="162">
        <v>1813</v>
      </c>
      <c r="V1139" s="162" t="s">
        <v>2706</v>
      </c>
      <c r="W1139" s="162">
        <v>1112</v>
      </c>
      <c r="X1139" s="162" t="s">
        <v>2706</v>
      </c>
      <c r="Y1139" s="162">
        <v>1167</v>
      </c>
      <c r="Z1139" s="162" t="s">
        <v>2706</v>
      </c>
      <c r="AA1139" s="162">
        <v>899</v>
      </c>
      <c r="AB1139" s="162" t="s">
        <v>2706</v>
      </c>
      <c r="AC1139" s="162">
        <v>1268</v>
      </c>
      <c r="AD1139" s="162" t="s">
        <v>2706</v>
      </c>
      <c r="AE1139" s="162">
        <v>1086</v>
      </c>
      <c r="AF1139" s="162" t="s">
        <v>2706</v>
      </c>
      <c r="AG1139" s="162">
        <v>2086</v>
      </c>
      <c r="AH1139" s="162" t="s">
        <v>2706</v>
      </c>
      <c r="AI1139" s="162">
        <v>306</v>
      </c>
      <c r="AJ1139" s="162" t="s">
        <v>2706</v>
      </c>
      <c r="AK1139" s="162">
        <v>1682</v>
      </c>
      <c r="AL1139" s="162" t="s">
        <v>2706</v>
      </c>
      <c r="AM1139" s="162">
        <v>14167</v>
      </c>
      <c r="AN1139" s="162"/>
      <c r="AP1139" s="168"/>
    </row>
    <row r="1140" spans="1:42" s="100" customFormat="1" ht="46.8" x14ac:dyDescent="0.3">
      <c r="A1140" s="161"/>
      <c r="B1140" s="167"/>
      <c r="C1140" s="98" t="s">
        <v>2708</v>
      </c>
      <c r="D1140" s="163"/>
      <c r="E1140" s="26" t="s">
        <v>48</v>
      </c>
      <c r="F1140" s="30" t="s">
        <v>49</v>
      </c>
      <c r="G1140" s="163"/>
      <c r="H1140" s="163"/>
      <c r="I1140" s="163"/>
      <c r="J1140" s="165"/>
      <c r="K1140" s="165"/>
      <c r="L1140" s="165"/>
      <c r="M1140" s="165"/>
      <c r="N1140" s="165"/>
      <c r="O1140" s="163"/>
      <c r="P1140" s="163"/>
      <c r="Q1140" s="163"/>
      <c r="R1140" s="163"/>
      <c r="S1140" s="163"/>
      <c r="T1140" s="163"/>
      <c r="U1140" s="163"/>
      <c r="V1140" s="163"/>
      <c r="W1140" s="163"/>
      <c r="X1140" s="163"/>
      <c r="Y1140" s="163"/>
      <c r="Z1140" s="163"/>
      <c r="AA1140" s="163"/>
      <c r="AB1140" s="163"/>
      <c r="AC1140" s="163"/>
      <c r="AD1140" s="163"/>
      <c r="AE1140" s="163"/>
      <c r="AF1140" s="163"/>
      <c r="AG1140" s="163"/>
      <c r="AH1140" s="163"/>
      <c r="AI1140" s="163"/>
      <c r="AJ1140" s="163"/>
      <c r="AK1140" s="163"/>
      <c r="AL1140" s="163"/>
      <c r="AM1140" s="163"/>
      <c r="AN1140" s="163"/>
      <c r="AP1140" s="169"/>
    </row>
    <row r="1141" spans="1:42" s="100" customFormat="1" ht="46.8" x14ac:dyDescent="0.3">
      <c r="A1141" s="160">
        <v>790</v>
      </c>
      <c r="B1141" s="166" t="s">
        <v>1613</v>
      </c>
      <c r="C1141" s="98" t="s">
        <v>2708</v>
      </c>
      <c r="D1141" s="162" t="s">
        <v>2712</v>
      </c>
      <c r="E1141" s="26" t="s">
        <v>144</v>
      </c>
      <c r="F1141" s="30" t="s">
        <v>49</v>
      </c>
      <c r="G1141" s="162" t="s">
        <v>2704</v>
      </c>
      <c r="H1141" s="162">
        <v>15</v>
      </c>
      <c r="I1141" s="162" t="str">
        <f t="shared" si="100"/>
        <v>с ЛН</v>
      </c>
      <c r="J1141" s="164">
        <v>3</v>
      </c>
      <c r="K1141" s="164" t="s">
        <v>528</v>
      </c>
      <c r="L1141" s="164" t="s">
        <v>528</v>
      </c>
      <c r="M1141" s="164" t="s">
        <v>2705</v>
      </c>
      <c r="N1141" s="164" t="s">
        <v>2705</v>
      </c>
      <c r="O1141" s="162">
        <v>56</v>
      </c>
      <c r="P1141" s="162" t="s">
        <v>2706</v>
      </c>
      <c r="Q1141" s="162">
        <v>119</v>
      </c>
      <c r="R1141" s="162" t="s">
        <v>2706</v>
      </c>
      <c r="S1141" s="162">
        <v>49</v>
      </c>
      <c r="T1141" s="162" t="s">
        <v>2706</v>
      </c>
      <c r="U1141" s="162">
        <v>73</v>
      </c>
      <c r="V1141" s="162" t="s">
        <v>2706</v>
      </c>
      <c r="W1141" s="162">
        <v>58</v>
      </c>
      <c r="X1141" s="162" t="s">
        <v>2706</v>
      </c>
      <c r="Y1141" s="162">
        <v>50</v>
      </c>
      <c r="Z1141" s="162" t="s">
        <v>2706</v>
      </c>
      <c r="AA1141" s="162">
        <v>36</v>
      </c>
      <c r="AB1141" s="162" t="s">
        <v>2706</v>
      </c>
      <c r="AC1141" s="162">
        <v>54</v>
      </c>
      <c r="AD1141" s="162" t="s">
        <v>2706</v>
      </c>
      <c r="AE1141" s="162">
        <v>66</v>
      </c>
      <c r="AF1141" s="162" t="s">
        <v>2706</v>
      </c>
      <c r="AG1141" s="162">
        <v>41</v>
      </c>
      <c r="AH1141" s="162" t="s">
        <v>2706</v>
      </c>
      <c r="AI1141" s="162">
        <v>584</v>
      </c>
      <c r="AJ1141" s="162" t="s">
        <v>2706</v>
      </c>
      <c r="AK1141" s="162">
        <v>104</v>
      </c>
      <c r="AL1141" s="162" t="s">
        <v>2706</v>
      </c>
      <c r="AM1141" s="162">
        <v>1236</v>
      </c>
      <c r="AN1141" s="162"/>
      <c r="AP1141" s="168"/>
    </row>
    <row r="1142" spans="1:42" s="100" customFormat="1" ht="46.8" x14ac:dyDescent="0.3">
      <c r="A1142" s="161"/>
      <c r="B1142" s="167"/>
      <c r="C1142" s="98" t="s">
        <v>2708</v>
      </c>
      <c r="D1142" s="163"/>
      <c r="E1142" s="26" t="s">
        <v>48</v>
      </c>
      <c r="F1142" s="30" t="s">
        <v>49</v>
      </c>
      <c r="G1142" s="163"/>
      <c r="H1142" s="163"/>
      <c r="I1142" s="163"/>
      <c r="J1142" s="165"/>
      <c r="K1142" s="165"/>
      <c r="L1142" s="165"/>
      <c r="M1142" s="165"/>
      <c r="N1142" s="165"/>
      <c r="O1142" s="163"/>
      <c r="P1142" s="163"/>
      <c r="Q1142" s="163"/>
      <c r="R1142" s="163"/>
      <c r="S1142" s="163"/>
      <c r="T1142" s="163"/>
      <c r="U1142" s="163"/>
      <c r="V1142" s="163"/>
      <c r="W1142" s="163"/>
      <c r="X1142" s="163"/>
      <c r="Y1142" s="163"/>
      <c r="Z1142" s="163"/>
      <c r="AA1142" s="163"/>
      <c r="AB1142" s="163"/>
      <c r="AC1142" s="163"/>
      <c r="AD1142" s="163"/>
      <c r="AE1142" s="163"/>
      <c r="AF1142" s="163"/>
      <c r="AG1142" s="163"/>
      <c r="AH1142" s="163"/>
      <c r="AI1142" s="163"/>
      <c r="AJ1142" s="163"/>
      <c r="AK1142" s="163"/>
      <c r="AL1142" s="163"/>
      <c r="AM1142" s="163"/>
      <c r="AN1142" s="163"/>
      <c r="AP1142" s="169"/>
    </row>
    <row r="1143" spans="1:42" s="100" customFormat="1" ht="46.8" x14ac:dyDescent="0.3">
      <c r="A1143" s="160">
        <v>791</v>
      </c>
      <c r="B1143" s="166" t="s">
        <v>1615</v>
      </c>
      <c r="C1143" s="98" t="s">
        <v>2708</v>
      </c>
      <c r="D1143" s="162" t="s">
        <v>2712</v>
      </c>
      <c r="E1143" s="26" t="s">
        <v>144</v>
      </c>
      <c r="F1143" s="30" t="s">
        <v>49</v>
      </c>
      <c r="G1143" s="162" t="s">
        <v>2704</v>
      </c>
      <c r="H1143" s="162">
        <v>24</v>
      </c>
      <c r="I1143" s="162" t="str">
        <f t="shared" si="100"/>
        <v>с ЛН</v>
      </c>
      <c r="J1143" s="164">
        <v>4</v>
      </c>
      <c r="K1143" s="164" t="s">
        <v>528</v>
      </c>
      <c r="L1143" s="164" t="s">
        <v>528</v>
      </c>
      <c r="M1143" s="164" t="s">
        <v>2705</v>
      </c>
      <c r="N1143" s="164" t="s">
        <v>2705</v>
      </c>
      <c r="O1143" s="162">
        <v>18593</v>
      </c>
      <c r="P1143" s="162" t="s">
        <v>2706</v>
      </c>
      <c r="Q1143" s="162">
        <v>21878</v>
      </c>
      <c r="R1143" s="162" t="s">
        <v>2706</v>
      </c>
      <c r="S1143" s="162">
        <v>11385</v>
      </c>
      <c r="T1143" s="162" t="s">
        <v>2706</v>
      </c>
      <c r="U1143" s="162">
        <v>19027</v>
      </c>
      <c r="V1143" s="162" t="s">
        <v>2706</v>
      </c>
      <c r="W1143" s="162">
        <v>10770</v>
      </c>
      <c r="X1143" s="162" t="s">
        <v>2706</v>
      </c>
      <c r="Y1143" s="162">
        <v>11700</v>
      </c>
      <c r="Z1143" s="162" t="s">
        <v>2706</v>
      </c>
      <c r="AA1143" s="162">
        <v>6424</v>
      </c>
      <c r="AB1143" s="162" t="s">
        <v>2706</v>
      </c>
      <c r="AC1143" s="162">
        <v>9138</v>
      </c>
      <c r="AD1143" s="162" t="s">
        <v>2706</v>
      </c>
      <c r="AE1143" s="162">
        <v>12412</v>
      </c>
      <c r="AF1143" s="162" t="s">
        <v>2706</v>
      </c>
      <c r="AG1143" s="162">
        <v>10227</v>
      </c>
      <c r="AH1143" s="162" t="s">
        <v>2706</v>
      </c>
      <c r="AI1143" s="162">
        <v>1296</v>
      </c>
      <c r="AJ1143" s="162" t="s">
        <v>2706</v>
      </c>
      <c r="AK1143" s="162">
        <v>13968</v>
      </c>
      <c r="AL1143" s="162" t="s">
        <v>2706</v>
      </c>
      <c r="AM1143" s="162">
        <v>137680</v>
      </c>
      <c r="AN1143" s="162"/>
      <c r="AP1143" s="168"/>
    </row>
    <row r="1144" spans="1:42" s="100" customFormat="1" ht="46.8" x14ac:dyDescent="0.3">
      <c r="A1144" s="161"/>
      <c r="B1144" s="167"/>
      <c r="C1144" s="98" t="s">
        <v>2708</v>
      </c>
      <c r="D1144" s="163"/>
      <c r="E1144" s="26" t="s">
        <v>48</v>
      </c>
      <c r="F1144" s="30" t="s">
        <v>49</v>
      </c>
      <c r="G1144" s="163"/>
      <c r="H1144" s="163"/>
      <c r="I1144" s="163"/>
      <c r="J1144" s="165"/>
      <c r="K1144" s="165"/>
      <c r="L1144" s="165"/>
      <c r="M1144" s="165"/>
      <c r="N1144" s="165"/>
      <c r="O1144" s="163"/>
      <c r="P1144" s="163"/>
      <c r="Q1144" s="163"/>
      <c r="R1144" s="163"/>
      <c r="S1144" s="163"/>
      <c r="T1144" s="163"/>
      <c r="U1144" s="163"/>
      <c r="V1144" s="163"/>
      <c r="W1144" s="163"/>
      <c r="X1144" s="163"/>
      <c r="Y1144" s="163"/>
      <c r="Z1144" s="163"/>
      <c r="AA1144" s="163"/>
      <c r="AB1144" s="163"/>
      <c r="AC1144" s="163"/>
      <c r="AD1144" s="163"/>
      <c r="AE1144" s="163"/>
      <c r="AF1144" s="163"/>
      <c r="AG1144" s="163"/>
      <c r="AH1144" s="163"/>
      <c r="AI1144" s="163"/>
      <c r="AJ1144" s="163"/>
      <c r="AK1144" s="163"/>
      <c r="AL1144" s="163"/>
      <c r="AM1144" s="163"/>
      <c r="AN1144" s="163"/>
      <c r="AP1144" s="169"/>
    </row>
    <row r="1145" spans="1:42" s="100" customFormat="1" ht="46.8" x14ac:dyDescent="0.3">
      <c r="A1145" s="160">
        <v>792</v>
      </c>
      <c r="B1145" s="166" t="s">
        <v>1616</v>
      </c>
      <c r="C1145" s="98" t="s">
        <v>2708</v>
      </c>
      <c r="D1145" s="162" t="s">
        <v>2712</v>
      </c>
      <c r="E1145" s="26" t="s">
        <v>144</v>
      </c>
      <c r="F1145" s="30" t="s">
        <v>49</v>
      </c>
      <c r="G1145" s="162" t="s">
        <v>2704</v>
      </c>
      <c r="H1145" s="162">
        <v>21</v>
      </c>
      <c r="I1145" s="162" t="str">
        <f t="shared" si="100"/>
        <v>с ЛН</v>
      </c>
      <c r="J1145" s="164">
        <v>5</v>
      </c>
      <c r="K1145" s="164" t="s">
        <v>528</v>
      </c>
      <c r="L1145" s="164" t="s">
        <v>528</v>
      </c>
      <c r="M1145" s="164" t="s">
        <v>2705</v>
      </c>
      <c r="N1145" s="164" t="s">
        <v>2705</v>
      </c>
      <c r="O1145" s="162">
        <v>196</v>
      </c>
      <c r="P1145" s="162" t="s">
        <v>2706</v>
      </c>
      <c r="Q1145" s="162">
        <v>193</v>
      </c>
      <c r="R1145" s="162" t="s">
        <v>2706</v>
      </c>
      <c r="S1145" s="162">
        <v>99</v>
      </c>
      <c r="T1145" s="162" t="s">
        <v>2706</v>
      </c>
      <c r="U1145" s="162">
        <v>109</v>
      </c>
      <c r="V1145" s="162" t="s">
        <v>2706</v>
      </c>
      <c r="W1145" s="162">
        <v>76</v>
      </c>
      <c r="X1145" s="162" t="s">
        <v>2706</v>
      </c>
      <c r="Y1145" s="162">
        <v>131</v>
      </c>
      <c r="Z1145" s="162" t="s">
        <v>2706</v>
      </c>
      <c r="AA1145" s="162">
        <v>63</v>
      </c>
      <c r="AB1145" s="162" t="s">
        <v>2706</v>
      </c>
      <c r="AC1145" s="162">
        <v>116</v>
      </c>
      <c r="AD1145" s="162" t="s">
        <v>2706</v>
      </c>
      <c r="AE1145" s="162">
        <v>79</v>
      </c>
      <c r="AF1145" s="162" t="s">
        <v>2706</v>
      </c>
      <c r="AG1145" s="162">
        <v>0</v>
      </c>
      <c r="AH1145" s="162" t="s">
        <v>2706</v>
      </c>
      <c r="AI1145" s="162">
        <v>291</v>
      </c>
      <c r="AJ1145" s="162" t="s">
        <v>2706</v>
      </c>
      <c r="AK1145" s="162">
        <v>0</v>
      </c>
      <c r="AL1145" s="162" t="s">
        <v>2706</v>
      </c>
      <c r="AM1145" s="162">
        <v>1157</v>
      </c>
      <c r="AN1145" s="162"/>
      <c r="AP1145" s="168"/>
    </row>
    <row r="1146" spans="1:42" s="100" customFormat="1" ht="46.8" x14ac:dyDescent="0.3">
      <c r="A1146" s="161"/>
      <c r="B1146" s="167"/>
      <c r="C1146" s="98" t="s">
        <v>2708</v>
      </c>
      <c r="D1146" s="163"/>
      <c r="E1146" s="26" t="s">
        <v>48</v>
      </c>
      <c r="F1146" s="30" t="s">
        <v>49</v>
      </c>
      <c r="G1146" s="163"/>
      <c r="H1146" s="163"/>
      <c r="I1146" s="163"/>
      <c r="J1146" s="165"/>
      <c r="K1146" s="165"/>
      <c r="L1146" s="165"/>
      <c r="M1146" s="165"/>
      <c r="N1146" s="165"/>
      <c r="O1146" s="163"/>
      <c r="P1146" s="163"/>
      <c r="Q1146" s="163"/>
      <c r="R1146" s="163"/>
      <c r="S1146" s="163"/>
      <c r="T1146" s="163"/>
      <c r="U1146" s="163"/>
      <c r="V1146" s="163"/>
      <c r="W1146" s="163"/>
      <c r="X1146" s="163"/>
      <c r="Y1146" s="163"/>
      <c r="Z1146" s="163"/>
      <c r="AA1146" s="163"/>
      <c r="AB1146" s="163"/>
      <c r="AC1146" s="163"/>
      <c r="AD1146" s="163"/>
      <c r="AE1146" s="163"/>
      <c r="AF1146" s="163"/>
      <c r="AG1146" s="163"/>
      <c r="AH1146" s="163"/>
      <c r="AI1146" s="163"/>
      <c r="AJ1146" s="163"/>
      <c r="AK1146" s="163"/>
      <c r="AL1146" s="163"/>
      <c r="AM1146" s="163"/>
      <c r="AN1146" s="163"/>
      <c r="AP1146" s="169"/>
    </row>
    <row r="1147" spans="1:42" s="100" customFormat="1" ht="46.8" x14ac:dyDescent="0.3">
      <c r="A1147" s="160">
        <v>793</v>
      </c>
      <c r="B1147" s="166" t="s">
        <v>1617</v>
      </c>
      <c r="C1147" s="98" t="s">
        <v>2708</v>
      </c>
      <c r="D1147" s="162" t="s">
        <v>2712</v>
      </c>
      <c r="E1147" s="26" t="s">
        <v>144</v>
      </c>
      <c r="F1147" s="30" t="s">
        <v>49</v>
      </c>
      <c r="G1147" s="162" t="s">
        <v>2704</v>
      </c>
      <c r="H1147" s="162">
        <v>17</v>
      </c>
      <c r="I1147" s="162" t="str">
        <f t="shared" si="100"/>
        <v>с ЛН</v>
      </c>
      <c r="J1147" s="164">
        <v>3</v>
      </c>
      <c r="K1147" s="164" t="s">
        <v>528</v>
      </c>
      <c r="L1147" s="164" t="s">
        <v>528</v>
      </c>
      <c r="M1147" s="164" t="s">
        <v>2705</v>
      </c>
      <c r="N1147" s="164" t="s">
        <v>2705</v>
      </c>
      <c r="O1147" s="162">
        <v>265</v>
      </c>
      <c r="P1147" s="162" t="s">
        <v>2706</v>
      </c>
      <c r="Q1147" s="162">
        <v>269</v>
      </c>
      <c r="R1147" s="162" t="s">
        <v>2706</v>
      </c>
      <c r="S1147" s="162">
        <v>183</v>
      </c>
      <c r="T1147" s="162" t="s">
        <v>2706</v>
      </c>
      <c r="U1147" s="162">
        <v>204</v>
      </c>
      <c r="V1147" s="162" t="s">
        <v>2706</v>
      </c>
      <c r="W1147" s="162">
        <v>170</v>
      </c>
      <c r="X1147" s="162" t="s">
        <v>2706</v>
      </c>
      <c r="Y1147" s="162">
        <v>192</v>
      </c>
      <c r="Z1147" s="162" t="s">
        <v>2706</v>
      </c>
      <c r="AA1147" s="162">
        <v>124</v>
      </c>
      <c r="AB1147" s="162" t="s">
        <v>2706</v>
      </c>
      <c r="AC1147" s="162">
        <v>168</v>
      </c>
      <c r="AD1147" s="162" t="s">
        <v>2706</v>
      </c>
      <c r="AE1147" s="162">
        <v>231</v>
      </c>
      <c r="AF1147" s="162" t="s">
        <v>2706</v>
      </c>
      <c r="AG1147" s="162">
        <v>212</v>
      </c>
      <c r="AH1147" s="162" t="s">
        <v>2706</v>
      </c>
      <c r="AI1147" s="162">
        <v>450</v>
      </c>
      <c r="AJ1147" s="162" t="s">
        <v>2706</v>
      </c>
      <c r="AK1147" s="162">
        <v>76</v>
      </c>
      <c r="AL1147" s="162" t="s">
        <v>2706</v>
      </c>
      <c r="AM1147" s="162">
        <v>2376</v>
      </c>
      <c r="AN1147" s="162"/>
      <c r="AP1147" s="168"/>
    </row>
    <row r="1148" spans="1:42" s="100" customFormat="1" ht="46.8" x14ac:dyDescent="0.3">
      <c r="A1148" s="161"/>
      <c r="B1148" s="167"/>
      <c r="C1148" s="98" t="s">
        <v>2708</v>
      </c>
      <c r="D1148" s="163"/>
      <c r="E1148" s="26" t="s">
        <v>48</v>
      </c>
      <c r="F1148" s="30" t="s">
        <v>49</v>
      </c>
      <c r="G1148" s="163"/>
      <c r="H1148" s="163"/>
      <c r="I1148" s="163"/>
      <c r="J1148" s="165"/>
      <c r="K1148" s="165"/>
      <c r="L1148" s="165"/>
      <c r="M1148" s="165"/>
      <c r="N1148" s="165"/>
      <c r="O1148" s="163"/>
      <c r="P1148" s="163"/>
      <c r="Q1148" s="163"/>
      <c r="R1148" s="163"/>
      <c r="S1148" s="163"/>
      <c r="T1148" s="163"/>
      <c r="U1148" s="163"/>
      <c r="V1148" s="163"/>
      <c r="W1148" s="163"/>
      <c r="X1148" s="163"/>
      <c r="Y1148" s="163"/>
      <c r="Z1148" s="163"/>
      <c r="AA1148" s="163"/>
      <c r="AB1148" s="163"/>
      <c r="AC1148" s="163"/>
      <c r="AD1148" s="163"/>
      <c r="AE1148" s="163"/>
      <c r="AF1148" s="163"/>
      <c r="AG1148" s="163"/>
      <c r="AH1148" s="163"/>
      <c r="AI1148" s="163"/>
      <c r="AJ1148" s="163"/>
      <c r="AK1148" s="163"/>
      <c r="AL1148" s="163"/>
      <c r="AM1148" s="163"/>
      <c r="AN1148" s="163"/>
      <c r="AP1148" s="169"/>
    </row>
    <row r="1149" spans="1:42" s="100" customFormat="1" ht="46.8" x14ac:dyDescent="0.3">
      <c r="A1149" s="160">
        <v>794</v>
      </c>
      <c r="B1149" s="166" t="s">
        <v>1618</v>
      </c>
      <c r="C1149" s="98" t="s">
        <v>2708</v>
      </c>
      <c r="D1149" s="162" t="s">
        <v>2712</v>
      </c>
      <c r="E1149" s="26" t="s">
        <v>144</v>
      </c>
      <c r="F1149" s="30" t="s">
        <v>49</v>
      </c>
      <c r="G1149" s="162" t="s">
        <v>2704</v>
      </c>
      <c r="H1149" s="162">
        <v>16</v>
      </c>
      <c r="I1149" s="162" t="str">
        <f t="shared" si="100"/>
        <v>с ЛН</v>
      </c>
      <c r="J1149" s="164">
        <v>3</v>
      </c>
      <c r="K1149" s="164" t="s">
        <v>528</v>
      </c>
      <c r="L1149" s="164" t="s">
        <v>528</v>
      </c>
      <c r="M1149" s="164" t="s">
        <v>2705</v>
      </c>
      <c r="N1149" s="164" t="s">
        <v>2705</v>
      </c>
      <c r="O1149" s="162">
        <v>66</v>
      </c>
      <c r="P1149" s="162" t="s">
        <v>2706</v>
      </c>
      <c r="Q1149" s="162">
        <v>66</v>
      </c>
      <c r="R1149" s="162" t="s">
        <v>2706</v>
      </c>
      <c r="S1149" s="162">
        <v>66</v>
      </c>
      <c r="T1149" s="162" t="s">
        <v>2706</v>
      </c>
      <c r="U1149" s="162">
        <v>66</v>
      </c>
      <c r="V1149" s="162" t="s">
        <v>2706</v>
      </c>
      <c r="W1149" s="162">
        <v>66</v>
      </c>
      <c r="X1149" s="162" t="s">
        <v>2706</v>
      </c>
      <c r="Y1149" s="162">
        <v>255</v>
      </c>
      <c r="Z1149" s="162" t="s">
        <v>2706</v>
      </c>
      <c r="AA1149" s="162">
        <v>255</v>
      </c>
      <c r="AB1149" s="162" t="s">
        <v>2706</v>
      </c>
      <c r="AC1149" s="162">
        <v>255</v>
      </c>
      <c r="AD1149" s="162" t="s">
        <v>2706</v>
      </c>
      <c r="AE1149" s="162">
        <v>255</v>
      </c>
      <c r="AF1149" s="162" t="s">
        <v>2706</v>
      </c>
      <c r="AG1149" s="162">
        <v>175</v>
      </c>
      <c r="AH1149" s="162" t="s">
        <v>2706</v>
      </c>
      <c r="AI1149" s="162">
        <v>5934</v>
      </c>
      <c r="AJ1149" s="162" t="s">
        <v>2706</v>
      </c>
      <c r="AK1149" s="162">
        <v>0</v>
      </c>
      <c r="AL1149" s="162" t="s">
        <v>2706</v>
      </c>
      <c r="AM1149" s="162">
        <v>7204</v>
      </c>
      <c r="AN1149" s="162"/>
      <c r="AP1149" s="168"/>
    </row>
    <row r="1150" spans="1:42" s="100" customFormat="1" ht="46.8" x14ac:dyDescent="0.3">
      <c r="A1150" s="161"/>
      <c r="B1150" s="167"/>
      <c r="C1150" s="98" t="s">
        <v>2708</v>
      </c>
      <c r="D1150" s="163"/>
      <c r="E1150" s="26" t="s">
        <v>48</v>
      </c>
      <c r="F1150" s="30" t="s">
        <v>49</v>
      </c>
      <c r="G1150" s="163"/>
      <c r="H1150" s="163"/>
      <c r="I1150" s="163"/>
      <c r="J1150" s="165"/>
      <c r="K1150" s="165"/>
      <c r="L1150" s="165"/>
      <c r="M1150" s="165"/>
      <c r="N1150" s="165"/>
      <c r="O1150" s="163"/>
      <c r="P1150" s="163"/>
      <c r="Q1150" s="163"/>
      <c r="R1150" s="163"/>
      <c r="S1150" s="163"/>
      <c r="T1150" s="163"/>
      <c r="U1150" s="163"/>
      <c r="V1150" s="163"/>
      <c r="W1150" s="163"/>
      <c r="X1150" s="163"/>
      <c r="Y1150" s="163"/>
      <c r="Z1150" s="163"/>
      <c r="AA1150" s="163"/>
      <c r="AB1150" s="163"/>
      <c r="AC1150" s="163"/>
      <c r="AD1150" s="163"/>
      <c r="AE1150" s="163"/>
      <c r="AF1150" s="163"/>
      <c r="AG1150" s="163"/>
      <c r="AH1150" s="163"/>
      <c r="AI1150" s="163"/>
      <c r="AJ1150" s="163"/>
      <c r="AK1150" s="163"/>
      <c r="AL1150" s="163"/>
      <c r="AM1150" s="163"/>
      <c r="AN1150" s="163"/>
      <c r="AP1150" s="169"/>
    </row>
    <row r="1151" spans="1:42" s="100" customFormat="1" ht="46.8" x14ac:dyDescent="0.3">
      <c r="A1151" s="160">
        <v>795</v>
      </c>
      <c r="B1151" s="166" t="s">
        <v>1620</v>
      </c>
      <c r="C1151" s="98" t="s">
        <v>2708</v>
      </c>
      <c r="D1151" s="162" t="s">
        <v>2712</v>
      </c>
      <c r="E1151" s="26" t="s">
        <v>144</v>
      </c>
      <c r="F1151" s="30" t="s">
        <v>49</v>
      </c>
      <c r="G1151" s="162" t="s">
        <v>2704</v>
      </c>
      <c r="H1151" s="162">
        <v>28</v>
      </c>
      <c r="I1151" s="162" t="str">
        <f t="shared" si="100"/>
        <v>с ЛН</v>
      </c>
      <c r="J1151" s="164">
        <v>6</v>
      </c>
      <c r="K1151" s="164" t="s">
        <v>528</v>
      </c>
      <c r="L1151" s="164" t="s">
        <v>528</v>
      </c>
      <c r="M1151" s="164" t="s">
        <v>2705</v>
      </c>
      <c r="N1151" s="164" t="s">
        <v>2705</v>
      </c>
      <c r="O1151" s="162">
        <v>111</v>
      </c>
      <c r="P1151" s="162" t="s">
        <v>2706</v>
      </c>
      <c r="Q1151" s="162">
        <v>111</v>
      </c>
      <c r="R1151" s="162" t="s">
        <v>2706</v>
      </c>
      <c r="S1151" s="162">
        <v>111</v>
      </c>
      <c r="T1151" s="162" t="s">
        <v>2706</v>
      </c>
      <c r="U1151" s="162">
        <v>111</v>
      </c>
      <c r="V1151" s="162" t="s">
        <v>2706</v>
      </c>
      <c r="W1151" s="162">
        <v>111</v>
      </c>
      <c r="X1151" s="162" t="s">
        <v>2706</v>
      </c>
      <c r="Y1151" s="162">
        <v>705</v>
      </c>
      <c r="Z1151" s="162" t="s">
        <v>2706</v>
      </c>
      <c r="AA1151" s="162">
        <v>705</v>
      </c>
      <c r="AB1151" s="162" t="s">
        <v>2706</v>
      </c>
      <c r="AC1151" s="162">
        <v>705</v>
      </c>
      <c r="AD1151" s="162" t="s">
        <v>2706</v>
      </c>
      <c r="AE1151" s="162">
        <v>229</v>
      </c>
      <c r="AF1151" s="162" t="s">
        <v>2706</v>
      </c>
      <c r="AG1151" s="162">
        <v>371</v>
      </c>
      <c r="AH1151" s="162" t="s">
        <v>2706</v>
      </c>
      <c r="AI1151" s="162">
        <v>39</v>
      </c>
      <c r="AJ1151" s="162" t="s">
        <v>2706</v>
      </c>
      <c r="AK1151" s="162">
        <v>387</v>
      </c>
      <c r="AL1151" s="162" t="s">
        <v>2706</v>
      </c>
      <c r="AM1151" s="162">
        <v>2991</v>
      </c>
      <c r="AN1151" s="162"/>
      <c r="AP1151" s="168"/>
    </row>
    <row r="1152" spans="1:42" s="100" customFormat="1" ht="46.8" x14ac:dyDescent="0.3">
      <c r="A1152" s="161"/>
      <c r="B1152" s="167"/>
      <c r="C1152" s="98" t="s">
        <v>2708</v>
      </c>
      <c r="D1152" s="163"/>
      <c r="E1152" s="26" t="s">
        <v>48</v>
      </c>
      <c r="F1152" s="30" t="s">
        <v>49</v>
      </c>
      <c r="G1152" s="163"/>
      <c r="H1152" s="163"/>
      <c r="I1152" s="163"/>
      <c r="J1152" s="165"/>
      <c r="K1152" s="165"/>
      <c r="L1152" s="165"/>
      <c r="M1152" s="165"/>
      <c r="N1152" s="165"/>
      <c r="O1152" s="163"/>
      <c r="P1152" s="163"/>
      <c r="Q1152" s="163"/>
      <c r="R1152" s="163"/>
      <c r="S1152" s="163"/>
      <c r="T1152" s="163"/>
      <c r="U1152" s="163"/>
      <c r="V1152" s="163"/>
      <c r="W1152" s="163"/>
      <c r="X1152" s="163"/>
      <c r="Y1152" s="163"/>
      <c r="Z1152" s="163"/>
      <c r="AA1152" s="163"/>
      <c r="AB1152" s="163"/>
      <c r="AC1152" s="163"/>
      <c r="AD1152" s="163"/>
      <c r="AE1152" s="163"/>
      <c r="AF1152" s="163"/>
      <c r="AG1152" s="163"/>
      <c r="AH1152" s="163"/>
      <c r="AI1152" s="163"/>
      <c r="AJ1152" s="163"/>
      <c r="AK1152" s="163"/>
      <c r="AL1152" s="163"/>
      <c r="AM1152" s="163"/>
      <c r="AN1152" s="163"/>
      <c r="AP1152" s="169"/>
    </row>
    <row r="1153" spans="1:42" s="100" customFormat="1" ht="46.8" x14ac:dyDescent="0.3">
      <c r="A1153" s="160">
        <v>796</v>
      </c>
      <c r="B1153" s="166" t="s">
        <v>1621</v>
      </c>
      <c r="C1153" s="98" t="s">
        <v>2708</v>
      </c>
      <c r="D1153" s="162" t="s">
        <v>2712</v>
      </c>
      <c r="E1153" s="26" t="s">
        <v>144</v>
      </c>
      <c r="F1153" s="30" t="s">
        <v>49</v>
      </c>
      <c r="G1153" s="162" t="s">
        <v>2704</v>
      </c>
      <c r="H1153" s="162">
        <v>14</v>
      </c>
      <c r="I1153" s="162" t="str">
        <f t="shared" si="100"/>
        <v>с ЛН</v>
      </c>
      <c r="J1153" s="164">
        <v>3</v>
      </c>
      <c r="K1153" s="164" t="s">
        <v>528</v>
      </c>
      <c r="L1153" s="164" t="s">
        <v>528</v>
      </c>
      <c r="M1153" s="164" t="s">
        <v>2705</v>
      </c>
      <c r="N1153" s="164" t="s">
        <v>2705</v>
      </c>
      <c r="O1153" s="162">
        <v>0</v>
      </c>
      <c r="P1153" s="162" t="s">
        <v>2706</v>
      </c>
      <c r="Q1153" s="162">
        <v>0</v>
      </c>
      <c r="R1153" s="162" t="s">
        <v>2706</v>
      </c>
      <c r="S1153" s="162">
        <v>0</v>
      </c>
      <c r="T1153" s="162" t="s">
        <v>2706</v>
      </c>
      <c r="U1153" s="162">
        <v>0</v>
      </c>
      <c r="V1153" s="162" t="s">
        <v>2706</v>
      </c>
      <c r="W1153" s="162">
        <v>0</v>
      </c>
      <c r="X1153" s="162" t="s">
        <v>2706</v>
      </c>
      <c r="Y1153" s="162">
        <v>0</v>
      </c>
      <c r="Z1153" s="162" t="s">
        <v>2706</v>
      </c>
      <c r="AA1153" s="162">
        <v>0</v>
      </c>
      <c r="AB1153" s="162" t="s">
        <v>2706</v>
      </c>
      <c r="AC1153" s="162">
        <v>0</v>
      </c>
      <c r="AD1153" s="162" t="s">
        <v>2706</v>
      </c>
      <c r="AE1153" s="162">
        <v>0</v>
      </c>
      <c r="AF1153" s="162" t="s">
        <v>2706</v>
      </c>
      <c r="AG1153" s="162">
        <v>0</v>
      </c>
      <c r="AH1153" s="162" t="s">
        <v>2706</v>
      </c>
      <c r="AI1153" s="162">
        <v>0</v>
      </c>
      <c r="AJ1153" s="162" t="s">
        <v>2706</v>
      </c>
      <c r="AK1153" s="162">
        <v>0</v>
      </c>
      <c r="AL1153" s="162" t="s">
        <v>2706</v>
      </c>
      <c r="AM1153" s="162">
        <v>0</v>
      </c>
      <c r="AN1153" s="162"/>
      <c r="AP1153" s="168"/>
    </row>
    <row r="1154" spans="1:42" s="100" customFormat="1" ht="46.8" x14ac:dyDescent="0.3">
      <c r="A1154" s="161"/>
      <c r="B1154" s="167"/>
      <c r="C1154" s="98" t="s">
        <v>2708</v>
      </c>
      <c r="D1154" s="163"/>
      <c r="E1154" s="26" t="s">
        <v>48</v>
      </c>
      <c r="F1154" s="30" t="s">
        <v>49</v>
      </c>
      <c r="G1154" s="163"/>
      <c r="H1154" s="163"/>
      <c r="I1154" s="163"/>
      <c r="J1154" s="165"/>
      <c r="K1154" s="165"/>
      <c r="L1154" s="165"/>
      <c r="M1154" s="165"/>
      <c r="N1154" s="165"/>
      <c r="O1154" s="163"/>
      <c r="P1154" s="163"/>
      <c r="Q1154" s="163"/>
      <c r="R1154" s="163"/>
      <c r="S1154" s="163"/>
      <c r="T1154" s="163"/>
      <c r="U1154" s="163"/>
      <c r="V1154" s="163"/>
      <c r="W1154" s="163"/>
      <c r="X1154" s="163"/>
      <c r="Y1154" s="163"/>
      <c r="Z1154" s="163"/>
      <c r="AA1154" s="163"/>
      <c r="AB1154" s="163"/>
      <c r="AC1154" s="163"/>
      <c r="AD1154" s="163"/>
      <c r="AE1154" s="163"/>
      <c r="AF1154" s="163"/>
      <c r="AG1154" s="163"/>
      <c r="AH1154" s="163"/>
      <c r="AI1154" s="163"/>
      <c r="AJ1154" s="163"/>
      <c r="AK1154" s="163"/>
      <c r="AL1154" s="163"/>
      <c r="AM1154" s="163"/>
      <c r="AN1154" s="163"/>
      <c r="AP1154" s="169"/>
    </row>
    <row r="1155" spans="1:42" s="100" customFormat="1" ht="46.8" x14ac:dyDescent="0.3">
      <c r="A1155" s="160">
        <v>797</v>
      </c>
      <c r="B1155" s="166" t="s">
        <v>1622</v>
      </c>
      <c r="C1155" s="98" t="s">
        <v>2708</v>
      </c>
      <c r="D1155" s="162" t="s">
        <v>2712</v>
      </c>
      <c r="E1155" s="26" t="s">
        <v>144</v>
      </c>
      <c r="F1155" s="30" t="s">
        <v>49</v>
      </c>
      <c r="G1155" s="162" t="s">
        <v>2704</v>
      </c>
      <c r="H1155" s="162">
        <v>16</v>
      </c>
      <c r="I1155" s="162" t="str">
        <f t="shared" si="100"/>
        <v>с ЛН</v>
      </c>
      <c r="J1155" s="164">
        <v>3</v>
      </c>
      <c r="K1155" s="164" t="s">
        <v>528</v>
      </c>
      <c r="L1155" s="164" t="s">
        <v>528</v>
      </c>
      <c r="M1155" s="164" t="s">
        <v>2705</v>
      </c>
      <c r="N1155" s="164" t="s">
        <v>2705</v>
      </c>
      <c r="O1155" s="162">
        <v>171</v>
      </c>
      <c r="P1155" s="162" t="s">
        <v>2706</v>
      </c>
      <c r="Q1155" s="162">
        <v>174</v>
      </c>
      <c r="R1155" s="162" t="s">
        <v>2706</v>
      </c>
      <c r="S1155" s="162">
        <v>92</v>
      </c>
      <c r="T1155" s="162" t="s">
        <v>2706</v>
      </c>
      <c r="U1155" s="162">
        <v>155</v>
      </c>
      <c r="V1155" s="162" t="s">
        <v>2706</v>
      </c>
      <c r="W1155" s="162">
        <v>60</v>
      </c>
      <c r="X1155" s="162" t="s">
        <v>2706</v>
      </c>
      <c r="Y1155" s="162">
        <v>45</v>
      </c>
      <c r="Z1155" s="162" t="s">
        <v>2706</v>
      </c>
      <c r="AA1155" s="162">
        <v>13</v>
      </c>
      <c r="AB1155" s="162" t="s">
        <v>2706</v>
      </c>
      <c r="AC1155" s="162">
        <v>39</v>
      </c>
      <c r="AD1155" s="162" t="s">
        <v>2706</v>
      </c>
      <c r="AE1155" s="162">
        <v>39</v>
      </c>
      <c r="AF1155" s="162" t="s">
        <v>2706</v>
      </c>
      <c r="AG1155" s="162">
        <v>39</v>
      </c>
      <c r="AH1155" s="162" t="s">
        <v>2706</v>
      </c>
      <c r="AI1155" s="162">
        <v>304</v>
      </c>
      <c r="AJ1155" s="162" t="s">
        <v>2706</v>
      </c>
      <c r="AK1155" s="162">
        <v>39</v>
      </c>
      <c r="AL1155" s="162" t="s">
        <v>2706</v>
      </c>
      <c r="AM1155" s="162">
        <v>1131</v>
      </c>
      <c r="AN1155" s="162"/>
      <c r="AP1155" s="168"/>
    </row>
    <row r="1156" spans="1:42" s="100" customFormat="1" ht="46.8" x14ac:dyDescent="0.3">
      <c r="A1156" s="161"/>
      <c r="B1156" s="167"/>
      <c r="C1156" s="98" t="s">
        <v>2708</v>
      </c>
      <c r="D1156" s="163"/>
      <c r="E1156" s="26" t="s">
        <v>48</v>
      </c>
      <c r="F1156" s="30" t="s">
        <v>49</v>
      </c>
      <c r="G1156" s="163"/>
      <c r="H1156" s="163"/>
      <c r="I1156" s="163"/>
      <c r="J1156" s="165"/>
      <c r="K1156" s="165"/>
      <c r="L1156" s="165"/>
      <c r="M1156" s="165"/>
      <c r="N1156" s="165"/>
      <c r="O1156" s="163"/>
      <c r="P1156" s="163"/>
      <c r="Q1156" s="163"/>
      <c r="R1156" s="163"/>
      <c r="S1156" s="163"/>
      <c r="T1156" s="163"/>
      <c r="U1156" s="163"/>
      <c r="V1156" s="163"/>
      <c r="W1156" s="163"/>
      <c r="X1156" s="163"/>
      <c r="Y1156" s="163"/>
      <c r="Z1156" s="163"/>
      <c r="AA1156" s="163"/>
      <c r="AB1156" s="163"/>
      <c r="AC1156" s="163"/>
      <c r="AD1156" s="163"/>
      <c r="AE1156" s="163"/>
      <c r="AF1156" s="163"/>
      <c r="AG1156" s="163"/>
      <c r="AH1156" s="163"/>
      <c r="AI1156" s="163"/>
      <c r="AJ1156" s="163"/>
      <c r="AK1156" s="163"/>
      <c r="AL1156" s="163"/>
      <c r="AM1156" s="163"/>
      <c r="AN1156" s="163"/>
      <c r="AP1156" s="169"/>
    </row>
    <row r="1157" spans="1:42" s="100" customFormat="1" ht="46.8" x14ac:dyDescent="0.3">
      <c r="A1157" s="160">
        <v>798</v>
      </c>
      <c r="B1157" s="166" t="s">
        <v>1623</v>
      </c>
      <c r="C1157" s="98" t="s">
        <v>2708</v>
      </c>
      <c r="D1157" s="162" t="s">
        <v>2712</v>
      </c>
      <c r="E1157" s="26" t="s">
        <v>144</v>
      </c>
      <c r="F1157" s="30" t="s">
        <v>49</v>
      </c>
      <c r="G1157" s="162"/>
      <c r="H1157" s="162"/>
      <c r="I1157" s="162"/>
      <c r="J1157" s="164"/>
      <c r="K1157" s="164" t="s">
        <v>528</v>
      </c>
      <c r="L1157" s="164" t="s">
        <v>528</v>
      </c>
      <c r="M1157" s="164" t="s">
        <v>2705</v>
      </c>
      <c r="N1157" s="164" t="s">
        <v>2705</v>
      </c>
      <c r="O1157" s="162">
        <v>991</v>
      </c>
      <c r="P1157" s="162" t="s">
        <v>2706</v>
      </c>
      <c r="Q1157" s="162">
        <v>1346</v>
      </c>
      <c r="R1157" s="162" t="s">
        <v>2706</v>
      </c>
      <c r="S1157" s="162">
        <v>911</v>
      </c>
      <c r="T1157" s="162" t="s">
        <v>2706</v>
      </c>
      <c r="U1157" s="162">
        <v>1423</v>
      </c>
      <c r="V1157" s="162" t="s">
        <v>2706</v>
      </c>
      <c r="W1157" s="162">
        <v>1003</v>
      </c>
      <c r="X1157" s="162" t="s">
        <v>2706</v>
      </c>
      <c r="Y1157" s="162">
        <v>1113</v>
      </c>
      <c r="Z1157" s="162" t="s">
        <v>2706</v>
      </c>
      <c r="AA1157" s="162">
        <v>800</v>
      </c>
      <c r="AB1157" s="162" t="s">
        <v>2706</v>
      </c>
      <c r="AC1157" s="162">
        <v>533</v>
      </c>
      <c r="AD1157" s="162" t="s">
        <v>2706</v>
      </c>
      <c r="AE1157" s="162">
        <v>1314</v>
      </c>
      <c r="AF1157" s="162" t="s">
        <v>2706</v>
      </c>
      <c r="AG1157" s="162">
        <v>863</v>
      </c>
      <c r="AH1157" s="162" t="s">
        <v>2706</v>
      </c>
      <c r="AI1157" s="162">
        <v>386</v>
      </c>
      <c r="AJ1157" s="162" t="s">
        <v>2706</v>
      </c>
      <c r="AK1157" s="162">
        <v>1148</v>
      </c>
      <c r="AL1157" s="162" t="s">
        <v>2706</v>
      </c>
      <c r="AM1157" s="162">
        <v>11298</v>
      </c>
      <c r="AN1157" s="162"/>
      <c r="AP1157" s="168"/>
    </row>
    <row r="1158" spans="1:42" s="100" customFormat="1" ht="46.8" x14ac:dyDescent="0.3">
      <c r="A1158" s="161"/>
      <c r="B1158" s="167"/>
      <c r="C1158" s="98" t="s">
        <v>2708</v>
      </c>
      <c r="D1158" s="163"/>
      <c r="E1158" s="26" t="s">
        <v>48</v>
      </c>
      <c r="F1158" s="30" t="s">
        <v>49</v>
      </c>
      <c r="G1158" s="163"/>
      <c r="H1158" s="163"/>
      <c r="I1158" s="163"/>
      <c r="J1158" s="165"/>
      <c r="K1158" s="165"/>
      <c r="L1158" s="165"/>
      <c r="M1158" s="165"/>
      <c r="N1158" s="165"/>
      <c r="O1158" s="163"/>
      <c r="P1158" s="163"/>
      <c r="Q1158" s="163"/>
      <c r="R1158" s="163"/>
      <c r="S1158" s="163"/>
      <c r="T1158" s="163"/>
      <c r="U1158" s="163"/>
      <c r="V1158" s="163"/>
      <c r="W1158" s="163"/>
      <c r="X1158" s="163"/>
      <c r="Y1158" s="163"/>
      <c r="Z1158" s="163"/>
      <c r="AA1158" s="163"/>
      <c r="AB1158" s="163"/>
      <c r="AC1158" s="163"/>
      <c r="AD1158" s="163"/>
      <c r="AE1158" s="163"/>
      <c r="AF1158" s="163"/>
      <c r="AG1158" s="163"/>
      <c r="AH1158" s="163"/>
      <c r="AI1158" s="163"/>
      <c r="AJ1158" s="163"/>
      <c r="AK1158" s="163"/>
      <c r="AL1158" s="163"/>
      <c r="AM1158" s="163"/>
      <c r="AN1158" s="163"/>
      <c r="AP1158" s="169"/>
    </row>
    <row r="1159" spans="1:42" s="100" customFormat="1" ht="46.8" x14ac:dyDescent="0.3">
      <c r="A1159" s="160">
        <v>799</v>
      </c>
      <c r="B1159" s="166" t="s">
        <v>1624</v>
      </c>
      <c r="C1159" s="98" t="s">
        <v>2708</v>
      </c>
      <c r="D1159" s="162" t="s">
        <v>2712</v>
      </c>
      <c r="E1159" s="26" t="s">
        <v>144</v>
      </c>
      <c r="F1159" s="30" t="s">
        <v>49</v>
      </c>
      <c r="G1159" s="162" t="s">
        <v>2704</v>
      </c>
      <c r="H1159" s="162">
        <v>27</v>
      </c>
      <c r="I1159" s="162" t="str">
        <f t="shared" si="100"/>
        <v>с ЛН</v>
      </c>
      <c r="J1159" s="164">
        <v>5</v>
      </c>
      <c r="K1159" s="164" t="s">
        <v>528</v>
      </c>
      <c r="L1159" s="164" t="s">
        <v>528</v>
      </c>
      <c r="M1159" s="164" t="s">
        <v>2705</v>
      </c>
      <c r="N1159" s="164" t="s">
        <v>2705</v>
      </c>
      <c r="O1159" s="162">
        <v>749</v>
      </c>
      <c r="P1159" s="162" t="s">
        <v>2706</v>
      </c>
      <c r="Q1159" s="162">
        <v>437</v>
      </c>
      <c r="R1159" s="162" t="s">
        <v>2706</v>
      </c>
      <c r="S1159" s="162">
        <v>483</v>
      </c>
      <c r="T1159" s="162" t="s">
        <v>2706</v>
      </c>
      <c r="U1159" s="162">
        <v>483</v>
      </c>
      <c r="V1159" s="162" t="s">
        <v>2706</v>
      </c>
      <c r="W1159" s="162">
        <v>325</v>
      </c>
      <c r="X1159" s="162" t="s">
        <v>2706</v>
      </c>
      <c r="Y1159" s="162">
        <v>524</v>
      </c>
      <c r="Z1159" s="162" t="s">
        <v>2706</v>
      </c>
      <c r="AA1159" s="162">
        <v>353</v>
      </c>
      <c r="AB1159" s="162" t="s">
        <v>2706</v>
      </c>
      <c r="AC1159" s="162">
        <v>448</v>
      </c>
      <c r="AD1159" s="162" t="s">
        <v>2706</v>
      </c>
      <c r="AE1159" s="162">
        <v>401</v>
      </c>
      <c r="AF1159" s="162" t="s">
        <v>2706</v>
      </c>
      <c r="AG1159" s="162">
        <v>432</v>
      </c>
      <c r="AH1159" s="162" t="s">
        <v>2706</v>
      </c>
      <c r="AI1159" s="162">
        <v>494</v>
      </c>
      <c r="AJ1159" s="162" t="s">
        <v>2706</v>
      </c>
      <c r="AK1159" s="162">
        <v>553</v>
      </c>
      <c r="AL1159" s="162" t="s">
        <v>2706</v>
      </c>
      <c r="AM1159" s="162">
        <v>5234</v>
      </c>
      <c r="AN1159" s="162"/>
      <c r="AP1159" s="168"/>
    </row>
    <row r="1160" spans="1:42" s="100" customFormat="1" ht="46.8" x14ac:dyDescent="0.3">
      <c r="A1160" s="161"/>
      <c r="B1160" s="167"/>
      <c r="C1160" s="98" t="s">
        <v>2708</v>
      </c>
      <c r="D1160" s="163"/>
      <c r="E1160" s="26" t="s">
        <v>48</v>
      </c>
      <c r="F1160" s="30" t="s">
        <v>49</v>
      </c>
      <c r="G1160" s="163"/>
      <c r="H1160" s="163"/>
      <c r="I1160" s="163"/>
      <c r="J1160" s="165"/>
      <c r="K1160" s="165"/>
      <c r="L1160" s="165"/>
      <c r="M1160" s="165"/>
      <c r="N1160" s="165"/>
      <c r="O1160" s="163"/>
      <c r="P1160" s="163"/>
      <c r="Q1160" s="163"/>
      <c r="R1160" s="163"/>
      <c r="S1160" s="163"/>
      <c r="T1160" s="163"/>
      <c r="U1160" s="163"/>
      <c r="V1160" s="163"/>
      <c r="W1160" s="163"/>
      <c r="X1160" s="163"/>
      <c r="Y1160" s="163"/>
      <c r="Z1160" s="163"/>
      <c r="AA1160" s="163"/>
      <c r="AB1160" s="163"/>
      <c r="AC1160" s="163"/>
      <c r="AD1160" s="163"/>
      <c r="AE1160" s="163"/>
      <c r="AF1160" s="163"/>
      <c r="AG1160" s="163"/>
      <c r="AH1160" s="163"/>
      <c r="AI1160" s="163"/>
      <c r="AJ1160" s="163"/>
      <c r="AK1160" s="163"/>
      <c r="AL1160" s="163"/>
      <c r="AM1160" s="163"/>
      <c r="AN1160" s="163"/>
      <c r="AP1160" s="169"/>
    </row>
    <row r="1161" spans="1:42" s="100" customFormat="1" ht="46.8" x14ac:dyDescent="0.3">
      <c r="A1161" s="160">
        <v>800</v>
      </c>
      <c r="B1161" s="166" t="s">
        <v>1625</v>
      </c>
      <c r="C1161" s="98" t="s">
        <v>2708</v>
      </c>
      <c r="D1161" s="162" t="s">
        <v>2712</v>
      </c>
      <c r="E1161" s="26" t="s">
        <v>144</v>
      </c>
      <c r="F1161" s="30" t="s">
        <v>49</v>
      </c>
      <c r="G1161" s="162"/>
      <c r="H1161" s="162"/>
      <c r="I1161" s="162"/>
      <c r="J1161" s="164"/>
      <c r="K1161" s="164" t="s">
        <v>528</v>
      </c>
      <c r="L1161" s="164" t="s">
        <v>528</v>
      </c>
      <c r="M1161" s="164" t="s">
        <v>2705</v>
      </c>
      <c r="N1161" s="164" t="s">
        <v>2705</v>
      </c>
      <c r="O1161" s="162">
        <v>1317</v>
      </c>
      <c r="P1161" s="162" t="s">
        <v>2706</v>
      </c>
      <c r="Q1161" s="162">
        <v>1710</v>
      </c>
      <c r="R1161" s="162" t="s">
        <v>2706</v>
      </c>
      <c r="S1161" s="162">
        <v>1500</v>
      </c>
      <c r="T1161" s="162" t="s">
        <v>2706</v>
      </c>
      <c r="U1161" s="162">
        <v>1704</v>
      </c>
      <c r="V1161" s="162" t="s">
        <v>2706</v>
      </c>
      <c r="W1161" s="162">
        <v>1281</v>
      </c>
      <c r="X1161" s="162" t="s">
        <v>2706</v>
      </c>
      <c r="Y1161" s="162">
        <v>1423</v>
      </c>
      <c r="Z1161" s="162" t="s">
        <v>2706</v>
      </c>
      <c r="AA1161" s="162">
        <v>855</v>
      </c>
      <c r="AB1161" s="162" t="s">
        <v>2706</v>
      </c>
      <c r="AC1161" s="162">
        <v>1347</v>
      </c>
      <c r="AD1161" s="162" t="s">
        <v>2706</v>
      </c>
      <c r="AE1161" s="162">
        <v>1278</v>
      </c>
      <c r="AF1161" s="162" t="s">
        <v>2706</v>
      </c>
      <c r="AG1161" s="162">
        <v>1165</v>
      </c>
      <c r="AH1161" s="162" t="s">
        <v>2706</v>
      </c>
      <c r="AI1161" s="162">
        <v>573</v>
      </c>
      <c r="AJ1161" s="162" t="s">
        <v>2706</v>
      </c>
      <c r="AK1161" s="162">
        <v>1564</v>
      </c>
      <c r="AL1161" s="162" t="s">
        <v>2706</v>
      </c>
      <c r="AM1161" s="162">
        <v>14370</v>
      </c>
      <c r="AN1161" s="162"/>
      <c r="AP1161" s="168"/>
    </row>
    <row r="1162" spans="1:42" s="100" customFormat="1" ht="46.8" x14ac:dyDescent="0.3">
      <c r="A1162" s="161"/>
      <c r="B1162" s="167"/>
      <c r="C1162" s="98" t="s">
        <v>2708</v>
      </c>
      <c r="D1162" s="163"/>
      <c r="E1162" s="26" t="s">
        <v>48</v>
      </c>
      <c r="F1162" s="30" t="s">
        <v>49</v>
      </c>
      <c r="G1162" s="163"/>
      <c r="H1162" s="163"/>
      <c r="I1162" s="163"/>
      <c r="J1162" s="165"/>
      <c r="K1162" s="165"/>
      <c r="L1162" s="165"/>
      <c r="M1162" s="165"/>
      <c r="N1162" s="165"/>
      <c r="O1162" s="163"/>
      <c r="P1162" s="163"/>
      <c r="Q1162" s="163"/>
      <c r="R1162" s="163"/>
      <c r="S1162" s="163"/>
      <c r="T1162" s="163"/>
      <c r="U1162" s="163"/>
      <c r="V1162" s="163"/>
      <c r="W1162" s="163"/>
      <c r="X1162" s="163"/>
      <c r="Y1162" s="163"/>
      <c r="Z1162" s="163"/>
      <c r="AA1162" s="163"/>
      <c r="AB1162" s="163"/>
      <c r="AC1162" s="163"/>
      <c r="AD1162" s="163"/>
      <c r="AE1162" s="163"/>
      <c r="AF1162" s="163"/>
      <c r="AG1162" s="163"/>
      <c r="AH1162" s="163"/>
      <c r="AI1162" s="163"/>
      <c r="AJ1162" s="163"/>
      <c r="AK1162" s="163"/>
      <c r="AL1162" s="163"/>
      <c r="AM1162" s="163"/>
      <c r="AN1162" s="163"/>
      <c r="AP1162" s="169"/>
    </row>
    <row r="1163" spans="1:42" s="100" customFormat="1" ht="46.8" x14ac:dyDescent="0.3">
      <c r="A1163" s="160">
        <v>801</v>
      </c>
      <c r="B1163" s="166" t="s">
        <v>1626</v>
      </c>
      <c r="C1163" s="98" t="s">
        <v>2708</v>
      </c>
      <c r="D1163" s="162" t="s">
        <v>2712</v>
      </c>
      <c r="E1163" s="26" t="s">
        <v>144</v>
      </c>
      <c r="F1163" s="30" t="s">
        <v>49</v>
      </c>
      <c r="G1163" s="162"/>
      <c r="H1163" s="162"/>
      <c r="I1163" s="162"/>
      <c r="J1163" s="164"/>
      <c r="K1163" s="164" t="s">
        <v>528</v>
      </c>
      <c r="L1163" s="164" t="s">
        <v>528</v>
      </c>
      <c r="M1163" s="164" t="s">
        <v>2705</v>
      </c>
      <c r="N1163" s="164" t="s">
        <v>2705</v>
      </c>
      <c r="O1163" s="162">
        <v>74</v>
      </c>
      <c r="P1163" s="162" t="s">
        <v>2706</v>
      </c>
      <c r="Q1163" s="162">
        <v>57</v>
      </c>
      <c r="R1163" s="162" t="s">
        <v>2706</v>
      </c>
      <c r="S1163" s="162">
        <v>46</v>
      </c>
      <c r="T1163" s="162" t="s">
        <v>2706</v>
      </c>
      <c r="U1163" s="162">
        <v>50</v>
      </c>
      <c r="V1163" s="162" t="s">
        <v>2706</v>
      </c>
      <c r="W1163" s="162">
        <v>35</v>
      </c>
      <c r="X1163" s="162" t="s">
        <v>2706</v>
      </c>
      <c r="Y1163" s="162">
        <v>38</v>
      </c>
      <c r="Z1163" s="162" t="s">
        <v>2706</v>
      </c>
      <c r="AA1163" s="162">
        <v>23</v>
      </c>
      <c r="AB1163" s="162" t="s">
        <v>2706</v>
      </c>
      <c r="AC1163" s="162">
        <v>38</v>
      </c>
      <c r="AD1163" s="162" t="s">
        <v>2706</v>
      </c>
      <c r="AE1163" s="162">
        <v>48</v>
      </c>
      <c r="AF1163" s="162" t="s">
        <v>2706</v>
      </c>
      <c r="AG1163" s="162">
        <v>35</v>
      </c>
      <c r="AH1163" s="162" t="s">
        <v>2706</v>
      </c>
      <c r="AI1163" s="162">
        <v>2799</v>
      </c>
      <c r="AJ1163" s="162" t="s">
        <v>2706</v>
      </c>
      <c r="AK1163" s="162">
        <v>74</v>
      </c>
      <c r="AL1163" s="162" t="s">
        <v>2706</v>
      </c>
      <c r="AM1163" s="162">
        <v>3279</v>
      </c>
      <c r="AN1163" s="162"/>
      <c r="AP1163" s="168"/>
    </row>
    <row r="1164" spans="1:42" s="100" customFormat="1" ht="46.8" x14ac:dyDescent="0.3">
      <c r="A1164" s="161"/>
      <c r="B1164" s="167"/>
      <c r="C1164" s="98" t="s">
        <v>2708</v>
      </c>
      <c r="D1164" s="163"/>
      <c r="E1164" s="26" t="s">
        <v>48</v>
      </c>
      <c r="F1164" s="30" t="s">
        <v>49</v>
      </c>
      <c r="G1164" s="163"/>
      <c r="H1164" s="163"/>
      <c r="I1164" s="163"/>
      <c r="J1164" s="165"/>
      <c r="K1164" s="165"/>
      <c r="L1164" s="165"/>
      <c r="M1164" s="165"/>
      <c r="N1164" s="165"/>
      <c r="O1164" s="163"/>
      <c r="P1164" s="163"/>
      <c r="Q1164" s="163"/>
      <c r="R1164" s="163"/>
      <c r="S1164" s="163"/>
      <c r="T1164" s="163"/>
      <c r="U1164" s="163"/>
      <c r="V1164" s="163"/>
      <c r="W1164" s="163"/>
      <c r="X1164" s="163"/>
      <c r="Y1164" s="163"/>
      <c r="Z1164" s="163"/>
      <c r="AA1164" s="163"/>
      <c r="AB1164" s="163"/>
      <c r="AC1164" s="163"/>
      <c r="AD1164" s="163"/>
      <c r="AE1164" s="163"/>
      <c r="AF1164" s="163"/>
      <c r="AG1164" s="163"/>
      <c r="AH1164" s="163"/>
      <c r="AI1164" s="163"/>
      <c r="AJ1164" s="163"/>
      <c r="AK1164" s="163"/>
      <c r="AL1164" s="163"/>
      <c r="AM1164" s="163"/>
      <c r="AN1164" s="163"/>
      <c r="AP1164" s="169"/>
    </row>
    <row r="1165" spans="1:42" s="100" customFormat="1" ht="46.8" x14ac:dyDescent="0.3">
      <c r="A1165" s="160">
        <v>802</v>
      </c>
      <c r="B1165" s="166" t="s">
        <v>1627</v>
      </c>
      <c r="C1165" s="98" t="s">
        <v>2708</v>
      </c>
      <c r="D1165" s="162" t="s">
        <v>2712</v>
      </c>
      <c r="E1165" s="26" t="s">
        <v>144</v>
      </c>
      <c r="F1165" s="30" t="s">
        <v>49</v>
      </c>
      <c r="G1165" s="162" t="s">
        <v>2704</v>
      </c>
      <c r="H1165" s="162">
        <v>52</v>
      </c>
      <c r="I1165" s="162" t="str">
        <f t="shared" si="100"/>
        <v>с ЛН</v>
      </c>
      <c r="J1165" s="164">
        <v>10</v>
      </c>
      <c r="K1165" s="164" t="s">
        <v>528</v>
      </c>
      <c r="L1165" s="164" t="s">
        <v>528</v>
      </c>
      <c r="M1165" s="164" t="s">
        <v>2705</v>
      </c>
      <c r="N1165" s="164" t="s">
        <v>2705</v>
      </c>
      <c r="O1165" s="162">
        <v>2698</v>
      </c>
      <c r="P1165" s="162" t="s">
        <v>2706</v>
      </c>
      <c r="Q1165" s="162">
        <v>2844</v>
      </c>
      <c r="R1165" s="162" t="s">
        <v>2706</v>
      </c>
      <c r="S1165" s="162">
        <v>1473</v>
      </c>
      <c r="T1165" s="162" t="s">
        <v>2706</v>
      </c>
      <c r="U1165" s="162">
        <v>2925</v>
      </c>
      <c r="V1165" s="162" t="s">
        <v>2706</v>
      </c>
      <c r="W1165" s="162">
        <v>2151</v>
      </c>
      <c r="X1165" s="162" t="s">
        <v>2706</v>
      </c>
      <c r="Y1165" s="162">
        <v>2576</v>
      </c>
      <c r="Z1165" s="162" t="s">
        <v>2706</v>
      </c>
      <c r="AA1165" s="162">
        <v>2587</v>
      </c>
      <c r="AB1165" s="162" t="s">
        <v>2706</v>
      </c>
      <c r="AC1165" s="162">
        <v>1382</v>
      </c>
      <c r="AD1165" s="162" t="s">
        <v>2706</v>
      </c>
      <c r="AE1165" s="162">
        <v>2664</v>
      </c>
      <c r="AF1165" s="162" t="s">
        <v>2706</v>
      </c>
      <c r="AG1165" s="162">
        <v>2333</v>
      </c>
      <c r="AH1165" s="162" t="s">
        <v>2706</v>
      </c>
      <c r="AI1165" s="162">
        <v>1064</v>
      </c>
      <c r="AJ1165" s="162" t="s">
        <v>2706</v>
      </c>
      <c r="AK1165" s="162">
        <v>2351</v>
      </c>
      <c r="AL1165" s="162" t="s">
        <v>2706</v>
      </c>
      <c r="AM1165" s="162">
        <v>25666</v>
      </c>
      <c r="AN1165" s="162"/>
      <c r="AP1165" s="168"/>
    </row>
    <row r="1166" spans="1:42" s="100" customFormat="1" ht="46.8" x14ac:dyDescent="0.3">
      <c r="A1166" s="161"/>
      <c r="B1166" s="167"/>
      <c r="C1166" s="98" t="s">
        <v>2708</v>
      </c>
      <c r="D1166" s="163"/>
      <c r="E1166" s="26" t="s">
        <v>48</v>
      </c>
      <c r="F1166" s="30" t="s">
        <v>49</v>
      </c>
      <c r="G1166" s="163"/>
      <c r="H1166" s="163"/>
      <c r="I1166" s="163"/>
      <c r="J1166" s="165"/>
      <c r="K1166" s="165"/>
      <c r="L1166" s="165"/>
      <c r="M1166" s="165"/>
      <c r="N1166" s="165"/>
      <c r="O1166" s="163"/>
      <c r="P1166" s="163"/>
      <c r="Q1166" s="163"/>
      <c r="R1166" s="163"/>
      <c r="S1166" s="163"/>
      <c r="T1166" s="163"/>
      <c r="U1166" s="163"/>
      <c r="V1166" s="163"/>
      <c r="W1166" s="163"/>
      <c r="X1166" s="163"/>
      <c r="Y1166" s="163"/>
      <c r="Z1166" s="163"/>
      <c r="AA1166" s="163"/>
      <c r="AB1166" s="163"/>
      <c r="AC1166" s="163"/>
      <c r="AD1166" s="163"/>
      <c r="AE1166" s="163"/>
      <c r="AF1166" s="163"/>
      <c r="AG1166" s="163"/>
      <c r="AH1166" s="163"/>
      <c r="AI1166" s="163"/>
      <c r="AJ1166" s="163"/>
      <c r="AK1166" s="163"/>
      <c r="AL1166" s="163"/>
      <c r="AM1166" s="163"/>
      <c r="AN1166" s="163"/>
      <c r="AP1166" s="169"/>
    </row>
    <row r="1167" spans="1:42" s="100" customFormat="1" ht="46.8" x14ac:dyDescent="0.3">
      <c r="A1167" s="160">
        <v>803</v>
      </c>
      <c r="B1167" s="166" t="s">
        <v>1629</v>
      </c>
      <c r="C1167" s="98" t="s">
        <v>2708</v>
      </c>
      <c r="D1167" s="162" t="s">
        <v>2712</v>
      </c>
      <c r="E1167" s="26" t="s">
        <v>144</v>
      </c>
      <c r="F1167" s="30" t="s">
        <v>49</v>
      </c>
      <c r="G1167" s="162" t="s">
        <v>2704</v>
      </c>
      <c r="H1167" s="162">
        <v>30</v>
      </c>
      <c r="I1167" s="162" t="str">
        <f t="shared" si="100"/>
        <v>с ЛН</v>
      </c>
      <c r="J1167" s="164">
        <v>5</v>
      </c>
      <c r="K1167" s="164" t="s">
        <v>528</v>
      </c>
      <c r="L1167" s="164" t="s">
        <v>528</v>
      </c>
      <c r="M1167" s="164" t="s">
        <v>2705</v>
      </c>
      <c r="N1167" s="164" t="s">
        <v>2705</v>
      </c>
      <c r="O1167" s="162">
        <v>512</v>
      </c>
      <c r="P1167" s="162" t="s">
        <v>2706</v>
      </c>
      <c r="Q1167" s="162">
        <v>699</v>
      </c>
      <c r="R1167" s="162" t="s">
        <v>2706</v>
      </c>
      <c r="S1167" s="162">
        <v>351</v>
      </c>
      <c r="T1167" s="162" t="s">
        <v>2706</v>
      </c>
      <c r="U1167" s="162">
        <v>608</v>
      </c>
      <c r="V1167" s="162" t="s">
        <v>2706</v>
      </c>
      <c r="W1167" s="162">
        <v>516</v>
      </c>
      <c r="X1167" s="162" t="s">
        <v>2706</v>
      </c>
      <c r="Y1167" s="162">
        <v>720</v>
      </c>
      <c r="Z1167" s="162" t="s">
        <v>2706</v>
      </c>
      <c r="AA1167" s="162">
        <v>775</v>
      </c>
      <c r="AB1167" s="162" t="s">
        <v>2706</v>
      </c>
      <c r="AC1167" s="162">
        <v>824</v>
      </c>
      <c r="AD1167" s="162" t="s">
        <v>2706</v>
      </c>
      <c r="AE1167" s="162">
        <v>761</v>
      </c>
      <c r="AF1167" s="162" t="s">
        <v>2706</v>
      </c>
      <c r="AG1167" s="162">
        <v>518</v>
      </c>
      <c r="AH1167" s="162" t="s">
        <v>2706</v>
      </c>
      <c r="AI1167" s="162">
        <v>665</v>
      </c>
      <c r="AJ1167" s="162" t="s">
        <v>2706</v>
      </c>
      <c r="AK1167" s="162">
        <v>685</v>
      </c>
      <c r="AL1167" s="162" t="s">
        <v>2706</v>
      </c>
      <c r="AM1167" s="162">
        <v>6810</v>
      </c>
      <c r="AN1167" s="162"/>
      <c r="AP1167" s="168"/>
    </row>
    <row r="1168" spans="1:42" s="100" customFormat="1" ht="46.8" x14ac:dyDescent="0.3">
      <c r="A1168" s="161"/>
      <c r="B1168" s="167"/>
      <c r="C1168" s="98" t="s">
        <v>2708</v>
      </c>
      <c r="D1168" s="163"/>
      <c r="E1168" s="26" t="s">
        <v>48</v>
      </c>
      <c r="F1168" s="30" t="s">
        <v>49</v>
      </c>
      <c r="G1168" s="163"/>
      <c r="H1168" s="163"/>
      <c r="I1168" s="163"/>
      <c r="J1168" s="165"/>
      <c r="K1168" s="165"/>
      <c r="L1168" s="165"/>
      <c r="M1168" s="165"/>
      <c r="N1168" s="165"/>
      <c r="O1168" s="163"/>
      <c r="P1168" s="163"/>
      <c r="Q1168" s="163"/>
      <c r="R1168" s="163"/>
      <c r="S1168" s="163"/>
      <c r="T1168" s="163"/>
      <c r="U1168" s="163"/>
      <c r="V1168" s="163"/>
      <c r="W1168" s="163"/>
      <c r="X1168" s="163"/>
      <c r="Y1168" s="163"/>
      <c r="Z1168" s="163"/>
      <c r="AA1168" s="163"/>
      <c r="AB1168" s="163"/>
      <c r="AC1168" s="163"/>
      <c r="AD1168" s="163"/>
      <c r="AE1168" s="163"/>
      <c r="AF1168" s="163"/>
      <c r="AG1168" s="163"/>
      <c r="AH1168" s="163"/>
      <c r="AI1168" s="163"/>
      <c r="AJ1168" s="163"/>
      <c r="AK1168" s="163"/>
      <c r="AL1168" s="163"/>
      <c r="AM1168" s="163"/>
      <c r="AN1168" s="163"/>
      <c r="AP1168" s="169"/>
    </row>
    <row r="1169" spans="1:42" s="100" customFormat="1" ht="46.8" x14ac:dyDescent="0.3">
      <c r="A1169" s="160">
        <v>804</v>
      </c>
      <c r="B1169" s="166" t="s">
        <v>1630</v>
      </c>
      <c r="C1169" s="98" t="s">
        <v>2708</v>
      </c>
      <c r="D1169" s="162" t="s">
        <v>2712</v>
      </c>
      <c r="E1169" s="26" t="s">
        <v>144</v>
      </c>
      <c r="F1169" s="30" t="s">
        <v>49</v>
      </c>
      <c r="G1169" s="162"/>
      <c r="H1169" s="162"/>
      <c r="I1169" s="162"/>
      <c r="J1169" s="164"/>
      <c r="K1169" s="164" t="s">
        <v>528</v>
      </c>
      <c r="L1169" s="164" t="s">
        <v>528</v>
      </c>
      <c r="M1169" s="164" t="s">
        <v>2705</v>
      </c>
      <c r="N1169" s="164" t="s">
        <v>2705</v>
      </c>
      <c r="O1169" s="162">
        <v>1864</v>
      </c>
      <c r="P1169" s="162" t="s">
        <v>2706</v>
      </c>
      <c r="Q1169" s="162">
        <v>2903</v>
      </c>
      <c r="R1169" s="162" t="s">
        <v>2706</v>
      </c>
      <c r="S1169" s="162">
        <v>1652</v>
      </c>
      <c r="T1169" s="162" t="s">
        <v>2706</v>
      </c>
      <c r="U1169" s="162">
        <v>2963</v>
      </c>
      <c r="V1169" s="162" t="s">
        <v>2706</v>
      </c>
      <c r="W1169" s="162">
        <v>1913</v>
      </c>
      <c r="X1169" s="162" t="s">
        <v>2706</v>
      </c>
      <c r="Y1169" s="162">
        <v>1686</v>
      </c>
      <c r="Z1169" s="162" t="s">
        <v>2706</v>
      </c>
      <c r="AA1169" s="162">
        <v>1114</v>
      </c>
      <c r="AB1169" s="162" t="s">
        <v>2706</v>
      </c>
      <c r="AC1169" s="162">
        <v>1806</v>
      </c>
      <c r="AD1169" s="162" t="s">
        <v>2706</v>
      </c>
      <c r="AE1169" s="162">
        <v>2426</v>
      </c>
      <c r="AF1169" s="162" t="s">
        <v>2706</v>
      </c>
      <c r="AG1169" s="162">
        <v>2101</v>
      </c>
      <c r="AH1169" s="162" t="s">
        <v>2706</v>
      </c>
      <c r="AI1169" s="162">
        <v>2731</v>
      </c>
      <c r="AJ1169" s="162" t="s">
        <v>2706</v>
      </c>
      <c r="AK1169" s="162">
        <v>2695</v>
      </c>
      <c r="AL1169" s="162" t="s">
        <v>2706</v>
      </c>
      <c r="AM1169" s="162">
        <v>24048</v>
      </c>
      <c r="AN1169" s="162"/>
      <c r="AP1169" s="168"/>
    </row>
    <row r="1170" spans="1:42" s="100" customFormat="1" ht="46.8" x14ac:dyDescent="0.3">
      <c r="A1170" s="161"/>
      <c r="B1170" s="167"/>
      <c r="C1170" s="98" t="s">
        <v>2708</v>
      </c>
      <c r="D1170" s="163"/>
      <c r="E1170" s="26" t="s">
        <v>48</v>
      </c>
      <c r="F1170" s="30" t="s">
        <v>49</v>
      </c>
      <c r="G1170" s="163"/>
      <c r="H1170" s="163"/>
      <c r="I1170" s="163"/>
      <c r="J1170" s="165"/>
      <c r="K1170" s="165"/>
      <c r="L1170" s="165"/>
      <c r="M1170" s="165"/>
      <c r="N1170" s="165"/>
      <c r="O1170" s="163"/>
      <c r="P1170" s="163"/>
      <c r="Q1170" s="163"/>
      <c r="R1170" s="163"/>
      <c r="S1170" s="163"/>
      <c r="T1170" s="163"/>
      <c r="U1170" s="163"/>
      <c r="V1170" s="163"/>
      <c r="W1170" s="163"/>
      <c r="X1170" s="163"/>
      <c r="Y1170" s="163"/>
      <c r="Z1170" s="163"/>
      <c r="AA1170" s="163"/>
      <c r="AB1170" s="163"/>
      <c r="AC1170" s="163"/>
      <c r="AD1170" s="163"/>
      <c r="AE1170" s="163"/>
      <c r="AF1170" s="163"/>
      <c r="AG1170" s="163"/>
      <c r="AH1170" s="163"/>
      <c r="AI1170" s="163"/>
      <c r="AJ1170" s="163"/>
      <c r="AK1170" s="163"/>
      <c r="AL1170" s="163"/>
      <c r="AM1170" s="163"/>
      <c r="AN1170" s="163"/>
      <c r="AP1170" s="169"/>
    </row>
    <row r="1171" spans="1:42" s="100" customFormat="1" ht="46.8" x14ac:dyDescent="0.3">
      <c r="A1171" s="160">
        <v>805</v>
      </c>
      <c r="B1171" s="166" t="s">
        <v>1632</v>
      </c>
      <c r="C1171" s="98" t="s">
        <v>2708</v>
      </c>
      <c r="D1171" s="162" t="s">
        <v>2712</v>
      </c>
      <c r="E1171" s="26" t="s">
        <v>144</v>
      </c>
      <c r="F1171" s="30" t="s">
        <v>49</v>
      </c>
      <c r="G1171" s="162" t="s">
        <v>2704</v>
      </c>
      <c r="H1171" s="162">
        <v>27</v>
      </c>
      <c r="I1171" s="162" t="str">
        <f t="shared" si="100"/>
        <v>с ЛН</v>
      </c>
      <c r="J1171" s="164">
        <v>7</v>
      </c>
      <c r="K1171" s="164" t="s">
        <v>528</v>
      </c>
      <c r="L1171" s="164" t="s">
        <v>528</v>
      </c>
      <c r="M1171" s="164" t="s">
        <v>2705</v>
      </c>
      <c r="N1171" s="164" t="s">
        <v>2705</v>
      </c>
      <c r="O1171" s="162">
        <v>530</v>
      </c>
      <c r="P1171" s="162" t="s">
        <v>2706</v>
      </c>
      <c r="Q1171" s="162">
        <v>687</v>
      </c>
      <c r="R1171" s="162" t="s">
        <v>2706</v>
      </c>
      <c r="S1171" s="162">
        <v>601</v>
      </c>
      <c r="T1171" s="162" t="s">
        <v>2706</v>
      </c>
      <c r="U1171" s="162">
        <v>1018</v>
      </c>
      <c r="V1171" s="162" t="s">
        <v>2706</v>
      </c>
      <c r="W1171" s="162">
        <v>616</v>
      </c>
      <c r="X1171" s="162" t="s">
        <v>2706</v>
      </c>
      <c r="Y1171" s="162">
        <v>384</v>
      </c>
      <c r="Z1171" s="162" t="s">
        <v>2706</v>
      </c>
      <c r="AA1171" s="162">
        <v>673</v>
      </c>
      <c r="AB1171" s="162" t="s">
        <v>2706</v>
      </c>
      <c r="AC1171" s="162">
        <v>673</v>
      </c>
      <c r="AD1171" s="162" t="s">
        <v>2706</v>
      </c>
      <c r="AE1171" s="162">
        <v>673</v>
      </c>
      <c r="AF1171" s="162" t="s">
        <v>2706</v>
      </c>
      <c r="AG1171" s="162">
        <v>463</v>
      </c>
      <c r="AH1171" s="162" t="s">
        <v>2706</v>
      </c>
      <c r="AI1171" s="162">
        <v>753</v>
      </c>
      <c r="AJ1171" s="162" t="s">
        <v>2706</v>
      </c>
      <c r="AK1171" s="162">
        <v>1135</v>
      </c>
      <c r="AL1171" s="162" t="s">
        <v>2706</v>
      </c>
      <c r="AM1171" s="162">
        <v>7533</v>
      </c>
      <c r="AN1171" s="162"/>
      <c r="AP1171" s="168"/>
    </row>
    <row r="1172" spans="1:42" s="100" customFormat="1" ht="46.8" x14ac:dyDescent="0.3">
      <c r="A1172" s="161"/>
      <c r="B1172" s="167"/>
      <c r="C1172" s="98" t="s">
        <v>2708</v>
      </c>
      <c r="D1172" s="163"/>
      <c r="E1172" s="26" t="s">
        <v>48</v>
      </c>
      <c r="F1172" s="30" t="s">
        <v>49</v>
      </c>
      <c r="G1172" s="163"/>
      <c r="H1172" s="163"/>
      <c r="I1172" s="163"/>
      <c r="J1172" s="165"/>
      <c r="K1172" s="165"/>
      <c r="L1172" s="165"/>
      <c r="M1172" s="165"/>
      <c r="N1172" s="165"/>
      <c r="O1172" s="163"/>
      <c r="P1172" s="163"/>
      <c r="Q1172" s="163"/>
      <c r="R1172" s="163"/>
      <c r="S1172" s="163"/>
      <c r="T1172" s="163"/>
      <c r="U1172" s="163"/>
      <c r="V1172" s="163"/>
      <c r="W1172" s="163"/>
      <c r="X1172" s="163"/>
      <c r="Y1172" s="163"/>
      <c r="Z1172" s="163"/>
      <c r="AA1172" s="163"/>
      <c r="AB1172" s="163"/>
      <c r="AC1172" s="163"/>
      <c r="AD1172" s="163"/>
      <c r="AE1172" s="163"/>
      <c r="AF1172" s="163"/>
      <c r="AG1172" s="163"/>
      <c r="AH1172" s="163"/>
      <c r="AI1172" s="163"/>
      <c r="AJ1172" s="163"/>
      <c r="AK1172" s="163"/>
      <c r="AL1172" s="163"/>
      <c r="AM1172" s="163"/>
      <c r="AN1172" s="163"/>
      <c r="AP1172" s="169"/>
    </row>
    <row r="1173" spans="1:42" s="100" customFormat="1" ht="46.8" x14ac:dyDescent="0.3">
      <c r="A1173" s="160">
        <v>806</v>
      </c>
      <c r="B1173" s="166" t="s">
        <v>1634</v>
      </c>
      <c r="C1173" s="98" t="s">
        <v>2708</v>
      </c>
      <c r="D1173" s="162" t="s">
        <v>2712</v>
      </c>
      <c r="E1173" s="26" t="s">
        <v>144</v>
      </c>
      <c r="F1173" s="30" t="s">
        <v>49</v>
      </c>
      <c r="G1173" s="162"/>
      <c r="H1173" s="162"/>
      <c r="I1173" s="162"/>
      <c r="J1173" s="164"/>
      <c r="K1173" s="164" t="s">
        <v>528</v>
      </c>
      <c r="L1173" s="164" t="s">
        <v>528</v>
      </c>
      <c r="M1173" s="164" t="s">
        <v>2705</v>
      </c>
      <c r="N1173" s="164" t="s">
        <v>2705</v>
      </c>
      <c r="O1173" s="162">
        <v>606</v>
      </c>
      <c r="P1173" s="162" t="s">
        <v>2706</v>
      </c>
      <c r="Q1173" s="162">
        <v>606</v>
      </c>
      <c r="R1173" s="162" t="s">
        <v>2706</v>
      </c>
      <c r="S1173" s="162">
        <v>606</v>
      </c>
      <c r="T1173" s="162" t="s">
        <v>2706</v>
      </c>
      <c r="U1173" s="162">
        <v>606</v>
      </c>
      <c r="V1173" s="162" t="s">
        <v>2706</v>
      </c>
      <c r="W1173" s="162">
        <v>606</v>
      </c>
      <c r="X1173" s="162" t="s">
        <v>2706</v>
      </c>
      <c r="Y1173" s="162">
        <v>2725</v>
      </c>
      <c r="Z1173" s="162" t="s">
        <v>2706</v>
      </c>
      <c r="AA1173" s="162">
        <v>2725</v>
      </c>
      <c r="AB1173" s="162" t="s">
        <v>2706</v>
      </c>
      <c r="AC1173" s="162">
        <v>2725</v>
      </c>
      <c r="AD1173" s="162" t="s">
        <v>2706</v>
      </c>
      <c r="AE1173" s="162">
        <v>2725</v>
      </c>
      <c r="AF1173" s="162" t="s">
        <v>2706</v>
      </c>
      <c r="AG1173" s="162">
        <v>2725</v>
      </c>
      <c r="AH1173" s="162" t="s">
        <v>2706</v>
      </c>
      <c r="AI1173" s="162">
        <v>2725</v>
      </c>
      <c r="AJ1173" s="162" t="s">
        <v>2706</v>
      </c>
      <c r="AK1173" s="162">
        <v>2725</v>
      </c>
      <c r="AL1173" s="162" t="s">
        <v>2706</v>
      </c>
      <c r="AM1173" s="162">
        <v>19380</v>
      </c>
      <c r="AN1173" s="162"/>
      <c r="AP1173" s="168"/>
    </row>
    <row r="1174" spans="1:42" s="100" customFormat="1" ht="46.8" x14ac:dyDescent="0.3">
      <c r="A1174" s="161"/>
      <c r="B1174" s="167"/>
      <c r="C1174" s="98" t="s">
        <v>2708</v>
      </c>
      <c r="D1174" s="163"/>
      <c r="E1174" s="26" t="s">
        <v>48</v>
      </c>
      <c r="F1174" s="30" t="s">
        <v>49</v>
      </c>
      <c r="G1174" s="163"/>
      <c r="H1174" s="163"/>
      <c r="I1174" s="163"/>
      <c r="J1174" s="165"/>
      <c r="K1174" s="165"/>
      <c r="L1174" s="165"/>
      <c r="M1174" s="165"/>
      <c r="N1174" s="165"/>
      <c r="O1174" s="163"/>
      <c r="P1174" s="163"/>
      <c r="Q1174" s="163"/>
      <c r="R1174" s="163"/>
      <c r="S1174" s="163"/>
      <c r="T1174" s="163"/>
      <c r="U1174" s="163"/>
      <c r="V1174" s="163"/>
      <c r="W1174" s="163"/>
      <c r="X1174" s="163"/>
      <c r="Y1174" s="163"/>
      <c r="Z1174" s="163"/>
      <c r="AA1174" s="163"/>
      <c r="AB1174" s="163"/>
      <c r="AC1174" s="163"/>
      <c r="AD1174" s="163"/>
      <c r="AE1174" s="163"/>
      <c r="AF1174" s="163"/>
      <c r="AG1174" s="163"/>
      <c r="AH1174" s="163"/>
      <c r="AI1174" s="163"/>
      <c r="AJ1174" s="163"/>
      <c r="AK1174" s="163"/>
      <c r="AL1174" s="163"/>
      <c r="AM1174" s="163"/>
      <c r="AN1174" s="163"/>
      <c r="AP1174" s="169"/>
    </row>
    <row r="1175" spans="1:42" s="100" customFormat="1" ht="46.8" x14ac:dyDescent="0.3">
      <c r="A1175" s="160">
        <v>807</v>
      </c>
      <c r="B1175" s="166" t="s">
        <v>1635</v>
      </c>
      <c r="C1175" s="98" t="s">
        <v>2708</v>
      </c>
      <c r="D1175" s="162" t="s">
        <v>2712</v>
      </c>
      <c r="E1175" s="26" t="s">
        <v>144</v>
      </c>
      <c r="F1175" s="30" t="s">
        <v>49</v>
      </c>
      <c r="G1175" s="162" t="s">
        <v>2704</v>
      </c>
      <c r="H1175" s="162">
        <v>27</v>
      </c>
      <c r="I1175" s="162" t="str">
        <f t="shared" si="100"/>
        <v>с ЛН</v>
      </c>
      <c r="J1175" s="164">
        <v>7</v>
      </c>
      <c r="K1175" s="164" t="s">
        <v>528</v>
      </c>
      <c r="L1175" s="164" t="s">
        <v>528</v>
      </c>
      <c r="M1175" s="164" t="s">
        <v>2705</v>
      </c>
      <c r="N1175" s="164" t="s">
        <v>2705</v>
      </c>
      <c r="O1175" s="162">
        <v>81</v>
      </c>
      <c r="P1175" s="162" t="s">
        <v>2706</v>
      </c>
      <c r="Q1175" s="162">
        <v>71</v>
      </c>
      <c r="R1175" s="162" t="s">
        <v>2706</v>
      </c>
      <c r="S1175" s="162">
        <v>262</v>
      </c>
      <c r="T1175" s="162" t="s">
        <v>2706</v>
      </c>
      <c r="U1175" s="162">
        <v>252</v>
      </c>
      <c r="V1175" s="162" t="s">
        <v>2706</v>
      </c>
      <c r="W1175" s="162">
        <v>48</v>
      </c>
      <c r="X1175" s="162" t="s">
        <v>2706</v>
      </c>
      <c r="Y1175" s="162">
        <v>36</v>
      </c>
      <c r="Z1175" s="162" t="s">
        <v>2706</v>
      </c>
      <c r="AA1175" s="162">
        <v>18</v>
      </c>
      <c r="AB1175" s="162" t="s">
        <v>2706</v>
      </c>
      <c r="AC1175" s="162">
        <v>32</v>
      </c>
      <c r="AD1175" s="162" t="s">
        <v>2706</v>
      </c>
      <c r="AE1175" s="162">
        <v>34</v>
      </c>
      <c r="AF1175" s="162" t="s">
        <v>2706</v>
      </c>
      <c r="AG1175" s="162">
        <v>23</v>
      </c>
      <c r="AH1175" s="162" t="s">
        <v>2706</v>
      </c>
      <c r="AI1175" s="162">
        <v>51</v>
      </c>
      <c r="AJ1175" s="162" t="s">
        <v>2706</v>
      </c>
      <c r="AK1175" s="162">
        <v>56</v>
      </c>
      <c r="AL1175" s="162" t="s">
        <v>2706</v>
      </c>
      <c r="AM1175" s="162">
        <v>932</v>
      </c>
      <c r="AN1175" s="162"/>
      <c r="AP1175" s="168"/>
    </row>
    <row r="1176" spans="1:42" s="100" customFormat="1" ht="46.8" x14ac:dyDescent="0.3">
      <c r="A1176" s="161"/>
      <c r="B1176" s="167"/>
      <c r="C1176" s="98" t="s">
        <v>2708</v>
      </c>
      <c r="D1176" s="163"/>
      <c r="E1176" s="26" t="s">
        <v>48</v>
      </c>
      <c r="F1176" s="30" t="s">
        <v>49</v>
      </c>
      <c r="G1176" s="163"/>
      <c r="H1176" s="163"/>
      <c r="I1176" s="163"/>
      <c r="J1176" s="165"/>
      <c r="K1176" s="165"/>
      <c r="L1176" s="165"/>
      <c r="M1176" s="165"/>
      <c r="N1176" s="165"/>
      <c r="O1176" s="163"/>
      <c r="P1176" s="163"/>
      <c r="Q1176" s="163"/>
      <c r="R1176" s="163"/>
      <c r="S1176" s="163"/>
      <c r="T1176" s="163"/>
      <c r="U1176" s="163"/>
      <c r="V1176" s="163"/>
      <c r="W1176" s="163"/>
      <c r="X1176" s="163"/>
      <c r="Y1176" s="163"/>
      <c r="Z1176" s="163"/>
      <c r="AA1176" s="163"/>
      <c r="AB1176" s="163"/>
      <c r="AC1176" s="163"/>
      <c r="AD1176" s="163"/>
      <c r="AE1176" s="163"/>
      <c r="AF1176" s="163"/>
      <c r="AG1176" s="163"/>
      <c r="AH1176" s="163"/>
      <c r="AI1176" s="163"/>
      <c r="AJ1176" s="163"/>
      <c r="AK1176" s="163"/>
      <c r="AL1176" s="163"/>
      <c r="AM1176" s="163"/>
      <c r="AN1176" s="163"/>
      <c r="AP1176" s="169"/>
    </row>
    <row r="1177" spans="1:42" s="100" customFormat="1" ht="46.8" x14ac:dyDescent="0.3">
      <c r="A1177" s="160">
        <v>808</v>
      </c>
      <c r="B1177" s="166" t="s">
        <v>1636</v>
      </c>
      <c r="C1177" s="98" t="s">
        <v>2708</v>
      </c>
      <c r="D1177" s="162" t="s">
        <v>2712</v>
      </c>
      <c r="E1177" s="26" t="s">
        <v>144</v>
      </c>
      <c r="F1177" s="30" t="s">
        <v>49</v>
      </c>
      <c r="G1177" s="162" t="s">
        <v>2704</v>
      </c>
      <c r="H1177" s="162">
        <v>27</v>
      </c>
      <c r="I1177" s="162" t="str">
        <f t="shared" ref="I1177:I1213" si="101">G1177</f>
        <v>с ЛН</v>
      </c>
      <c r="J1177" s="164">
        <v>5</v>
      </c>
      <c r="K1177" s="164" t="s">
        <v>529</v>
      </c>
      <c r="L1177" s="164" t="s">
        <v>529</v>
      </c>
      <c r="M1177" s="164" t="s">
        <v>2705</v>
      </c>
      <c r="N1177" s="164" t="s">
        <v>2705</v>
      </c>
      <c r="O1177" s="162">
        <v>1565</v>
      </c>
      <c r="P1177" s="162" t="s">
        <v>2706</v>
      </c>
      <c r="Q1177" s="162">
        <v>1298</v>
      </c>
      <c r="R1177" s="162" t="s">
        <v>2706</v>
      </c>
      <c r="S1177" s="162">
        <v>981</v>
      </c>
      <c r="T1177" s="162" t="s">
        <v>2706</v>
      </c>
      <c r="U1177" s="162">
        <v>1321</v>
      </c>
      <c r="V1177" s="162" t="s">
        <v>2706</v>
      </c>
      <c r="W1177" s="162">
        <v>907</v>
      </c>
      <c r="X1177" s="162" t="s">
        <v>2706</v>
      </c>
      <c r="Y1177" s="162">
        <v>801</v>
      </c>
      <c r="Z1177" s="162" t="s">
        <v>2706</v>
      </c>
      <c r="AA1177" s="162">
        <v>890</v>
      </c>
      <c r="AB1177" s="162" t="s">
        <v>2706</v>
      </c>
      <c r="AC1177" s="162">
        <v>837</v>
      </c>
      <c r="AD1177" s="162" t="s">
        <v>2706</v>
      </c>
      <c r="AE1177" s="162">
        <v>1397</v>
      </c>
      <c r="AF1177" s="162" t="s">
        <v>2706</v>
      </c>
      <c r="AG1177" s="162">
        <v>643</v>
      </c>
      <c r="AH1177" s="162" t="s">
        <v>2706</v>
      </c>
      <c r="AI1177" s="162">
        <v>2163</v>
      </c>
      <c r="AJ1177" s="162" t="s">
        <v>2706</v>
      </c>
      <c r="AK1177" s="162">
        <v>1218</v>
      </c>
      <c r="AL1177" s="162" t="s">
        <v>2706</v>
      </c>
      <c r="AM1177" s="162">
        <v>13184</v>
      </c>
      <c r="AN1177" s="162"/>
      <c r="AP1177" s="168"/>
    </row>
    <row r="1178" spans="1:42" s="100" customFormat="1" ht="46.8" x14ac:dyDescent="0.3">
      <c r="A1178" s="161"/>
      <c r="B1178" s="167"/>
      <c r="C1178" s="98" t="s">
        <v>2708</v>
      </c>
      <c r="D1178" s="163"/>
      <c r="E1178" s="26" t="s">
        <v>48</v>
      </c>
      <c r="F1178" s="30" t="s">
        <v>49</v>
      </c>
      <c r="G1178" s="163"/>
      <c r="H1178" s="163"/>
      <c r="I1178" s="163"/>
      <c r="J1178" s="165"/>
      <c r="K1178" s="165"/>
      <c r="L1178" s="165"/>
      <c r="M1178" s="165"/>
      <c r="N1178" s="165"/>
      <c r="O1178" s="163"/>
      <c r="P1178" s="163"/>
      <c r="Q1178" s="163"/>
      <c r="R1178" s="163"/>
      <c r="S1178" s="163"/>
      <c r="T1178" s="163"/>
      <c r="U1178" s="163"/>
      <c r="V1178" s="163"/>
      <c r="W1178" s="163"/>
      <c r="X1178" s="163"/>
      <c r="Y1178" s="163"/>
      <c r="Z1178" s="163"/>
      <c r="AA1178" s="163"/>
      <c r="AB1178" s="163"/>
      <c r="AC1178" s="163"/>
      <c r="AD1178" s="163"/>
      <c r="AE1178" s="163"/>
      <c r="AF1178" s="163"/>
      <c r="AG1178" s="163"/>
      <c r="AH1178" s="163"/>
      <c r="AI1178" s="163"/>
      <c r="AJ1178" s="163"/>
      <c r="AK1178" s="163"/>
      <c r="AL1178" s="163"/>
      <c r="AM1178" s="163"/>
      <c r="AN1178" s="163"/>
      <c r="AP1178" s="169"/>
    </row>
    <row r="1179" spans="1:42" s="100" customFormat="1" ht="46.8" x14ac:dyDescent="0.3">
      <c r="A1179" s="160">
        <v>809</v>
      </c>
      <c r="B1179" s="166" t="s">
        <v>1637</v>
      </c>
      <c r="C1179" s="98" t="s">
        <v>2708</v>
      </c>
      <c r="D1179" s="162" t="s">
        <v>2712</v>
      </c>
      <c r="E1179" s="26" t="s">
        <v>144</v>
      </c>
      <c r="F1179" s="30" t="s">
        <v>49</v>
      </c>
      <c r="G1179" s="162" t="s">
        <v>2704</v>
      </c>
      <c r="H1179" s="162">
        <v>17</v>
      </c>
      <c r="I1179" s="162" t="str">
        <f t="shared" si="101"/>
        <v>с ЛН</v>
      </c>
      <c r="J1179" s="164">
        <v>3</v>
      </c>
      <c r="K1179" s="164" t="s">
        <v>528</v>
      </c>
      <c r="L1179" s="164" t="s">
        <v>528</v>
      </c>
      <c r="M1179" s="164" t="s">
        <v>2705</v>
      </c>
      <c r="N1179" s="164" t="s">
        <v>2705</v>
      </c>
      <c r="O1179" s="162">
        <v>0</v>
      </c>
      <c r="P1179" s="162" t="s">
        <v>2706</v>
      </c>
      <c r="Q1179" s="162">
        <v>0</v>
      </c>
      <c r="R1179" s="162" t="s">
        <v>2706</v>
      </c>
      <c r="S1179" s="162">
        <v>0</v>
      </c>
      <c r="T1179" s="162" t="s">
        <v>2706</v>
      </c>
      <c r="U1179" s="162">
        <v>0</v>
      </c>
      <c r="V1179" s="162" t="s">
        <v>2706</v>
      </c>
      <c r="W1179" s="162">
        <v>0</v>
      </c>
      <c r="X1179" s="162" t="s">
        <v>2706</v>
      </c>
      <c r="Y1179" s="162">
        <v>0</v>
      </c>
      <c r="Z1179" s="162" t="s">
        <v>2706</v>
      </c>
      <c r="AA1179" s="162">
        <v>0</v>
      </c>
      <c r="AB1179" s="162" t="s">
        <v>2706</v>
      </c>
      <c r="AC1179" s="162">
        <v>0</v>
      </c>
      <c r="AD1179" s="162" t="s">
        <v>2706</v>
      </c>
      <c r="AE1179" s="162">
        <v>0</v>
      </c>
      <c r="AF1179" s="162" t="s">
        <v>2706</v>
      </c>
      <c r="AG1179" s="162">
        <v>0</v>
      </c>
      <c r="AH1179" s="162" t="s">
        <v>2706</v>
      </c>
      <c r="AI1179" s="162">
        <v>0</v>
      </c>
      <c r="AJ1179" s="162" t="s">
        <v>2706</v>
      </c>
      <c r="AK1179" s="162">
        <v>0</v>
      </c>
      <c r="AL1179" s="162" t="s">
        <v>2706</v>
      </c>
      <c r="AM1179" s="162">
        <v>0</v>
      </c>
      <c r="AN1179" s="162"/>
      <c r="AP1179" s="168"/>
    </row>
    <row r="1180" spans="1:42" s="100" customFormat="1" ht="46.8" x14ac:dyDescent="0.3">
      <c r="A1180" s="161"/>
      <c r="B1180" s="167"/>
      <c r="C1180" s="98" t="s">
        <v>2708</v>
      </c>
      <c r="D1180" s="163"/>
      <c r="E1180" s="26" t="s">
        <v>48</v>
      </c>
      <c r="F1180" s="30" t="s">
        <v>49</v>
      </c>
      <c r="G1180" s="163"/>
      <c r="H1180" s="163"/>
      <c r="I1180" s="163"/>
      <c r="J1180" s="165"/>
      <c r="K1180" s="165"/>
      <c r="L1180" s="165"/>
      <c r="M1180" s="165"/>
      <c r="N1180" s="165"/>
      <c r="O1180" s="163"/>
      <c r="P1180" s="163"/>
      <c r="Q1180" s="163"/>
      <c r="R1180" s="163"/>
      <c r="S1180" s="163"/>
      <c r="T1180" s="163"/>
      <c r="U1180" s="163"/>
      <c r="V1180" s="163"/>
      <c r="W1180" s="163"/>
      <c r="X1180" s="163"/>
      <c r="Y1180" s="163"/>
      <c r="Z1180" s="163"/>
      <c r="AA1180" s="163"/>
      <c r="AB1180" s="163"/>
      <c r="AC1180" s="163"/>
      <c r="AD1180" s="163"/>
      <c r="AE1180" s="163"/>
      <c r="AF1180" s="163"/>
      <c r="AG1180" s="163"/>
      <c r="AH1180" s="163"/>
      <c r="AI1180" s="163"/>
      <c r="AJ1180" s="163"/>
      <c r="AK1180" s="163"/>
      <c r="AL1180" s="163"/>
      <c r="AM1180" s="163"/>
      <c r="AN1180" s="163"/>
      <c r="AP1180" s="169"/>
    </row>
    <row r="1181" spans="1:42" s="100" customFormat="1" ht="46.8" x14ac:dyDescent="0.3">
      <c r="A1181" s="160">
        <v>810</v>
      </c>
      <c r="B1181" s="166" t="s">
        <v>1640</v>
      </c>
      <c r="C1181" s="98" t="s">
        <v>2708</v>
      </c>
      <c r="D1181" s="162" t="s">
        <v>2712</v>
      </c>
      <c r="E1181" s="26" t="s">
        <v>144</v>
      </c>
      <c r="F1181" s="30" t="s">
        <v>49</v>
      </c>
      <c r="G1181" s="162" t="s">
        <v>2704</v>
      </c>
      <c r="H1181" s="162">
        <v>27</v>
      </c>
      <c r="I1181" s="162" t="str">
        <f t="shared" si="101"/>
        <v>с ЛН</v>
      </c>
      <c r="J1181" s="164">
        <v>5</v>
      </c>
      <c r="K1181" s="164" t="s">
        <v>528</v>
      </c>
      <c r="L1181" s="164" t="s">
        <v>528</v>
      </c>
      <c r="M1181" s="164" t="s">
        <v>2705</v>
      </c>
      <c r="N1181" s="164" t="s">
        <v>2705</v>
      </c>
      <c r="O1181" s="162">
        <v>607</v>
      </c>
      <c r="P1181" s="162" t="s">
        <v>2706</v>
      </c>
      <c r="Q1181" s="162">
        <v>585</v>
      </c>
      <c r="R1181" s="162" t="s">
        <v>2706</v>
      </c>
      <c r="S1181" s="162">
        <v>398</v>
      </c>
      <c r="T1181" s="162" t="s">
        <v>2706</v>
      </c>
      <c r="U1181" s="162">
        <v>520</v>
      </c>
      <c r="V1181" s="162" t="s">
        <v>2706</v>
      </c>
      <c r="W1181" s="162">
        <v>170</v>
      </c>
      <c r="X1181" s="162" t="s">
        <v>2706</v>
      </c>
      <c r="Y1181" s="162">
        <v>219</v>
      </c>
      <c r="Z1181" s="162" t="s">
        <v>2706</v>
      </c>
      <c r="AA1181" s="162">
        <v>207</v>
      </c>
      <c r="AB1181" s="162" t="s">
        <v>2706</v>
      </c>
      <c r="AC1181" s="162">
        <v>240</v>
      </c>
      <c r="AD1181" s="162" t="s">
        <v>2706</v>
      </c>
      <c r="AE1181" s="162">
        <v>489</v>
      </c>
      <c r="AF1181" s="162" t="s">
        <v>2706</v>
      </c>
      <c r="AG1181" s="162">
        <v>258</v>
      </c>
      <c r="AH1181" s="162" t="s">
        <v>2706</v>
      </c>
      <c r="AI1181" s="162">
        <v>259</v>
      </c>
      <c r="AJ1181" s="162" t="s">
        <v>2706</v>
      </c>
      <c r="AK1181" s="162">
        <v>537</v>
      </c>
      <c r="AL1181" s="162" t="s">
        <v>2706</v>
      </c>
      <c r="AM1181" s="162">
        <v>4249</v>
      </c>
      <c r="AN1181" s="162"/>
      <c r="AP1181" s="168"/>
    </row>
    <row r="1182" spans="1:42" s="100" customFormat="1" ht="46.8" x14ac:dyDescent="0.3">
      <c r="A1182" s="161"/>
      <c r="B1182" s="167"/>
      <c r="C1182" s="98" t="s">
        <v>2708</v>
      </c>
      <c r="D1182" s="163"/>
      <c r="E1182" s="26" t="s">
        <v>48</v>
      </c>
      <c r="F1182" s="30" t="s">
        <v>49</v>
      </c>
      <c r="G1182" s="163"/>
      <c r="H1182" s="163"/>
      <c r="I1182" s="163"/>
      <c r="J1182" s="165"/>
      <c r="K1182" s="165"/>
      <c r="L1182" s="165"/>
      <c r="M1182" s="165"/>
      <c r="N1182" s="165"/>
      <c r="O1182" s="163"/>
      <c r="P1182" s="163"/>
      <c r="Q1182" s="163"/>
      <c r="R1182" s="163"/>
      <c r="S1182" s="163"/>
      <c r="T1182" s="163"/>
      <c r="U1182" s="163"/>
      <c r="V1182" s="163"/>
      <c r="W1182" s="163"/>
      <c r="X1182" s="163"/>
      <c r="Y1182" s="163"/>
      <c r="Z1182" s="163"/>
      <c r="AA1182" s="163"/>
      <c r="AB1182" s="163"/>
      <c r="AC1182" s="163"/>
      <c r="AD1182" s="163"/>
      <c r="AE1182" s="163"/>
      <c r="AF1182" s="163"/>
      <c r="AG1182" s="163"/>
      <c r="AH1182" s="163"/>
      <c r="AI1182" s="163"/>
      <c r="AJ1182" s="163"/>
      <c r="AK1182" s="163"/>
      <c r="AL1182" s="163"/>
      <c r="AM1182" s="163"/>
      <c r="AN1182" s="163"/>
      <c r="AP1182" s="169"/>
    </row>
    <row r="1183" spans="1:42" s="100" customFormat="1" ht="46.8" x14ac:dyDescent="0.3">
      <c r="A1183" s="160">
        <v>811</v>
      </c>
      <c r="B1183" s="166" t="s">
        <v>1641</v>
      </c>
      <c r="C1183" s="98" t="s">
        <v>2708</v>
      </c>
      <c r="D1183" s="162" t="s">
        <v>2712</v>
      </c>
      <c r="E1183" s="26" t="s">
        <v>144</v>
      </c>
      <c r="F1183" s="30" t="s">
        <v>49</v>
      </c>
      <c r="G1183" s="162" t="s">
        <v>2704</v>
      </c>
      <c r="H1183" s="162">
        <v>17</v>
      </c>
      <c r="I1183" s="162" t="str">
        <f t="shared" si="101"/>
        <v>с ЛН</v>
      </c>
      <c r="J1183" s="164">
        <v>3</v>
      </c>
      <c r="K1183" s="164" t="s">
        <v>528</v>
      </c>
      <c r="L1183" s="164" t="s">
        <v>528</v>
      </c>
      <c r="M1183" s="164" t="s">
        <v>2705</v>
      </c>
      <c r="N1183" s="164" t="s">
        <v>2705</v>
      </c>
      <c r="O1183" s="162">
        <v>299</v>
      </c>
      <c r="P1183" s="162" t="s">
        <v>2706</v>
      </c>
      <c r="Q1183" s="162">
        <v>419</v>
      </c>
      <c r="R1183" s="162" t="s">
        <v>2706</v>
      </c>
      <c r="S1183" s="162">
        <v>168</v>
      </c>
      <c r="T1183" s="162" t="s">
        <v>2706</v>
      </c>
      <c r="U1183" s="162">
        <v>407</v>
      </c>
      <c r="V1183" s="162" t="s">
        <v>2706</v>
      </c>
      <c r="W1183" s="162">
        <v>299</v>
      </c>
      <c r="X1183" s="162" t="s">
        <v>2706</v>
      </c>
      <c r="Y1183" s="162">
        <v>328</v>
      </c>
      <c r="Z1183" s="162" t="s">
        <v>2706</v>
      </c>
      <c r="AA1183" s="162">
        <v>226</v>
      </c>
      <c r="AB1183" s="162" t="s">
        <v>2706</v>
      </c>
      <c r="AC1183" s="162">
        <v>239</v>
      </c>
      <c r="AD1183" s="162" t="s">
        <v>2706</v>
      </c>
      <c r="AE1183" s="162">
        <v>341</v>
      </c>
      <c r="AF1183" s="162" t="s">
        <v>2706</v>
      </c>
      <c r="AG1183" s="162">
        <v>272</v>
      </c>
      <c r="AH1183" s="162" t="s">
        <v>2706</v>
      </c>
      <c r="AI1183" s="162">
        <v>127</v>
      </c>
      <c r="AJ1183" s="162" t="s">
        <v>2706</v>
      </c>
      <c r="AK1183" s="162">
        <v>262</v>
      </c>
      <c r="AL1183" s="162" t="s">
        <v>2706</v>
      </c>
      <c r="AM1183" s="162">
        <v>3148</v>
      </c>
      <c r="AN1183" s="162"/>
      <c r="AP1183" s="168"/>
    </row>
    <row r="1184" spans="1:42" s="100" customFormat="1" ht="46.8" x14ac:dyDescent="0.3">
      <c r="A1184" s="161"/>
      <c r="B1184" s="167"/>
      <c r="C1184" s="98" t="s">
        <v>2708</v>
      </c>
      <c r="D1184" s="163"/>
      <c r="E1184" s="26" t="s">
        <v>48</v>
      </c>
      <c r="F1184" s="30" t="s">
        <v>49</v>
      </c>
      <c r="G1184" s="163"/>
      <c r="H1184" s="163"/>
      <c r="I1184" s="163"/>
      <c r="J1184" s="165"/>
      <c r="K1184" s="165"/>
      <c r="L1184" s="165"/>
      <c r="M1184" s="165"/>
      <c r="N1184" s="165"/>
      <c r="O1184" s="163"/>
      <c r="P1184" s="163"/>
      <c r="Q1184" s="163"/>
      <c r="R1184" s="163"/>
      <c r="S1184" s="163"/>
      <c r="T1184" s="163"/>
      <c r="U1184" s="163"/>
      <c r="V1184" s="163"/>
      <c r="W1184" s="163"/>
      <c r="X1184" s="163"/>
      <c r="Y1184" s="163"/>
      <c r="Z1184" s="163"/>
      <c r="AA1184" s="163"/>
      <c r="AB1184" s="163"/>
      <c r="AC1184" s="163"/>
      <c r="AD1184" s="163"/>
      <c r="AE1184" s="163"/>
      <c r="AF1184" s="163"/>
      <c r="AG1184" s="163"/>
      <c r="AH1184" s="163"/>
      <c r="AI1184" s="163"/>
      <c r="AJ1184" s="163"/>
      <c r="AK1184" s="163"/>
      <c r="AL1184" s="163"/>
      <c r="AM1184" s="163"/>
      <c r="AN1184" s="163"/>
      <c r="AP1184" s="169"/>
    </row>
    <row r="1185" spans="1:42" s="100" customFormat="1" ht="46.8" x14ac:dyDescent="0.3">
      <c r="A1185" s="160">
        <v>812</v>
      </c>
      <c r="B1185" s="166" t="s">
        <v>1642</v>
      </c>
      <c r="C1185" s="98" t="s">
        <v>2708</v>
      </c>
      <c r="D1185" s="162" t="s">
        <v>2712</v>
      </c>
      <c r="E1185" s="26" t="s">
        <v>144</v>
      </c>
      <c r="F1185" s="30" t="s">
        <v>49</v>
      </c>
      <c r="G1185" s="162" t="s">
        <v>2704</v>
      </c>
      <c r="H1185" s="162">
        <v>36</v>
      </c>
      <c r="I1185" s="162" t="str">
        <f t="shared" si="101"/>
        <v>с ЛН</v>
      </c>
      <c r="J1185" s="164">
        <v>6</v>
      </c>
      <c r="K1185" s="164" t="s">
        <v>528</v>
      </c>
      <c r="L1185" s="164" t="s">
        <v>528</v>
      </c>
      <c r="M1185" s="164" t="s">
        <v>2705</v>
      </c>
      <c r="N1185" s="164" t="s">
        <v>2705</v>
      </c>
      <c r="O1185" s="162">
        <v>679</v>
      </c>
      <c r="P1185" s="162" t="s">
        <v>2706</v>
      </c>
      <c r="Q1185" s="162">
        <v>786</v>
      </c>
      <c r="R1185" s="162" t="s">
        <v>2706</v>
      </c>
      <c r="S1185" s="162">
        <v>598</v>
      </c>
      <c r="T1185" s="162" t="s">
        <v>2706</v>
      </c>
      <c r="U1185" s="162">
        <v>774</v>
      </c>
      <c r="V1185" s="162" t="s">
        <v>2706</v>
      </c>
      <c r="W1185" s="162">
        <v>549</v>
      </c>
      <c r="X1185" s="162" t="s">
        <v>2706</v>
      </c>
      <c r="Y1185" s="162">
        <v>726</v>
      </c>
      <c r="Z1185" s="162" t="s">
        <v>2706</v>
      </c>
      <c r="AA1185" s="162">
        <v>485</v>
      </c>
      <c r="AB1185" s="162" t="s">
        <v>2706</v>
      </c>
      <c r="AC1185" s="162">
        <v>497</v>
      </c>
      <c r="AD1185" s="162" t="s">
        <v>2706</v>
      </c>
      <c r="AE1185" s="162">
        <v>895</v>
      </c>
      <c r="AF1185" s="162" t="s">
        <v>2706</v>
      </c>
      <c r="AG1185" s="162">
        <v>415</v>
      </c>
      <c r="AH1185" s="162" t="s">
        <v>2706</v>
      </c>
      <c r="AI1185" s="162">
        <v>1047</v>
      </c>
      <c r="AJ1185" s="162" t="s">
        <v>2706</v>
      </c>
      <c r="AK1185" s="162">
        <v>645</v>
      </c>
      <c r="AL1185" s="162" t="s">
        <v>2706</v>
      </c>
      <c r="AM1185" s="162">
        <v>7599</v>
      </c>
      <c r="AN1185" s="162"/>
      <c r="AP1185" s="168"/>
    </row>
    <row r="1186" spans="1:42" s="100" customFormat="1" ht="46.8" x14ac:dyDescent="0.3">
      <c r="A1186" s="161"/>
      <c r="B1186" s="167"/>
      <c r="C1186" s="98" t="s">
        <v>2708</v>
      </c>
      <c r="D1186" s="163"/>
      <c r="E1186" s="26" t="s">
        <v>48</v>
      </c>
      <c r="F1186" s="30" t="s">
        <v>49</v>
      </c>
      <c r="G1186" s="163"/>
      <c r="H1186" s="163"/>
      <c r="I1186" s="163"/>
      <c r="J1186" s="165"/>
      <c r="K1186" s="165"/>
      <c r="L1186" s="165"/>
      <c r="M1186" s="165"/>
      <c r="N1186" s="165"/>
      <c r="O1186" s="163"/>
      <c r="P1186" s="163"/>
      <c r="Q1186" s="163"/>
      <c r="R1186" s="163"/>
      <c r="S1186" s="163"/>
      <c r="T1186" s="163"/>
      <c r="U1186" s="163"/>
      <c r="V1186" s="163"/>
      <c r="W1186" s="163"/>
      <c r="X1186" s="163"/>
      <c r="Y1186" s="163"/>
      <c r="Z1186" s="163"/>
      <c r="AA1186" s="163"/>
      <c r="AB1186" s="163"/>
      <c r="AC1186" s="163"/>
      <c r="AD1186" s="163"/>
      <c r="AE1186" s="163"/>
      <c r="AF1186" s="163"/>
      <c r="AG1186" s="163"/>
      <c r="AH1186" s="163"/>
      <c r="AI1186" s="163"/>
      <c r="AJ1186" s="163"/>
      <c r="AK1186" s="163"/>
      <c r="AL1186" s="163"/>
      <c r="AM1186" s="163"/>
      <c r="AN1186" s="163"/>
      <c r="AP1186" s="169"/>
    </row>
    <row r="1187" spans="1:42" s="100" customFormat="1" ht="46.8" x14ac:dyDescent="0.3">
      <c r="A1187" s="160">
        <v>813</v>
      </c>
      <c r="B1187" s="166" t="s">
        <v>1644</v>
      </c>
      <c r="C1187" s="98" t="s">
        <v>2708</v>
      </c>
      <c r="D1187" s="162" t="s">
        <v>2712</v>
      </c>
      <c r="E1187" s="26" t="s">
        <v>144</v>
      </c>
      <c r="F1187" s="30" t="s">
        <v>49</v>
      </c>
      <c r="G1187" s="162" t="s">
        <v>2704</v>
      </c>
      <c r="H1187" s="162">
        <v>48</v>
      </c>
      <c r="I1187" s="162" t="str">
        <f t="shared" si="101"/>
        <v>с ЛН</v>
      </c>
      <c r="J1187" s="164">
        <v>8</v>
      </c>
      <c r="K1187" s="164" t="s">
        <v>528</v>
      </c>
      <c r="L1187" s="164" t="s">
        <v>528</v>
      </c>
      <c r="M1187" s="164" t="s">
        <v>2705</v>
      </c>
      <c r="N1187" s="164" t="s">
        <v>2705</v>
      </c>
      <c r="O1187" s="162">
        <v>992</v>
      </c>
      <c r="P1187" s="162" t="s">
        <v>2706</v>
      </c>
      <c r="Q1187" s="162">
        <v>1069</v>
      </c>
      <c r="R1187" s="162" t="s">
        <v>2706</v>
      </c>
      <c r="S1187" s="162">
        <v>976</v>
      </c>
      <c r="T1187" s="162" t="s">
        <v>2706</v>
      </c>
      <c r="U1187" s="162">
        <v>1283</v>
      </c>
      <c r="V1187" s="162" t="s">
        <v>2706</v>
      </c>
      <c r="W1187" s="162">
        <v>943</v>
      </c>
      <c r="X1187" s="162" t="s">
        <v>2706</v>
      </c>
      <c r="Y1187" s="162">
        <v>1092</v>
      </c>
      <c r="Z1187" s="162" t="s">
        <v>2706</v>
      </c>
      <c r="AA1187" s="162">
        <v>702</v>
      </c>
      <c r="AB1187" s="162" t="s">
        <v>2706</v>
      </c>
      <c r="AC1187" s="162">
        <v>660</v>
      </c>
      <c r="AD1187" s="162" t="s">
        <v>2706</v>
      </c>
      <c r="AE1187" s="162">
        <v>678</v>
      </c>
      <c r="AF1187" s="162" t="s">
        <v>2706</v>
      </c>
      <c r="AG1187" s="162">
        <v>676</v>
      </c>
      <c r="AH1187" s="162" t="s">
        <v>2706</v>
      </c>
      <c r="AI1187" s="162">
        <v>644</v>
      </c>
      <c r="AJ1187" s="162" t="s">
        <v>2706</v>
      </c>
      <c r="AK1187" s="162">
        <v>958</v>
      </c>
      <c r="AL1187" s="162" t="s">
        <v>2706</v>
      </c>
      <c r="AM1187" s="162">
        <v>10013</v>
      </c>
      <c r="AN1187" s="162"/>
      <c r="AP1187" s="168"/>
    </row>
    <row r="1188" spans="1:42" s="100" customFormat="1" ht="46.8" x14ac:dyDescent="0.3">
      <c r="A1188" s="161"/>
      <c r="B1188" s="167"/>
      <c r="C1188" s="98" t="s">
        <v>2708</v>
      </c>
      <c r="D1188" s="163"/>
      <c r="E1188" s="26" t="s">
        <v>48</v>
      </c>
      <c r="F1188" s="30" t="s">
        <v>49</v>
      </c>
      <c r="G1188" s="163"/>
      <c r="H1188" s="163"/>
      <c r="I1188" s="163"/>
      <c r="J1188" s="165"/>
      <c r="K1188" s="165"/>
      <c r="L1188" s="165"/>
      <c r="M1188" s="165"/>
      <c r="N1188" s="165"/>
      <c r="O1188" s="163"/>
      <c r="P1188" s="163"/>
      <c r="Q1188" s="163"/>
      <c r="R1188" s="163"/>
      <c r="S1188" s="163"/>
      <c r="T1188" s="163"/>
      <c r="U1188" s="163"/>
      <c r="V1188" s="163"/>
      <c r="W1188" s="163"/>
      <c r="X1188" s="163"/>
      <c r="Y1188" s="163"/>
      <c r="Z1188" s="163"/>
      <c r="AA1188" s="163"/>
      <c r="AB1188" s="163"/>
      <c r="AC1188" s="163"/>
      <c r="AD1188" s="163"/>
      <c r="AE1188" s="163"/>
      <c r="AF1188" s="163"/>
      <c r="AG1188" s="163"/>
      <c r="AH1188" s="163"/>
      <c r="AI1188" s="163"/>
      <c r="AJ1188" s="163"/>
      <c r="AK1188" s="163"/>
      <c r="AL1188" s="163"/>
      <c r="AM1188" s="163"/>
      <c r="AN1188" s="163"/>
      <c r="AP1188" s="169"/>
    </row>
    <row r="1189" spans="1:42" s="100" customFormat="1" ht="46.8" x14ac:dyDescent="0.3">
      <c r="A1189" s="160">
        <v>814</v>
      </c>
      <c r="B1189" s="166" t="s">
        <v>1645</v>
      </c>
      <c r="C1189" s="98" t="s">
        <v>2708</v>
      </c>
      <c r="D1189" s="162" t="s">
        <v>2712</v>
      </c>
      <c r="E1189" s="26" t="s">
        <v>144</v>
      </c>
      <c r="F1189" s="30" t="s">
        <v>49</v>
      </c>
      <c r="G1189" s="162" t="s">
        <v>2704</v>
      </c>
      <c r="H1189" s="162">
        <v>22</v>
      </c>
      <c r="I1189" s="162" t="str">
        <f t="shared" si="101"/>
        <v>с ЛН</v>
      </c>
      <c r="J1189" s="164">
        <v>4</v>
      </c>
      <c r="K1189" s="164" t="s">
        <v>528</v>
      </c>
      <c r="L1189" s="164" t="s">
        <v>528</v>
      </c>
      <c r="M1189" s="164" t="s">
        <v>2705</v>
      </c>
      <c r="N1189" s="164" t="s">
        <v>2705</v>
      </c>
      <c r="O1189" s="162">
        <v>728</v>
      </c>
      <c r="P1189" s="162" t="s">
        <v>2706</v>
      </c>
      <c r="Q1189" s="162">
        <v>862</v>
      </c>
      <c r="R1189" s="162" t="s">
        <v>2706</v>
      </c>
      <c r="S1189" s="162">
        <v>624</v>
      </c>
      <c r="T1189" s="162" t="s">
        <v>2706</v>
      </c>
      <c r="U1189" s="162">
        <v>790</v>
      </c>
      <c r="V1189" s="162" t="s">
        <v>2706</v>
      </c>
      <c r="W1189" s="162">
        <v>499</v>
      </c>
      <c r="X1189" s="162" t="s">
        <v>2706</v>
      </c>
      <c r="Y1189" s="162">
        <v>353</v>
      </c>
      <c r="Z1189" s="162" t="s">
        <v>2706</v>
      </c>
      <c r="AA1189" s="162">
        <v>539</v>
      </c>
      <c r="AB1189" s="162" t="s">
        <v>2706</v>
      </c>
      <c r="AC1189" s="162">
        <v>386</v>
      </c>
      <c r="AD1189" s="162" t="s">
        <v>2706</v>
      </c>
      <c r="AE1189" s="162">
        <v>775</v>
      </c>
      <c r="AF1189" s="162" t="s">
        <v>2706</v>
      </c>
      <c r="AG1189" s="162">
        <v>429</v>
      </c>
      <c r="AH1189" s="162" t="s">
        <v>2706</v>
      </c>
      <c r="AI1189" s="162">
        <v>460</v>
      </c>
      <c r="AJ1189" s="162" t="s">
        <v>2706</v>
      </c>
      <c r="AK1189" s="162">
        <v>631</v>
      </c>
      <c r="AL1189" s="162" t="s">
        <v>2706</v>
      </c>
      <c r="AM1189" s="162">
        <v>6690</v>
      </c>
      <c r="AN1189" s="162"/>
      <c r="AP1189" s="168"/>
    </row>
    <row r="1190" spans="1:42" s="100" customFormat="1" ht="46.8" x14ac:dyDescent="0.3">
      <c r="A1190" s="161"/>
      <c r="B1190" s="167"/>
      <c r="C1190" s="98" t="s">
        <v>2708</v>
      </c>
      <c r="D1190" s="163"/>
      <c r="E1190" s="26" t="s">
        <v>48</v>
      </c>
      <c r="F1190" s="30" t="s">
        <v>49</v>
      </c>
      <c r="G1190" s="163"/>
      <c r="H1190" s="163"/>
      <c r="I1190" s="163"/>
      <c r="J1190" s="165"/>
      <c r="K1190" s="165"/>
      <c r="L1190" s="165"/>
      <c r="M1190" s="165"/>
      <c r="N1190" s="165"/>
      <c r="O1190" s="163"/>
      <c r="P1190" s="163"/>
      <c r="Q1190" s="163"/>
      <c r="R1190" s="163"/>
      <c r="S1190" s="163"/>
      <c r="T1190" s="163"/>
      <c r="U1190" s="163"/>
      <c r="V1190" s="163"/>
      <c r="W1190" s="163"/>
      <c r="X1190" s="163"/>
      <c r="Y1190" s="163"/>
      <c r="Z1190" s="163"/>
      <c r="AA1190" s="163"/>
      <c r="AB1190" s="163"/>
      <c r="AC1190" s="163"/>
      <c r="AD1190" s="163"/>
      <c r="AE1190" s="163"/>
      <c r="AF1190" s="163"/>
      <c r="AG1190" s="163"/>
      <c r="AH1190" s="163"/>
      <c r="AI1190" s="163"/>
      <c r="AJ1190" s="163"/>
      <c r="AK1190" s="163"/>
      <c r="AL1190" s="163"/>
      <c r="AM1190" s="163"/>
      <c r="AN1190" s="163"/>
      <c r="AP1190" s="169"/>
    </row>
    <row r="1191" spans="1:42" s="100" customFormat="1" ht="46.8" x14ac:dyDescent="0.3">
      <c r="A1191" s="160">
        <v>815</v>
      </c>
      <c r="B1191" s="166" t="s">
        <v>1647</v>
      </c>
      <c r="C1191" s="98" t="s">
        <v>2708</v>
      </c>
      <c r="D1191" s="162" t="s">
        <v>2712</v>
      </c>
      <c r="E1191" s="26" t="s">
        <v>144</v>
      </c>
      <c r="F1191" s="30" t="s">
        <v>49</v>
      </c>
      <c r="G1191" s="162" t="s">
        <v>2704</v>
      </c>
      <c r="H1191" s="162">
        <v>22</v>
      </c>
      <c r="I1191" s="162" t="str">
        <f t="shared" si="101"/>
        <v>с ЛН</v>
      </c>
      <c r="J1191" s="164">
        <v>4</v>
      </c>
      <c r="K1191" s="164" t="s">
        <v>528</v>
      </c>
      <c r="L1191" s="164" t="s">
        <v>528</v>
      </c>
      <c r="M1191" s="164" t="s">
        <v>2705</v>
      </c>
      <c r="N1191" s="164" t="s">
        <v>2705</v>
      </c>
      <c r="O1191" s="162">
        <v>342</v>
      </c>
      <c r="P1191" s="162" t="s">
        <v>2706</v>
      </c>
      <c r="Q1191" s="162">
        <v>337</v>
      </c>
      <c r="R1191" s="162" t="s">
        <v>2706</v>
      </c>
      <c r="S1191" s="162">
        <v>354</v>
      </c>
      <c r="T1191" s="162" t="s">
        <v>2706</v>
      </c>
      <c r="U1191" s="162">
        <v>606</v>
      </c>
      <c r="V1191" s="162" t="s">
        <v>2706</v>
      </c>
      <c r="W1191" s="162">
        <v>369</v>
      </c>
      <c r="X1191" s="162" t="s">
        <v>2706</v>
      </c>
      <c r="Y1191" s="162">
        <v>340</v>
      </c>
      <c r="Z1191" s="162" t="s">
        <v>2706</v>
      </c>
      <c r="AA1191" s="162">
        <v>224</v>
      </c>
      <c r="AB1191" s="162" t="s">
        <v>2706</v>
      </c>
      <c r="AC1191" s="162">
        <v>228</v>
      </c>
      <c r="AD1191" s="162" t="s">
        <v>2706</v>
      </c>
      <c r="AE1191" s="162">
        <v>315</v>
      </c>
      <c r="AF1191" s="162" t="s">
        <v>2706</v>
      </c>
      <c r="AG1191" s="162">
        <v>308</v>
      </c>
      <c r="AH1191" s="162" t="s">
        <v>2706</v>
      </c>
      <c r="AI1191" s="162">
        <v>54</v>
      </c>
      <c r="AJ1191" s="162" t="s">
        <v>2706</v>
      </c>
      <c r="AK1191" s="162">
        <v>339</v>
      </c>
      <c r="AL1191" s="162" t="s">
        <v>2706</v>
      </c>
      <c r="AM1191" s="162">
        <v>3588</v>
      </c>
      <c r="AN1191" s="162"/>
      <c r="AP1191" s="168"/>
    </row>
    <row r="1192" spans="1:42" s="100" customFormat="1" ht="46.8" x14ac:dyDescent="0.3">
      <c r="A1192" s="161"/>
      <c r="B1192" s="167"/>
      <c r="C1192" s="98" t="s">
        <v>2708</v>
      </c>
      <c r="D1192" s="163"/>
      <c r="E1192" s="26" t="s">
        <v>48</v>
      </c>
      <c r="F1192" s="30" t="s">
        <v>49</v>
      </c>
      <c r="G1192" s="163"/>
      <c r="H1192" s="163"/>
      <c r="I1192" s="163"/>
      <c r="J1192" s="165"/>
      <c r="K1192" s="165"/>
      <c r="L1192" s="165"/>
      <c r="M1192" s="165"/>
      <c r="N1192" s="165"/>
      <c r="O1192" s="163"/>
      <c r="P1192" s="163"/>
      <c r="Q1192" s="163"/>
      <c r="R1192" s="163"/>
      <c r="S1192" s="163"/>
      <c r="T1192" s="163"/>
      <c r="U1192" s="163"/>
      <c r="V1192" s="163"/>
      <c r="W1192" s="163"/>
      <c r="X1192" s="163"/>
      <c r="Y1192" s="163"/>
      <c r="Z1192" s="163"/>
      <c r="AA1192" s="163"/>
      <c r="AB1192" s="163"/>
      <c r="AC1192" s="163"/>
      <c r="AD1192" s="163"/>
      <c r="AE1192" s="163"/>
      <c r="AF1192" s="163"/>
      <c r="AG1192" s="163"/>
      <c r="AH1192" s="163"/>
      <c r="AI1192" s="163"/>
      <c r="AJ1192" s="163"/>
      <c r="AK1192" s="163"/>
      <c r="AL1192" s="163"/>
      <c r="AM1192" s="163"/>
      <c r="AN1192" s="163"/>
      <c r="AP1192" s="169"/>
    </row>
    <row r="1193" spans="1:42" s="100" customFormat="1" ht="46.8" x14ac:dyDescent="0.3">
      <c r="A1193" s="160">
        <v>816</v>
      </c>
      <c r="B1193" s="166" t="s">
        <v>1648</v>
      </c>
      <c r="C1193" s="98" t="s">
        <v>2708</v>
      </c>
      <c r="D1193" s="162" t="s">
        <v>2712</v>
      </c>
      <c r="E1193" s="26" t="s">
        <v>144</v>
      </c>
      <c r="F1193" s="30" t="s">
        <v>49</v>
      </c>
      <c r="G1193" s="162" t="s">
        <v>2704</v>
      </c>
      <c r="H1193" s="162">
        <v>36</v>
      </c>
      <c r="I1193" s="162" t="str">
        <f t="shared" si="101"/>
        <v>с ЛН</v>
      </c>
      <c r="J1193" s="164">
        <v>6</v>
      </c>
      <c r="K1193" s="164" t="s">
        <v>528</v>
      </c>
      <c r="L1193" s="164" t="s">
        <v>528</v>
      </c>
      <c r="M1193" s="164" t="s">
        <v>2705</v>
      </c>
      <c r="N1193" s="164" t="s">
        <v>2705</v>
      </c>
      <c r="O1193" s="162">
        <v>1026</v>
      </c>
      <c r="P1193" s="162" t="s">
        <v>2706</v>
      </c>
      <c r="Q1193" s="162">
        <v>798</v>
      </c>
      <c r="R1193" s="162" t="s">
        <v>2706</v>
      </c>
      <c r="S1193" s="162">
        <v>623</v>
      </c>
      <c r="T1193" s="162" t="s">
        <v>2706</v>
      </c>
      <c r="U1193" s="162">
        <v>846</v>
      </c>
      <c r="V1193" s="162" t="s">
        <v>2706</v>
      </c>
      <c r="W1193" s="162">
        <v>732</v>
      </c>
      <c r="X1193" s="162" t="s">
        <v>2706</v>
      </c>
      <c r="Y1193" s="162">
        <v>660</v>
      </c>
      <c r="Z1193" s="162" t="s">
        <v>2706</v>
      </c>
      <c r="AA1193" s="162">
        <v>542</v>
      </c>
      <c r="AB1193" s="162" t="s">
        <v>2706</v>
      </c>
      <c r="AC1193" s="162">
        <v>653</v>
      </c>
      <c r="AD1193" s="162" t="s">
        <v>2706</v>
      </c>
      <c r="AE1193" s="162">
        <v>890</v>
      </c>
      <c r="AF1193" s="162" t="s">
        <v>2706</v>
      </c>
      <c r="AG1193" s="162">
        <v>592</v>
      </c>
      <c r="AH1193" s="162" t="s">
        <v>2706</v>
      </c>
      <c r="AI1193" s="162">
        <v>191</v>
      </c>
      <c r="AJ1193" s="162" t="s">
        <v>2706</v>
      </c>
      <c r="AK1193" s="162">
        <v>908</v>
      </c>
      <c r="AL1193" s="162" t="s">
        <v>2706</v>
      </c>
      <c r="AM1193" s="162">
        <v>7808</v>
      </c>
      <c r="AN1193" s="162"/>
      <c r="AP1193" s="168"/>
    </row>
    <row r="1194" spans="1:42" s="100" customFormat="1" ht="46.8" x14ac:dyDescent="0.3">
      <c r="A1194" s="161"/>
      <c r="B1194" s="167"/>
      <c r="C1194" s="98" t="s">
        <v>2708</v>
      </c>
      <c r="D1194" s="163"/>
      <c r="E1194" s="26" t="s">
        <v>48</v>
      </c>
      <c r="F1194" s="30" t="s">
        <v>49</v>
      </c>
      <c r="G1194" s="163"/>
      <c r="H1194" s="163"/>
      <c r="I1194" s="163"/>
      <c r="J1194" s="165"/>
      <c r="K1194" s="165"/>
      <c r="L1194" s="165"/>
      <c r="M1194" s="165"/>
      <c r="N1194" s="165"/>
      <c r="O1194" s="163"/>
      <c r="P1194" s="163"/>
      <c r="Q1194" s="163"/>
      <c r="R1194" s="163"/>
      <c r="S1194" s="163"/>
      <c r="T1194" s="163"/>
      <c r="U1194" s="163"/>
      <c r="V1194" s="163"/>
      <c r="W1194" s="163"/>
      <c r="X1194" s="163"/>
      <c r="Y1194" s="163"/>
      <c r="Z1194" s="163"/>
      <c r="AA1194" s="163"/>
      <c r="AB1194" s="163"/>
      <c r="AC1194" s="163"/>
      <c r="AD1194" s="163"/>
      <c r="AE1194" s="163"/>
      <c r="AF1194" s="163"/>
      <c r="AG1194" s="163"/>
      <c r="AH1194" s="163"/>
      <c r="AI1194" s="163"/>
      <c r="AJ1194" s="163"/>
      <c r="AK1194" s="163"/>
      <c r="AL1194" s="163"/>
      <c r="AM1194" s="163"/>
      <c r="AN1194" s="163"/>
      <c r="AP1194" s="169"/>
    </row>
    <row r="1195" spans="1:42" s="100" customFormat="1" ht="46.8" x14ac:dyDescent="0.3">
      <c r="A1195" s="160">
        <v>817</v>
      </c>
      <c r="B1195" s="166" t="s">
        <v>1649</v>
      </c>
      <c r="C1195" s="98" t="s">
        <v>2708</v>
      </c>
      <c r="D1195" s="162" t="s">
        <v>2712</v>
      </c>
      <c r="E1195" s="26" t="s">
        <v>144</v>
      </c>
      <c r="F1195" s="30" t="s">
        <v>49</v>
      </c>
      <c r="G1195" s="162" t="s">
        <v>2704</v>
      </c>
      <c r="H1195" s="162">
        <v>16</v>
      </c>
      <c r="I1195" s="162" t="str">
        <f t="shared" si="101"/>
        <v>с ЛН</v>
      </c>
      <c r="J1195" s="164">
        <v>3</v>
      </c>
      <c r="K1195" s="164" t="s">
        <v>528</v>
      </c>
      <c r="L1195" s="164" t="s">
        <v>528</v>
      </c>
      <c r="M1195" s="164" t="s">
        <v>2705</v>
      </c>
      <c r="N1195" s="164" t="s">
        <v>2705</v>
      </c>
      <c r="O1195" s="162">
        <v>137</v>
      </c>
      <c r="P1195" s="162" t="s">
        <v>2706</v>
      </c>
      <c r="Q1195" s="162">
        <v>121</v>
      </c>
      <c r="R1195" s="162" t="s">
        <v>2706</v>
      </c>
      <c r="S1195" s="162">
        <v>53</v>
      </c>
      <c r="T1195" s="162" t="s">
        <v>2706</v>
      </c>
      <c r="U1195" s="162">
        <v>78</v>
      </c>
      <c r="V1195" s="162" t="s">
        <v>2706</v>
      </c>
      <c r="W1195" s="162">
        <v>77</v>
      </c>
      <c r="X1195" s="162" t="s">
        <v>2706</v>
      </c>
      <c r="Y1195" s="162">
        <v>70</v>
      </c>
      <c r="Z1195" s="162" t="s">
        <v>2706</v>
      </c>
      <c r="AA1195" s="162">
        <v>78</v>
      </c>
      <c r="AB1195" s="162" t="s">
        <v>2706</v>
      </c>
      <c r="AC1195" s="162">
        <v>70</v>
      </c>
      <c r="AD1195" s="162" t="s">
        <v>2706</v>
      </c>
      <c r="AE1195" s="162">
        <v>122</v>
      </c>
      <c r="AF1195" s="162" t="s">
        <v>2706</v>
      </c>
      <c r="AG1195" s="162">
        <v>59</v>
      </c>
      <c r="AH1195" s="162" t="s">
        <v>2706</v>
      </c>
      <c r="AI1195" s="162">
        <v>0</v>
      </c>
      <c r="AJ1195" s="162" t="s">
        <v>2706</v>
      </c>
      <c r="AK1195" s="162">
        <v>103</v>
      </c>
      <c r="AL1195" s="162" t="s">
        <v>2706</v>
      </c>
      <c r="AM1195" s="162">
        <v>898</v>
      </c>
      <c r="AN1195" s="162"/>
      <c r="AP1195" s="168"/>
    </row>
    <row r="1196" spans="1:42" s="100" customFormat="1" ht="46.8" x14ac:dyDescent="0.3">
      <c r="A1196" s="161"/>
      <c r="B1196" s="167"/>
      <c r="C1196" s="98" t="s">
        <v>2708</v>
      </c>
      <c r="D1196" s="163"/>
      <c r="E1196" s="26" t="s">
        <v>48</v>
      </c>
      <c r="F1196" s="30" t="s">
        <v>49</v>
      </c>
      <c r="G1196" s="163"/>
      <c r="H1196" s="163"/>
      <c r="I1196" s="163"/>
      <c r="J1196" s="165"/>
      <c r="K1196" s="165"/>
      <c r="L1196" s="165"/>
      <c r="M1196" s="165"/>
      <c r="N1196" s="165"/>
      <c r="O1196" s="163"/>
      <c r="P1196" s="163"/>
      <c r="Q1196" s="163"/>
      <c r="R1196" s="163"/>
      <c r="S1196" s="163"/>
      <c r="T1196" s="163"/>
      <c r="U1196" s="163"/>
      <c r="V1196" s="163"/>
      <c r="W1196" s="163"/>
      <c r="X1196" s="163"/>
      <c r="Y1196" s="163"/>
      <c r="Z1196" s="163"/>
      <c r="AA1196" s="163"/>
      <c r="AB1196" s="163"/>
      <c r="AC1196" s="163"/>
      <c r="AD1196" s="163"/>
      <c r="AE1196" s="163"/>
      <c r="AF1196" s="163"/>
      <c r="AG1196" s="163"/>
      <c r="AH1196" s="163"/>
      <c r="AI1196" s="163"/>
      <c r="AJ1196" s="163"/>
      <c r="AK1196" s="163"/>
      <c r="AL1196" s="163"/>
      <c r="AM1196" s="163"/>
      <c r="AN1196" s="163"/>
      <c r="AP1196" s="169"/>
    </row>
    <row r="1197" spans="1:42" s="100" customFormat="1" ht="46.8" x14ac:dyDescent="0.3">
      <c r="A1197" s="160">
        <v>818</v>
      </c>
      <c r="B1197" s="166" t="s">
        <v>1651</v>
      </c>
      <c r="C1197" s="98" t="s">
        <v>2708</v>
      </c>
      <c r="D1197" s="162" t="s">
        <v>2712</v>
      </c>
      <c r="E1197" s="26" t="s">
        <v>144</v>
      </c>
      <c r="F1197" s="30" t="s">
        <v>49</v>
      </c>
      <c r="G1197" s="162" t="s">
        <v>2704</v>
      </c>
      <c r="H1197" s="162">
        <v>16</v>
      </c>
      <c r="I1197" s="162" t="str">
        <f t="shared" si="101"/>
        <v>с ЛН</v>
      </c>
      <c r="J1197" s="164">
        <v>3</v>
      </c>
      <c r="K1197" s="164" t="s">
        <v>529</v>
      </c>
      <c r="L1197" s="164" t="s">
        <v>529</v>
      </c>
      <c r="M1197" s="164" t="s">
        <v>2705</v>
      </c>
      <c r="N1197" s="164" t="s">
        <v>2705</v>
      </c>
      <c r="O1197" s="162">
        <v>670</v>
      </c>
      <c r="P1197" s="162" t="s">
        <v>2706</v>
      </c>
      <c r="Q1197" s="162">
        <v>576</v>
      </c>
      <c r="R1197" s="162" t="s">
        <v>2706</v>
      </c>
      <c r="S1197" s="162">
        <v>524</v>
      </c>
      <c r="T1197" s="162" t="s">
        <v>2706</v>
      </c>
      <c r="U1197" s="162">
        <v>492</v>
      </c>
      <c r="V1197" s="162" t="s">
        <v>2706</v>
      </c>
      <c r="W1197" s="162">
        <v>533</v>
      </c>
      <c r="X1197" s="162" t="s">
        <v>2706</v>
      </c>
      <c r="Y1197" s="162">
        <v>326</v>
      </c>
      <c r="Z1197" s="162" t="s">
        <v>2706</v>
      </c>
      <c r="AA1197" s="162">
        <v>291</v>
      </c>
      <c r="AB1197" s="162" t="s">
        <v>2706</v>
      </c>
      <c r="AC1197" s="162">
        <v>792.93</v>
      </c>
      <c r="AD1197" s="162" t="s">
        <v>2706</v>
      </c>
      <c r="AE1197" s="162">
        <v>434</v>
      </c>
      <c r="AF1197" s="162" t="s">
        <v>2706</v>
      </c>
      <c r="AG1197" s="162">
        <v>495</v>
      </c>
      <c r="AH1197" s="162" t="s">
        <v>2706</v>
      </c>
      <c r="AI1197" s="162">
        <v>630</v>
      </c>
      <c r="AJ1197" s="162" t="s">
        <v>2706</v>
      </c>
      <c r="AK1197" s="162">
        <v>587</v>
      </c>
      <c r="AL1197" s="162" t="s">
        <v>2706</v>
      </c>
      <c r="AM1197" s="162">
        <v>5558</v>
      </c>
      <c r="AN1197" s="162"/>
      <c r="AP1197" s="168"/>
    </row>
    <row r="1198" spans="1:42" s="100" customFormat="1" ht="46.8" x14ac:dyDescent="0.3">
      <c r="A1198" s="161"/>
      <c r="B1198" s="167"/>
      <c r="C1198" s="98" t="s">
        <v>2708</v>
      </c>
      <c r="D1198" s="163"/>
      <c r="E1198" s="26" t="s">
        <v>48</v>
      </c>
      <c r="F1198" s="30" t="s">
        <v>49</v>
      </c>
      <c r="G1198" s="163"/>
      <c r="H1198" s="163"/>
      <c r="I1198" s="163"/>
      <c r="J1198" s="165"/>
      <c r="K1198" s="165"/>
      <c r="L1198" s="165"/>
      <c r="M1198" s="165"/>
      <c r="N1198" s="165"/>
      <c r="O1198" s="163"/>
      <c r="P1198" s="163"/>
      <c r="Q1198" s="163"/>
      <c r="R1198" s="163"/>
      <c r="S1198" s="163"/>
      <c r="T1198" s="163"/>
      <c r="U1198" s="163"/>
      <c r="V1198" s="163"/>
      <c r="W1198" s="163"/>
      <c r="X1198" s="163"/>
      <c r="Y1198" s="163"/>
      <c r="Z1198" s="163"/>
      <c r="AA1198" s="163"/>
      <c r="AB1198" s="163"/>
      <c r="AC1198" s="163"/>
      <c r="AD1198" s="163"/>
      <c r="AE1198" s="163"/>
      <c r="AF1198" s="163"/>
      <c r="AG1198" s="163"/>
      <c r="AH1198" s="163"/>
      <c r="AI1198" s="163"/>
      <c r="AJ1198" s="163"/>
      <c r="AK1198" s="163"/>
      <c r="AL1198" s="163"/>
      <c r="AM1198" s="163"/>
      <c r="AN1198" s="163"/>
      <c r="AP1198" s="169"/>
    </row>
    <row r="1199" spans="1:42" s="100" customFormat="1" ht="46.8" x14ac:dyDescent="0.3">
      <c r="A1199" s="160">
        <v>819</v>
      </c>
      <c r="B1199" s="166" t="s">
        <v>1653</v>
      </c>
      <c r="C1199" s="98" t="s">
        <v>2708</v>
      </c>
      <c r="D1199" s="162" t="s">
        <v>2712</v>
      </c>
      <c r="E1199" s="26" t="s">
        <v>144</v>
      </c>
      <c r="F1199" s="30" t="s">
        <v>49</v>
      </c>
      <c r="G1199" s="162" t="s">
        <v>2704</v>
      </c>
      <c r="H1199" s="162">
        <v>20</v>
      </c>
      <c r="I1199" s="162" t="str">
        <f t="shared" si="101"/>
        <v>с ЛН</v>
      </c>
      <c r="J1199" s="164">
        <v>4</v>
      </c>
      <c r="K1199" s="164" t="s">
        <v>528</v>
      </c>
      <c r="L1199" s="164" t="s">
        <v>528</v>
      </c>
      <c r="M1199" s="164" t="s">
        <v>2705</v>
      </c>
      <c r="N1199" s="164" t="s">
        <v>2705</v>
      </c>
      <c r="O1199" s="162">
        <v>0</v>
      </c>
      <c r="P1199" s="162" t="s">
        <v>2706</v>
      </c>
      <c r="Q1199" s="162">
        <v>0</v>
      </c>
      <c r="R1199" s="162" t="s">
        <v>2706</v>
      </c>
      <c r="S1199" s="162">
        <v>150</v>
      </c>
      <c r="T1199" s="162" t="s">
        <v>2706</v>
      </c>
      <c r="U1199" s="162">
        <v>252</v>
      </c>
      <c r="V1199" s="162" t="s">
        <v>2706</v>
      </c>
      <c r="W1199" s="162">
        <v>247</v>
      </c>
      <c r="X1199" s="162" t="s">
        <v>2706</v>
      </c>
      <c r="Y1199" s="162">
        <v>140</v>
      </c>
      <c r="Z1199" s="162" t="s">
        <v>2706</v>
      </c>
      <c r="AA1199" s="162">
        <v>131</v>
      </c>
      <c r="AB1199" s="162" t="s">
        <v>2706</v>
      </c>
      <c r="AC1199" s="162">
        <v>130</v>
      </c>
      <c r="AD1199" s="162" t="s">
        <v>2706</v>
      </c>
      <c r="AE1199" s="162">
        <v>218</v>
      </c>
      <c r="AF1199" s="162" t="s">
        <v>2706</v>
      </c>
      <c r="AG1199" s="162">
        <v>195</v>
      </c>
      <c r="AH1199" s="162" t="s">
        <v>2706</v>
      </c>
      <c r="AI1199" s="162">
        <v>216</v>
      </c>
      <c r="AJ1199" s="162" t="s">
        <v>2706</v>
      </c>
      <c r="AK1199" s="162">
        <v>218</v>
      </c>
      <c r="AL1199" s="162" t="s">
        <v>2706</v>
      </c>
      <c r="AM1199" s="162">
        <v>1767</v>
      </c>
      <c r="AN1199" s="162"/>
      <c r="AP1199" s="168"/>
    </row>
    <row r="1200" spans="1:42" s="100" customFormat="1" ht="46.8" x14ac:dyDescent="0.3">
      <c r="A1200" s="161"/>
      <c r="B1200" s="167"/>
      <c r="C1200" s="98" t="s">
        <v>2708</v>
      </c>
      <c r="D1200" s="163"/>
      <c r="E1200" s="26" t="s">
        <v>48</v>
      </c>
      <c r="F1200" s="30" t="s">
        <v>49</v>
      </c>
      <c r="G1200" s="163"/>
      <c r="H1200" s="163"/>
      <c r="I1200" s="163"/>
      <c r="J1200" s="165"/>
      <c r="K1200" s="165"/>
      <c r="L1200" s="165"/>
      <c r="M1200" s="165"/>
      <c r="N1200" s="165"/>
      <c r="O1200" s="163"/>
      <c r="P1200" s="163"/>
      <c r="Q1200" s="163"/>
      <c r="R1200" s="163"/>
      <c r="S1200" s="163"/>
      <c r="T1200" s="163"/>
      <c r="U1200" s="163"/>
      <c r="V1200" s="163"/>
      <c r="W1200" s="163"/>
      <c r="X1200" s="163"/>
      <c r="Y1200" s="163"/>
      <c r="Z1200" s="163"/>
      <c r="AA1200" s="163"/>
      <c r="AB1200" s="163"/>
      <c r="AC1200" s="163"/>
      <c r="AD1200" s="163"/>
      <c r="AE1200" s="163"/>
      <c r="AF1200" s="163"/>
      <c r="AG1200" s="163"/>
      <c r="AH1200" s="163"/>
      <c r="AI1200" s="163"/>
      <c r="AJ1200" s="163"/>
      <c r="AK1200" s="163"/>
      <c r="AL1200" s="163"/>
      <c r="AM1200" s="163"/>
      <c r="AN1200" s="163"/>
      <c r="AP1200" s="169"/>
    </row>
    <row r="1201" spans="1:42" s="100" customFormat="1" ht="46.8" x14ac:dyDescent="0.3">
      <c r="A1201" s="160">
        <v>820</v>
      </c>
      <c r="B1201" s="166" t="s">
        <v>1655</v>
      </c>
      <c r="C1201" s="98" t="s">
        <v>2708</v>
      </c>
      <c r="D1201" s="162" t="s">
        <v>2712</v>
      </c>
      <c r="E1201" s="26" t="s">
        <v>144</v>
      </c>
      <c r="F1201" s="30" t="s">
        <v>49</v>
      </c>
      <c r="G1201" s="162" t="s">
        <v>2704</v>
      </c>
      <c r="H1201" s="162">
        <v>20</v>
      </c>
      <c r="I1201" s="162" t="str">
        <f t="shared" si="101"/>
        <v>с ЛН</v>
      </c>
      <c r="J1201" s="164">
        <v>4</v>
      </c>
      <c r="K1201" s="164" t="s">
        <v>528</v>
      </c>
      <c r="L1201" s="164" t="s">
        <v>528</v>
      </c>
      <c r="M1201" s="164" t="s">
        <v>2705</v>
      </c>
      <c r="N1201" s="164" t="s">
        <v>2705</v>
      </c>
      <c r="O1201" s="162">
        <v>129</v>
      </c>
      <c r="P1201" s="162" t="s">
        <v>2706</v>
      </c>
      <c r="Q1201" s="162">
        <v>101</v>
      </c>
      <c r="R1201" s="162" t="s">
        <v>2706</v>
      </c>
      <c r="S1201" s="162">
        <v>68</v>
      </c>
      <c r="T1201" s="162" t="s">
        <v>2706</v>
      </c>
      <c r="U1201" s="162">
        <v>155</v>
      </c>
      <c r="V1201" s="162" t="s">
        <v>2706</v>
      </c>
      <c r="W1201" s="162">
        <v>132</v>
      </c>
      <c r="X1201" s="162" t="s">
        <v>2706</v>
      </c>
      <c r="Y1201" s="162">
        <v>56</v>
      </c>
      <c r="Z1201" s="162" t="s">
        <v>2706</v>
      </c>
      <c r="AA1201" s="162">
        <v>93</v>
      </c>
      <c r="AB1201" s="162" t="s">
        <v>2706</v>
      </c>
      <c r="AC1201" s="162">
        <v>210</v>
      </c>
      <c r="AD1201" s="162" t="s">
        <v>2706</v>
      </c>
      <c r="AE1201" s="162">
        <v>161</v>
      </c>
      <c r="AF1201" s="162" t="s">
        <v>2706</v>
      </c>
      <c r="AG1201" s="162">
        <v>91</v>
      </c>
      <c r="AH1201" s="162" t="s">
        <v>2706</v>
      </c>
      <c r="AI1201" s="162">
        <v>109</v>
      </c>
      <c r="AJ1201" s="162" t="s">
        <v>2706</v>
      </c>
      <c r="AK1201" s="162">
        <v>110</v>
      </c>
      <c r="AL1201" s="162" t="s">
        <v>2706</v>
      </c>
      <c r="AM1201" s="162">
        <v>1205</v>
      </c>
      <c r="AN1201" s="162"/>
      <c r="AP1201" s="168"/>
    </row>
    <row r="1202" spans="1:42" s="100" customFormat="1" ht="46.8" x14ac:dyDescent="0.3">
      <c r="A1202" s="161"/>
      <c r="B1202" s="167"/>
      <c r="C1202" s="98" t="s">
        <v>2708</v>
      </c>
      <c r="D1202" s="163"/>
      <c r="E1202" s="26" t="s">
        <v>48</v>
      </c>
      <c r="F1202" s="30" t="s">
        <v>49</v>
      </c>
      <c r="G1202" s="163"/>
      <c r="H1202" s="163"/>
      <c r="I1202" s="163"/>
      <c r="J1202" s="165"/>
      <c r="K1202" s="165"/>
      <c r="L1202" s="165"/>
      <c r="M1202" s="165"/>
      <c r="N1202" s="165"/>
      <c r="O1202" s="163"/>
      <c r="P1202" s="163"/>
      <c r="Q1202" s="163"/>
      <c r="R1202" s="163"/>
      <c r="S1202" s="163"/>
      <c r="T1202" s="163"/>
      <c r="U1202" s="163"/>
      <c r="V1202" s="163"/>
      <c r="W1202" s="163"/>
      <c r="X1202" s="163"/>
      <c r="Y1202" s="163"/>
      <c r="Z1202" s="163"/>
      <c r="AA1202" s="163"/>
      <c r="AB1202" s="163"/>
      <c r="AC1202" s="163"/>
      <c r="AD1202" s="163"/>
      <c r="AE1202" s="163"/>
      <c r="AF1202" s="163"/>
      <c r="AG1202" s="163"/>
      <c r="AH1202" s="163"/>
      <c r="AI1202" s="163"/>
      <c r="AJ1202" s="163"/>
      <c r="AK1202" s="163"/>
      <c r="AL1202" s="163"/>
      <c r="AM1202" s="163"/>
      <c r="AN1202" s="163"/>
      <c r="AP1202" s="169"/>
    </row>
    <row r="1203" spans="1:42" s="100" customFormat="1" ht="46.8" x14ac:dyDescent="0.3">
      <c r="A1203" s="160">
        <v>821</v>
      </c>
      <c r="B1203" s="166" t="s">
        <v>1656</v>
      </c>
      <c r="C1203" s="98" t="s">
        <v>2708</v>
      </c>
      <c r="D1203" s="162" t="s">
        <v>2712</v>
      </c>
      <c r="E1203" s="26" t="s">
        <v>144</v>
      </c>
      <c r="F1203" s="30" t="s">
        <v>49</v>
      </c>
      <c r="G1203" s="162" t="s">
        <v>2704</v>
      </c>
      <c r="H1203" s="162">
        <v>27</v>
      </c>
      <c r="I1203" s="162" t="str">
        <f t="shared" si="101"/>
        <v>с ЛН</v>
      </c>
      <c r="J1203" s="164">
        <v>5</v>
      </c>
      <c r="K1203" s="164" t="s">
        <v>528</v>
      </c>
      <c r="L1203" s="164" t="s">
        <v>528</v>
      </c>
      <c r="M1203" s="164" t="s">
        <v>2705</v>
      </c>
      <c r="N1203" s="164" t="s">
        <v>2705</v>
      </c>
      <c r="O1203" s="162">
        <v>210</v>
      </c>
      <c r="P1203" s="162" t="s">
        <v>2706</v>
      </c>
      <c r="Q1203" s="162">
        <v>203</v>
      </c>
      <c r="R1203" s="162" t="s">
        <v>2706</v>
      </c>
      <c r="S1203" s="162">
        <v>178</v>
      </c>
      <c r="T1203" s="162" t="s">
        <v>2706</v>
      </c>
      <c r="U1203" s="162">
        <v>156</v>
      </c>
      <c r="V1203" s="162" t="s">
        <v>2706</v>
      </c>
      <c r="W1203" s="162">
        <v>206</v>
      </c>
      <c r="X1203" s="162" t="s">
        <v>2706</v>
      </c>
      <c r="Y1203" s="162">
        <v>158</v>
      </c>
      <c r="Z1203" s="162" t="s">
        <v>2706</v>
      </c>
      <c r="AA1203" s="162">
        <v>111</v>
      </c>
      <c r="AB1203" s="162" t="s">
        <v>2706</v>
      </c>
      <c r="AC1203" s="162">
        <v>210</v>
      </c>
      <c r="AD1203" s="162" t="s">
        <v>2706</v>
      </c>
      <c r="AE1203" s="162">
        <v>181</v>
      </c>
      <c r="AF1203" s="162" t="s">
        <v>2706</v>
      </c>
      <c r="AG1203" s="162">
        <v>135</v>
      </c>
      <c r="AH1203" s="162" t="s">
        <v>2706</v>
      </c>
      <c r="AI1203" s="162">
        <v>294</v>
      </c>
      <c r="AJ1203" s="162" t="s">
        <v>2706</v>
      </c>
      <c r="AK1203" s="162">
        <v>265</v>
      </c>
      <c r="AL1203" s="162" t="s">
        <v>2706</v>
      </c>
      <c r="AM1203" s="162">
        <v>2097</v>
      </c>
      <c r="AN1203" s="162"/>
      <c r="AP1203" s="168"/>
    </row>
    <row r="1204" spans="1:42" s="100" customFormat="1" ht="46.8" x14ac:dyDescent="0.3">
      <c r="A1204" s="161"/>
      <c r="B1204" s="167"/>
      <c r="C1204" s="98" t="s">
        <v>2708</v>
      </c>
      <c r="D1204" s="163"/>
      <c r="E1204" s="26" t="s">
        <v>48</v>
      </c>
      <c r="F1204" s="30" t="s">
        <v>49</v>
      </c>
      <c r="G1204" s="163"/>
      <c r="H1204" s="163"/>
      <c r="I1204" s="163"/>
      <c r="J1204" s="165"/>
      <c r="K1204" s="165"/>
      <c r="L1204" s="165"/>
      <c r="M1204" s="165"/>
      <c r="N1204" s="165"/>
      <c r="O1204" s="163"/>
      <c r="P1204" s="163"/>
      <c r="Q1204" s="163"/>
      <c r="R1204" s="163"/>
      <c r="S1204" s="163"/>
      <c r="T1204" s="163"/>
      <c r="U1204" s="163"/>
      <c r="V1204" s="163"/>
      <c r="W1204" s="163"/>
      <c r="X1204" s="163"/>
      <c r="Y1204" s="163"/>
      <c r="Z1204" s="163"/>
      <c r="AA1204" s="163"/>
      <c r="AB1204" s="163"/>
      <c r="AC1204" s="163"/>
      <c r="AD1204" s="163"/>
      <c r="AE1204" s="163"/>
      <c r="AF1204" s="163"/>
      <c r="AG1204" s="163"/>
      <c r="AH1204" s="163"/>
      <c r="AI1204" s="163"/>
      <c r="AJ1204" s="163"/>
      <c r="AK1204" s="163"/>
      <c r="AL1204" s="163"/>
      <c r="AM1204" s="163"/>
      <c r="AN1204" s="163"/>
      <c r="AP1204" s="169"/>
    </row>
    <row r="1205" spans="1:42" s="100" customFormat="1" ht="46.8" x14ac:dyDescent="0.3">
      <c r="A1205" s="160">
        <v>822</v>
      </c>
      <c r="B1205" s="166" t="s">
        <v>1657</v>
      </c>
      <c r="C1205" s="98" t="s">
        <v>2708</v>
      </c>
      <c r="D1205" s="162" t="s">
        <v>2712</v>
      </c>
      <c r="E1205" s="26" t="s">
        <v>144</v>
      </c>
      <c r="F1205" s="30" t="s">
        <v>49</v>
      </c>
      <c r="G1205" s="162" t="s">
        <v>2704</v>
      </c>
      <c r="H1205" s="162">
        <v>22</v>
      </c>
      <c r="I1205" s="162" t="str">
        <f t="shared" si="101"/>
        <v>с ЛН</v>
      </c>
      <c r="J1205" s="164">
        <v>4</v>
      </c>
      <c r="K1205" s="164" t="s">
        <v>528</v>
      </c>
      <c r="L1205" s="164" t="s">
        <v>528</v>
      </c>
      <c r="M1205" s="164" t="s">
        <v>2705</v>
      </c>
      <c r="N1205" s="164" t="s">
        <v>2705</v>
      </c>
      <c r="O1205" s="162">
        <v>977</v>
      </c>
      <c r="P1205" s="162" t="s">
        <v>2706</v>
      </c>
      <c r="Q1205" s="162">
        <v>812</v>
      </c>
      <c r="R1205" s="162" t="s">
        <v>2706</v>
      </c>
      <c r="S1205" s="162">
        <v>663</v>
      </c>
      <c r="T1205" s="162" t="s">
        <v>2706</v>
      </c>
      <c r="U1205" s="162">
        <v>702</v>
      </c>
      <c r="V1205" s="162" t="s">
        <v>2706</v>
      </c>
      <c r="W1205" s="162">
        <v>809</v>
      </c>
      <c r="X1205" s="162" t="s">
        <v>2706</v>
      </c>
      <c r="Y1205" s="162">
        <v>688</v>
      </c>
      <c r="Z1205" s="162" t="s">
        <v>2706</v>
      </c>
      <c r="AA1205" s="162">
        <v>724</v>
      </c>
      <c r="AB1205" s="162" t="s">
        <v>2706</v>
      </c>
      <c r="AC1205" s="162">
        <v>760</v>
      </c>
      <c r="AD1205" s="162" t="s">
        <v>2706</v>
      </c>
      <c r="AE1205" s="162">
        <v>792</v>
      </c>
      <c r="AF1205" s="162" t="s">
        <v>2706</v>
      </c>
      <c r="AG1205" s="162">
        <v>837</v>
      </c>
      <c r="AH1205" s="162" t="s">
        <v>2706</v>
      </c>
      <c r="AI1205" s="162">
        <v>953</v>
      </c>
      <c r="AJ1205" s="162" t="s">
        <v>2706</v>
      </c>
      <c r="AK1205" s="162">
        <v>832</v>
      </c>
      <c r="AL1205" s="162" t="s">
        <v>2706</v>
      </c>
      <c r="AM1205" s="162">
        <v>8789</v>
      </c>
      <c r="AN1205" s="162"/>
      <c r="AP1205" s="168"/>
    </row>
    <row r="1206" spans="1:42" s="100" customFormat="1" ht="46.8" x14ac:dyDescent="0.3">
      <c r="A1206" s="161"/>
      <c r="B1206" s="167"/>
      <c r="C1206" s="98" t="s">
        <v>2708</v>
      </c>
      <c r="D1206" s="163"/>
      <c r="E1206" s="26" t="s">
        <v>48</v>
      </c>
      <c r="F1206" s="30" t="s">
        <v>49</v>
      </c>
      <c r="G1206" s="163"/>
      <c r="H1206" s="163"/>
      <c r="I1206" s="163"/>
      <c r="J1206" s="165"/>
      <c r="K1206" s="165"/>
      <c r="L1206" s="165"/>
      <c r="M1206" s="165"/>
      <c r="N1206" s="165"/>
      <c r="O1206" s="163"/>
      <c r="P1206" s="163"/>
      <c r="Q1206" s="163"/>
      <c r="R1206" s="163"/>
      <c r="S1206" s="163"/>
      <c r="T1206" s="163"/>
      <c r="U1206" s="163"/>
      <c r="V1206" s="163"/>
      <c r="W1206" s="163"/>
      <c r="X1206" s="163"/>
      <c r="Y1206" s="163"/>
      <c r="Z1206" s="163"/>
      <c r="AA1206" s="163"/>
      <c r="AB1206" s="163"/>
      <c r="AC1206" s="163"/>
      <c r="AD1206" s="163"/>
      <c r="AE1206" s="163"/>
      <c r="AF1206" s="163"/>
      <c r="AG1206" s="163"/>
      <c r="AH1206" s="163"/>
      <c r="AI1206" s="163"/>
      <c r="AJ1206" s="163"/>
      <c r="AK1206" s="163"/>
      <c r="AL1206" s="163"/>
      <c r="AM1206" s="163"/>
      <c r="AN1206" s="163"/>
      <c r="AP1206" s="169"/>
    </row>
    <row r="1207" spans="1:42" s="100" customFormat="1" ht="46.8" x14ac:dyDescent="0.3">
      <c r="A1207" s="160">
        <v>823</v>
      </c>
      <c r="B1207" s="166" t="s">
        <v>1659</v>
      </c>
      <c r="C1207" s="98" t="s">
        <v>2708</v>
      </c>
      <c r="D1207" s="162" t="s">
        <v>2712</v>
      </c>
      <c r="E1207" s="26" t="s">
        <v>144</v>
      </c>
      <c r="F1207" s="30" t="s">
        <v>49</v>
      </c>
      <c r="G1207" s="162" t="s">
        <v>2704</v>
      </c>
      <c r="H1207" s="162">
        <v>27</v>
      </c>
      <c r="I1207" s="162" t="str">
        <f t="shared" si="101"/>
        <v>с ЛН</v>
      </c>
      <c r="J1207" s="164">
        <v>5</v>
      </c>
      <c r="K1207" s="164" t="s">
        <v>528</v>
      </c>
      <c r="L1207" s="164" t="s">
        <v>528</v>
      </c>
      <c r="M1207" s="164" t="s">
        <v>2705</v>
      </c>
      <c r="N1207" s="164" t="s">
        <v>2705</v>
      </c>
      <c r="O1207" s="162">
        <v>587</v>
      </c>
      <c r="P1207" s="162" t="s">
        <v>2706</v>
      </c>
      <c r="Q1207" s="162">
        <v>528</v>
      </c>
      <c r="R1207" s="162" t="s">
        <v>2706</v>
      </c>
      <c r="S1207" s="162">
        <v>448</v>
      </c>
      <c r="T1207" s="162" t="s">
        <v>2706</v>
      </c>
      <c r="U1207" s="162">
        <v>451</v>
      </c>
      <c r="V1207" s="162" t="s">
        <v>2706</v>
      </c>
      <c r="W1207" s="162">
        <v>446</v>
      </c>
      <c r="X1207" s="162" t="s">
        <v>2706</v>
      </c>
      <c r="Y1207" s="162">
        <v>357</v>
      </c>
      <c r="Z1207" s="162" t="s">
        <v>2706</v>
      </c>
      <c r="AA1207" s="162">
        <v>332</v>
      </c>
      <c r="AB1207" s="162" t="s">
        <v>2706</v>
      </c>
      <c r="AC1207" s="162">
        <v>375</v>
      </c>
      <c r="AD1207" s="162" t="s">
        <v>2706</v>
      </c>
      <c r="AE1207" s="162">
        <v>452</v>
      </c>
      <c r="AF1207" s="162" t="s">
        <v>2706</v>
      </c>
      <c r="AG1207" s="162">
        <v>438</v>
      </c>
      <c r="AH1207" s="162" t="s">
        <v>2706</v>
      </c>
      <c r="AI1207" s="162">
        <v>52</v>
      </c>
      <c r="AJ1207" s="162" t="s">
        <v>2706</v>
      </c>
      <c r="AK1207" s="162">
        <v>570</v>
      </c>
      <c r="AL1207" s="162" t="s">
        <v>2706</v>
      </c>
      <c r="AM1207" s="162">
        <v>4661</v>
      </c>
      <c r="AN1207" s="162"/>
      <c r="AP1207" s="168"/>
    </row>
    <row r="1208" spans="1:42" s="100" customFormat="1" ht="46.8" x14ac:dyDescent="0.3">
      <c r="A1208" s="161"/>
      <c r="B1208" s="167"/>
      <c r="C1208" s="98" t="s">
        <v>2708</v>
      </c>
      <c r="D1208" s="163"/>
      <c r="E1208" s="26" t="s">
        <v>48</v>
      </c>
      <c r="F1208" s="30" t="s">
        <v>49</v>
      </c>
      <c r="G1208" s="163"/>
      <c r="H1208" s="163"/>
      <c r="I1208" s="163"/>
      <c r="J1208" s="165"/>
      <c r="K1208" s="165"/>
      <c r="L1208" s="165"/>
      <c r="M1208" s="165"/>
      <c r="N1208" s="165"/>
      <c r="O1208" s="163"/>
      <c r="P1208" s="163"/>
      <c r="Q1208" s="163"/>
      <c r="R1208" s="163"/>
      <c r="S1208" s="163"/>
      <c r="T1208" s="163"/>
      <c r="U1208" s="163"/>
      <c r="V1208" s="163"/>
      <c r="W1208" s="163"/>
      <c r="X1208" s="163"/>
      <c r="Y1208" s="163"/>
      <c r="Z1208" s="163"/>
      <c r="AA1208" s="163"/>
      <c r="AB1208" s="163"/>
      <c r="AC1208" s="163"/>
      <c r="AD1208" s="163"/>
      <c r="AE1208" s="163"/>
      <c r="AF1208" s="163"/>
      <c r="AG1208" s="163"/>
      <c r="AH1208" s="163"/>
      <c r="AI1208" s="163"/>
      <c r="AJ1208" s="163"/>
      <c r="AK1208" s="163"/>
      <c r="AL1208" s="163"/>
      <c r="AM1208" s="163"/>
      <c r="AN1208" s="163"/>
      <c r="AP1208" s="169"/>
    </row>
    <row r="1209" spans="1:42" s="100" customFormat="1" ht="46.8" x14ac:dyDescent="0.3">
      <c r="A1209" s="160">
        <v>824</v>
      </c>
      <c r="B1209" s="166" t="s">
        <v>1661</v>
      </c>
      <c r="C1209" s="98" t="s">
        <v>2708</v>
      </c>
      <c r="D1209" s="162" t="s">
        <v>2712</v>
      </c>
      <c r="E1209" s="26" t="s">
        <v>144</v>
      </c>
      <c r="F1209" s="30" t="s">
        <v>49</v>
      </c>
      <c r="G1209" s="162" t="s">
        <v>2704</v>
      </c>
      <c r="H1209" s="162">
        <v>16</v>
      </c>
      <c r="I1209" s="162" t="str">
        <f t="shared" si="101"/>
        <v>с ЛН</v>
      </c>
      <c r="J1209" s="164">
        <v>3</v>
      </c>
      <c r="K1209" s="164" t="s">
        <v>528</v>
      </c>
      <c r="L1209" s="164" t="s">
        <v>528</v>
      </c>
      <c r="M1209" s="164" t="s">
        <v>2705</v>
      </c>
      <c r="N1209" s="164" t="s">
        <v>2705</v>
      </c>
      <c r="O1209" s="162">
        <v>0</v>
      </c>
      <c r="P1209" s="162" t="s">
        <v>2706</v>
      </c>
      <c r="Q1209" s="162">
        <v>0</v>
      </c>
      <c r="R1209" s="162" t="s">
        <v>2706</v>
      </c>
      <c r="S1209" s="162">
        <v>0</v>
      </c>
      <c r="T1209" s="162" t="s">
        <v>2706</v>
      </c>
      <c r="U1209" s="162">
        <v>0</v>
      </c>
      <c r="V1209" s="162" t="s">
        <v>2706</v>
      </c>
      <c r="W1209" s="162">
        <v>0</v>
      </c>
      <c r="X1209" s="162" t="s">
        <v>2706</v>
      </c>
      <c r="Y1209" s="162">
        <v>0</v>
      </c>
      <c r="Z1209" s="162" t="s">
        <v>2706</v>
      </c>
      <c r="AA1209" s="162">
        <v>0</v>
      </c>
      <c r="AB1209" s="162" t="s">
        <v>2706</v>
      </c>
      <c r="AC1209" s="162">
        <v>0</v>
      </c>
      <c r="AD1209" s="162" t="s">
        <v>2706</v>
      </c>
      <c r="AE1209" s="162">
        <v>0</v>
      </c>
      <c r="AF1209" s="162" t="s">
        <v>2706</v>
      </c>
      <c r="AG1209" s="162">
        <v>0</v>
      </c>
      <c r="AH1209" s="162" t="s">
        <v>2706</v>
      </c>
      <c r="AI1209" s="162">
        <v>0</v>
      </c>
      <c r="AJ1209" s="162" t="s">
        <v>2706</v>
      </c>
      <c r="AK1209" s="162">
        <v>0</v>
      </c>
      <c r="AL1209" s="162" t="s">
        <v>2706</v>
      </c>
      <c r="AM1209" s="162">
        <v>0</v>
      </c>
      <c r="AN1209" s="162"/>
      <c r="AP1209" s="168"/>
    </row>
    <row r="1210" spans="1:42" s="100" customFormat="1" ht="46.8" x14ac:dyDescent="0.3">
      <c r="A1210" s="161"/>
      <c r="B1210" s="167"/>
      <c r="C1210" s="98" t="s">
        <v>2708</v>
      </c>
      <c r="D1210" s="163"/>
      <c r="E1210" s="26" t="s">
        <v>48</v>
      </c>
      <c r="F1210" s="30" t="s">
        <v>49</v>
      </c>
      <c r="G1210" s="163"/>
      <c r="H1210" s="163"/>
      <c r="I1210" s="163"/>
      <c r="J1210" s="165"/>
      <c r="K1210" s="165"/>
      <c r="L1210" s="165"/>
      <c r="M1210" s="165"/>
      <c r="N1210" s="165"/>
      <c r="O1210" s="163"/>
      <c r="P1210" s="163"/>
      <c r="Q1210" s="163"/>
      <c r="R1210" s="163"/>
      <c r="S1210" s="163"/>
      <c r="T1210" s="163"/>
      <c r="U1210" s="163"/>
      <c r="V1210" s="163"/>
      <c r="W1210" s="163"/>
      <c r="X1210" s="163"/>
      <c r="Y1210" s="163"/>
      <c r="Z1210" s="163"/>
      <c r="AA1210" s="163"/>
      <c r="AB1210" s="163"/>
      <c r="AC1210" s="163"/>
      <c r="AD1210" s="163"/>
      <c r="AE1210" s="163"/>
      <c r="AF1210" s="163"/>
      <c r="AG1210" s="163"/>
      <c r="AH1210" s="163"/>
      <c r="AI1210" s="163"/>
      <c r="AJ1210" s="163"/>
      <c r="AK1210" s="163"/>
      <c r="AL1210" s="163"/>
      <c r="AM1210" s="163"/>
      <c r="AN1210" s="163"/>
      <c r="AP1210" s="169"/>
    </row>
    <row r="1211" spans="1:42" s="100" customFormat="1" ht="46.8" x14ac:dyDescent="0.3">
      <c r="A1211" s="160">
        <v>825</v>
      </c>
      <c r="B1211" s="166" t="s">
        <v>1662</v>
      </c>
      <c r="C1211" s="98" t="s">
        <v>2708</v>
      </c>
      <c r="D1211" s="162" t="s">
        <v>2712</v>
      </c>
      <c r="E1211" s="26" t="s">
        <v>144</v>
      </c>
      <c r="F1211" s="30" t="s">
        <v>49</v>
      </c>
      <c r="G1211" s="162" t="s">
        <v>2704</v>
      </c>
      <c r="H1211" s="162">
        <v>14</v>
      </c>
      <c r="I1211" s="162" t="str">
        <f t="shared" si="101"/>
        <v>с ЛН</v>
      </c>
      <c r="J1211" s="164">
        <v>3</v>
      </c>
      <c r="K1211" s="164" t="s">
        <v>528</v>
      </c>
      <c r="L1211" s="164" t="s">
        <v>528</v>
      </c>
      <c r="M1211" s="164" t="s">
        <v>2705</v>
      </c>
      <c r="N1211" s="164" t="s">
        <v>2705</v>
      </c>
      <c r="O1211" s="162">
        <v>0</v>
      </c>
      <c r="P1211" s="162" t="s">
        <v>2706</v>
      </c>
      <c r="Q1211" s="162">
        <v>0</v>
      </c>
      <c r="R1211" s="162" t="s">
        <v>2706</v>
      </c>
      <c r="S1211" s="162">
        <v>0</v>
      </c>
      <c r="T1211" s="162" t="s">
        <v>2706</v>
      </c>
      <c r="U1211" s="162">
        <v>0</v>
      </c>
      <c r="V1211" s="162" t="s">
        <v>2706</v>
      </c>
      <c r="W1211" s="162">
        <v>0</v>
      </c>
      <c r="X1211" s="162" t="s">
        <v>2706</v>
      </c>
      <c r="Y1211" s="162">
        <v>0</v>
      </c>
      <c r="Z1211" s="162" t="s">
        <v>2706</v>
      </c>
      <c r="AA1211" s="162">
        <v>0</v>
      </c>
      <c r="AB1211" s="162" t="s">
        <v>2706</v>
      </c>
      <c r="AC1211" s="162">
        <v>0</v>
      </c>
      <c r="AD1211" s="162" t="s">
        <v>2706</v>
      </c>
      <c r="AE1211" s="162">
        <v>0</v>
      </c>
      <c r="AF1211" s="162" t="s">
        <v>2706</v>
      </c>
      <c r="AG1211" s="162">
        <v>0</v>
      </c>
      <c r="AH1211" s="162" t="s">
        <v>2706</v>
      </c>
      <c r="AI1211" s="162">
        <v>0</v>
      </c>
      <c r="AJ1211" s="162" t="s">
        <v>2706</v>
      </c>
      <c r="AK1211" s="162">
        <v>0</v>
      </c>
      <c r="AL1211" s="162" t="s">
        <v>2706</v>
      </c>
      <c r="AM1211" s="162">
        <v>0</v>
      </c>
      <c r="AN1211" s="162"/>
      <c r="AP1211" s="168"/>
    </row>
    <row r="1212" spans="1:42" s="100" customFormat="1" ht="46.8" x14ac:dyDescent="0.3">
      <c r="A1212" s="161"/>
      <c r="B1212" s="167"/>
      <c r="C1212" s="98" t="s">
        <v>2708</v>
      </c>
      <c r="D1212" s="163"/>
      <c r="E1212" s="26" t="s">
        <v>48</v>
      </c>
      <c r="F1212" s="30" t="s">
        <v>49</v>
      </c>
      <c r="G1212" s="163"/>
      <c r="H1212" s="163"/>
      <c r="I1212" s="163"/>
      <c r="J1212" s="165"/>
      <c r="K1212" s="165"/>
      <c r="L1212" s="165"/>
      <c r="M1212" s="165"/>
      <c r="N1212" s="165"/>
      <c r="O1212" s="163"/>
      <c r="P1212" s="163"/>
      <c r="Q1212" s="163"/>
      <c r="R1212" s="163"/>
      <c r="S1212" s="163"/>
      <c r="T1212" s="163"/>
      <c r="U1212" s="163"/>
      <c r="V1212" s="163"/>
      <c r="W1212" s="163"/>
      <c r="X1212" s="163"/>
      <c r="Y1212" s="163"/>
      <c r="Z1212" s="163"/>
      <c r="AA1212" s="163"/>
      <c r="AB1212" s="163"/>
      <c r="AC1212" s="163"/>
      <c r="AD1212" s="163"/>
      <c r="AE1212" s="163"/>
      <c r="AF1212" s="163"/>
      <c r="AG1212" s="163"/>
      <c r="AH1212" s="163"/>
      <c r="AI1212" s="163"/>
      <c r="AJ1212" s="163"/>
      <c r="AK1212" s="163"/>
      <c r="AL1212" s="163"/>
      <c r="AM1212" s="163"/>
      <c r="AN1212" s="163"/>
      <c r="AP1212" s="169"/>
    </row>
    <row r="1213" spans="1:42" s="100" customFormat="1" ht="46.8" x14ac:dyDescent="0.3">
      <c r="A1213" s="160">
        <v>826</v>
      </c>
      <c r="B1213" s="166" t="s">
        <v>1663</v>
      </c>
      <c r="C1213" s="98" t="s">
        <v>2708</v>
      </c>
      <c r="D1213" s="162" t="s">
        <v>2712</v>
      </c>
      <c r="E1213" s="26" t="s">
        <v>144</v>
      </c>
      <c r="F1213" s="30" t="s">
        <v>49</v>
      </c>
      <c r="G1213" s="162" t="s">
        <v>2704</v>
      </c>
      <c r="H1213" s="162">
        <v>18</v>
      </c>
      <c r="I1213" s="162" t="str">
        <f t="shared" si="101"/>
        <v>с ЛН</v>
      </c>
      <c r="J1213" s="164">
        <v>4</v>
      </c>
      <c r="K1213" s="164" t="s">
        <v>528</v>
      </c>
      <c r="L1213" s="164" t="s">
        <v>528</v>
      </c>
      <c r="M1213" s="164" t="s">
        <v>2705</v>
      </c>
      <c r="N1213" s="164" t="s">
        <v>2705</v>
      </c>
      <c r="O1213" s="162">
        <v>575</v>
      </c>
      <c r="P1213" s="162" t="s">
        <v>2706</v>
      </c>
      <c r="Q1213" s="162">
        <v>579</v>
      </c>
      <c r="R1213" s="162" t="s">
        <v>2706</v>
      </c>
      <c r="S1213" s="162">
        <v>173</v>
      </c>
      <c r="T1213" s="162" t="s">
        <v>2706</v>
      </c>
      <c r="U1213" s="162">
        <v>319</v>
      </c>
      <c r="V1213" s="162" t="s">
        <v>2706</v>
      </c>
      <c r="W1213" s="162">
        <v>511</v>
      </c>
      <c r="X1213" s="162" t="s">
        <v>2706</v>
      </c>
      <c r="Y1213" s="162">
        <v>542</v>
      </c>
      <c r="Z1213" s="162" t="s">
        <v>2706</v>
      </c>
      <c r="AA1213" s="162">
        <v>5</v>
      </c>
      <c r="AB1213" s="162" t="s">
        <v>2706</v>
      </c>
      <c r="AC1213" s="162">
        <v>11</v>
      </c>
      <c r="AD1213" s="162" t="s">
        <v>2706</v>
      </c>
      <c r="AE1213" s="162">
        <v>0</v>
      </c>
      <c r="AF1213" s="162" t="s">
        <v>2706</v>
      </c>
      <c r="AG1213" s="162">
        <v>0</v>
      </c>
      <c r="AH1213" s="162" t="s">
        <v>2706</v>
      </c>
      <c r="AI1213" s="162">
        <v>717</v>
      </c>
      <c r="AJ1213" s="162" t="s">
        <v>2706</v>
      </c>
      <c r="AK1213" s="162">
        <v>100</v>
      </c>
      <c r="AL1213" s="162" t="s">
        <v>2706</v>
      </c>
      <c r="AM1213" s="162">
        <v>3521</v>
      </c>
      <c r="AN1213" s="162"/>
      <c r="AP1213" s="168"/>
    </row>
    <row r="1214" spans="1:42" s="100" customFormat="1" ht="46.8" x14ac:dyDescent="0.3">
      <c r="A1214" s="161"/>
      <c r="B1214" s="167"/>
      <c r="C1214" s="98" t="s">
        <v>2708</v>
      </c>
      <c r="D1214" s="163"/>
      <c r="E1214" s="26" t="s">
        <v>48</v>
      </c>
      <c r="F1214" s="30" t="s">
        <v>49</v>
      </c>
      <c r="G1214" s="163"/>
      <c r="H1214" s="163"/>
      <c r="I1214" s="163"/>
      <c r="J1214" s="165"/>
      <c r="K1214" s="165"/>
      <c r="L1214" s="165"/>
      <c r="M1214" s="165"/>
      <c r="N1214" s="165"/>
      <c r="O1214" s="163"/>
      <c r="P1214" s="163"/>
      <c r="Q1214" s="163"/>
      <c r="R1214" s="163"/>
      <c r="S1214" s="163"/>
      <c r="T1214" s="163"/>
      <c r="U1214" s="163"/>
      <c r="V1214" s="163"/>
      <c r="W1214" s="163"/>
      <c r="X1214" s="163"/>
      <c r="Y1214" s="163"/>
      <c r="Z1214" s="163"/>
      <c r="AA1214" s="163"/>
      <c r="AB1214" s="163"/>
      <c r="AC1214" s="163"/>
      <c r="AD1214" s="163"/>
      <c r="AE1214" s="163"/>
      <c r="AF1214" s="163"/>
      <c r="AG1214" s="163"/>
      <c r="AH1214" s="163"/>
      <c r="AI1214" s="163"/>
      <c r="AJ1214" s="163"/>
      <c r="AK1214" s="163"/>
      <c r="AL1214" s="163"/>
      <c r="AM1214" s="163"/>
      <c r="AN1214" s="163"/>
      <c r="AP1214" s="169"/>
    </row>
    <row r="1215" spans="1:42" s="100" customFormat="1" ht="46.8" x14ac:dyDescent="0.3">
      <c r="A1215" s="160">
        <v>827</v>
      </c>
      <c r="B1215" s="166" t="s">
        <v>1665</v>
      </c>
      <c r="C1215" s="98" t="s">
        <v>2708</v>
      </c>
      <c r="D1215" s="162" t="s">
        <v>2712</v>
      </c>
      <c r="E1215" s="26" t="s">
        <v>144</v>
      </c>
      <c r="F1215" s="30" t="s">
        <v>49</v>
      </c>
      <c r="G1215" s="162"/>
      <c r="H1215" s="162"/>
      <c r="I1215" s="162"/>
      <c r="J1215" s="164"/>
      <c r="K1215" s="164" t="s">
        <v>528</v>
      </c>
      <c r="L1215" s="164" t="s">
        <v>528</v>
      </c>
      <c r="M1215" s="164" t="s">
        <v>2705</v>
      </c>
      <c r="N1215" s="164" t="s">
        <v>2705</v>
      </c>
      <c r="O1215" s="162">
        <v>436</v>
      </c>
      <c r="P1215" s="162" t="s">
        <v>2706</v>
      </c>
      <c r="Q1215" s="162">
        <v>616</v>
      </c>
      <c r="R1215" s="162" t="s">
        <v>2706</v>
      </c>
      <c r="S1215" s="162">
        <v>349</v>
      </c>
      <c r="T1215" s="162" t="s">
        <v>2706</v>
      </c>
      <c r="U1215" s="162">
        <v>366</v>
      </c>
      <c r="V1215" s="162" t="s">
        <v>2706</v>
      </c>
      <c r="W1215" s="162">
        <v>424</v>
      </c>
      <c r="X1215" s="162" t="s">
        <v>2706</v>
      </c>
      <c r="Y1215" s="162">
        <v>310</v>
      </c>
      <c r="Z1215" s="162" t="s">
        <v>2706</v>
      </c>
      <c r="AA1215" s="162">
        <v>229</v>
      </c>
      <c r="AB1215" s="162" t="s">
        <v>2706</v>
      </c>
      <c r="AC1215" s="162">
        <v>351</v>
      </c>
      <c r="AD1215" s="162" t="s">
        <v>2706</v>
      </c>
      <c r="AE1215" s="162">
        <v>447</v>
      </c>
      <c r="AF1215" s="162" t="s">
        <v>2706</v>
      </c>
      <c r="AG1215" s="162">
        <v>299</v>
      </c>
      <c r="AH1215" s="162" t="s">
        <v>2706</v>
      </c>
      <c r="AI1215" s="162">
        <v>397</v>
      </c>
      <c r="AJ1215" s="162" t="s">
        <v>2706</v>
      </c>
      <c r="AK1215" s="162">
        <v>583</v>
      </c>
      <c r="AL1215" s="162" t="s">
        <v>2706</v>
      </c>
      <c r="AM1215" s="162">
        <v>4456</v>
      </c>
      <c r="AN1215" s="162"/>
      <c r="AP1215" s="168"/>
    </row>
    <row r="1216" spans="1:42" s="100" customFormat="1" ht="46.8" x14ac:dyDescent="0.3">
      <c r="A1216" s="161"/>
      <c r="B1216" s="167"/>
      <c r="C1216" s="98" t="s">
        <v>2708</v>
      </c>
      <c r="D1216" s="163"/>
      <c r="E1216" s="26" t="s">
        <v>48</v>
      </c>
      <c r="F1216" s="30" t="s">
        <v>49</v>
      </c>
      <c r="G1216" s="163"/>
      <c r="H1216" s="163"/>
      <c r="I1216" s="163"/>
      <c r="J1216" s="165"/>
      <c r="K1216" s="165"/>
      <c r="L1216" s="165"/>
      <c r="M1216" s="165"/>
      <c r="N1216" s="165"/>
      <c r="O1216" s="163"/>
      <c r="P1216" s="163"/>
      <c r="Q1216" s="163"/>
      <c r="R1216" s="163"/>
      <c r="S1216" s="163"/>
      <c r="T1216" s="163"/>
      <c r="U1216" s="163"/>
      <c r="V1216" s="163"/>
      <c r="W1216" s="163"/>
      <c r="X1216" s="163"/>
      <c r="Y1216" s="163"/>
      <c r="Z1216" s="163"/>
      <c r="AA1216" s="163"/>
      <c r="AB1216" s="163"/>
      <c r="AC1216" s="163"/>
      <c r="AD1216" s="163"/>
      <c r="AE1216" s="163"/>
      <c r="AF1216" s="163"/>
      <c r="AG1216" s="163"/>
      <c r="AH1216" s="163"/>
      <c r="AI1216" s="163"/>
      <c r="AJ1216" s="163"/>
      <c r="AK1216" s="163"/>
      <c r="AL1216" s="163"/>
      <c r="AM1216" s="163"/>
      <c r="AN1216" s="163"/>
      <c r="AP1216" s="169"/>
    </row>
    <row r="1217" spans="1:42" s="100" customFormat="1" ht="46.8" x14ac:dyDescent="0.3">
      <c r="A1217" s="160">
        <v>828</v>
      </c>
      <c r="B1217" s="166" t="s">
        <v>1667</v>
      </c>
      <c r="C1217" s="98" t="s">
        <v>2708</v>
      </c>
      <c r="D1217" s="162" t="s">
        <v>2712</v>
      </c>
      <c r="E1217" s="26" t="s">
        <v>144</v>
      </c>
      <c r="F1217" s="30" t="s">
        <v>49</v>
      </c>
      <c r="G1217" s="162" t="s">
        <v>2707</v>
      </c>
      <c r="H1217" s="162">
        <v>28</v>
      </c>
      <c r="I1217" s="162" t="s">
        <v>2707</v>
      </c>
      <c r="J1217" s="164">
        <v>6</v>
      </c>
      <c r="K1217" s="164" t="s">
        <v>528</v>
      </c>
      <c r="L1217" s="164" t="s">
        <v>528</v>
      </c>
      <c r="M1217" s="164" t="s">
        <v>2705</v>
      </c>
      <c r="N1217" s="164" t="s">
        <v>2705</v>
      </c>
      <c r="O1217" s="162">
        <v>198</v>
      </c>
      <c r="P1217" s="162" t="s">
        <v>2706</v>
      </c>
      <c r="Q1217" s="162">
        <v>355</v>
      </c>
      <c r="R1217" s="162" t="s">
        <v>2706</v>
      </c>
      <c r="S1217" s="162">
        <v>172</v>
      </c>
      <c r="T1217" s="162" t="s">
        <v>2706</v>
      </c>
      <c r="U1217" s="162">
        <v>157</v>
      </c>
      <c r="V1217" s="162" t="s">
        <v>2706</v>
      </c>
      <c r="W1217" s="162">
        <v>250</v>
      </c>
      <c r="X1217" s="162" t="s">
        <v>2706</v>
      </c>
      <c r="Y1217" s="162">
        <v>193</v>
      </c>
      <c r="Z1217" s="162" t="s">
        <v>2706</v>
      </c>
      <c r="AA1217" s="162">
        <v>193</v>
      </c>
      <c r="AB1217" s="162" t="s">
        <v>2706</v>
      </c>
      <c r="AC1217" s="162">
        <v>194</v>
      </c>
      <c r="AD1217" s="162" t="s">
        <v>2706</v>
      </c>
      <c r="AE1217" s="162">
        <v>162</v>
      </c>
      <c r="AF1217" s="162" t="s">
        <v>2706</v>
      </c>
      <c r="AG1217" s="162">
        <v>146</v>
      </c>
      <c r="AH1217" s="162" t="s">
        <v>2706</v>
      </c>
      <c r="AI1217" s="162">
        <v>179</v>
      </c>
      <c r="AJ1217" s="162" t="s">
        <v>2706</v>
      </c>
      <c r="AK1217" s="162">
        <v>290</v>
      </c>
      <c r="AL1217" s="162" t="s">
        <v>2706</v>
      </c>
      <c r="AM1217" s="162">
        <v>2295</v>
      </c>
      <c r="AN1217" s="162"/>
      <c r="AP1217" s="168"/>
    </row>
    <row r="1218" spans="1:42" s="100" customFormat="1" ht="46.8" x14ac:dyDescent="0.3">
      <c r="A1218" s="161"/>
      <c r="B1218" s="167"/>
      <c r="C1218" s="98" t="s">
        <v>2708</v>
      </c>
      <c r="D1218" s="163"/>
      <c r="E1218" s="26" t="s">
        <v>48</v>
      </c>
      <c r="F1218" s="30" t="s">
        <v>49</v>
      </c>
      <c r="G1218" s="163"/>
      <c r="H1218" s="163"/>
      <c r="I1218" s="163"/>
      <c r="J1218" s="165"/>
      <c r="K1218" s="165"/>
      <c r="L1218" s="165"/>
      <c r="M1218" s="165"/>
      <c r="N1218" s="165"/>
      <c r="O1218" s="163"/>
      <c r="P1218" s="163"/>
      <c r="Q1218" s="163"/>
      <c r="R1218" s="163"/>
      <c r="S1218" s="163"/>
      <c r="T1218" s="163"/>
      <c r="U1218" s="163"/>
      <c r="V1218" s="163"/>
      <c r="W1218" s="163"/>
      <c r="X1218" s="163"/>
      <c r="Y1218" s="163"/>
      <c r="Z1218" s="163"/>
      <c r="AA1218" s="163"/>
      <c r="AB1218" s="163"/>
      <c r="AC1218" s="163"/>
      <c r="AD1218" s="163"/>
      <c r="AE1218" s="163"/>
      <c r="AF1218" s="163"/>
      <c r="AG1218" s="163"/>
      <c r="AH1218" s="163"/>
      <c r="AI1218" s="163"/>
      <c r="AJ1218" s="163"/>
      <c r="AK1218" s="163"/>
      <c r="AL1218" s="163"/>
      <c r="AM1218" s="163"/>
      <c r="AN1218" s="163"/>
      <c r="AP1218" s="169"/>
    </row>
    <row r="1219" spans="1:42" s="100" customFormat="1" ht="46.8" x14ac:dyDescent="0.3">
      <c r="A1219" s="160">
        <v>829</v>
      </c>
      <c r="B1219" s="166" t="s">
        <v>1669</v>
      </c>
      <c r="C1219" s="98" t="s">
        <v>2708</v>
      </c>
      <c r="D1219" s="162" t="s">
        <v>2712</v>
      </c>
      <c r="E1219" s="26" t="s">
        <v>144</v>
      </c>
      <c r="F1219" s="30" t="s">
        <v>49</v>
      </c>
      <c r="G1219" s="162" t="s">
        <v>2704</v>
      </c>
      <c r="H1219" s="162">
        <v>17</v>
      </c>
      <c r="I1219" s="162" t="s">
        <v>2704</v>
      </c>
      <c r="J1219" s="164">
        <v>3</v>
      </c>
      <c r="K1219" s="164" t="s">
        <v>528</v>
      </c>
      <c r="L1219" s="164" t="s">
        <v>528</v>
      </c>
      <c r="M1219" s="164" t="s">
        <v>2705</v>
      </c>
      <c r="N1219" s="164" t="s">
        <v>2705</v>
      </c>
      <c r="O1219" s="162">
        <v>107</v>
      </c>
      <c r="P1219" s="162" t="s">
        <v>2706</v>
      </c>
      <c r="Q1219" s="162">
        <v>287</v>
      </c>
      <c r="R1219" s="162" t="s">
        <v>2706</v>
      </c>
      <c r="S1219" s="162">
        <v>163</v>
      </c>
      <c r="T1219" s="162" t="s">
        <v>2706</v>
      </c>
      <c r="U1219" s="162">
        <v>125</v>
      </c>
      <c r="V1219" s="162" t="s">
        <v>2706</v>
      </c>
      <c r="W1219" s="162">
        <v>119</v>
      </c>
      <c r="X1219" s="162" t="s">
        <v>2706</v>
      </c>
      <c r="Y1219" s="162">
        <v>145</v>
      </c>
      <c r="Z1219" s="162" t="s">
        <v>2706</v>
      </c>
      <c r="AA1219" s="162">
        <v>64</v>
      </c>
      <c r="AB1219" s="162" t="s">
        <v>2706</v>
      </c>
      <c r="AC1219" s="162">
        <v>109</v>
      </c>
      <c r="AD1219" s="162" t="s">
        <v>2706</v>
      </c>
      <c r="AE1219" s="162">
        <v>161</v>
      </c>
      <c r="AF1219" s="162" t="s">
        <v>2706</v>
      </c>
      <c r="AG1219" s="162">
        <v>157</v>
      </c>
      <c r="AH1219" s="162" t="s">
        <v>2706</v>
      </c>
      <c r="AI1219" s="162">
        <v>84</v>
      </c>
      <c r="AJ1219" s="162" t="s">
        <v>2706</v>
      </c>
      <c r="AK1219" s="162">
        <v>205</v>
      </c>
      <c r="AL1219" s="162" t="s">
        <v>2706</v>
      </c>
      <c r="AM1219" s="162">
        <v>1617</v>
      </c>
      <c r="AN1219" s="162"/>
      <c r="AP1219" s="168"/>
    </row>
    <row r="1220" spans="1:42" s="100" customFormat="1" ht="46.8" x14ac:dyDescent="0.3">
      <c r="A1220" s="161"/>
      <c r="B1220" s="167"/>
      <c r="C1220" s="98" t="s">
        <v>2708</v>
      </c>
      <c r="D1220" s="163"/>
      <c r="E1220" s="26" t="s">
        <v>48</v>
      </c>
      <c r="F1220" s="30" t="s">
        <v>49</v>
      </c>
      <c r="G1220" s="163"/>
      <c r="H1220" s="163"/>
      <c r="I1220" s="163"/>
      <c r="J1220" s="165"/>
      <c r="K1220" s="165"/>
      <c r="L1220" s="165"/>
      <c r="M1220" s="165"/>
      <c r="N1220" s="165"/>
      <c r="O1220" s="163"/>
      <c r="P1220" s="163"/>
      <c r="Q1220" s="163"/>
      <c r="R1220" s="163"/>
      <c r="S1220" s="163"/>
      <c r="T1220" s="163"/>
      <c r="U1220" s="163"/>
      <c r="V1220" s="163"/>
      <c r="W1220" s="163"/>
      <c r="X1220" s="163"/>
      <c r="Y1220" s="163"/>
      <c r="Z1220" s="163"/>
      <c r="AA1220" s="163"/>
      <c r="AB1220" s="163"/>
      <c r="AC1220" s="163"/>
      <c r="AD1220" s="163"/>
      <c r="AE1220" s="163"/>
      <c r="AF1220" s="163"/>
      <c r="AG1220" s="163"/>
      <c r="AH1220" s="163"/>
      <c r="AI1220" s="163"/>
      <c r="AJ1220" s="163"/>
      <c r="AK1220" s="163"/>
      <c r="AL1220" s="163"/>
      <c r="AM1220" s="163"/>
      <c r="AN1220" s="163"/>
      <c r="AP1220" s="169"/>
    </row>
    <row r="1221" spans="1:42" s="100" customFormat="1" ht="46.8" x14ac:dyDescent="0.3">
      <c r="A1221" s="160">
        <v>830</v>
      </c>
      <c r="B1221" s="166" t="s">
        <v>1670</v>
      </c>
      <c r="C1221" s="98" t="s">
        <v>2708</v>
      </c>
      <c r="D1221" s="162" t="s">
        <v>2712</v>
      </c>
      <c r="E1221" s="26" t="s">
        <v>144</v>
      </c>
      <c r="F1221" s="30" t="s">
        <v>49</v>
      </c>
      <c r="G1221" s="162"/>
      <c r="H1221" s="162"/>
      <c r="I1221" s="162"/>
      <c r="J1221" s="164"/>
      <c r="K1221" s="164" t="s">
        <v>528</v>
      </c>
      <c r="L1221" s="164" t="s">
        <v>528</v>
      </c>
      <c r="M1221" s="164" t="s">
        <v>2705</v>
      </c>
      <c r="N1221" s="164" t="s">
        <v>2705</v>
      </c>
      <c r="O1221" s="162">
        <v>189</v>
      </c>
      <c r="P1221" s="162" t="s">
        <v>2706</v>
      </c>
      <c r="Q1221" s="162">
        <v>201</v>
      </c>
      <c r="R1221" s="162" t="s">
        <v>2706</v>
      </c>
      <c r="S1221" s="162">
        <v>282</v>
      </c>
      <c r="T1221" s="162" t="s">
        <v>2706</v>
      </c>
      <c r="U1221" s="162">
        <v>159</v>
      </c>
      <c r="V1221" s="162" t="s">
        <v>2706</v>
      </c>
      <c r="W1221" s="162">
        <v>177</v>
      </c>
      <c r="X1221" s="162" t="s">
        <v>2706</v>
      </c>
      <c r="Y1221" s="162">
        <v>69</v>
      </c>
      <c r="Z1221" s="162" t="s">
        <v>2706</v>
      </c>
      <c r="AA1221" s="162">
        <v>32</v>
      </c>
      <c r="AB1221" s="162" t="s">
        <v>2706</v>
      </c>
      <c r="AC1221" s="162">
        <v>39</v>
      </c>
      <c r="AD1221" s="162" t="s">
        <v>2706</v>
      </c>
      <c r="AE1221" s="162">
        <v>72</v>
      </c>
      <c r="AF1221" s="162" t="s">
        <v>2706</v>
      </c>
      <c r="AG1221" s="162">
        <v>70</v>
      </c>
      <c r="AH1221" s="162" t="s">
        <v>2706</v>
      </c>
      <c r="AI1221" s="162">
        <v>762</v>
      </c>
      <c r="AJ1221" s="162" t="s">
        <v>2706</v>
      </c>
      <c r="AK1221" s="162">
        <v>224</v>
      </c>
      <c r="AL1221" s="162" t="s">
        <v>2706</v>
      </c>
      <c r="AM1221" s="162">
        <v>2237</v>
      </c>
      <c r="AN1221" s="162"/>
      <c r="AP1221" s="168"/>
    </row>
    <row r="1222" spans="1:42" s="100" customFormat="1" ht="46.8" x14ac:dyDescent="0.3">
      <c r="A1222" s="161"/>
      <c r="B1222" s="167"/>
      <c r="C1222" s="98" t="s">
        <v>2708</v>
      </c>
      <c r="D1222" s="163"/>
      <c r="E1222" s="26" t="s">
        <v>48</v>
      </c>
      <c r="F1222" s="30" t="s">
        <v>49</v>
      </c>
      <c r="G1222" s="163"/>
      <c r="H1222" s="163"/>
      <c r="I1222" s="163"/>
      <c r="J1222" s="165"/>
      <c r="K1222" s="165"/>
      <c r="L1222" s="165"/>
      <c r="M1222" s="165"/>
      <c r="N1222" s="165"/>
      <c r="O1222" s="163"/>
      <c r="P1222" s="163"/>
      <c r="Q1222" s="163"/>
      <c r="R1222" s="163"/>
      <c r="S1222" s="163"/>
      <c r="T1222" s="163"/>
      <c r="U1222" s="163"/>
      <c r="V1222" s="163"/>
      <c r="W1222" s="163"/>
      <c r="X1222" s="163"/>
      <c r="Y1222" s="163"/>
      <c r="Z1222" s="163"/>
      <c r="AA1222" s="163"/>
      <c r="AB1222" s="163"/>
      <c r="AC1222" s="163"/>
      <c r="AD1222" s="163"/>
      <c r="AE1222" s="163"/>
      <c r="AF1222" s="163"/>
      <c r="AG1222" s="163"/>
      <c r="AH1222" s="163"/>
      <c r="AI1222" s="163"/>
      <c r="AJ1222" s="163"/>
      <c r="AK1222" s="163"/>
      <c r="AL1222" s="163"/>
      <c r="AM1222" s="163"/>
      <c r="AN1222" s="163"/>
      <c r="AP1222" s="169"/>
    </row>
    <row r="1223" spans="1:42" s="100" customFormat="1" ht="46.8" x14ac:dyDescent="0.3">
      <c r="A1223" s="160">
        <v>831</v>
      </c>
      <c r="B1223" s="166" t="s">
        <v>1671</v>
      </c>
      <c r="C1223" s="98" t="s">
        <v>2708</v>
      </c>
      <c r="D1223" s="162" t="s">
        <v>2712</v>
      </c>
      <c r="E1223" s="26" t="s">
        <v>144</v>
      </c>
      <c r="F1223" s="30" t="s">
        <v>49</v>
      </c>
      <c r="G1223" s="162" t="s">
        <v>2704</v>
      </c>
      <c r="H1223" s="162">
        <v>37</v>
      </c>
      <c r="I1223" s="162" t="s">
        <v>2704</v>
      </c>
      <c r="J1223" s="164">
        <v>7</v>
      </c>
      <c r="K1223" s="164" t="s">
        <v>528</v>
      </c>
      <c r="L1223" s="164" t="s">
        <v>528</v>
      </c>
      <c r="M1223" s="164" t="s">
        <v>2705</v>
      </c>
      <c r="N1223" s="164" t="s">
        <v>2705</v>
      </c>
      <c r="O1223" s="162">
        <v>1227</v>
      </c>
      <c r="P1223" s="162" t="s">
        <v>2706</v>
      </c>
      <c r="Q1223" s="162">
        <v>1685</v>
      </c>
      <c r="R1223" s="162" t="s">
        <v>2706</v>
      </c>
      <c r="S1223" s="162">
        <v>860</v>
      </c>
      <c r="T1223" s="162" t="s">
        <v>2706</v>
      </c>
      <c r="U1223" s="162">
        <v>1100</v>
      </c>
      <c r="V1223" s="162" t="s">
        <v>2706</v>
      </c>
      <c r="W1223" s="162">
        <v>938</v>
      </c>
      <c r="X1223" s="162" t="s">
        <v>2706</v>
      </c>
      <c r="Y1223" s="162">
        <v>590</v>
      </c>
      <c r="Z1223" s="162" t="s">
        <v>2706</v>
      </c>
      <c r="AA1223" s="162">
        <v>395</v>
      </c>
      <c r="AB1223" s="162" t="s">
        <v>2706</v>
      </c>
      <c r="AC1223" s="162">
        <v>605</v>
      </c>
      <c r="AD1223" s="162" t="s">
        <v>2706</v>
      </c>
      <c r="AE1223" s="162">
        <v>1050</v>
      </c>
      <c r="AF1223" s="162" t="s">
        <v>2706</v>
      </c>
      <c r="AG1223" s="162">
        <v>802</v>
      </c>
      <c r="AH1223" s="162" t="s">
        <v>2706</v>
      </c>
      <c r="AI1223" s="162">
        <v>807</v>
      </c>
      <c r="AJ1223" s="162" t="s">
        <v>2706</v>
      </c>
      <c r="AK1223" s="162">
        <v>1618</v>
      </c>
      <c r="AL1223" s="162" t="s">
        <v>2706</v>
      </c>
      <c r="AM1223" s="162">
        <v>11072</v>
      </c>
      <c r="AN1223" s="162"/>
      <c r="AP1223" s="168"/>
    </row>
    <row r="1224" spans="1:42" s="100" customFormat="1" ht="46.8" x14ac:dyDescent="0.3">
      <c r="A1224" s="161"/>
      <c r="B1224" s="167"/>
      <c r="C1224" s="98" t="s">
        <v>2708</v>
      </c>
      <c r="D1224" s="163"/>
      <c r="E1224" s="26" t="s">
        <v>48</v>
      </c>
      <c r="F1224" s="30" t="s">
        <v>49</v>
      </c>
      <c r="G1224" s="163"/>
      <c r="H1224" s="163"/>
      <c r="I1224" s="163"/>
      <c r="J1224" s="165"/>
      <c r="K1224" s="165"/>
      <c r="L1224" s="165"/>
      <c r="M1224" s="165"/>
      <c r="N1224" s="165"/>
      <c r="O1224" s="163"/>
      <c r="P1224" s="163"/>
      <c r="Q1224" s="163"/>
      <c r="R1224" s="163"/>
      <c r="S1224" s="163"/>
      <c r="T1224" s="163"/>
      <c r="U1224" s="163"/>
      <c r="V1224" s="163"/>
      <c r="W1224" s="163"/>
      <c r="X1224" s="163"/>
      <c r="Y1224" s="163"/>
      <c r="Z1224" s="163"/>
      <c r="AA1224" s="163"/>
      <c r="AB1224" s="163"/>
      <c r="AC1224" s="163"/>
      <c r="AD1224" s="163"/>
      <c r="AE1224" s="163"/>
      <c r="AF1224" s="163"/>
      <c r="AG1224" s="163"/>
      <c r="AH1224" s="163"/>
      <c r="AI1224" s="163"/>
      <c r="AJ1224" s="163"/>
      <c r="AK1224" s="163"/>
      <c r="AL1224" s="163"/>
      <c r="AM1224" s="163"/>
      <c r="AN1224" s="163"/>
      <c r="AP1224" s="169"/>
    </row>
    <row r="1225" spans="1:42" s="100" customFormat="1" ht="46.8" x14ac:dyDescent="0.3">
      <c r="A1225" s="160">
        <v>832</v>
      </c>
      <c r="B1225" s="166" t="s">
        <v>1672</v>
      </c>
      <c r="C1225" s="98" t="s">
        <v>2708</v>
      </c>
      <c r="D1225" s="162" t="s">
        <v>2712</v>
      </c>
      <c r="E1225" s="26" t="s">
        <v>144</v>
      </c>
      <c r="F1225" s="30" t="s">
        <v>49</v>
      </c>
      <c r="G1225" s="162"/>
      <c r="H1225" s="162"/>
      <c r="I1225" s="162"/>
      <c r="J1225" s="164"/>
      <c r="K1225" s="164" t="s">
        <v>528</v>
      </c>
      <c r="L1225" s="164" t="s">
        <v>528</v>
      </c>
      <c r="M1225" s="164" t="s">
        <v>2705</v>
      </c>
      <c r="N1225" s="164" t="s">
        <v>2705</v>
      </c>
      <c r="O1225" s="162">
        <v>246</v>
      </c>
      <c r="P1225" s="162" t="s">
        <v>2706</v>
      </c>
      <c r="Q1225" s="162">
        <v>246</v>
      </c>
      <c r="R1225" s="162" t="s">
        <v>2706</v>
      </c>
      <c r="S1225" s="162">
        <v>246</v>
      </c>
      <c r="T1225" s="162" t="s">
        <v>2706</v>
      </c>
      <c r="U1225" s="162">
        <v>246</v>
      </c>
      <c r="V1225" s="162" t="s">
        <v>2706</v>
      </c>
      <c r="W1225" s="162">
        <v>246</v>
      </c>
      <c r="X1225" s="162" t="s">
        <v>2706</v>
      </c>
      <c r="Y1225" s="162">
        <v>807</v>
      </c>
      <c r="Z1225" s="162" t="s">
        <v>2706</v>
      </c>
      <c r="AA1225" s="162">
        <v>807</v>
      </c>
      <c r="AB1225" s="162" t="s">
        <v>2706</v>
      </c>
      <c r="AC1225" s="162">
        <v>807</v>
      </c>
      <c r="AD1225" s="162" t="s">
        <v>2706</v>
      </c>
      <c r="AE1225" s="162">
        <v>807</v>
      </c>
      <c r="AF1225" s="162" t="s">
        <v>2706</v>
      </c>
      <c r="AG1225" s="162">
        <v>807</v>
      </c>
      <c r="AH1225" s="162" t="s">
        <v>2706</v>
      </c>
      <c r="AI1225" s="162">
        <v>720</v>
      </c>
      <c r="AJ1225" s="162" t="s">
        <v>2706</v>
      </c>
      <c r="AK1225" s="162">
        <v>807</v>
      </c>
      <c r="AL1225" s="162" t="s">
        <v>2706</v>
      </c>
      <c r="AM1225" s="162">
        <v>5985</v>
      </c>
      <c r="AN1225" s="162"/>
      <c r="AP1225" s="168"/>
    </row>
    <row r="1226" spans="1:42" s="100" customFormat="1" ht="46.8" x14ac:dyDescent="0.3">
      <c r="A1226" s="161"/>
      <c r="B1226" s="167"/>
      <c r="C1226" s="98" t="s">
        <v>2708</v>
      </c>
      <c r="D1226" s="163"/>
      <c r="E1226" s="26" t="s">
        <v>48</v>
      </c>
      <c r="F1226" s="30" t="s">
        <v>49</v>
      </c>
      <c r="G1226" s="163"/>
      <c r="H1226" s="163"/>
      <c r="I1226" s="163"/>
      <c r="J1226" s="165"/>
      <c r="K1226" s="165"/>
      <c r="L1226" s="165"/>
      <c r="M1226" s="165"/>
      <c r="N1226" s="165"/>
      <c r="O1226" s="163"/>
      <c r="P1226" s="163"/>
      <c r="Q1226" s="163"/>
      <c r="R1226" s="163"/>
      <c r="S1226" s="163"/>
      <c r="T1226" s="163"/>
      <c r="U1226" s="163"/>
      <c r="V1226" s="163"/>
      <c r="W1226" s="163"/>
      <c r="X1226" s="163"/>
      <c r="Y1226" s="163"/>
      <c r="Z1226" s="163"/>
      <c r="AA1226" s="163"/>
      <c r="AB1226" s="163"/>
      <c r="AC1226" s="163"/>
      <c r="AD1226" s="163"/>
      <c r="AE1226" s="163"/>
      <c r="AF1226" s="163"/>
      <c r="AG1226" s="163"/>
      <c r="AH1226" s="163"/>
      <c r="AI1226" s="163"/>
      <c r="AJ1226" s="163"/>
      <c r="AK1226" s="163"/>
      <c r="AL1226" s="163"/>
      <c r="AM1226" s="163"/>
      <c r="AN1226" s="163"/>
      <c r="AP1226" s="169"/>
    </row>
    <row r="1227" spans="1:42" s="100" customFormat="1" ht="46.8" x14ac:dyDescent="0.3">
      <c r="A1227" s="160">
        <v>833</v>
      </c>
      <c r="B1227" s="166" t="s">
        <v>1674</v>
      </c>
      <c r="C1227" s="98" t="s">
        <v>2708</v>
      </c>
      <c r="D1227" s="162" t="s">
        <v>2712</v>
      </c>
      <c r="E1227" s="26" t="s">
        <v>144</v>
      </c>
      <c r="F1227" s="30" t="s">
        <v>49</v>
      </c>
      <c r="G1227" s="162" t="s">
        <v>2704</v>
      </c>
      <c r="H1227" s="162">
        <v>20</v>
      </c>
      <c r="I1227" s="162" t="s">
        <v>2704</v>
      </c>
      <c r="J1227" s="164">
        <v>4</v>
      </c>
      <c r="K1227" s="164" t="s">
        <v>528</v>
      </c>
      <c r="L1227" s="164" t="s">
        <v>528</v>
      </c>
      <c r="M1227" s="164" t="s">
        <v>2705</v>
      </c>
      <c r="N1227" s="164" t="s">
        <v>2705</v>
      </c>
      <c r="O1227" s="162">
        <v>213</v>
      </c>
      <c r="P1227" s="162" t="s">
        <v>2706</v>
      </c>
      <c r="Q1227" s="162">
        <v>282</v>
      </c>
      <c r="R1227" s="162" t="s">
        <v>2706</v>
      </c>
      <c r="S1227" s="162">
        <v>150</v>
      </c>
      <c r="T1227" s="162" t="s">
        <v>2706</v>
      </c>
      <c r="U1227" s="162">
        <v>151</v>
      </c>
      <c r="V1227" s="162" t="s">
        <v>2706</v>
      </c>
      <c r="W1227" s="162">
        <v>182</v>
      </c>
      <c r="X1227" s="162" t="s">
        <v>2706</v>
      </c>
      <c r="Y1227" s="162">
        <v>161</v>
      </c>
      <c r="Z1227" s="162" t="s">
        <v>2706</v>
      </c>
      <c r="AA1227" s="162">
        <v>0</v>
      </c>
      <c r="AB1227" s="162" t="s">
        <v>2706</v>
      </c>
      <c r="AC1227" s="162">
        <v>57</v>
      </c>
      <c r="AD1227" s="162" t="s">
        <v>2706</v>
      </c>
      <c r="AE1227" s="162">
        <v>152</v>
      </c>
      <c r="AF1227" s="162" t="s">
        <v>2706</v>
      </c>
      <c r="AG1227" s="162">
        <v>132</v>
      </c>
      <c r="AH1227" s="162" t="s">
        <v>2706</v>
      </c>
      <c r="AI1227" s="162">
        <v>0</v>
      </c>
      <c r="AJ1227" s="162" t="s">
        <v>2706</v>
      </c>
      <c r="AK1227" s="162">
        <v>324</v>
      </c>
      <c r="AL1227" s="162" t="s">
        <v>2706</v>
      </c>
      <c r="AM1227" s="162">
        <v>1747</v>
      </c>
      <c r="AN1227" s="162"/>
      <c r="AP1227" s="168"/>
    </row>
    <row r="1228" spans="1:42" s="100" customFormat="1" ht="46.8" x14ac:dyDescent="0.3">
      <c r="A1228" s="161"/>
      <c r="B1228" s="167"/>
      <c r="C1228" s="98" t="s">
        <v>2708</v>
      </c>
      <c r="D1228" s="163"/>
      <c r="E1228" s="26" t="s">
        <v>48</v>
      </c>
      <c r="F1228" s="30" t="s">
        <v>49</v>
      </c>
      <c r="G1228" s="163"/>
      <c r="H1228" s="163"/>
      <c r="I1228" s="163"/>
      <c r="J1228" s="165"/>
      <c r="K1228" s="165"/>
      <c r="L1228" s="165"/>
      <c r="M1228" s="165"/>
      <c r="N1228" s="165"/>
      <c r="O1228" s="163"/>
      <c r="P1228" s="163"/>
      <c r="Q1228" s="163"/>
      <c r="R1228" s="163"/>
      <c r="S1228" s="163"/>
      <c r="T1228" s="163"/>
      <c r="U1228" s="163"/>
      <c r="V1228" s="163"/>
      <c r="W1228" s="163"/>
      <c r="X1228" s="163"/>
      <c r="Y1228" s="163"/>
      <c r="Z1228" s="163"/>
      <c r="AA1228" s="163"/>
      <c r="AB1228" s="163"/>
      <c r="AC1228" s="163"/>
      <c r="AD1228" s="163"/>
      <c r="AE1228" s="163"/>
      <c r="AF1228" s="163"/>
      <c r="AG1228" s="163"/>
      <c r="AH1228" s="163"/>
      <c r="AI1228" s="163"/>
      <c r="AJ1228" s="163"/>
      <c r="AK1228" s="163"/>
      <c r="AL1228" s="163"/>
      <c r="AM1228" s="163"/>
      <c r="AN1228" s="163"/>
      <c r="AP1228" s="169"/>
    </row>
    <row r="1229" spans="1:42" s="100" customFormat="1" ht="46.8" x14ac:dyDescent="0.3">
      <c r="A1229" s="160">
        <v>834</v>
      </c>
      <c r="B1229" s="166" t="s">
        <v>1675</v>
      </c>
      <c r="C1229" s="98" t="s">
        <v>2708</v>
      </c>
      <c r="D1229" s="162" t="s">
        <v>2712</v>
      </c>
      <c r="E1229" s="26" t="s">
        <v>144</v>
      </c>
      <c r="F1229" s="30" t="s">
        <v>49</v>
      </c>
      <c r="G1229" s="162"/>
      <c r="H1229" s="162"/>
      <c r="I1229" s="162"/>
      <c r="J1229" s="164"/>
      <c r="K1229" s="164" t="s">
        <v>528</v>
      </c>
      <c r="L1229" s="164" t="s">
        <v>528</v>
      </c>
      <c r="M1229" s="164" t="s">
        <v>2705</v>
      </c>
      <c r="N1229" s="164" t="s">
        <v>2705</v>
      </c>
      <c r="O1229" s="162">
        <v>90</v>
      </c>
      <c r="P1229" s="162" t="s">
        <v>2706</v>
      </c>
      <c r="Q1229" s="162">
        <v>90</v>
      </c>
      <c r="R1229" s="162" t="s">
        <v>2706</v>
      </c>
      <c r="S1229" s="162">
        <v>90</v>
      </c>
      <c r="T1229" s="162" t="s">
        <v>2706</v>
      </c>
      <c r="U1229" s="162">
        <v>90</v>
      </c>
      <c r="V1229" s="162" t="s">
        <v>2706</v>
      </c>
      <c r="W1229" s="162">
        <v>90</v>
      </c>
      <c r="X1229" s="162" t="s">
        <v>2706</v>
      </c>
      <c r="Y1229" s="162">
        <v>147</v>
      </c>
      <c r="Z1229" s="162" t="s">
        <v>2706</v>
      </c>
      <c r="AA1229" s="162">
        <v>147</v>
      </c>
      <c r="AB1229" s="162" t="s">
        <v>2706</v>
      </c>
      <c r="AC1229" s="162">
        <v>147</v>
      </c>
      <c r="AD1229" s="162" t="s">
        <v>2706</v>
      </c>
      <c r="AE1229" s="162">
        <v>147</v>
      </c>
      <c r="AF1229" s="162" t="s">
        <v>2706</v>
      </c>
      <c r="AG1229" s="162">
        <v>147</v>
      </c>
      <c r="AH1229" s="162" t="s">
        <v>2706</v>
      </c>
      <c r="AI1229" s="162">
        <v>147</v>
      </c>
      <c r="AJ1229" s="162" t="s">
        <v>2706</v>
      </c>
      <c r="AK1229" s="162">
        <v>147</v>
      </c>
      <c r="AL1229" s="162" t="s">
        <v>2706</v>
      </c>
      <c r="AM1229" s="162">
        <v>1332</v>
      </c>
      <c r="AN1229" s="162"/>
      <c r="AP1229" s="168"/>
    </row>
    <row r="1230" spans="1:42" s="100" customFormat="1" ht="46.8" x14ac:dyDescent="0.3">
      <c r="A1230" s="161"/>
      <c r="B1230" s="167"/>
      <c r="C1230" s="98" t="s">
        <v>2708</v>
      </c>
      <c r="D1230" s="163"/>
      <c r="E1230" s="26" t="s">
        <v>48</v>
      </c>
      <c r="F1230" s="30" t="s">
        <v>49</v>
      </c>
      <c r="G1230" s="163"/>
      <c r="H1230" s="163"/>
      <c r="I1230" s="163"/>
      <c r="J1230" s="165"/>
      <c r="K1230" s="165"/>
      <c r="L1230" s="165"/>
      <c r="M1230" s="165"/>
      <c r="N1230" s="165"/>
      <c r="O1230" s="163"/>
      <c r="P1230" s="163"/>
      <c r="Q1230" s="163"/>
      <c r="R1230" s="163"/>
      <c r="S1230" s="163"/>
      <c r="T1230" s="163"/>
      <c r="U1230" s="163"/>
      <c r="V1230" s="163"/>
      <c r="W1230" s="163"/>
      <c r="X1230" s="163"/>
      <c r="Y1230" s="163"/>
      <c r="Z1230" s="163"/>
      <c r="AA1230" s="163"/>
      <c r="AB1230" s="163"/>
      <c r="AC1230" s="163"/>
      <c r="AD1230" s="163"/>
      <c r="AE1230" s="163"/>
      <c r="AF1230" s="163"/>
      <c r="AG1230" s="163"/>
      <c r="AH1230" s="163"/>
      <c r="AI1230" s="163"/>
      <c r="AJ1230" s="163"/>
      <c r="AK1230" s="163"/>
      <c r="AL1230" s="163"/>
      <c r="AM1230" s="163"/>
      <c r="AN1230" s="163"/>
      <c r="AP1230" s="169"/>
    </row>
    <row r="1231" spans="1:42" s="100" customFormat="1" ht="46.8" x14ac:dyDescent="0.3">
      <c r="A1231" s="160">
        <v>835</v>
      </c>
      <c r="B1231" s="166" t="s">
        <v>1676</v>
      </c>
      <c r="C1231" s="98" t="s">
        <v>2708</v>
      </c>
      <c r="D1231" s="162" t="s">
        <v>2712</v>
      </c>
      <c r="E1231" s="26" t="s">
        <v>144</v>
      </c>
      <c r="F1231" s="30" t="s">
        <v>49</v>
      </c>
      <c r="G1231" s="162" t="s">
        <v>2704</v>
      </c>
      <c r="H1231" s="162">
        <v>18</v>
      </c>
      <c r="I1231" s="162" t="s">
        <v>2704</v>
      </c>
      <c r="J1231" s="164">
        <v>4</v>
      </c>
      <c r="K1231" s="164" t="s">
        <v>528</v>
      </c>
      <c r="L1231" s="164" t="s">
        <v>528</v>
      </c>
      <c r="M1231" s="164" t="s">
        <v>2705</v>
      </c>
      <c r="N1231" s="164" t="s">
        <v>2705</v>
      </c>
      <c r="O1231" s="162">
        <v>118</v>
      </c>
      <c r="P1231" s="162" t="s">
        <v>2706</v>
      </c>
      <c r="Q1231" s="162">
        <v>93</v>
      </c>
      <c r="R1231" s="162" t="s">
        <v>2706</v>
      </c>
      <c r="S1231" s="162">
        <v>55</v>
      </c>
      <c r="T1231" s="162" t="s">
        <v>2706</v>
      </c>
      <c r="U1231" s="162">
        <v>219</v>
      </c>
      <c r="V1231" s="162" t="s">
        <v>2706</v>
      </c>
      <c r="W1231" s="162">
        <v>67</v>
      </c>
      <c r="X1231" s="162" t="s">
        <v>2706</v>
      </c>
      <c r="Y1231" s="162">
        <v>44</v>
      </c>
      <c r="Z1231" s="162" t="s">
        <v>2706</v>
      </c>
      <c r="AA1231" s="162">
        <v>35</v>
      </c>
      <c r="AB1231" s="162" t="s">
        <v>2706</v>
      </c>
      <c r="AC1231" s="162">
        <v>56</v>
      </c>
      <c r="AD1231" s="162" t="s">
        <v>2706</v>
      </c>
      <c r="AE1231" s="162">
        <v>70</v>
      </c>
      <c r="AF1231" s="162" t="s">
        <v>2706</v>
      </c>
      <c r="AG1231" s="162">
        <v>76</v>
      </c>
      <c r="AH1231" s="162" t="s">
        <v>2706</v>
      </c>
      <c r="AI1231" s="162">
        <v>110</v>
      </c>
      <c r="AJ1231" s="162" t="s">
        <v>2706</v>
      </c>
      <c r="AK1231" s="162">
        <v>168</v>
      </c>
      <c r="AL1231" s="162" t="s">
        <v>2706</v>
      </c>
      <c r="AM1231" s="162">
        <v>1055</v>
      </c>
      <c r="AN1231" s="162"/>
      <c r="AP1231" s="168"/>
    </row>
    <row r="1232" spans="1:42" s="100" customFormat="1" ht="46.8" x14ac:dyDescent="0.3">
      <c r="A1232" s="161"/>
      <c r="B1232" s="167"/>
      <c r="C1232" s="98" t="s">
        <v>2708</v>
      </c>
      <c r="D1232" s="163"/>
      <c r="E1232" s="26" t="s">
        <v>48</v>
      </c>
      <c r="F1232" s="30" t="s">
        <v>49</v>
      </c>
      <c r="G1232" s="163"/>
      <c r="H1232" s="163"/>
      <c r="I1232" s="163"/>
      <c r="J1232" s="165"/>
      <c r="K1232" s="165"/>
      <c r="L1232" s="165"/>
      <c r="M1232" s="165"/>
      <c r="N1232" s="165"/>
      <c r="O1232" s="163"/>
      <c r="P1232" s="163"/>
      <c r="Q1232" s="163"/>
      <c r="R1232" s="163"/>
      <c r="S1232" s="163"/>
      <c r="T1232" s="163"/>
      <c r="U1232" s="163"/>
      <c r="V1232" s="163"/>
      <c r="W1232" s="163"/>
      <c r="X1232" s="163"/>
      <c r="Y1232" s="163"/>
      <c r="Z1232" s="163"/>
      <c r="AA1232" s="163"/>
      <c r="AB1232" s="163"/>
      <c r="AC1232" s="163"/>
      <c r="AD1232" s="163"/>
      <c r="AE1232" s="163"/>
      <c r="AF1232" s="163"/>
      <c r="AG1232" s="163"/>
      <c r="AH1232" s="163"/>
      <c r="AI1232" s="163"/>
      <c r="AJ1232" s="163"/>
      <c r="AK1232" s="163"/>
      <c r="AL1232" s="163"/>
      <c r="AM1232" s="163"/>
      <c r="AN1232" s="163"/>
      <c r="AP1232" s="169"/>
    </row>
    <row r="1233" spans="1:42" s="100" customFormat="1" ht="46.8" x14ac:dyDescent="0.3">
      <c r="A1233" s="160">
        <v>836</v>
      </c>
      <c r="B1233" s="166" t="s">
        <v>1677</v>
      </c>
      <c r="C1233" s="98" t="s">
        <v>2708</v>
      </c>
      <c r="D1233" s="162" t="s">
        <v>2712</v>
      </c>
      <c r="E1233" s="26" t="s">
        <v>144</v>
      </c>
      <c r="F1233" s="30" t="s">
        <v>49</v>
      </c>
      <c r="G1233" s="162" t="s">
        <v>2704</v>
      </c>
      <c r="H1233" s="162">
        <v>19</v>
      </c>
      <c r="I1233" s="162" t="str">
        <f>G1233</f>
        <v>с ЛН</v>
      </c>
      <c r="J1233" s="164">
        <v>3</v>
      </c>
      <c r="K1233" s="164" t="s">
        <v>528</v>
      </c>
      <c r="L1233" s="164" t="s">
        <v>528</v>
      </c>
      <c r="M1233" s="164" t="s">
        <v>2705</v>
      </c>
      <c r="N1233" s="164" t="s">
        <v>2705</v>
      </c>
      <c r="O1233" s="162">
        <v>281</v>
      </c>
      <c r="P1233" s="162" t="s">
        <v>2706</v>
      </c>
      <c r="Q1233" s="162">
        <v>259</v>
      </c>
      <c r="R1233" s="162" t="s">
        <v>2706</v>
      </c>
      <c r="S1233" s="162">
        <v>211</v>
      </c>
      <c r="T1233" s="162" t="s">
        <v>2706</v>
      </c>
      <c r="U1233" s="162">
        <v>264</v>
      </c>
      <c r="V1233" s="162" t="s">
        <v>2706</v>
      </c>
      <c r="W1233" s="162">
        <v>300</v>
      </c>
      <c r="X1233" s="162" t="s">
        <v>2706</v>
      </c>
      <c r="Y1233" s="162">
        <v>442</v>
      </c>
      <c r="Z1233" s="162" t="s">
        <v>2706</v>
      </c>
      <c r="AA1233" s="162">
        <v>218</v>
      </c>
      <c r="AB1233" s="162" t="s">
        <v>2706</v>
      </c>
      <c r="AC1233" s="162">
        <v>107</v>
      </c>
      <c r="AD1233" s="162" t="s">
        <v>2706</v>
      </c>
      <c r="AE1233" s="162">
        <v>306</v>
      </c>
      <c r="AF1233" s="162" t="s">
        <v>2706</v>
      </c>
      <c r="AG1233" s="162">
        <v>190</v>
      </c>
      <c r="AH1233" s="162" t="s">
        <v>2706</v>
      </c>
      <c r="AI1233" s="162">
        <v>239</v>
      </c>
      <c r="AJ1233" s="162" t="s">
        <v>2706</v>
      </c>
      <c r="AK1233" s="162">
        <v>346</v>
      </c>
      <c r="AL1233" s="162" t="s">
        <v>2706</v>
      </c>
      <c r="AM1233" s="162">
        <v>3056</v>
      </c>
      <c r="AN1233" s="162"/>
      <c r="AP1233" s="168"/>
    </row>
    <row r="1234" spans="1:42" s="100" customFormat="1" ht="46.8" x14ac:dyDescent="0.3">
      <c r="A1234" s="161"/>
      <c r="B1234" s="167"/>
      <c r="C1234" s="98" t="s">
        <v>2708</v>
      </c>
      <c r="D1234" s="163"/>
      <c r="E1234" s="26" t="s">
        <v>48</v>
      </c>
      <c r="F1234" s="30" t="s">
        <v>49</v>
      </c>
      <c r="G1234" s="163"/>
      <c r="H1234" s="163"/>
      <c r="I1234" s="163"/>
      <c r="J1234" s="165"/>
      <c r="K1234" s="165"/>
      <c r="L1234" s="165"/>
      <c r="M1234" s="165"/>
      <c r="N1234" s="165"/>
      <c r="O1234" s="163"/>
      <c r="P1234" s="163"/>
      <c r="Q1234" s="163"/>
      <c r="R1234" s="163"/>
      <c r="S1234" s="163"/>
      <c r="T1234" s="163"/>
      <c r="U1234" s="163"/>
      <c r="V1234" s="163"/>
      <c r="W1234" s="163"/>
      <c r="X1234" s="163"/>
      <c r="Y1234" s="163"/>
      <c r="Z1234" s="163"/>
      <c r="AA1234" s="163"/>
      <c r="AB1234" s="163"/>
      <c r="AC1234" s="163"/>
      <c r="AD1234" s="163"/>
      <c r="AE1234" s="163"/>
      <c r="AF1234" s="163"/>
      <c r="AG1234" s="163"/>
      <c r="AH1234" s="163"/>
      <c r="AI1234" s="163"/>
      <c r="AJ1234" s="163"/>
      <c r="AK1234" s="163"/>
      <c r="AL1234" s="163"/>
      <c r="AM1234" s="163"/>
      <c r="AN1234" s="163"/>
      <c r="AP1234" s="169"/>
    </row>
    <row r="1235" spans="1:42" s="100" customFormat="1" ht="46.8" x14ac:dyDescent="0.3">
      <c r="A1235" s="160">
        <v>837</v>
      </c>
      <c r="B1235" s="166" t="s">
        <v>1678</v>
      </c>
      <c r="C1235" s="98" t="s">
        <v>2708</v>
      </c>
      <c r="D1235" s="162" t="s">
        <v>2712</v>
      </c>
      <c r="E1235" s="26" t="s">
        <v>144</v>
      </c>
      <c r="F1235" s="30" t="s">
        <v>49</v>
      </c>
      <c r="G1235" s="162" t="s">
        <v>2704</v>
      </c>
      <c r="H1235" s="162">
        <v>20</v>
      </c>
      <c r="I1235" s="162" t="str">
        <f t="shared" ref="I1235" si="102">G1235</f>
        <v>с ЛН</v>
      </c>
      <c r="J1235" s="164">
        <v>4</v>
      </c>
      <c r="K1235" s="164" t="s">
        <v>528</v>
      </c>
      <c r="L1235" s="164" t="s">
        <v>528</v>
      </c>
      <c r="M1235" s="164" t="s">
        <v>2705</v>
      </c>
      <c r="N1235" s="164" t="s">
        <v>2705</v>
      </c>
      <c r="O1235" s="162">
        <v>188</v>
      </c>
      <c r="P1235" s="162" t="s">
        <v>2706</v>
      </c>
      <c r="Q1235" s="162">
        <v>188</v>
      </c>
      <c r="R1235" s="162" t="s">
        <v>2706</v>
      </c>
      <c r="S1235" s="162">
        <v>188</v>
      </c>
      <c r="T1235" s="162" t="s">
        <v>2706</v>
      </c>
      <c r="U1235" s="162">
        <v>188</v>
      </c>
      <c r="V1235" s="162" t="s">
        <v>2706</v>
      </c>
      <c r="W1235" s="162">
        <v>188</v>
      </c>
      <c r="X1235" s="162" t="s">
        <v>2706</v>
      </c>
      <c r="Y1235" s="162">
        <v>95</v>
      </c>
      <c r="Z1235" s="162" t="s">
        <v>2706</v>
      </c>
      <c r="AA1235" s="162">
        <v>93</v>
      </c>
      <c r="AB1235" s="162" t="s">
        <v>2706</v>
      </c>
      <c r="AC1235" s="162">
        <v>131</v>
      </c>
      <c r="AD1235" s="162" t="s">
        <v>2706</v>
      </c>
      <c r="AE1235" s="162">
        <v>180</v>
      </c>
      <c r="AF1235" s="162" t="s">
        <v>2706</v>
      </c>
      <c r="AG1235" s="162">
        <v>113</v>
      </c>
      <c r="AH1235" s="162" t="s">
        <v>2706</v>
      </c>
      <c r="AI1235" s="162">
        <v>648</v>
      </c>
      <c r="AJ1235" s="162" t="s">
        <v>2706</v>
      </c>
      <c r="AK1235" s="162">
        <v>180</v>
      </c>
      <c r="AL1235" s="162" t="s">
        <v>2706</v>
      </c>
      <c r="AM1235" s="162">
        <v>2249</v>
      </c>
      <c r="AN1235" s="162"/>
      <c r="AP1235" s="168"/>
    </row>
    <row r="1236" spans="1:42" s="100" customFormat="1" ht="46.8" x14ac:dyDescent="0.3">
      <c r="A1236" s="161"/>
      <c r="B1236" s="167"/>
      <c r="C1236" s="98" t="s">
        <v>2708</v>
      </c>
      <c r="D1236" s="163"/>
      <c r="E1236" s="26" t="s">
        <v>48</v>
      </c>
      <c r="F1236" s="30" t="s">
        <v>49</v>
      </c>
      <c r="G1236" s="163"/>
      <c r="H1236" s="163"/>
      <c r="I1236" s="163"/>
      <c r="J1236" s="165"/>
      <c r="K1236" s="165"/>
      <c r="L1236" s="165"/>
      <c r="M1236" s="165"/>
      <c r="N1236" s="165"/>
      <c r="O1236" s="163"/>
      <c r="P1236" s="163"/>
      <c r="Q1236" s="163"/>
      <c r="R1236" s="163"/>
      <c r="S1236" s="163"/>
      <c r="T1236" s="163"/>
      <c r="U1236" s="163"/>
      <c r="V1236" s="163"/>
      <c r="W1236" s="163"/>
      <c r="X1236" s="163"/>
      <c r="Y1236" s="163"/>
      <c r="Z1236" s="163"/>
      <c r="AA1236" s="163"/>
      <c r="AB1236" s="163"/>
      <c r="AC1236" s="163"/>
      <c r="AD1236" s="163"/>
      <c r="AE1236" s="163"/>
      <c r="AF1236" s="163"/>
      <c r="AG1236" s="163"/>
      <c r="AH1236" s="163"/>
      <c r="AI1236" s="163"/>
      <c r="AJ1236" s="163"/>
      <c r="AK1236" s="163"/>
      <c r="AL1236" s="163"/>
      <c r="AM1236" s="163"/>
      <c r="AN1236" s="163"/>
      <c r="AP1236" s="169"/>
    </row>
    <row r="1237" spans="1:42" s="100" customFormat="1" ht="46.8" x14ac:dyDescent="0.3">
      <c r="A1237" s="160">
        <v>838</v>
      </c>
      <c r="B1237" s="166" t="s">
        <v>1680</v>
      </c>
      <c r="C1237" s="98" t="s">
        <v>2708</v>
      </c>
      <c r="D1237" s="162" t="s">
        <v>2712</v>
      </c>
      <c r="E1237" s="26" t="s">
        <v>144</v>
      </c>
      <c r="F1237" s="30" t="s">
        <v>49</v>
      </c>
      <c r="G1237" s="162" t="s">
        <v>2704</v>
      </c>
      <c r="H1237" s="162">
        <v>42</v>
      </c>
      <c r="I1237" s="162" t="str">
        <f t="shared" ref="I1237" si="103">G1237</f>
        <v>с ЛН</v>
      </c>
      <c r="J1237" s="164">
        <v>8</v>
      </c>
      <c r="K1237" s="164" t="s">
        <v>528</v>
      </c>
      <c r="L1237" s="164" t="s">
        <v>528</v>
      </c>
      <c r="M1237" s="164" t="s">
        <v>2705</v>
      </c>
      <c r="N1237" s="164" t="s">
        <v>2705</v>
      </c>
      <c r="O1237" s="162">
        <v>3577</v>
      </c>
      <c r="P1237" s="162" t="s">
        <v>2706</v>
      </c>
      <c r="Q1237" s="162">
        <v>3237</v>
      </c>
      <c r="R1237" s="162" t="s">
        <v>2706</v>
      </c>
      <c r="S1237" s="162">
        <v>2341</v>
      </c>
      <c r="T1237" s="162" t="s">
        <v>2706</v>
      </c>
      <c r="U1237" s="162">
        <v>3684</v>
      </c>
      <c r="V1237" s="162" t="s">
        <v>2706</v>
      </c>
      <c r="W1237" s="162">
        <v>3080</v>
      </c>
      <c r="X1237" s="162" t="s">
        <v>2706</v>
      </c>
      <c r="Y1237" s="162">
        <v>2750</v>
      </c>
      <c r="Z1237" s="162" t="s">
        <v>2706</v>
      </c>
      <c r="AA1237" s="162">
        <v>2316</v>
      </c>
      <c r="AB1237" s="162" t="s">
        <v>2706</v>
      </c>
      <c r="AC1237" s="162">
        <v>2314</v>
      </c>
      <c r="AD1237" s="162" t="s">
        <v>2706</v>
      </c>
      <c r="AE1237" s="162">
        <v>2823</v>
      </c>
      <c r="AF1237" s="162" t="s">
        <v>2706</v>
      </c>
      <c r="AG1237" s="162">
        <v>3140</v>
      </c>
      <c r="AH1237" s="162" t="s">
        <v>2706</v>
      </c>
      <c r="AI1237" s="162">
        <v>3836</v>
      </c>
      <c r="AJ1237" s="162" t="s">
        <v>2706</v>
      </c>
      <c r="AK1237" s="162">
        <v>3736</v>
      </c>
      <c r="AL1237" s="162" t="s">
        <v>2706</v>
      </c>
      <c r="AM1237" s="162">
        <v>34520</v>
      </c>
      <c r="AN1237" s="162"/>
      <c r="AP1237" s="168"/>
    </row>
    <row r="1238" spans="1:42" s="100" customFormat="1" ht="46.8" x14ac:dyDescent="0.3">
      <c r="A1238" s="161"/>
      <c r="B1238" s="167"/>
      <c r="C1238" s="98" t="s">
        <v>2708</v>
      </c>
      <c r="D1238" s="163"/>
      <c r="E1238" s="26" t="s">
        <v>48</v>
      </c>
      <c r="F1238" s="30" t="s">
        <v>49</v>
      </c>
      <c r="G1238" s="163"/>
      <c r="H1238" s="163"/>
      <c r="I1238" s="163"/>
      <c r="J1238" s="165"/>
      <c r="K1238" s="165"/>
      <c r="L1238" s="165"/>
      <c r="M1238" s="165"/>
      <c r="N1238" s="165"/>
      <c r="O1238" s="163"/>
      <c r="P1238" s="163"/>
      <c r="Q1238" s="163"/>
      <c r="R1238" s="163"/>
      <c r="S1238" s="163"/>
      <c r="T1238" s="163"/>
      <c r="U1238" s="163"/>
      <c r="V1238" s="163"/>
      <c r="W1238" s="163"/>
      <c r="X1238" s="163"/>
      <c r="Y1238" s="163"/>
      <c r="Z1238" s="163"/>
      <c r="AA1238" s="163"/>
      <c r="AB1238" s="163"/>
      <c r="AC1238" s="163"/>
      <c r="AD1238" s="163"/>
      <c r="AE1238" s="163"/>
      <c r="AF1238" s="163"/>
      <c r="AG1238" s="163"/>
      <c r="AH1238" s="163"/>
      <c r="AI1238" s="163"/>
      <c r="AJ1238" s="163"/>
      <c r="AK1238" s="163"/>
      <c r="AL1238" s="163"/>
      <c r="AM1238" s="163"/>
      <c r="AN1238" s="163"/>
      <c r="AP1238" s="169"/>
    </row>
    <row r="1239" spans="1:42" s="100" customFormat="1" ht="46.8" x14ac:dyDescent="0.3">
      <c r="A1239" s="160">
        <v>839</v>
      </c>
      <c r="B1239" s="166" t="s">
        <v>1681</v>
      </c>
      <c r="C1239" s="98" t="s">
        <v>2708</v>
      </c>
      <c r="D1239" s="162" t="s">
        <v>2712</v>
      </c>
      <c r="E1239" s="26" t="s">
        <v>144</v>
      </c>
      <c r="F1239" s="30" t="s">
        <v>49</v>
      </c>
      <c r="G1239" s="162" t="s">
        <v>2704</v>
      </c>
      <c r="H1239" s="162">
        <v>27</v>
      </c>
      <c r="I1239" s="162" t="str">
        <f t="shared" ref="I1239" si="104">G1239</f>
        <v>с ЛН</v>
      </c>
      <c r="J1239" s="164">
        <v>5</v>
      </c>
      <c r="K1239" s="164" t="s">
        <v>528</v>
      </c>
      <c r="L1239" s="164" t="s">
        <v>528</v>
      </c>
      <c r="M1239" s="164" t="s">
        <v>2705</v>
      </c>
      <c r="N1239" s="164" t="s">
        <v>2705</v>
      </c>
      <c r="O1239" s="162">
        <v>0</v>
      </c>
      <c r="P1239" s="162" t="s">
        <v>2706</v>
      </c>
      <c r="Q1239" s="162">
        <v>0</v>
      </c>
      <c r="R1239" s="162" t="s">
        <v>2706</v>
      </c>
      <c r="S1239" s="162">
        <v>0</v>
      </c>
      <c r="T1239" s="162" t="s">
        <v>2706</v>
      </c>
      <c r="U1239" s="162">
        <v>0</v>
      </c>
      <c r="V1239" s="162" t="s">
        <v>2706</v>
      </c>
      <c r="W1239" s="162">
        <v>0</v>
      </c>
      <c r="X1239" s="162" t="s">
        <v>2706</v>
      </c>
      <c r="Y1239" s="162">
        <v>0</v>
      </c>
      <c r="Z1239" s="162" t="s">
        <v>2706</v>
      </c>
      <c r="AA1239" s="162">
        <v>0</v>
      </c>
      <c r="AB1239" s="162" t="s">
        <v>2706</v>
      </c>
      <c r="AC1239" s="162">
        <v>0</v>
      </c>
      <c r="AD1239" s="162" t="s">
        <v>2706</v>
      </c>
      <c r="AE1239" s="162">
        <v>0</v>
      </c>
      <c r="AF1239" s="162" t="s">
        <v>2706</v>
      </c>
      <c r="AG1239" s="162">
        <v>0</v>
      </c>
      <c r="AH1239" s="162" t="s">
        <v>2706</v>
      </c>
      <c r="AI1239" s="162">
        <v>0</v>
      </c>
      <c r="AJ1239" s="162" t="s">
        <v>2706</v>
      </c>
      <c r="AK1239" s="162">
        <v>0</v>
      </c>
      <c r="AL1239" s="162" t="s">
        <v>2706</v>
      </c>
      <c r="AM1239" s="162">
        <v>0</v>
      </c>
      <c r="AN1239" s="162"/>
      <c r="AP1239" s="168"/>
    </row>
    <row r="1240" spans="1:42" s="100" customFormat="1" ht="46.8" x14ac:dyDescent="0.3">
      <c r="A1240" s="161"/>
      <c r="B1240" s="167"/>
      <c r="C1240" s="98" t="s">
        <v>2708</v>
      </c>
      <c r="D1240" s="163"/>
      <c r="E1240" s="26" t="s">
        <v>48</v>
      </c>
      <c r="F1240" s="30" t="s">
        <v>49</v>
      </c>
      <c r="G1240" s="163"/>
      <c r="H1240" s="163"/>
      <c r="I1240" s="163"/>
      <c r="J1240" s="165"/>
      <c r="K1240" s="165"/>
      <c r="L1240" s="165"/>
      <c r="M1240" s="165"/>
      <c r="N1240" s="165"/>
      <c r="O1240" s="163"/>
      <c r="P1240" s="163"/>
      <c r="Q1240" s="163"/>
      <c r="R1240" s="163"/>
      <c r="S1240" s="163"/>
      <c r="T1240" s="163"/>
      <c r="U1240" s="163"/>
      <c r="V1240" s="163"/>
      <c r="W1240" s="163"/>
      <c r="X1240" s="163"/>
      <c r="Y1240" s="163"/>
      <c r="Z1240" s="163"/>
      <c r="AA1240" s="163"/>
      <c r="AB1240" s="163"/>
      <c r="AC1240" s="163"/>
      <c r="AD1240" s="163"/>
      <c r="AE1240" s="163"/>
      <c r="AF1240" s="163"/>
      <c r="AG1240" s="163"/>
      <c r="AH1240" s="163"/>
      <c r="AI1240" s="163"/>
      <c r="AJ1240" s="163"/>
      <c r="AK1240" s="163"/>
      <c r="AL1240" s="163"/>
      <c r="AM1240" s="163"/>
      <c r="AN1240" s="163"/>
      <c r="AP1240" s="169"/>
    </row>
    <row r="1241" spans="1:42" s="100" customFormat="1" ht="46.8" x14ac:dyDescent="0.3">
      <c r="A1241" s="160">
        <v>840</v>
      </c>
      <c r="B1241" s="166" t="s">
        <v>1682</v>
      </c>
      <c r="C1241" s="98" t="s">
        <v>2708</v>
      </c>
      <c r="D1241" s="162" t="s">
        <v>2712</v>
      </c>
      <c r="E1241" s="26" t="s">
        <v>144</v>
      </c>
      <c r="F1241" s="30" t="s">
        <v>49</v>
      </c>
      <c r="G1241" s="162" t="s">
        <v>2704</v>
      </c>
      <c r="H1241" s="162">
        <v>17</v>
      </c>
      <c r="I1241" s="162" t="str">
        <f t="shared" ref="I1241" si="105">G1241</f>
        <v>с ЛН</v>
      </c>
      <c r="J1241" s="164">
        <v>3</v>
      </c>
      <c r="K1241" s="164" t="s">
        <v>528</v>
      </c>
      <c r="L1241" s="164" t="s">
        <v>528</v>
      </c>
      <c r="M1241" s="164" t="s">
        <v>2705</v>
      </c>
      <c r="N1241" s="164" t="s">
        <v>2705</v>
      </c>
      <c r="O1241" s="162">
        <v>9420</v>
      </c>
      <c r="P1241" s="162" t="s">
        <v>2706</v>
      </c>
      <c r="Q1241" s="162">
        <v>9420</v>
      </c>
      <c r="R1241" s="162" t="s">
        <v>2706</v>
      </c>
      <c r="S1241" s="162">
        <v>9420</v>
      </c>
      <c r="T1241" s="162" t="s">
        <v>2706</v>
      </c>
      <c r="U1241" s="162">
        <v>9420</v>
      </c>
      <c r="V1241" s="162" t="s">
        <v>2706</v>
      </c>
      <c r="W1241" s="162">
        <v>9420</v>
      </c>
      <c r="X1241" s="162" t="s">
        <v>2706</v>
      </c>
      <c r="Y1241" s="162">
        <v>9420</v>
      </c>
      <c r="Z1241" s="162" t="s">
        <v>2706</v>
      </c>
      <c r="AA1241" s="162">
        <v>9420</v>
      </c>
      <c r="AB1241" s="162" t="s">
        <v>2706</v>
      </c>
      <c r="AC1241" s="162">
        <v>9420</v>
      </c>
      <c r="AD1241" s="162" t="s">
        <v>2706</v>
      </c>
      <c r="AE1241" s="162">
        <v>9420</v>
      </c>
      <c r="AF1241" s="162" t="s">
        <v>2706</v>
      </c>
      <c r="AG1241" s="162">
        <v>9420</v>
      </c>
      <c r="AH1241" s="162" t="s">
        <v>2706</v>
      </c>
      <c r="AI1241" s="162">
        <v>9420</v>
      </c>
      <c r="AJ1241" s="162" t="s">
        <v>2706</v>
      </c>
      <c r="AK1241" s="162">
        <v>9420</v>
      </c>
      <c r="AL1241" s="162" t="s">
        <v>2706</v>
      </c>
      <c r="AM1241" s="162">
        <v>103620</v>
      </c>
      <c r="AN1241" s="162"/>
      <c r="AP1241" s="168"/>
    </row>
    <row r="1242" spans="1:42" s="100" customFormat="1" ht="46.8" x14ac:dyDescent="0.3">
      <c r="A1242" s="161"/>
      <c r="B1242" s="167"/>
      <c r="C1242" s="98" t="s">
        <v>2708</v>
      </c>
      <c r="D1242" s="163"/>
      <c r="E1242" s="26" t="s">
        <v>48</v>
      </c>
      <c r="F1242" s="30" t="s">
        <v>49</v>
      </c>
      <c r="G1242" s="163"/>
      <c r="H1242" s="163"/>
      <c r="I1242" s="163"/>
      <c r="J1242" s="165"/>
      <c r="K1242" s="165"/>
      <c r="L1242" s="165"/>
      <c r="M1242" s="165"/>
      <c r="N1242" s="165"/>
      <c r="O1242" s="163"/>
      <c r="P1242" s="163"/>
      <c r="Q1242" s="163"/>
      <c r="R1242" s="163"/>
      <c r="S1242" s="163"/>
      <c r="T1242" s="163"/>
      <c r="U1242" s="163"/>
      <c r="V1242" s="163"/>
      <c r="W1242" s="163"/>
      <c r="X1242" s="163"/>
      <c r="Y1242" s="163"/>
      <c r="Z1242" s="163"/>
      <c r="AA1242" s="163"/>
      <c r="AB1242" s="163"/>
      <c r="AC1242" s="163"/>
      <c r="AD1242" s="163"/>
      <c r="AE1242" s="163"/>
      <c r="AF1242" s="163"/>
      <c r="AG1242" s="163"/>
      <c r="AH1242" s="163"/>
      <c r="AI1242" s="163"/>
      <c r="AJ1242" s="163"/>
      <c r="AK1242" s="163"/>
      <c r="AL1242" s="163"/>
      <c r="AM1242" s="163"/>
      <c r="AN1242" s="163"/>
      <c r="AP1242" s="169"/>
    </row>
    <row r="1243" spans="1:42" s="100" customFormat="1" ht="46.8" x14ac:dyDescent="0.3">
      <c r="A1243" s="160">
        <v>841</v>
      </c>
      <c r="B1243" s="166" t="s">
        <v>1683</v>
      </c>
      <c r="C1243" s="98" t="s">
        <v>2708</v>
      </c>
      <c r="D1243" s="162" t="s">
        <v>2712</v>
      </c>
      <c r="E1243" s="26" t="s">
        <v>144</v>
      </c>
      <c r="F1243" s="30" t="s">
        <v>49</v>
      </c>
      <c r="G1243" s="162" t="s">
        <v>2704</v>
      </c>
      <c r="H1243" s="162">
        <v>14</v>
      </c>
      <c r="I1243" s="162" t="str">
        <f t="shared" ref="I1243" si="106">G1243</f>
        <v>с ЛН</v>
      </c>
      <c r="J1243" s="164">
        <v>3</v>
      </c>
      <c r="K1243" s="164" t="s">
        <v>528</v>
      </c>
      <c r="L1243" s="164" t="s">
        <v>528</v>
      </c>
      <c r="M1243" s="164" t="s">
        <v>2705</v>
      </c>
      <c r="N1243" s="164" t="s">
        <v>2705</v>
      </c>
      <c r="O1243" s="162">
        <v>238</v>
      </c>
      <c r="P1243" s="162" t="s">
        <v>2706</v>
      </c>
      <c r="Q1243" s="162">
        <v>230</v>
      </c>
      <c r="R1243" s="162" t="s">
        <v>2706</v>
      </c>
      <c r="S1243" s="162">
        <v>138</v>
      </c>
      <c r="T1243" s="162" t="s">
        <v>2706</v>
      </c>
      <c r="U1243" s="162">
        <v>150</v>
      </c>
      <c r="V1243" s="162" t="s">
        <v>2706</v>
      </c>
      <c r="W1243" s="162">
        <v>128</v>
      </c>
      <c r="X1243" s="162" t="s">
        <v>2706</v>
      </c>
      <c r="Y1243" s="162">
        <v>51</v>
      </c>
      <c r="Z1243" s="162" t="s">
        <v>2706</v>
      </c>
      <c r="AA1243" s="162">
        <v>42</v>
      </c>
      <c r="AB1243" s="162" t="s">
        <v>2706</v>
      </c>
      <c r="AC1243" s="162">
        <v>122</v>
      </c>
      <c r="AD1243" s="162" t="s">
        <v>2706</v>
      </c>
      <c r="AE1243" s="162">
        <v>132</v>
      </c>
      <c r="AF1243" s="162" t="s">
        <v>2706</v>
      </c>
      <c r="AG1243" s="162">
        <v>101</v>
      </c>
      <c r="AH1243" s="162" t="s">
        <v>2706</v>
      </c>
      <c r="AI1243" s="162">
        <v>188</v>
      </c>
      <c r="AJ1243" s="162" t="s">
        <v>2706</v>
      </c>
      <c r="AK1243" s="162">
        <v>170</v>
      </c>
      <c r="AL1243" s="162" t="s">
        <v>2706</v>
      </c>
      <c r="AM1243" s="162">
        <v>1568</v>
      </c>
      <c r="AN1243" s="162"/>
      <c r="AP1243" s="168"/>
    </row>
    <row r="1244" spans="1:42" s="100" customFormat="1" ht="46.8" x14ac:dyDescent="0.3">
      <c r="A1244" s="161"/>
      <c r="B1244" s="167"/>
      <c r="C1244" s="98" t="s">
        <v>2708</v>
      </c>
      <c r="D1244" s="163"/>
      <c r="E1244" s="26" t="s">
        <v>48</v>
      </c>
      <c r="F1244" s="30" t="s">
        <v>49</v>
      </c>
      <c r="G1244" s="163"/>
      <c r="H1244" s="163"/>
      <c r="I1244" s="163"/>
      <c r="J1244" s="165"/>
      <c r="K1244" s="165"/>
      <c r="L1244" s="165"/>
      <c r="M1244" s="165"/>
      <c r="N1244" s="165"/>
      <c r="O1244" s="163"/>
      <c r="P1244" s="163"/>
      <c r="Q1244" s="163"/>
      <c r="R1244" s="163"/>
      <c r="S1244" s="163"/>
      <c r="T1244" s="163"/>
      <c r="U1244" s="163"/>
      <c r="V1244" s="163"/>
      <c r="W1244" s="163"/>
      <c r="X1244" s="163"/>
      <c r="Y1244" s="163"/>
      <c r="Z1244" s="163"/>
      <c r="AA1244" s="163"/>
      <c r="AB1244" s="163"/>
      <c r="AC1244" s="163"/>
      <c r="AD1244" s="163"/>
      <c r="AE1244" s="163"/>
      <c r="AF1244" s="163"/>
      <c r="AG1244" s="163"/>
      <c r="AH1244" s="163"/>
      <c r="AI1244" s="163"/>
      <c r="AJ1244" s="163"/>
      <c r="AK1244" s="163"/>
      <c r="AL1244" s="163"/>
      <c r="AM1244" s="163"/>
      <c r="AN1244" s="163"/>
      <c r="AP1244" s="169"/>
    </row>
    <row r="1245" spans="1:42" s="100" customFormat="1" ht="46.8" x14ac:dyDescent="0.3">
      <c r="A1245" s="160">
        <v>842</v>
      </c>
      <c r="B1245" s="166" t="s">
        <v>1685</v>
      </c>
      <c r="C1245" s="98" t="s">
        <v>2708</v>
      </c>
      <c r="D1245" s="162" t="s">
        <v>2712</v>
      </c>
      <c r="E1245" s="26" t="s">
        <v>144</v>
      </c>
      <c r="F1245" s="30" t="s">
        <v>49</v>
      </c>
      <c r="G1245" s="162" t="s">
        <v>2704</v>
      </c>
      <c r="H1245" s="162">
        <v>33</v>
      </c>
      <c r="I1245" s="162" t="str">
        <f t="shared" ref="I1245" si="107">G1245</f>
        <v>с ЛН</v>
      </c>
      <c r="J1245" s="164">
        <v>5</v>
      </c>
      <c r="K1245" s="164" t="s">
        <v>528</v>
      </c>
      <c r="L1245" s="164" t="s">
        <v>528</v>
      </c>
      <c r="M1245" s="164" t="s">
        <v>2705</v>
      </c>
      <c r="N1245" s="164" t="s">
        <v>2705</v>
      </c>
      <c r="O1245" s="162">
        <v>2838</v>
      </c>
      <c r="P1245" s="162" t="s">
        <v>2706</v>
      </c>
      <c r="Q1245" s="162">
        <v>3285</v>
      </c>
      <c r="R1245" s="162" t="s">
        <v>2706</v>
      </c>
      <c r="S1245" s="162">
        <v>2286</v>
      </c>
      <c r="T1245" s="162" t="s">
        <v>2706</v>
      </c>
      <c r="U1245" s="162">
        <v>2880</v>
      </c>
      <c r="V1245" s="162" t="s">
        <v>2706</v>
      </c>
      <c r="W1245" s="162">
        <v>2145</v>
      </c>
      <c r="X1245" s="162" t="s">
        <v>2706</v>
      </c>
      <c r="Y1245" s="162">
        <v>2692</v>
      </c>
      <c r="Z1245" s="162" t="s">
        <v>2706</v>
      </c>
      <c r="AA1245" s="162">
        <v>2265</v>
      </c>
      <c r="AB1245" s="162" t="s">
        <v>2706</v>
      </c>
      <c r="AC1245" s="162">
        <v>2374</v>
      </c>
      <c r="AD1245" s="162" t="s">
        <v>2706</v>
      </c>
      <c r="AE1245" s="162">
        <v>3379</v>
      </c>
      <c r="AF1245" s="162" t="s">
        <v>2706</v>
      </c>
      <c r="AG1245" s="162">
        <v>2429</v>
      </c>
      <c r="AH1245" s="162" t="s">
        <v>2706</v>
      </c>
      <c r="AI1245" s="162">
        <v>2144</v>
      </c>
      <c r="AJ1245" s="162" t="s">
        <v>2706</v>
      </c>
      <c r="AK1245" s="162">
        <v>3150</v>
      </c>
      <c r="AL1245" s="162" t="s">
        <v>2706</v>
      </c>
      <c r="AM1245" s="162">
        <v>29493</v>
      </c>
      <c r="AN1245" s="162"/>
      <c r="AP1245" s="168"/>
    </row>
    <row r="1246" spans="1:42" s="100" customFormat="1" ht="46.8" x14ac:dyDescent="0.3">
      <c r="A1246" s="161"/>
      <c r="B1246" s="167"/>
      <c r="C1246" s="98" t="s">
        <v>2708</v>
      </c>
      <c r="D1246" s="163"/>
      <c r="E1246" s="26" t="s">
        <v>48</v>
      </c>
      <c r="F1246" s="30" t="s">
        <v>49</v>
      </c>
      <c r="G1246" s="163"/>
      <c r="H1246" s="163"/>
      <c r="I1246" s="163"/>
      <c r="J1246" s="165"/>
      <c r="K1246" s="165"/>
      <c r="L1246" s="165"/>
      <c r="M1246" s="165"/>
      <c r="N1246" s="165"/>
      <c r="O1246" s="163"/>
      <c r="P1246" s="163"/>
      <c r="Q1246" s="163"/>
      <c r="R1246" s="163"/>
      <c r="S1246" s="163"/>
      <c r="T1246" s="163"/>
      <c r="U1246" s="163"/>
      <c r="V1246" s="163"/>
      <c r="W1246" s="163"/>
      <c r="X1246" s="163"/>
      <c r="Y1246" s="163"/>
      <c r="Z1246" s="163"/>
      <c r="AA1246" s="163"/>
      <c r="AB1246" s="163"/>
      <c r="AC1246" s="163"/>
      <c r="AD1246" s="163"/>
      <c r="AE1246" s="163"/>
      <c r="AF1246" s="163"/>
      <c r="AG1246" s="163"/>
      <c r="AH1246" s="163"/>
      <c r="AI1246" s="163"/>
      <c r="AJ1246" s="163"/>
      <c r="AK1246" s="163"/>
      <c r="AL1246" s="163"/>
      <c r="AM1246" s="163"/>
      <c r="AN1246" s="163"/>
      <c r="AP1246" s="169"/>
    </row>
    <row r="1247" spans="1:42" s="100" customFormat="1" ht="46.8" x14ac:dyDescent="0.3">
      <c r="A1247" s="160">
        <v>843</v>
      </c>
      <c r="B1247" s="166" t="s">
        <v>1686</v>
      </c>
      <c r="C1247" s="98" t="s">
        <v>2708</v>
      </c>
      <c r="D1247" s="162" t="s">
        <v>2712</v>
      </c>
      <c r="E1247" s="26" t="s">
        <v>144</v>
      </c>
      <c r="F1247" s="30" t="s">
        <v>49</v>
      </c>
      <c r="G1247" s="162" t="s">
        <v>2704</v>
      </c>
      <c r="H1247" s="162">
        <v>40</v>
      </c>
      <c r="I1247" s="162" t="str">
        <f t="shared" ref="I1247" si="108">G1247</f>
        <v>с ЛН</v>
      </c>
      <c r="J1247" s="164">
        <v>6</v>
      </c>
      <c r="K1247" s="164" t="s">
        <v>528</v>
      </c>
      <c r="L1247" s="164" t="s">
        <v>528</v>
      </c>
      <c r="M1247" s="164" t="s">
        <v>2705</v>
      </c>
      <c r="N1247" s="164" t="s">
        <v>2705</v>
      </c>
      <c r="O1247" s="162">
        <v>3681</v>
      </c>
      <c r="P1247" s="162" t="s">
        <v>2706</v>
      </c>
      <c r="Q1247" s="162">
        <v>3623</v>
      </c>
      <c r="R1247" s="162" t="s">
        <v>2706</v>
      </c>
      <c r="S1247" s="162">
        <v>2292</v>
      </c>
      <c r="T1247" s="162" t="s">
        <v>2706</v>
      </c>
      <c r="U1247" s="162">
        <v>4102</v>
      </c>
      <c r="V1247" s="162" t="s">
        <v>2706</v>
      </c>
      <c r="W1247" s="162">
        <v>3565</v>
      </c>
      <c r="X1247" s="162" t="s">
        <v>2706</v>
      </c>
      <c r="Y1247" s="162">
        <v>2603</v>
      </c>
      <c r="Z1247" s="162" t="s">
        <v>2706</v>
      </c>
      <c r="AA1247" s="162">
        <v>3069</v>
      </c>
      <c r="AB1247" s="162" t="s">
        <v>2706</v>
      </c>
      <c r="AC1247" s="162">
        <v>3363</v>
      </c>
      <c r="AD1247" s="162" t="s">
        <v>2706</v>
      </c>
      <c r="AE1247" s="162">
        <v>3276</v>
      </c>
      <c r="AF1247" s="162" t="s">
        <v>2706</v>
      </c>
      <c r="AG1247" s="162">
        <v>3294</v>
      </c>
      <c r="AH1247" s="162" t="s">
        <v>2706</v>
      </c>
      <c r="AI1247" s="162">
        <v>2782</v>
      </c>
      <c r="AJ1247" s="162" t="s">
        <v>2706</v>
      </c>
      <c r="AK1247" s="162">
        <v>4224</v>
      </c>
      <c r="AL1247" s="162" t="s">
        <v>2706</v>
      </c>
      <c r="AM1247" s="162">
        <v>36511</v>
      </c>
      <c r="AN1247" s="162"/>
      <c r="AP1247" s="168"/>
    </row>
    <row r="1248" spans="1:42" s="100" customFormat="1" ht="46.8" x14ac:dyDescent="0.3">
      <c r="A1248" s="161"/>
      <c r="B1248" s="167"/>
      <c r="C1248" s="98" t="s">
        <v>2708</v>
      </c>
      <c r="D1248" s="163"/>
      <c r="E1248" s="26" t="s">
        <v>48</v>
      </c>
      <c r="F1248" s="30" t="s">
        <v>49</v>
      </c>
      <c r="G1248" s="163"/>
      <c r="H1248" s="163"/>
      <c r="I1248" s="163"/>
      <c r="J1248" s="165"/>
      <c r="K1248" s="165"/>
      <c r="L1248" s="165"/>
      <c r="M1248" s="165"/>
      <c r="N1248" s="165"/>
      <c r="O1248" s="163"/>
      <c r="P1248" s="163"/>
      <c r="Q1248" s="163"/>
      <c r="R1248" s="163"/>
      <c r="S1248" s="163"/>
      <c r="T1248" s="163"/>
      <c r="U1248" s="163"/>
      <c r="V1248" s="163"/>
      <c r="W1248" s="163"/>
      <c r="X1248" s="163"/>
      <c r="Y1248" s="163"/>
      <c r="Z1248" s="163"/>
      <c r="AA1248" s="163"/>
      <c r="AB1248" s="163"/>
      <c r="AC1248" s="163"/>
      <c r="AD1248" s="163"/>
      <c r="AE1248" s="163"/>
      <c r="AF1248" s="163"/>
      <c r="AG1248" s="163"/>
      <c r="AH1248" s="163"/>
      <c r="AI1248" s="163"/>
      <c r="AJ1248" s="163"/>
      <c r="AK1248" s="163"/>
      <c r="AL1248" s="163"/>
      <c r="AM1248" s="163"/>
      <c r="AN1248" s="163"/>
      <c r="AP1248" s="169"/>
    </row>
    <row r="1249" spans="1:42" s="100" customFormat="1" ht="46.8" x14ac:dyDescent="0.3">
      <c r="A1249" s="160">
        <v>844</v>
      </c>
      <c r="B1249" s="166" t="s">
        <v>1688</v>
      </c>
      <c r="C1249" s="98" t="s">
        <v>2708</v>
      </c>
      <c r="D1249" s="162" t="s">
        <v>2712</v>
      </c>
      <c r="E1249" s="26" t="s">
        <v>144</v>
      </c>
      <c r="F1249" s="30" t="s">
        <v>49</v>
      </c>
      <c r="G1249" s="162" t="s">
        <v>2704</v>
      </c>
      <c r="H1249" s="162">
        <v>42</v>
      </c>
      <c r="I1249" s="162" t="str">
        <f t="shared" ref="I1249" si="109">G1249</f>
        <v>с ЛН</v>
      </c>
      <c r="J1249" s="164">
        <v>7</v>
      </c>
      <c r="K1249" s="164" t="s">
        <v>528</v>
      </c>
      <c r="L1249" s="164" t="s">
        <v>528</v>
      </c>
      <c r="M1249" s="164" t="s">
        <v>2705</v>
      </c>
      <c r="N1249" s="164" t="s">
        <v>2705</v>
      </c>
      <c r="O1249" s="162">
        <v>0</v>
      </c>
      <c r="P1249" s="162" t="s">
        <v>2706</v>
      </c>
      <c r="Q1249" s="162">
        <v>0</v>
      </c>
      <c r="R1249" s="162" t="s">
        <v>2706</v>
      </c>
      <c r="S1249" s="162">
        <v>0</v>
      </c>
      <c r="T1249" s="162" t="s">
        <v>2706</v>
      </c>
      <c r="U1249" s="162">
        <v>0</v>
      </c>
      <c r="V1249" s="162" t="s">
        <v>2706</v>
      </c>
      <c r="W1249" s="162">
        <v>0</v>
      </c>
      <c r="X1249" s="162" t="s">
        <v>2706</v>
      </c>
      <c r="Y1249" s="162">
        <v>0</v>
      </c>
      <c r="Z1249" s="162" t="s">
        <v>2706</v>
      </c>
      <c r="AA1249" s="162">
        <v>42</v>
      </c>
      <c r="AB1249" s="162" t="s">
        <v>2706</v>
      </c>
      <c r="AC1249" s="162" t="s">
        <v>2624</v>
      </c>
      <c r="AD1249" s="162" t="s">
        <v>2706</v>
      </c>
      <c r="AE1249" s="162" t="s">
        <v>2624</v>
      </c>
      <c r="AF1249" s="162" t="s">
        <v>2706</v>
      </c>
      <c r="AG1249" s="162">
        <v>132</v>
      </c>
      <c r="AH1249" s="162" t="s">
        <v>2706</v>
      </c>
      <c r="AI1249" s="162">
        <v>134</v>
      </c>
      <c r="AJ1249" s="162" t="s">
        <v>2706</v>
      </c>
      <c r="AK1249" s="162">
        <v>181</v>
      </c>
      <c r="AL1249" s="162" t="s">
        <v>2706</v>
      </c>
      <c r="AM1249" s="162">
        <v>489</v>
      </c>
      <c r="AN1249" s="162"/>
      <c r="AP1249" s="168"/>
    </row>
    <row r="1250" spans="1:42" s="100" customFormat="1" ht="46.8" x14ac:dyDescent="0.3">
      <c r="A1250" s="161"/>
      <c r="B1250" s="167"/>
      <c r="C1250" s="98" t="s">
        <v>2708</v>
      </c>
      <c r="D1250" s="163"/>
      <c r="E1250" s="26" t="s">
        <v>48</v>
      </c>
      <c r="F1250" s="30" t="s">
        <v>49</v>
      </c>
      <c r="G1250" s="163"/>
      <c r="H1250" s="163"/>
      <c r="I1250" s="163"/>
      <c r="J1250" s="165"/>
      <c r="K1250" s="165"/>
      <c r="L1250" s="165"/>
      <c r="M1250" s="165"/>
      <c r="N1250" s="165"/>
      <c r="O1250" s="163"/>
      <c r="P1250" s="163"/>
      <c r="Q1250" s="163"/>
      <c r="R1250" s="163"/>
      <c r="S1250" s="163"/>
      <c r="T1250" s="163"/>
      <c r="U1250" s="163"/>
      <c r="V1250" s="163"/>
      <c r="W1250" s="163"/>
      <c r="X1250" s="163"/>
      <c r="Y1250" s="163"/>
      <c r="Z1250" s="163"/>
      <c r="AA1250" s="163"/>
      <c r="AB1250" s="163"/>
      <c r="AC1250" s="163"/>
      <c r="AD1250" s="163"/>
      <c r="AE1250" s="163"/>
      <c r="AF1250" s="163"/>
      <c r="AG1250" s="163"/>
      <c r="AH1250" s="163"/>
      <c r="AI1250" s="163"/>
      <c r="AJ1250" s="163"/>
      <c r="AK1250" s="163"/>
      <c r="AL1250" s="163"/>
      <c r="AM1250" s="163"/>
      <c r="AN1250" s="163"/>
      <c r="AP1250" s="169"/>
    </row>
    <row r="1251" spans="1:42" s="100" customFormat="1" ht="46.8" x14ac:dyDescent="0.3">
      <c r="A1251" s="160">
        <v>845</v>
      </c>
      <c r="B1251" s="166" t="s">
        <v>1689</v>
      </c>
      <c r="C1251" s="98" t="s">
        <v>2708</v>
      </c>
      <c r="D1251" s="162" t="s">
        <v>2712</v>
      </c>
      <c r="E1251" s="26" t="s">
        <v>144</v>
      </c>
      <c r="F1251" s="30" t="s">
        <v>49</v>
      </c>
      <c r="G1251" s="162" t="s">
        <v>2704</v>
      </c>
      <c r="H1251" s="162">
        <v>22</v>
      </c>
      <c r="I1251" s="162" t="str">
        <f t="shared" ref="I1251" si="110">G1251</f>
        <v>с ЛН</v>
      </c>
      <c r="J1251" s="164">
        <v>4</v>
      </c>
      <c r="K1251" s="164" t="s">
        <v>528</v>
      </c>
      <c r="L1251" s="164" t="s">
        <v>528</v>
      </c>
      <c r="M1251" s="164" t="s">
        <v>2705</v>
      </c>
      <c r="N1251" s="164" t="s">
        <v>2705</v>
      </c>
      <c r="O1251" s="162">
        <v>368</v>
      </c>
      <c r="P1251" s="162" t="s">
        <v>2706</v>
      </c>
      <c r="Q1251" s="162">
        <v>352</v>
      </c>
      <c r="R1251" s="162" t="s">
        <v>2706</v>
      </c>
      <c r="S1251" s="162">
        <v>282</v>
      </c>
      <c r="T1251" s="162" t="s">
        <v>2706</v>
      </c>
      <c r="U1251" s="162">
        <v>238</v>
      </c>
      <c r="V1251" s="162" t="s">
        <v>2706</v>
      </c>
      <c r="W1251" s="162">
        <v>766</v>
      </c>
      <c r="X1251" s="162" t="s">
        <v>2706</v>
      </c>
      <c r="Y1251" s="162">
        <v>139</v>
      </c>
      <c r="Z1251" s="162" t="s">
        <v>2706</v>
      </c>
      <c r="AA1251" s="162">
        <v>146</v>
      </c>
      <c r="AB1251" s="162" t="s">
        <v>2706</v>
      </c>
      <c r="AC1251" s="162">
        <v>298</v>
      </c>
      <c r="AD1251" s="162" t="s">
        <v>2706</v>
      </c>
      <c r="AE1251" s="162">
        <v>696</v>
      </c>
      <c r="AF1251" s="162" t="s">
        <v>2706</v>
      </c>
      <c r="AG1251" s="162">
        <v>1352</v>
      </c>
      <c r="AH1251" s="162" t="s">
        <v>2706</v>
      </c>
      <c r="AI1251" s="162">
        <v>726</v>
      </c>
      <c r="AJ1251" s="162" t="s">
        <v>2706</v>
      </c>
      <c r="AK1251" s="162">
        <v>1433</v>
      </c>
      <c r="AL1251" s="162" t="s">
        <v>2706</v>
      </c>
      <c r="AM1251" s="162">
        <v>6498</v>
      </c>
      <c r="AN1251" s="162"/>
      <c r="AP1251" s="168"/>
    </row>
    <row r="1252" spans="1:42" s="100" customFormat="1" ht="46.8" x14ac:dyDescent="0.3">
      <c r="A1252" s="161"/>
      <c r="B1252" s="167"/>
      <c r="C1252" s="98" t="s">
        <v>2708</v>
      </c>
      <c r="D1252" s="163"/>
      <c r="E1252" s="26" t="s">
        <v>48</v>
      </c>
      <c r="F1252" s="30" t="s">
        <v>49</v>
      </c>
      <c r="G1252" s="163"/>
      <c r="H1252" s="163"/>
      <c r="I1252" s="163"/>
      <c r="J1252" s="165"/>
      <c r="K1252" s="165"/>
      <c r="L1252" s="165"/>
      <c r="M1252" s="165"/>
      <c r="N1252" s="165"/>
      <c r="O1252" s="163"/>
      <c r="P1252" s="163"/>
      <c r="Q1252" s="163"/>
      <c r="R1252" s="163"/>
      <c r="S1252" s="163"/>
      <c r="T1252" s="163"/>
      <c r="U1252" s="163"/>
      <c r="V1252" s="163"/>
      <c r="W1252" s="163"/>
      <c r="X1252" s="163"/>
      <c r="Y1252" s="163"/>
      <c r="Z1252" s="163"/>
      <c r="AA1252" s="163"/>
      <c r="AB1252" s="163"/>
      <c r="AC1252" s="163"/>
      <c r="AD1252" s="163"/>
      <c r="AE1252" s="163"/>
      <c r="AF1252" s="163"/>
      <c r="AG1252" s="163"/>
      <c r="AH1252" s="163"/>
      <c r="AI1252" s="163"/>
      <c r="AJ1252" s="163"/>
      <c r="AK1252" s="163"/>
      <c r="AL1252" s="163"/>
      <c r="AM1252" s="163"/>
      <c r="AN1252" s="163"/>
      <c r="AP1252" s="169"/>
    </row>
    <row r="1253" spans="1:42" s="100" customFormat="1" ht="46.8" x14ac:dyDescent="0.3">
      <c r="A1253" s="160">
        <v>846</v>
      </c>
      <c r="B1253" s="166" t="s">
        <v>1690</v>
      </c>
      <c r="C1253" s="98" t="s">
        <v>2708</v>
      </c>
      <c r="D1253" s="162" t="s">
        <v>2712</v>
      </c>
      <c r="E1253" s="26" t="s">
        <v>144</v>
      </c>
      <c r="F1253" s="30" t="s">
        <v>49</v>
      </c>
      <c r="G1253" s="162" t="s">
        <v>2704</v>
      </c>
      <c r="H1253" s="162">
        <v>42</v>
      </c>
      <c r="I1253" s="162" t="str">
        <f t="shared" ref="I1253" si="111">G1253</f>
        <v>с ЛН</v>
      </c>
      <c r="J1253" s="164">
        <v>8</v>
      </c>
      <c r="K1253" s="164" t="s">
        <v>528</v>
      </c>
      <c r="L1253" s="164" t="s">
        <v>528</v>
      </c>
      <c r="M1253" s="164" t="s">
        <v>2705</v>
      </c>
      <c r="N1253" s="164" t="s">
        <v>2705</v>
      </c>
      <c r="O1253" s="162">
        <v>3101</v>
      </c>
      <c r="P1253" s="162" t="s">
        <v>2706</v>
      </c>
      <c r="Q1253" s="162">
        <v>3760</v>
      </c>
      <c r="R1253" s="162" t="s">
        <v>2706</v>
      </c>
      <c r="S1253" s="162">
        <v>2770</v>
      </c>
      <c r="T1253" s="162" t="s">
        <v>2706</v>
      </c>
      <c r="U1253" s="162">
        <v>4025</v>
      </c>
      <c r="V1253" s="162" t="s">
        <v>2706</v>
      </c>
      <c r="W1253" s="162">
        <v>2640</v>
      </c>
      <c r="X1253" s="162" t="s">
        <v>2706</v>
      </c>
      <c r="Y1253" s="162">
        <v>1621</v>
      </c>
      <c r="Z1253" s="162" t="s">
        <v>2706</v>
      </c>
      <c r="AA1253" s="162">
        <v>1184</v>
      </c>
      <c r="AB1253" s="162" t="s">
        <v>2706</v>
      </c>
      <c r="AC1253" s="162">
        <v>1744</v>
      </c>
      <c r="AD1253" s="162" t="s">
        <v>2706</v>
      </c>
      <c r="AE1253" s="162">
        <v>1850</v>
      </c>
      <c r="AF1253" s="162" t="s">
        <v>2706</v>
      </c>
      <c r="AG1253" s="162">
        <v>2930</v>
      </c>
      <c r="AH1253" s="162" t="s">
        <v>2706</v>
      </c>
      <c r="AI1253" s="162">
        <v>1140</v>
      </c>
      <c r="AJ1253" s="162" t="s">
        <v>2706</v>
      </c>
      <c r="AK1253" s="162">
        <v>1946</v>
      </c>
      <c r="AL1253" s="162" t="s">
        <v>2706</v>
      </c>
      <c r="AM1253" s="162">
        <v>26967</v>
      </c>
      <c r="AN1253" s="162"/>
      <c r="AP1253" s="168"/>
    </row>
    <row r="1254" spans="1:42" s="100" customFormat="1" ht="46.8" x14ac:dyDescent="0.3">
      <c r="A1254" s="161"/>
      <c r="B1254" s="167"/>
      <c r="C1254" s="98" t="s">
        <v>2708</v>
      </c>
      <c r="D1254" s="163"/>
      <c r="E1254" s="26" t="s">
        <v>48</v>
      </c>
      <c r="F1254" s="30" t="s">
        <v>49</v>
      </c>
      <c r="G1254" s="163"/>
      <c r="H1254" s="163"/>
      <c r="I1254" s="163"/>
      <c r="J1254" s="165"/>
      <c r="K1254" s="165"/>
      <c r="L1254" s="165"/>
      <c r="M1254" s="165"/>
      <c r="N1254" s="165"/>
      <c r="O1254" s="163"/>
      <c r="P1254" s="163"/>
      <c r="Q1254" s="163"/>
      <c r="R1254" s="163"/>
      <c r="S1254" s="163"/>
      <c r="T1254" s="163"/>
      <c r="U1254" s="163"/>
      <c r="V1254" s="163"/>
      <c r="W1254" s="163"/>
      <c r="X1254" s="163"/>
      <c r="Y1254" s="163"/>
      <c r="Z1254" s="163"/>
      <c r="AA1254" s="163"/>
      <c r="AB1254" s="163"/>
      <c r="AC1254" s="163"/>
      <c r="AD1254" s="163"/>
      <c r="AE1254" s="163"/>
      <c r="AF1254" s="163"/>
      <c r="AG1254" s="163"/>
      <c r="AH1254" s="163"/>
      <c r="AI1254" s="163"/>
      <c r="AJ1254" s="163"/>
      <c r="AK1254" s="163"/>
      <c r="AL1254" s="163"/>
      <c r="AM1254" s="163"/>
      <c r="AN1254" s="163"/>
      <c r="AP1254" s="169"/>
    </row>
    <row r="1255" spans="1:42" s="100" customFormat="1" ht="46.8" x14ac:dyDescent="0.3">
      <c r="A1255" s="160">
        <v>847</v>
      </c>
      <c r="B1255" s="166" t="s">
        <v>1691</v>
      </c>
      <c r="C1255" s="98" t="s">
        <v>2708</v>
      </c>
      <c r="D1255" s="162" t="s">
        <v>2712</v>
      </c>
      <c r="E1255" s="26" t="s">
        <v>144</v>
      </c>
      <c r="F1255" s="30" t="s">
        <v>49</v>
      </c>
      <c r="G1255" s="162" t="s">
        <v>2704</v>
      </c>
      <c r="H1255" s="162">
        <v>27</v>
      </c>
      <c r="I1255" s="162" t="str">
        <f t="shared" ref="I1255" si="112">G1255</f>
        <v>с ЛН</v>
      </c>
      <c r="J1255" s="164">
        <v>5</v>
      </c>
      <c r="K1255" s="164" t="s">
        <v>528</v>
      </c>
      <c r="L1255" s="164" t="s">
        <v>528</v>
      </c>
      <c r="M1255" s="164" t="s">
        <v>2705</v>
      </c>
      <c r="N1255" s="164" t="s">
        <v>2705</v>
      </c>
      <c r="O1255" s="162">
        <v>0</v>
      </c>
      <c r="P1255" s="162" t="s">
        <v>2706</v>
      </c>
      <c r="Q1255" s="162">
        <v>0</v>
      </c>
      <c r="R1255" s="162" t="s">
        <v>2706</v>
      </c>
      <c r="S1255" s="162">
        <v>0</v>
      </c>
      <c r="T1255" s="162" t="s">
        <v>2706</v>
      </c>
      <c r="U1255" s="162">
        <v>0</v>
      </c>
      <c r="V1255" s="162" t="s">
        <v>2706</v>
      </c>
      <c r="W1255" s="162">
        <v>0</v>
      </c>
      <c r="X1255" s="162" t="s">
        <v>2706</v>
      </c>
      <c r="Y1255" s="162">
        <v>0</v>
      </c>
      <c r="Z1255" s="162" t="s">
        <v>2706</v>
      </c>
      <c r="AA1255" s="162">
        <v>0</v>
      </c>
      <c r="AB1255" s="162" t="s">
        <v>2706</v>
      </c>
      <c r="AC1255" s="162">
        <v>0</v>
      </c>
      <c r="AD1255" s="162" t="s">
        <v>2706</v>
      </c>
      <c r="AE1255" s="162">
        <v>0</v>
      </c>
      <c r="AF1255" s="162" t="s">
        <v>2706</v>
      </c>
      <c r="AG1255" s="162">
        <v>0</v>
      </c>
      <c r="AH1255" s="162" t="s">
        <v>2706</v>
      </c>
      <c r="AI1255" s="162">
        <v>0</v>
      </c>
      <c r="AJ1255" s="162" t="s">
        <v>2706</v>
      </c>
      <c r="AK1255" s="162">
        <v>0</v>
      </c>
      <c r="AL1255" s="162" t="s">
        <v>2706</v>
      </c>
      <c r="AM1255" s="162">
        <v>0</v>
      </c>
      <c r="AN1255" s="162"/>
      <c r="AP1255" s="168"/>
    </row>
    <row r="1256" spans="1:42" s="100" customFormat="1" ht="46.8" x14ac:dyDescent="0.3">
      <c r="A1256" s="161"/>
      <c r="B1256" s="167"/>
      <c r="C1256" s="98" t="s">
        <v>2708</v>
      </c>
      <c r="D1256" s="163"/>
      <c r="E1256" s="26" t="s">
        <v>48</v>
      </c>
      <c r="F1256" s="30" t="s">
        <v>49</v>
      </c>
      <c r="G1256" s="163"/>
      <c r="H1256" s="163"/>
      <c r="I1256" s="163"/>
      <c r="J1256" s="165"/>
      <c r="K1256" s="165"/>
      <c r="L1256" s="165"/>
      <c r="M1256" s="165"/>
      <c r="N1256" s="165"/>
      <c r="O1256" s="163"/>
      <c r="P1256" s="163"/>
      <c r="Q1256" s="163"/>
      <c r="R1256" s="163"/>
      <c r="S1256" s="163"/>
      <c r="T1256" s="163"/>
      <c r="U1256" s="163"/>
      <c r="V1256" s="163"/>
      <c r="W1256" s="163"/>
      <c r="X1256" s="163"/>
      <c r="Y1256" s="163"/>
      <c r="Z1256" s="163"/>
      <c r="AA1256" s="163"/>
      <c r="AB1256" s="163"/>
      <c r="AC1256" s="163"/>
      <c r="AD1256" s="163"/>
      <c r="AE1256" s="163"/>
      <c r="AF1256" s="163"/>
      <c r="AG1256" s="163"/>
      <c r="AH1256" s="163"/>
      <c r="AI1256" s="163"/>
      <c r="AJ1256" s="163"/>
      <c r="AK1256" s="163"/>
      <c r="AL1256" s="163"/>
      <c r="AM1256" s="163"/>
      <c r="AN1256" s="163"/>
      <c r="AP1256" s="169"/>
    </row>
    <row r="1257" spans="1:42" s="100" customFormat="1" ht="46.8" x14ac:dyDescent="0.3">
      <c r="A1257" s="160">
        <v>848</v>
      </c>
      <c r="B1257" s="166" t="s">
        <v>1692</v>
      </c>
      <c r="C1257" s="98" t="s">
        <v>2708</v>
      </c>
      <c r="D1257" s="162" t="s">
        <v>2712</v>
      </c>
      <c r="E1257" s="26" t="s">
        <v>144</v>
      </c>
      <c r="F1257" s="30" t="s">
        <v>49</v>
      </c>
      <c r="G1257" s="162" t="s">
        <v>2704</v>
      </c>
      <c r="H1257" s="162">
        <v>32</v>
      </c>
      <c r="I1257" s="162" t="str">
        <f t="shared" ref="I1257" si="113">G1257</f>
        <v>с ЛН</v>
      </c>
      <c r="J1257" s="164">
        <v>6</v>
      </c>
      <c r="K1257" s="164" t="s">
        <v>528</v>
      </c>
      <c r="L1257" s="164" t="s">
        <v>528</v>
      </c>
      <c r="M1257" s="164" t="s">
        <v>2705</v>
      </c>
      <c r="N1257" s="164" t="s">
        <v>2705</v>
      </c>
      <c r="O1257" s="162">
        <v>109</v>
      </c>
      <c r="P1257" s="162" t="s">
        <v>2706</v>
      </c>
      <c r="Q1257" s="162">
        <v>136</v>
      </c>
      <c r="R1257" s="162" t="s">
        <v>2706</v>
      </c>
      <c r="S1257" s="162">
        <v>229</v>
      </c>
      <c r="T1257" s="162" t="s">
        <v>2706</v>
      </c>
      <c r="U1257" s="162">
        <v>345</v>
      </c>
      <c r="V1257" s="162" t="s">
        <v>2706</v>
      </c>
      <c r="W1257" s="162">
        <v>204</v>
      </c>
      <c r="X1257" s="162" t="s">
        <v>2706</v>
      </c>
      <c r="Y1257" s="162">
        <v>446</v>
      </c>
      <c r="Z1257" s="162" t="s">
        <v>2706</v>
      </c>
      <c r="AA1257" s="162">
        <v>360</v>
      </c>
      <c r="AB1257" s="162" t="s">
        <v>2706</v>
      </c>
      <c r="AC1257" s="162">
        <v>450</v>
      </c>
      <c r="AD1257" s="162" t="s">
        <v>2706</v>
      </c>
      <c r="AE1257" s="162">
        <v>406</v>
      </c>
      <c r="AF1257" s="162" t="s">
        <v>2706</v>
      </c>
      <c r="AG1257" s="162">
        <v>533</v>
      </c>
      <c r="AH1257" s="162" t="s">
        <v>2706</v>
      </c>
      <c r="AI1257" s="162">
        <v>2559</v>
      </c>
      <c r="AJ1257" s="162" t="s">
        <v>2706</v>
      </c>
      <c r="AK1257" s="162">
        <v>640</v>
      </c>
      <c r="AL1257" s="162" t="s">
        <v>2706</v>
      </c>
      <c r="AM1257" s="162">
        <v>5967</v>
      </c>
      <c r="AN1257" s="162"/>
      <c r="AP1257" s="168"/>
    </row>
    <row r="1258" spans="1:42" s="100" customFormat="1" ht="46.8" x14ac:dyDescent="0.3">
      <c r="A1258" s="161"/>
      <c r="B1258" s="167"/>
      <c r="C1258" s="98" t="s">
        <v>2708</v>
      </c>
      <c r="D1258" s="163"/>
      <c r="E1258" s="26" t="s">
        <v>48</v>
      </c>
      <c r="F1258" s="30" t="s">
        <v>49</v>
      </c>
      <c r="G1258" s="163"/>
      <c r="H1258" s="163"/>
      <c r="I1258" s="163"/>
      <c r="J1258" s="165"/>
      <c r="K1258" s="165"/>
      <c r="L1258" s="165"/>
      <c r="M1258" s="165"/>
      <c r="N1258" s="165"/>
      <c r="O1258" s="163"/>
      <c r="P1258" s="163"/>
      <c r="Q1258" s="163"/>
      <c r="R1258" s="163"/>
      <c r="S1258" s="163"/>
      <c r="T1258" s="163"/>
      <c r="U1258" s="163"/>
      <c r="V1258" s="163"/>
      <c r="W1258" s="163"/>
      <c r="X1258" s="163"/>
      <c r="Y1258" s="163"/>
      <c r="Z1258" s="163"/>
      <c r="AA1258" s="163"/>
      <c r="AB1258" s="163"/>
      <c r="AC1258" s="163"/>
      <c r="AD1258" s="163"/>
      <c r="AE1258" s="163"/>
      <c r="AF1258" s="163"/>
      <c r="AG1258" s="163"/>
      <c r="AH1258" s="163"/>
      <c r="AI1258" s="163"/>
      <c r="AJ1258" s="163"/>
      <c r="AK1258" s="163"/>
      <c r="AL1258" s="163"/>
      <c r="AM1258" s="163"/>
      <c r="AN1258" s="163"/>
      <c r="AP1258" s="169"/>
    </row>
    <row r="1259" spans="1:42" s="100" customFormat="1" ht="46.8" x14ac:dyDescent="0.3">
      <c r="A1259" s="160">
        <v>849</v>
      </c>
      <c r="B1259" s="166" t="s">
        <v>1693</v>
      </c>
      <c r="C1259" s="98" t="s">
        <v>2708</v>
      </c>
      <c r="D1259" s="162" t="s">
        <v>2712</v>
      </c>
      <c r="E1259" s="26" t="s">
        <v>144</v>
      </c>
      <c r="F1259" s="30" t="s">
        <v>49</v>
      </c>
      <c r="G1259" s="162" t="s">
        <v>2704</v>
      </c>
      <c r="H1259" s="162">
        <v>36</v>
      </c>
      <c r="I1259" s="162" t="str">
        <f t="shared" ref="I1259" si="114">G1259</f>
        <v>с ЛН</v>
      </c>
      <c r="J1259" s="164">
        <v>6</v>
      </c>
      <c r="K1259" s="164" t="s">
        <v>528</v>
      </c>
      <c r="L1259" s="164" t="s">
        <v>528</v>
      </c>
      <c r="M1259" s="164" t="s">
        <v>2705</v>
      </c>
      <c r="N1259" s="164" t="s">
        <v>2705</v>
      </c>
      <c r="O1259" s="162">
        <v>744</v>
      </c>
      <c r="P1259" s="162" t="s">
        <v>2706</v>
      </c>
      <c r="Q1259" s="162">
        <v>793</v>
      </c>
      <c r="R1259" s="162" t="s">
        <v>2706</v>
      </c>
      <c r="S1259" s="162">
        <v>687</v>
      </c>
      <c r="T1259" s="162" t="s">
        <v>2706</v>
      </c>
      <c r="U1259" s="162">
        <v>747</v>
      </c>
      <c r="V1259" s="162" t="s">
        <v>2706</v>
      </c>
      <c r="W1259" s="162">
        <v>680</v>
      </c>
      <c r="X1259" s="162" t="s">
        <v>2706</v>
      </c>
      <c r="Y1259" s="162">
        <v>738</v>
      </c>
      <c r="Z1259" s="162" t="s">
        <v>2706</v>
      </c>
      <c r="AA1259" s="162">
        <v>511</v>
      </c>
      <c r="AB1259" s="162" t="s">
        <v>2706</v>
      </c>
      <c r="AC1259" s="162">
        <v>756</v>
      </c>
      <c r="AD1259" s="162" t="s">
        <v>2706</v>
      </c>
      <c r="AE1259" s="162">
        <v>714</v>
      </c>
      <c r="AF1259" s="162" t="s">
        <v>2706</v>
      </c>
      <c r="AG1259" s="162">
        <v>703</v>
      </c>
      <c r="AH1259" s="162" t="s">
        <v>2706</v>
      </c>
      <c r="AI1259" s="162">
        <v>753</v>
      </c>
      <c r="AJ1259" s="162" t="s">
        <v>2706</v>
      </c>
      <c r="AK1259" s="162">
        <v>966</v>
      </c>
      <c r="AL1259" s="162" t="s">
        <v>2706</v>
      </c>
      <c r="AM1259" s="162">
        <v>8036</v>
      </c>
      <c r="AN1259" s="162"/>
      <c r="AP1259" s="168"/>
    </row>
    <row r="1260" spans="1:42" s="100" customFormat="1" ht="46.8" x14ac:dyDescent="0.3">
      <c r="A1260" s="161"/>
      <c r="B1260" s="167"/>
      <c r="C1260" s="98" t="s">
        <v>2708</v>
      </c>
      <c r="D1260" s="163"/>
      <c r="E1260" s="26" t="s">
        <v>48</v>
      </c>
      <c r="F1260" s="30" t="s">
        <v>49</v>
      </c>
      <c r="G1260" s="163"/>
      <c r="H1260" s="163"/>
      <c r="I1260" s="163"/>
      <c r="J1260" s="165"/>
      <c r="K1260" s="165"/>
      <c r="L1260" s="165"/>
      <c r="M1260" s="165"/>
      <c r="N1260" s="165"/>
      <c r="O1260" s="163"/>
      <c r="P1260" s="163"/>
      <c r="Q1260" s="163"/>
      <c r="R1260" s="163"/>
      <c r="S1260" s="163"/>
      <c r="T1260" s="163"/>
      <c r="U1260" s="163"/>
      <c r="V1260" s="163"/>
      <c r="W1260" s="163"/>
      <c r="X1260" s="163"/>
      <c r="Y1260" s="163"/>
      <c r="Z1260" s="163"/>
      <c r="AA1260" s="163"/>
      <c r="AB1260" s="163"/>
      <c r="AC1260" s="163"/>
      <c r="AD1260" s="163"/>
      <c r="AE1260" s="163"/>
      <c r="AF1260" s="163"/>
      <c r="AG1260" s="163"/>
      <c r="AH1260" s="163"/>
      <c r="AI1260" s="163"/>
      <c r="AJ1260" s="163"/>
      <c r="AK1260" s="163"/>
      <c r="AL1260" s="163"/>
      <c r="AM1260" s="163"/>
      <c r="AN1260" s="163"/>
      <c r="AP1260" s="169"/>
    </row>
    <row r="1261" spans="1:42" s="100" customFormat="1" ht="46.8" x14ac:dyDescent="0.3">
      <c r="A1261" s="160">
        <v>850</v>
      </c>
      <c r="B1261" s="166" t="s">
        <v>1694</v>
      </c>
      <c r="C1261" s="98" t="s">
        <v>2708</v>
      </c>
      <c r="D1261" s="162" t="s">
        <v>2712</v>
      </c>
      <c r="E1261" s="26" t="s">
        <v>144</v>
      </c>
      <c r="F1261" s="30" t="s">
        <v>49</v>
      </c>
      <c r="G1261" s="162" t="s">
        <v>2704</v>
      </c>
      <c r="H1261" s="162">
        <v>24</v>
      </c>
      <c r="I1261" s="162" t="str">
        <f t="shared" ref="I1261" si="115">G1261</f>
        <v>с ЛН</v>
      </c>
      <c r="J1261" s="164">
        <v>5</v>
      </c>
      <c r="K1261" s="164" t="s">
        <v>528</v>
      </c>
      <c r="L1261" s="164" t="s">
        <v>528</v>
      </c>
      <c r="M1261" s="164" t="s">
        <v>2705</v>
      </c>
      <c r="N1261" s="164" t="s">
        <v>2705</v>
      </c>
      <c r="O1261" s="162">
        <v>198</v>
      </c>
      <c r="P1261" s="162" t="s">
        <v>2706</v>
      </c>
      <c r="Q1261" s="162">
        <v>242</v>
      </c>
      <c r="R1261" s="162" t="s">
        <v>2706</v>
      </c>
      <c r="S1261" s="162">
        <v>188</v>
      </c>
      <c r="T1261" s="162" t="s">
        <v>2706</v>
      </c>
      <c r="U1261" s="162">
        <v>209</v>
      </c>
      <c r="V1261" s="162" t="s">
        <v>2706</v>
      </c>
      <c r="W1261" s="162">
        <v>286</v>
      </c>
      <c r="X1261" s="162" t="s">
        <v>2706</v>
      </c>
      <c r="Y1261" s="162">
        <v>134</v>
      </c>
      <c r="Z1261" s="162" t="s">
        <v>2706</v>
      </c>
      <c r="AA1261" s="162">
        <v>212</v>
      </c>
      <c r="AB1261" s="162" t="s">
        <v>2706</v>
      </c>
      <c r="AC1261" s="162">
        <v>265</v>
      </c>
      <c r="AD1261" s="162" t="s">
        <v>2706</v>
      </c>
      <c r="AE1261" s="162">
        <v>187</v>
      </c>
      <c r="AF1261" s="162" t="s">
        <v>2706</v>
      </c>
      <c r="AG1261" s="162">
        <v>186</v>
      </c>
      <c r="AH1261" s="162" t="s">
        <v>2706</v>
      </c>
      <c r="AI1261" s="162">
        <v>195</v>
      </c>
      <c r="AJ1261" s="162" t="s">
        <v>2706</v>
      </c>
      <c r="AK1261" s="162">
        <v>339</v>
      </c>
      <c r="AL1261" s="162" t="s">
        <v>2706</v>
      </c>
      <c r="AM1261" s="162">
        <v>2376</v>
      </c>
      <c r="AN1261" s="162"/>
      <c r="AP1261" s="168"/>
    </row>
    <row r="1262" spans="1:42" s="100" customFormat="1" ht="46.8" x14ac:dyDescent="0.3">
      <c r="A1262" s="161"/>
      <c r="B1262" s="167"/>
      <c r="C1262" s="98" t="s">
        <v>2708</v>
      </c>
      <c r="D1262" s="163"/>
      <c r="E1262" s="26" t="s">
        <v>48</v>
      </c>
      <c r="F1262" s="30" t="s">
        <v>49</v>
      </c>
      <c r="G1262" s="163"/>
      <c r="H1262" s="163"/>
      <c r="I1262" s="163"/>
      <c r="J1262" s="165"/>
      <c r="K1262" s="165"/>
      <c r="L1262" s="165"/>
      <c r="M1262" s="165"/>
      <c r="N1262" s="165"/>
      <c r="O1262" s="163"/>
      <c r="P1262" s="163"/>
      <c r="Q1262" s="163"/>
      <c r="R1262" s="163"/>
      <c r="S1262" s="163"/>
      <c r="T1262" s="163"/>
      <c r="U1262" s="163"/>
      <c r="V1262" s="163"/>
      <c r="W1262" s="163"/>
      <c r="X1262" s="163"/>
      <c r="Y1262" s="163"/>
      <c r="Z1262" s="163"/>
      <c r="AA1262" s="163"/>
      <c r="AB1262" s="163"/>
      <c r="AC1262" s="163"/>
      <c r="AD1262" s="163"/>
      <c r="AE1262" s="163"/>
      <c r="AF1262" s="163"/>
      <c r="AG1262" s="163"/>
      <c r="AH1262" s="163"/>
      <c r="AI1262" s="163"/>
      <c r="AJ1262" s="163"/>
      <c r="AK1262" s="163"/>
      <c r="AL1262" s="163"/>
      <c r="AM1262" s="163"/>
      <c r="AN1262" s="163"/>
      <c r="AP1262" s="169"/>
    </row>
    <row r="1263" spans="1:42" s="100" customFormat="1" ht="46.8" x14ac:dyDescent="0.3">
      <c r="A1263" s="160">
        <v>851</v>
      </c>
      <c r="B1263" s="166" t="s">
        <v>1695</v>
      </c>
      <c r="C1263" s="98" t="s">
        <v>2708</v>
      </c>
      <c r="D1263" s="162" t="s">
        <v>2712</v>
      </c>
      <c r="E1263" s="26" t="s">
        <v>144</v>
      </c>
      <c r="F1263" s="30" t="s">
        <v>49</v>
      </c>
      <c r="G1263" s="162" t="s">
        <v>2704</v>
      </c>
      <c r="H1263" s="162">
        <v>22</v>
      </c>
      <c r="I1263" s="162" t="str">
        <f t="shared" ref="I1263" si="116">G1263</f>
        <v>с ЛН</v>
      </c>
      <c r="J1263" s="164">
        <v>4</v>
      </c>
      <c r="K1263" s="164" t="s">
        <v>528</v>
      </c>
      <c r="L1263" s="164" t="s">
        <v>528</v>
      </c>
      <c r="M1263" s="164" t="s">
        <v>2705</v>
      </c>
      <c r="N1263" s="164" t="s">
        <v>2705</v>
      </c>
      <c r="O1263" s="162">
        <v>387</v>
      </c>
      <c r="P1263" s="162" t="s">
        <v>2706</v>
      </c>
      <c r="Q1263" s="162">
        <v>298</v>
      </c>
      <c r="R1263" s="162" t="s">
        <v>2706</v>
      </c>
      <c r="S1263" s="162">
        <v>186</v>
      </c>
      <c r="T1263" s="162" t="s">
        <v>2706</v>
      </c>
      <c r="U1263" s="162">
        <v>217</v>
      </c>
      <c r="V1263" s="162" t="s">
        <v>2706</v>
      </c>
      <c r="W1263" s="162">
        <v>170</v>
      </c>
      <c r="X1263" s="162" t="s">
        <v>2706</v>
      </c>
      <c r="Y1263" s="162">
        <v>189</v>
      </c>
      <c r="Z1263" s="162" t="s">
        <v>2706</v>
      </c>
      <c r="AA1263" s="162">
        <v>164</v>
      </c>
      <c r="AB1263" s="162" t="s">
        <v>2706</v>
      </c>
      <c r="AC1263" s="162">
        <v>223</v>
      </c>
      <c r="AD1263" s="162" t="s">
        <v>2706</v>
      </c>
      <c r="AE1263" s="162">
        <v>333</v>
      </c>
      <c r="AF1263" s="162" t="s">
        <v>2706</v>
      </c>
      <c r="AG1263" s="162">
        <v>361</v>
      </c>
      <c r="AH1263" s="162" t="s">
        <v>2706</v>
      </c>
      <c r="AI1263" s="162">
        <v>829</v>
      </c>
      <c r="AJ1263" s="162" t="s">
        <v>2706</v>
      </c>
      <c r="AK1263" s="162">
        <v>537</v>
      </c>
      <c r="AL1263" s="162" t="s">
        <v>2706</v>
      </c>
      <c r="AM1263" s="162">
        <v>3671</v>
      </c>
      <c r="AN1263" s="162"/>
      <c r="AP1263" s="168"/>
    </row>
    <row r="1264" spans="1:42" s="100" customFormat="1" ht="46.8" x14ac:dyDescent="0.3">
      <c r="A1264" s="161"/>
      <c r="B1264" s="167"/>
      <c r="C1264" s="98" t="s">
        <v>2708</v>
      </c>
      <c r="D1264" s="163"/>
      <c r="E1264" s="26" t="s">
        <v>48</v>
      </c>
      <c r="F1264" s="30" t="s">
        <v>49</v>
      </c>
      <c r="G1264" s="163"/>
      <c r="H1264" s="163"/>
      <c r="I1264" s="163"/>
      <c r="J1264" s="165"/>
      <c r="K1264" s="165"/>
      <c r="L1264" s="165"/>
      <c r="M1264" s="165"/>
      <c r="N1264" s="165"/>
      <c r="O1264" s="163"/>
      <c r="P1264" s="163"/>
      <c r="Q1264" s="163"/>
      <c r="R1264" s="163"/>
      <c r="S1264" s="163"/>
      <c r="T1264" s="163"/>
      <c r="U1264" s="163"/>
      <c r="V1264" s="163"/>
      <c r="W1264" s="163"/>
      <c r="X1264" s="163"/>
      <c r="Y1264" s="163"/>
      <c r="Z1264" s="163"/>
      <c r="AA1264" s="163"/>
      <c r="AB1264" s="163"/>
      <c r="AC1264" s="163"/>
      <c r="AD1264" s="163"/>
      <c r="AE1264" s="163"/>
      <c r="AF1264" s="163"/>
      <c r="AG1264" s="163"/>
      <c r="AH1264" s="163"/>
      <c r="AI1264" s="163"/>
      <c r="AJ1264" s="163"/>
      <c r="AK1264" s="163"/>
      <c r="AL1264" s="163"/>
      <c r="AM1264" s="163"/>
      <c r="AN1264" s="163"/>
      <c r="AP1264" s="169"/>
    </row>
    <row r="1265" spans="1:42" s="100" customFormat="1" ht="46.8" x14ac:dyDescent="0.3">
      <c r="A1265" s="160">
        <v>852</v>
      </c>
      <c r="B1265" s="166" t="s">
        <v>1697</v>
      </c>
      <c r="C1265" s="98" t="s">
        <v>2708</v>
      </c>
      <c r="D1265" s="162" t="s">
        <v>2712</v>
      </c>
      <c r="E1265" s="26" t="s">
        <v>144</v>
      </c>
      <c r="F1265" s="30" t="s">
        <v>49</v>
      </c>
      <c r="G1265" s="162" t="s">
        <v>2704</v>
      </c>
      <c r="H1265" s="162">
        <v>30</v>
      </c>
      <c r="I1265" s="162" t="str">
        <f t="shared" ref="I1265" si="117">G1265</f>
        <v>с ЛН</v>
      </c>
      <c r="J1265" s="164">
        <v>5</v>
      </c>
      <c r="K1265" s="164" t="s">
        <v>528</v>
      </c>
      <c r="L1265" s="164" t="s">
        <v>528</v>
      </c>
      <c r="M1265" s="164" t="s">
        <v>2705</v>
      </c>
      <c r="N1265" s="164" t="s">
        <v>2705</v>
      </c>
      <c r="O1265" s="162">
        <v>1161</v>
      </c>
      <c r="P1265" s="162" t="s">
        <v>2706</v>
      </c>
      <c r="Q1265" s="162">
        <v>973</v>
      </c>
      <c r="R1265" s="162" t="s">
        <v>2706</v>
      </c>
      <c r="S1265" s="162">
        <v>822</v>
      </c>
      <c r="T1265" s="162" t="s">
        <v>2706</v>
      </c>
      <c r="U1265" s="162">
        <v>1101</v>
      </c>
      <c r="V1265" s="162" t="s">
        <v>2706</v>
      </c>
      <c r="W1265" s="162">
        <v>859</v>
      </c>
      <c r="X1265" s="162" t="s">
        <v>2706</v>
      </c>
      <c r="Y1265" s="162">
        <v>1076</v>
      </c>
      <c r="Z1265" s="162" t="s">
        <v>2706</v>
      </c>
      <c r="AA1265" s="162">
        <v>803</v>
      </c>
      <c r="AB1265" s="162" t="s">
        <v>2706</v>
      </c>
      <c r="AC1265" s="162">
        <v>933</v>
      </c>
      <c r="AD1265" s="162" t="s">
        <v>2706</v>
      </c>
      <c r="AE1265" s="162">
        <v>1012</v>
      </c>
      <c r="AF1265" s="162" t="s">
        <v>2706</v>
      </c>
      <c r="AG1265" s="162">
        <v>907</v>
      </c>
      <c r="AH1265" s="162" t="s">
        <v>2706</v>
      </c>
      <c r="AI1265" s="162">
        <v>238</v>
      </c>
      <c r="AJ1265" s="162" t="s">
        <v>2706</v>
      </c>
      <c r="AK1265" s="162">
        <v>1092</v>
      </c>
      <c r="AL1265" s="162" t="s">
        <v>2706</v>
      </c>
      <c r="AM1265" s="162">
        <v>10044</v>
      </c>
      <c r="AN1265" s="162"/>
      <c r="AP1265" s="168"/>
    </row>
    <row r="1266" spans="1:42" s="100" customFormat="1" ht="46.8" x14ac:dyDescent="0.3">
      <c r="A1266" s="161"/>
      <c r="B1266" s="167"/>
      <c r="C1266" s="98" t="s">
        <v>2708</v>
      </c>
      <c r="D1266" s="163"/>
      <c r="E1266" s="26" t="s">
        <v>48</v>
      </c>
      <c r="F1266" s="30" t="s">
        <v>49</v>
      </c>
      <c r="G1266" s="163"/>
      <c r="H1266" s="163"/>
      <c r="I1266" s="163"/>
      <c r="J1266" s="165"/>
      <c r="K1266" s="165"/>
      <c r="L1266" s="165"/>
      <c r="M1266" s="165"/>
      <c r="N1266" s="165"/>
      <c r="O1266" s="163"/>
      <c r="P1266" s="163"/>
      <c r="Q1266" s="163"/>
      <c r="R1266" s="163"/>
      <c r="S1266" s="163"/>
      <c r="T1266" s="163"/>
      <c r="U1266" s="163"/>
      <c r="V1266" s="163"/>
      <c r="W1266" s="163"/>
      <c r="X1266" s="163"/>
      <c r="Y1266" s="163"/>
      <c r="Z1266" s="163"/>
      <c r="AA1266" s="163"/>
      <c r="AB1266" s="163"/>
      <c r="AC1266" s="163"/>
      <c r="AD1266" s="163"/>
      <c r="AE1266" s="163"/>
      <c r="AF1266" s="163"/>
      <c r="AG1266" s="163"/>
      <c r="AH1266" s="163"/>
      <c r="AI1266" s="163"/>
      <c r="AJ1266" s="163"/>
      <c r="AK1266" s="163"/>
      <c r="AL1266" s="163"/>
      <c r="AM1266" s="163"/>
      <c r="AN1266" s="163"/>
      <c r="AP1266" s="169"/>
    </row>
    <row r="1267" spans="1:42" s="100" customFormat="1" ht="46.8" x14ac:dyDescent="0.3">
      <c r="A1267" s="160">
        <v>853</v>
      </c>
      <c r="B1267" s="166" t="s">
        <v>1698</v>
      </c>
      <c r="C1267" s="98" t="s">
        <v>2708</v>
      </c>
      <c r="D1267" s="162" t="s">
        <v>2712</v>
      </c>
      <c r="E1267" s="26" t="s">
        <v>144</v>
      </c>
      <c r="F1267" s="30" t="s">
        <v>49</v>
      </c>
      <c r="G1267" s="162" t="s">
        <v>2704</v>
      </c>
      <c r="H1267" s="162">
        <v>22</v>
      </c>
      <c r="I1267" s="162" t="str">
        <f t="shared" ref="I1267" si="118">G1267</f>
        <v>с ЛН</v>
      </c>
      <c r="J1267" s="164">
        <v>4</v>
      </c>
      <c r="K1267" s="164" t="s">
        <v>528</v>
      </c>
      <c r="L1267" s="164" t="s">
        <v>528</v>
      </c>
      <c r="M1267" s="164" t="s">
        <v>2705</v>
      </c>
      <c r="N1267" s="164" t="s">
        <v>2705</v>
      </c>
      <c r="O1267" s="162">
        <v>2380</v>
      </c>
      <c r="P1267" s="162" t="s">
        <v>2706</v>
      </c>
      <c r="Q1267" s="162">
        <v>2063</v>
      </c>
      <c r="R1267" s="162" t="s">
        <v>2706</v>
      </c>
      <c r="S1267" s="162">
        <v>1387</v>
      </c>
      <c r="T1267" s="162" t="s">
        <v>2706</v>
      </c>
      <c r="U1267" s="162">
        <v>2222</v>
      </c>
      <c r="V1267" s="162" t="s">
        <v>2706</v>
      </c>
      <c r="W1267" s="162">
        <v>1203</v>
      </c>
      <c r="X1267" s="162" t="s">
        <v>2706</v>
      </c>
      <c r="Y1267" s="162">
        <v>1143</v>
      </c>
      <c r="Z1267" s="162" t="s">
        <v>2706</v>
      </c>
      <c r="AA1267" s="162">
        <v>667</v>
      </c>
      <c r="AB1267" s="162" t="s">
        <v>2706</v>
      </c>
      <c r="AC1267" s="162">
        <v>704</v>
      </c>
      <c r="AD1267" s="162" t="s">
        <v>2706</v>
      </c>
      <c r="AE1267" s="162">
        <v>904</v>
      </c>
      <c r="AF1267" s="162" t="s">
        <v>2706</v>
      </c>
      <c r="AG1267" s="162">
        <v>1203</v>
      </c>
      <c r="AH1267" s="162" t="s">
        <v>2706</v>
      </c>
      <c r="AI1267" s="162">
        <v>1567</v>
      </c>
      <c r="AJ1267" s="162" t="s">
        <v>2706</v>
      </c>
      <c r="AK1267" s="162">
        <v>1745</v>
      </c>
      <c r="AL1267" s="162" t="s">
        <v>2706</v>
      </c>
      <c r="AM1267" s="162">
        <v>16484</v>
      </c>
      <c r="AN1267" s="162"/>
      <c r="AP1267" s="168"/>
    </row>
    <row r="1268" spans="1:42" s="100" customFormat="1" ht="46.8" x14ac:dyDescent="0.3">
      <c r="A1268" s="161"/>
      <c r="B1268" s="167"/>
      <c r="C1268" s="98" t="s">
        <v>2708</v>
      </c>
      <c r="D1268" s="163"/>
      <c r="E1268" s="26" t="s">
        <v>48</v>
      </c>
      <c r="F1268" s="30" t="s">
        <v>49</v>
      </c>
      <c r="G1268" s="163"/>
      <c r="H1268" s="163"/>
      <c r="I1268" s="163"/>
      <c r="J1268" s="165"/>
      <c r="K1268" s="165"/>
      <c r="L1268" s="165"/>
      <c r="M1268" s="165"/>
      <c r="N1268" s="165"/>
      <c r="O1268" s="163"/>
      <c r="P1268" s="163"/>
      <c r="Q1268" s="163"/>
      <c r="R1268" s="163"/>
      <c r="S1268" s="163"/>
      <c r="T1268" s="163"/>
      <c r="U1268" s="163"/>
      <c r="V1268" s="163"/>
      <c r="W1268" s="163"/>
      <c r="X1268" s="163"/>
      <c r="Y1268" s="163"/>
      <c r="Z1268" s="163"/>
      <c r="AA1268" s="163"/>
      <c r="AB1268" s="163"/>
      <c r="AC1268" s="163"/>
      <c r="AD1268" s="163"/>
      <c r="AE1268" s="163"/>
      <c r="AF1268" s="163"/>
      <c r="AG1268" s="163"/>
      <c r="AH1268" s="163"/>
      <c r="AI1268" s="163"/>
      <c r="AJ1268" s="163"/>
      <c r="AK1268" s="163"/>
      <c r="AL1268" s="163"/>
      <c r="AM1268" s="163"/>
      <c r="AN1268" s="163"/>
      <c r="AP1268" s="169"/>
    </row>
    <row r="1269" spans="1:42" s="100" customFormat="1" ht="46.8" x14ac:dyDescent="0.3">
      <c r="A1269" s="160">
        <v>854</v>
      </c>
      <c r="B1269" s="166" t="s">
        <v>1699</v>
      </c>
      <c r="C1269" s="98" t="s">
        <v>2708</v>
      </c>
      <c r="D1269" s="162" t="s">
        <v>2712</v>
      </c>
      <c r="E1269" s="26" t="s">
        <v>144</v>
      </c>
      <c r="F1269" s="30" t="s">
        <v>49</v>
      </c>
      <c r="G1269" s="162" t="s">
        <v>2704</v>
      </c>
      <c r="H1269" s="162">
        <v>27</v>
      </c>
      <c r="I1269" s="162" t="str">
        <f t="shared" ref="I1269" si="119">G1269</f>
        <v>с ЛН</v>
      </c>
      <c r="J1269" s="164">
        <v>5</v>
      </c>
      <c r="K1269" s="164" t="s">
        <v>528</v>
      </c>
      <c r="L1269" s="164" t="s">
        <v>528</v>
      </c>
      <c r="M1269" s="164" t="s">
        <v>2705</v>
      </c>
      <c r="N1269" s="164" t="s">
        <v>2705</v>
      </c>
      <c r="O1269" s="162">
        <v>822</v>
      </c>
      <c r="P1269" s="162" t="s">
        <v>2706</v>
      </c>
      <c r="Q1269" s="162">
        <v>851</v>
      </c>
      <c r="R1269" s="162" t="s">
        <v>2706</v>
      </c>
      <c r="S1269" s="162">
        <v>845</v>
      </c>
      <c r="T1269" s="162" t="s">
        <v>2706</v>
      </c>
      <c r="U1269" s="162">
        <v>968</v>
      </c>
      <c r="V1269" s="162" t="s">
        <v>2706</v>
      </c>
      <c r="W1269" s="162">
        <v>1142</v>
      </c>
      <c r="X1269" s="162" t="s">
        <v>2706</v>
      </c>
      <c r="Y1269" s="162">
        <v>920</v>
      </c>
      <c r="Z1269" s="162" t="s">
        <v>2706</v>
      </c>
      <c r="AA1269" s="162">
        <v>893</v>
      </c>
      <c r="AB1269" s="162" t="s">
        <v>2706</v>
      </c>
      <c r="AC1269" s="162">
        <v>745</v>
      </c>
      <c r="AD1269" s="162" t="s">
        <v>2706</v>
      </c>
      <c r="AE1269" s="162">
        <v>905</v>
      </c>
      <c r="AF1269" s="162" t="s">
        <v>2706</v>
      </c>
      <c r="AG1269" s="162">
        <v>817</v>
      </c>
      <c r="AH1269" s="162" t="s">
        <v>2706</v>
      </c>
      <c r="AI1269" s="162">
        <v>1023</v>
      </c>
      <c r="AJ1269" s="162" t="s">
        <v>2706</v>
      </c>
      <c r="AK1269" s="162">
        <v>1037</v>
      </c>
      <c r="AL1269" s="162" t="s">
        <v>2706</v>
      </c>
      <c r="AM1269" s="162">
        <v>10223</v>
      </c>
      <c r="AN1269" s="162"/>
      <c r="AP1269" s="168"/>
    </row>
    <row r="1270" spans="1:42" s="100" customFormat="1" ht="46.8" x14ac:dyDescent="0.3">
      <c r="A1270" s="161"/>
      <c r="B1270" s="167"/>
      <c r="C1270" s="98" t="s">
        <v>2708</v>
      </c>
      <c r="D1270" s="163"/>
      <c r="E1270" s="26" t="s">
        <v>48</v>
      </c>
      <c r="F1270" s="30" t="s">
        <v>49</v>
      </c>
      <c r="G1270" s="163"/>
      <c r="H1270" s="163"/>
      <c r="I1270" s="163"/>
      <c r="J1270" s="165"/>
      <c r="K1270" s="165"/>
      <c r="L1270" s="165"/>
      <c r="M1270" s="165"/>
      <c r="N1270" s="165"/>
      <c r="O1270" s="163"/>
      <c r="P1270" s="163"/>
      <c r="Q1270" s="163"/>
      <c r="R1270" s="163"/>
      <c r="S1270" s="163"/>
      <c r="T1270" s="163"/>
      <c r="U1270" s="163"/>
      <c r="V1270" s="163"/>
      <c r="W1270" s="163"/>
      <c r="X1270" s="163"/>
      <c r="Y1270" s="163"/>
      <c r="Z1270" s="163"/>
      <c r="AA1270" s="163"/>
      <c r="AB1270" s="163"/>
      <c r="AC1270" s="163"/>
      <c r="AD1270" s="163"/>
      <c r="AE1270" s="163"/>
      <c r="AF1270" s="163"/>
      <c r="AG1270" s="163"/>
      <c r="AH1270" s="163"/>
      <c r="AI1270" s="163"/>
      <c r="AJ1270" s="163"/>
      <c r="AK1270" s="163"/>
      <c r="AL1270" s="163"/>
      <c r="AM1270" s="163"/>
      <c r="AN1270" s="163"/>
      <c r="AP1270" s="169"/>
    </row>
    <row r="1271" spans="1:42" s="100" customFormat="1" ht="46.8" x14ac:dyDescent="0.3">
      <c r="A1271" s="160">
        <v>855</v>
      </c>
      <c r="B1271" s="166" t="s">
        <v>1700</v>
      </c>
      <c r="C1271" s="98" t="s">
        <v>2708</v>
      </c>
      <c r="D1271" s="162" t="s">
        <v>2712</v>
      </c>
      <c r="E1271" s="26" t="s">
        <v>144</v>
      </c>
      <c r="F1271" s="30" t="s">
        <v>49</v>
      </c>
      <c r="G1271" s="162" t="s">
        <v>2704</v>
      </c>
      <c r="H1271" s="162">
        <v>17</v>
      </c>
      <c r="I1271" s="162" t="str">
        <f t="shared" ref="I1271" si="120">G1271</f>
        <v>с ЛН</v>
      </c>
      <c r="J1271" s="164">
        <v>3</v>
      </c>
      <c r="K1271" s="164" t="s">
        <v>528</v>
      </c>
      <c r="L1271" s="164" t="s">
        <v>528</v>
      </c>
      <c r="M1271" s="164" t="s">
        <v>2705</v>
      </c>
      <c r="N1271" s="164" t="s">
        <v>2705</v>
      </c>
      <c r="O1271" s="162">
        <v>332</v>
      </c>
      <c r="P1271" s="162" t="s">
        <v>2706</v>
      </c>
      <c r="Q1271" s="162">
        <v>279</v>
      </c>
      <c r="R1271" s="162" t="s">
        <v>2706</v>
      </c>
      <c r="S1271" s="162">
        <v>256</v>
      </c>
      <c r="T1271" s="162" t="s">
        <v>2706</v>
      </c>
      <c r="U1271" s="162">
        <v>267</v>
      </c>
      <c r="V1271" s="162" t="s">
        <v>2706</v>
      </c>
      <c r="W1271" s="162">
        <v>213</v>
      </c>
      <c r="X1271" s="162" t="s">
        <v>2706</v>
      </c>
      <c r="Y1271" s="162">
        <v>144</v>
      </c>
      <c r="Z1271" s="162" t="s">
        <v>2706</v>
      </c>
      <c r="AA1271" s="162">
        <v>222</v>
      </c>
      <c r="AB1271" s="162" t="s">
        <v>2706</v>
      </c>
      <c r="AC1271" s="162">
        <v>120</v>
      </c>
      <c r="AD1271" s="162" t="s">
        <v>2706</v>
      </c>
      <c r="AE1271" s="162">
        <v>263</v>
      </c>
      <c r="AF1271" s="162" t="s">
        <v>2706</v>
      </c>
      <c r="AG1271" s="162">
        <v>243</v>
      </c>
      <c r="AH1271" s="162" t="s">
        <v>2706</v>
      </c>
      <c r="AI1271" s="162">
        <v>290</v>
      </c>
      <c r="AJ1271" s="162" t="s">
        <v>2706</v>
      </c>
      <c r="AK1271" s="162">
        <v>271</v>
      </c>
      <c r="AL1271" s="162" t="s">
        <v>2706</v>
      </c>
      <c r="AM1271" s="162">
        <v>2780</v>
      </c>
      <c r="AN1271" s="162"/>
      <c r="AP1271" s="168"/>
    </row>
    <row r="1272" spans="1:42" s="100" customFormat="1" ht="46.8" x14ac:dyDescent="0.3">
      <c r="A1272" s="161"/>
      <c r="B1272" s="167"/>
      <c r="C1272" s="98" t="s">
        <v>2708</v>
      </c>
      <c r="D1272" s="163"/>
      <c r="E1272" s="26" t="s">
        <v>48</v>
      </c>
      <c r="F1272" s="30" t="s">
        <v>49</v>
      </c>
      <c r="G1272" s="163"/>
      <c r="H1272" s="163"/>
      <c r="I1272" s="163"/>
      <c r="J1272" s="165"/>
      <c r="K1272" s="165"/>
      <c r="L1272" s="165"/>
      <c r="M1272" s="165"/>
      <c r="N1272" s="165"/>
      <c r="O1272" s="163"/>
      <c r="P1272" s="163"/>
      <c r="Q1272" s="163"/>
      <c r="R1272" s="163"/>
      <c r="S1272" s="163"/>
      <c r="T1272" s="163"/>
      <c r="U1272" s="163"/>
      <c r="V1272" s="163"/>
      <c r="W1272" s="163"/>
      <c r="X1272" s="163"/>
      <c r="Y1272" s="163"/>
      <c r="Z1272" s="163"/>
      <c r="AA1272" s="163"/>
      <c r="AB1272" s="163"/>
      <c r="AC1272" s="163"/>
      <c r="AD1272" s="163"/>
      <c r="AE1272" s="163"/>
      <c r="AF1272" s="163"/>
      <c r="AG1272" s="163"/>
      <c r="AH1272" s="163"/>
      <c r="AI1272" s="163"/>
      <c r="AJ1272" s="163"/>
      <c r="AK1272" s="163"/>
      <c r="AL1272" s="163"/>
      <c r="AM1272" s="163"/>
      <c r="AN1272" s="163"/>
      <c r="AP1272" s="169"/>
    </row>
    <row r="1273" spans="1:42" s="100" customFormat="1" ht="46.8" x14ac:dyDescent="0.3">
      <c r="A1273" s="160">
        <v>856</v>
      </c>
      <c r="B1273" s="166" t="s">
        <v>1701</v>
      </c>
      <c r="C1273" s="98" t="s">
        <v>2708</v>
      </c>
      <c r="D1273" s="162" t="s">
        <v>2712</v>
      </c>
      <c r="E1273" s="26" t="s">
        <v>144</v>
      </c>
      <c r="F1273" s="30" t="s">
        <v>49</v>
      </c>
      <c r="G1273" s="162"/>
      <c r="H1273" s="162"/>
      <c r="I1273" s="162"/>
      <c r="J1273" s="164"/>
      <c r="K1273" s="164" t="s">
        <v>528</v>
      </c>
      <c r="L1273" s="164" t="s">
        <v>528</v>
      </c>
      <c r="M1273" s="164" t="s">
        <v>2705</v>
      </c>
      <c r="N1273" s="164" t="s">
        <v>2705</v>
      </c>
      <c r="O1273" s="162">
        <v>2658</v>
      </c>
      <c r="P1273" s="162" t="s">
        <v>2706</v>
      </c>
      <c r="Q1273" s="162">
        <v>2450</v>
      </c>
      <c r="R1273" s="162" t="s">
        <v>2706</v>
      </c>
      <c r="S1273" s="162">
        <v>2253</v>
      </c>
      <c r="T1273" s="162" t="s">
        <v>2706</v>
      </c>
      <c r="U1273" s="162">
        <v>2265</v>
      </c>
      <c r="V1273" s="162" t="s">
        <v>2706</v>
      </c>
      <c r="W1273" s="162">
        <v>2379</v>
      </c>
      <c r="X1273" s="162" t="s">
        <v>2706</v>
      </c>
      <c r="Y1273" s="162">
        <v>1732</v>
      </c>
      <c r="Z1273" s="162" t="s">
        <v>2706</v>
      </c>
      <c r="AA1273" s="162">
        <v>1665</v>
      </c>
      <c r="AB1273" s="162" t="s">
        <v>2706</v>
      </c>
      <c r="AC1273" s="162">
        <v>1978</v>
      </c>
      <c r="AD1273" s="162" t="s">
        <v>2706</v>
      </c>
      <c r="AE1273" s="162">
        <v>1910</v>
      </c>
      <c r="AF1273" s="162" t="s">
        <v>2706</v>
      </c>
      <c r="AG1273" s="162">
        <v>2082</v>
      </c>
      <c r="AH1273" s="162" t="s">
        <v>2706</v>
      </c>
      <c r="AI1273" s="162">
        <v>2516</v>
      </c>
      <c r="AJ1273" s="162" t="s">
        <v>2706</v>
      </c>
      <c r="AK1273" s="162">
        <v>2321</v>
      </c>
      <c r="AL1273" s="162" t="s">
        <v>2706</v>
      </c>
      <c r="AM1273" s="162">
        <v>24231</v>
      </c>
      <c r="AN1273" s="162"/>
      <c r="AP1273" s="168"/>
    </row>
    <row r="1274" spans="1:42" s="100" customFormat="1" ht="46.8" x14ac:dyDescent="0.3">
      <c r="A1274" s="161"/>
      <c r="B1274" s="167"/>
      <c r="C1274" s="98" t="s">
        <v>2708</v>
      </c>
      <c r="D1274" s="163"/>
      <c r="E1274" s="26" t="s">
        <v>48</v>
      </c>
      <c r="F1274" s="30" t="s">
        <v>49</v>
      </c>
      <c r="G1274" s="163"/>
      <c r="H1274" s="163"/>
      <c r="I1274" s="163"/>
      <c r="J1274" s="165"/>
      <c r="K1274" s="165"/>
      <c r="L1274" s="165"/>
      <c r="M1274" s="165"/>
      <c r="N1274" s="165"/>
      <c r="O1274" s="163"/>
      <c r="P1274" s="163"/>
      <c r="Q1274" s="163"/>
      <c r="R1274" s="163"/>
      <c r="S1274" s="163"/>
      <c r="T1274" s="163"/>
      <c r="U1274" s="163"/>
      <c r="V1274" s="163"/>
      <c r="W1274" s="163"/>
      <c r="X1274" s="163"/>
      <c r="Y1274" s="163"/>
      <c r="Z1274" s="163"/>
      <c r="AA1274" s="163"/>
      <c r="AB1274" s="163"/>
      <c r="AC1274" s="163"/>
      <c r="AD1274" s="163"/>
      <c r="AE1274" s="163"/>
      <c r="AF1274" s="163"/>
      <c r="AG1274" s="163"/>
      <c r="AH1274" s="163"/>
      <c r="AI1274" s="163"/>
      <c r="AJ1274" s="163"/>
      <c r="AK1274" s="163"/>
      <c r="AL1274" s="163"/>
      <c r="AM1274" s="163"/>
      <c r="AN1274" s="163"/>
      <c r="AP1274" s="169"/>
    </row>
    <row r="1275" spans="1:42" s="100" customFormat="1" ht="46.8" x14ac:dyDescent="0.3">
      <c r="A1275" s="160">
        <v>857</v>
      </c>
      <c r="B1275" s="166" t="s">
        <v>1703</v>
      </c>
      <c r="C1275" s="98" t="s">
        <v>2708</v>
      </c>
      <c r="D1275" s="162" t="s">
        <v>2712</v>
      </c>
      <c r="E1275" s="26" t="s">
        <v>144</v>
      </c>
      <c r="F1275" s="30" t="s">
        <v>49</v>
      </c>
      <c r="G1275" s="162" t="s">
        <v>2704</v>
      </c>
      <c r="H1275" s="162">
        <v>27</v>
      </c>
      <c r="I1275" s="162" t="str">
        <f t="shared" ref="I1275:I1305" si="121">G1275</f>
        <v>с ЛН</v>
      </c>
      <c r="J1275" s="164">
        <v>5</v>
      </c>
      <c r="K1275" s="164" t="s">
        <v>528</v>
      </c>
      <c r="L1275" s="164" t="s">
        <v>528</v>
      </c>
      <c r="M1275" s="164" t="s">
        <v>2705</v>
      </c>
      <c r="N1275" s="164" t="s">
        <v>2705</v>
      </c>
      <c r="O1275" s="162">
        <v>760</v>
      </c>
      <c r="P1275" s="162" t="s">
        <v>2706</v>
      </c>
      <c r="Q1275" s="162">
        <v>614</v>
      </c>
      <c r="R1275" s="162" t="s">
        <v>2706</v>
      </c>
      <c r="S1275" s="162">
        <v>509</v>
      </c>
      <c r="T1275" s="162" t="s">
        <v>2706</v>
      </c>
      <c r="U1275" s="162">
        <v>576</v>
      </c>
      <c r="V1275" s="162" t="s">
        <v>2706</v>
      </c>
      <c r="W1275" s="162">
        <v>554</v>
      </c>
      <c r="X1275" s="162" t="s">
        <v>2706</v>
      </c>
      <c r="Y1275" s="162">
        <v>433</v>
      </c>
      <c r="Z1275" s="162" t="s">
        <v>2706</v>
      </c>
      <c r="AA1275" s="162">
        <v>470</v>
      </c>
      <c r="AB1275" s="162" t="s">
        <v>2706</v>
      </c>
      <c r="AC1275" s="162">
        <v>558</v>
      </c>
      <c r="AD1275" s="162" t="s">
        <v>2706</v>
      </c>
      <c r="AE1275" s="162">
        <v>572</v>
      </c>
      <c r="AF1275" s="162" t="s">
        <v>2706</v>
      </c>
      <c r="AG1275" s="162">
        <v>564</v>
      </c>
      <c r="AH1275" s="162" t="s">
        <v>2706</v>
      </c>
      <c r="AI1275" s="162">
        <v>678</v>
      </c>
      <c r="AJ1275" s="162" t="s">
        <v>2706</v>
      </c>
      <c r="AK1275" s="162">
        <v>741</v>
      </c>
      <c r="AL1275" s="162" t="s">
        <v>2706</v>
      </c>
      <c r="AM1275" s="162">
        <v>6471</v>
      </c>
      <c r="AN1275" s="162"/>
      <c r="AP1275" s="168"/>
    </row>
    <row r="1276" spans="1:42" s="100" customFormat="1" ht="46.8" x14ac:dyDescent="0.3">
      <c r="A1276" s="161"/>
      <c r="B1276" s="167"/>
      <c r="C1276" s="98" t="s">
        <v>2708</v>
      </c>
      <c r="D1276" s="163"/>
      <c r="E1276" s="26" t="s">
        <v>48</v>
      </c>
      <c r="F1276" s="30" t="s">
        <v>49</v>
      </c>
      <c r="G1276" s="163"/>
      <c r="H1276" s="163"/>
      <c r="I1276" s="163"/>
      <c r="J1276" s="165"/>
      <c r="K1276" s="165"/>
      <c r="L1276" s="165"/>
      <c r="M1276" s="165"/>
      <c r="N1276" s="165"/>
      <c r="O1276" s="163"/>
      <c r="P1276" s="163"/>
      <c r="Q1276" s="163"/>
      <c r="R1276" s="163"/>
      <c r="S1276" s="163"/>
      <c r="T1276" s="163"/>
      <c r="U1276" s="163"/>
      <c r="V1276" s="163"/>
      <c r="W1276" s="163"/>
      <c r="X1276" s="163"/>
      <c r="Y1276" s="163"/>
      <c r="Z1276" s="163"/>
      <c r="AA1276" s="163"/>
      <c r="AB1276" s="163"/>
      <c r="AC1276" s="163"/>
      <c r="AD1276" s="163"/>
      <c r="AE1276" s="163"/>
      <c r="AF1276" s="163"/>
      <c r="AG1276" s="163"/>
      <c r="AH1276" s="163"/>
      <c r="AI1276" s="163"/>
      <c r="AJ1276" s="163"/>
      <c r="AK1276" s="163"/>
      <c r="AL1276" s="163"/>
      <c r="AM1276" s="163"/>
      <c r="AN1276" s="163"/>
      <c r="AP1276" s="169"/>
    </row>
    <row r="1277" spans="1:42" s="100" customFormat="1" ht="46.8" x14ac:dyDescent="0.3">
      <c r="A1277" s="160">
        <v>858</v>
      </c>
      <c r="B1277" s="166" t="s">
        <v>1705</v>
      </c>
      <c r="C1277" s="98" t="s">
        <v>2708</v>
      </c>
      <c r="D1277" s="162" t="s">
        <v>2712</v>
      </c>
      <c r="E1277" s="26" t="s">
        <v>144</v>
      </c>
      <c r="F1277" s="30" t="s">
        <v>49</v>
      </c>
      <c r="G1277" s="162" t="s">
        <v>2704</v>
      </c>
      <c r="H1277" s="162">
        <v>27</v>
      </c>
      <c r="I1277" s="162" t="str">
        <f t="shared" si="121"/>
        <v>с ЛН</v>
      </c>
      <c r="J1277" s="164">
        <v>5</v>
      </c>
      <c r="K1277" s="164" t="s">
        <v>528</v>
      </c>
      <c r="L1277" s="164" t="s">
        <v>528</v>
      </c>
      <c r="M1277" s="164" t="s">
        <v>2705</v>
      </c>
      <c r="N1277" s="164" t="s">
        <v>2705</v>
      </c>
      <c r="O1277" s="162">
        <v>724</v>
      </c>
      <c r="P1277" s="162" t="s">
        <v>2706</v>
      </c>
      <c r="Q1277" s="162">
        <v>653</v>
      </c>
      <c r="R1277" s="162" t="s">
        <v>2706</v>
      </c>
      <c r="S1277" s="162">
        <v>623</v>
      </c>
      <c r="T1277" s="162" t="s">
        <v>2706</v>
      </c>
      <c r="U1277" s="162">
        <v>656</v>
      </c>
      <c r="V1277" s="162" t="s">
        <v>2706</v>
      </c>
      <c r="W1277" s="162">
        <v>600</v>
      </c>
      <c r="X1277" s="162" t="s">
        <v>2706</v>
      </c>
      <c r="Y1277" s="162">
        <v>483</v>
      </c>
      <c r="Z1277" s="162" t="s">
        <v>2706</v>
      </c>
      <c r="AA1277" s="162">
        <v>421</v>
      </c>
      <c r="AB1277" s="162" t="s">
        <v>2706</v>
      </c>
      <c r="AC1277" s="162">
        <v>656</v>
      </c>
      <c r="AD1277" s="162" t="s">
        <v>2706</v>
      </c>
      <c r="AE1277" s="162">
        <v>588</v>
      </c>
      <c r="AF1277" s="162" t="s">
        <v>2706</v>
      </c>
      <c r="AG1277" s="162">
        <v>555</v>
      </c>
      <c r="AH1277" s="162" t="s">
        <v>2706</v>
      </c>
      <c r="AI1277" s="162">
        <v>85</v>
      </c>
      <c r="AJ1277" s="162" t="s">
        <v>2706</v>
      </c>
      <c r="AK1277" s="162">
        <v>597</v>
      </c>
      <c r="AL1277" s="162" t="s">
        <v>2706</v>
      </c>
      <c r="AM1277" s="162">
        <v>5985</v>
      </c>
      <c r="AN1277" s="162"/>
      <c r="AP1277" s="168"/>
    </row>
    <row r="1278" spans="1:42" s="100" customFormat="1" ht="46.8" x14ac:dyDescent="0.3">
      <c r="A1278" s="161"/>
      <c r="B1278" s="167"/>
      <c r="C1278" s="98" t="s">
        <v>2708</v>
      </c>
      <c r="D1278" s="163"/>
      <c r="E1278" s="26" t="s">
        <v>48</v>
      </c>
      <c r="F1278" s="30" t="s">
        <v>49</v>
      </c>
      <c r="G1278" s="163"/>
      <c r="H1278" s="163"/>
      <c r="I1278" s="163"/>
      <c r="J1278" s="165"/>
      <c r="K1278" s="165"/>
      <c r="L1278" s="165"/>
      <c r="M1278" s="165"/>
      <c r="N1278" s="165"/>
      <c r="O1278" s="163"/>
      <c r="P1278" s="163"/>
      <c r="Q1278" s="163"/>
      <c r="R1278" s="163"/>
      <c r="S1278" s="163"/>
      <c r="T1278" s="163"/>
      <c r="U1278" s="163"/>
      <c r="V1278" s="163"/>
      <c r="W1278" s="163"/>
      <c r="X1278" s="163"/>
      <c r="Y1278" s="163"/>
      <c r="Z1278" s="163"/>
      <c r="AA1278" s="163"/>
      <c r="AB1278" s="163"/>
      <c r="AC1278" s="163"/>
      <c r="AD1278" s="163"/>
      <c r="AE1278" s="163"/>
      <c r="AF1278" s="163"/>
      <c r="AG1278" s="163"/>
      <c r="AH1278" s="163"/>
      <c r="AI1278" s="163"/>
      <c r="AJ1278" s="163"/>
      <c r="AK1278" s="163"/>
      <c r="AL1278" s="163"/>
      <c r="AM1278" s="163"/>
      <c r="AN1278" s="163"/>
      <c r="AP1278" s="169"/>
    </row>
    <row r="1279" spans="1:42" s="100" customFormat="1" ht="46.8" x14ac:dyDescent="0.3">
      <c r="A1279" s="160">
        <v>859</v>
      </c>
      <c r="B1279" s="166" t="s">
        <v>1707</v>
      </c>
      <c r="C1279" s="98" t="s">
        <v>2708</v>
      </c>
      <c r="D1279" s="162" t="s">
        <v>2712</v>
      </c>
      <c r="E1279" s="26" t="s">
        <v>144</v>
      </c>
      <c r="F1279" s="30" t="s">
        <v>49</v>
      </c>
      <c r="G1279" s="162" t="s">
        <v>2704</v>
      </c>
      <c r="H1279" s="162">
        <v>27</v>
      </c>
      <c r="I1279" s="162" t="str">
        <f t="shared" si="121"/>
        <v>с ЛН</v>
      </c>
      <c r="J1279" s="164">
        <v>5</v>
      </c>
      <c r="K1279" s="164" t="s">
        <v>528</v>
      </c>
      <c r="L1279" s="164" t="s">
        <v>528</v>
      </c>
      <c r="M1279" s="164" t="s">
        <v>2705</v>
      </c>
      <c r="N1279" s="164" t="s">
        <v>2705</v>
      </c>
      <c r="O1279" s="162">
        <v>2665</v>
      </c>
      <c r="P1279" s="162" t="s">
        <v>2706</v>
      </c>
      <c r="Q1279" s="162">
        <v>2345</v>
      </c>
      <c r="R1279" s="162" t="s">
        <v>2706</v>
      </c>
      <c r="S1279" s="162">
        <v>2031</v>
      </c>
      <c r="T1279" s="162" t="s">
        <v>2706</v>
      </c>
      <c r="U1279" s="162">
        <v>2018</v>
      </c>
      <c r="V1279" s="162" t="s">
        <v>2706</v>
      </c>
      <c r="W1279" s="162">
        <v>2191</v>
      </c>
      <c r="X1279" s="162" t="s">
        <v>2706</v>
      </c>
      <c r="Y1279" s="162">
        <v>1691</v>
      </c>
      <c r="Z1279" s="162" t="s">
        <v>2706</v>
      </c>
      <c r="AA1279" s="162">
        <v>1685</v>
      </c>
      <c r="AB1279" s="162" t="s">
        <v>2706</v>
      </c>
      <c r="AC1279" s="162">
        <v>2170</v>
      </c>
      <c r="AD1279" s="162" t="s">
        <v>2706</v>
      </c>
      <c r="AE1279" s="162">
        <v>2815</v>
      </c>
      <c r="AF1279" s="162" t="s">
        <v>2706</v>
      </c>
      <c r="AG1279" s="162">
        <v>2548</v>
      </c>
      <c r="AH1279" s="162" t="s">
        <v>2706</v>
      </c>
      <c r="AI1279" s="162">
        <v>3291</v>
      </c>
      <c r="AJ1279" s="162" t="s">
        <v>2706</v>
      </c>
      <c r="AK1279" s="162">
        <v>3411</v>
      </c>
      <c r="AL1279" s="162" t="s">
        <v>2706</v>
      </c>
      <c r="AM1279" s="162">
        <v>26691</v>
      </c>
      <c r="AN1279" s="162"/>
    </row>
    <row r="1280" spans="1:42" s="100" customFormat="1" ht="46.8" x14ac:dyDescent="0.3">
      <c r="A1280" s="161"/>
      <c r="B1280" s="167"/>
      <c r="C1280" s="98" t="s">
        <v>2708</v>
      </c>
      <c r="D1280" s="163"/>
      <c r="E1280" s="26" t="s">
        <v>48</v>
      </c>
      <c r="F1280" s="30" t="s">
        <v>49</v>
      </c>
      <c r="G1280" s="163"/>
      <c r="H1280" s="163"/>
      <c r="I1280" s="163"/>
      <c r="J1280" s="165"/>
      <c r="K1280" s="165"/>
      <c r="L1280" s="165"/>
      <c r="M1280" s="165"/>
      <c r="N1280" s="165"/>
      <c r="O1280" s="163"/>
      <c r="P1280" s="163"/>
      <c r="Q1280" s="163"/>
      <c r="R1280" s="163"/>
      <c r="S1280" s="163"/>
      <c r="T1280" s="163"/>
      <c r="U1280" s="163"/>
      <c r="V1280" s="163"/>
      <c r="W1280" s="163"/>
      <c r="X1280" s="163"/>
      <c r="Y1280" s="163"/>
      <c r="Z1280" s="163"/>
      <c r="AA1280" s="163"/>
      <c r="AB1280" s="163"/>
      <c r="AC1280" s="163"/>
      <c r="AD1280" s="163"/>
      <c r="AE1280" s="163"/>
      <c r="AF1280" s="163"/>
      <c r="AG1280" s="163"/>
      <c r="AH1280" s="163"/>
      <c r="AI1280" s="163"/>
      <c r="AJ1280" s="163"/>
      <c r="AK1280" s="163"/>
      <c r="AL1280" s="163"/>
      <c r="AM1280" s="163"/>
      <c r="AN1280" s="163"/>
    </row>
    <row r="1281" spans="1:40" s="100" customFormat="1" ht="46.8" x14ac:dyDescent="0.3">
      <c r="A1281" s="160">
        <v>860</v>
      </c>
      <c r="B1281" s="166" t="s">
        <v>1708</v>
      </c>
      <c r="C1281" s="98" t="s">
        <v>2708</v>
      </c>
      <c r="D1281" s="162" t="s">
        <v>2712</v>
      </c>
      <c r="E1281" s="26" t="s">
        <v>144</v>
      </c>
      <c r="F1281" s="30" t="s">
        <v>49</v>
      </c>
      <c r="G1281" s="162" t="s">
        <v>2704</v>
      </c>
      <c r="H1281" s="162">
        <v>22</v>
      </c>
      <c r="I1281" s="162" t="str">
        <f t="shared" si="121"/>
        <v>с ЛН</v>
      </c>
      <c r="J1281" s="164">
        <v>4</v>
      </c>
      <c r="K1281" s="164" t="s">
        <v>528</v>
      </c>
      <c r="L1281" s="164" t="s">
        <v>528</v>
      </c>
      <c r="M1281" s="164" t="s">
        <v>2705</v>
      </c>
      <c r="N1281" s="164" t="s">
        <v>2705</v>
      </c>
      <c r="O1281" s="162">
        <v>0</v>
      </c>
      <c r="P1281" s="162" t="s">
        <v>2706</v>
      </c>
      <c r="Q1281" s="162">
        <v>0</v>
      </c>
      <c r="R1281" s="162" t="s">
        <v>2706</v>
      </c>
      <c r="S1281" s="162">
        <v>0</v>
      </c>
      <c r="T1281" s="162" t="s">
        <v>2706</v>
      </c>
      <c r="U1281" s="162">
        <v>0</v>
      </c>
      <c r="V1281" s="162" t="s">
        <v>2706</v>
      </c>
      <c r="W1281" s="162">
        <v>0</v>
      </c>
      <c r="X1281" s="162" t="s">
        <v>2706</v>
      </c>
      <c r="Y1281" s="162">
        <v>0</v>
      </c>
      <c r="Z1281" s="162" t="s">
        <v>2706</v>
      </c>
      <c r="AA1281" s="162">
        <v>0</v>
      </c>
      <c r="AB1281" s="162" t="s">
        <v>2706</v>
      </c>
      <c r="AC1281" s="162">
        <v>0</v>
      </c>
      <c r="AD1281" s="162" t="s">
        <v>2706</v>
      </c>
      <c r="AE1281" s="162">
        <v>0</v>
      </c>
      <c r="AF1281" s="162" t="s">
        <v>2706</v>
      </c>
      <c r="AG1281" s="162">
        <v>0</v>
      </c>
      <c r="AH1281" s="162" t="s">
        <v>2706</v>
      </c>
      <c r="AI1281" s="162">
        <v>0</v>
      </c>
      <c r="AJ1281" s="162" t="s">
        <v>2706</v>
      </c>
      <c r="AK1281" s="162">
        <v>0</v>
      </c>
      <c r="AL1281" s="162" t="s">
        <v>2706</v>
      </c>
      <c r="AM1281" s="162">
        <v>0</v>
      </c>
      <c r="AN1281" s="162"/>
    </row>
    <row r="1282" spans="1:40" s="100" customFormat="1" ht="46.8" x14ac:dyDescent="0.3">
      <c r="A1282" s="161"/>
      <c r="B1282" s="167"/>
      <c r="C1282" s="98" t="s">
        <v>2708</v>
      </c>
      <c r="D1282" s="163"/>
      <c r="E1282" s="26" t="s">
        <v>48</v>
      </c>
      <c r="F1282" s="30" t="s">
        <v>49</v>
      </c>
      <c r="G1282" s="163"/>
      <c r="H1282" s="163"/>
      <c r="I1282" s="163"/>
      <c r="J1282" s="165"/>
      <c r="K1282" s="165"/>
      <c r="L1282" s="165"/>
      <c r="M1282" s="165"/>
      <c r="N1282" s="165"/>
      <c r="O1282" s="163"/>
      <c r="P1282" s="163"/>
      <c r="Q1282" s="163"/>
      <c r="R1282" s="163"/>
      <c r="S1282" s="163"/>
      <c r="T1282" s="163"/>
      <c r="U1282" s="163"/>
      <c r="V1282" s="163"/>
      <c r="W1282" s="163"/>
      <c r="X1282" s="163"/>
      <c r="Y1282" s="163"/>
      <c r="Z1282" s="163"/>
      <c r="AA1282" s="163"/>
      <c r="AB1282" s="163"/>
      <c r="AC1282" s="163"/>
      <c r="AD1282" s="163"/>
      <c r="AE1282" s="163"/>
      <c r="AF1282" s="163"/>
      <c r="AG1282" s="163"/>
      <c r="AH1282" s="163"/>
      <c r="AI1282" s="163"/>
      <c r="AJ1282" s="163"/>
      <c r="AK1282" s="163"/>
      <c r="AL1282" s="163"/>
      <c r="AM1282" s="163"/>
      <c r="AN1282" s="163"/>
    </row>
    <row r="1283" spans="1:40" s="100" customFormat="1" ht="46.8" x14ac:dyDescent="0.3">
      <c r="A1283" s="160">
        <v>861</v>
      </c>
      <c r="B1283" s="166" t="s">
        <v>1709</v>
      </c>
      <c r="C1283" s="98" t="s">
        <v>2708</v>
      </c>
      <c r="D1283" s="162" t="s">
        <v>2712</v>
      </c>
      <c r="E1283" s="26" t="s">
        <v>144</v>
      </c>
      <c r="F1283" s="30" t="s">
        <v>49</v>
      </c>
      <c r="G1283" s="162" t="s">
        <v>2704</v>
      </c>
      <c r="H1283" s="162">
        <v>30</v>
      </c>
      <c r="I1283" s="162" t="str">
        <f t="shared" si="121"/>
        <v>с ЛН</v>
      </c>
      <c r="J1283" s="164">
        <v>5</v>
      </c>
      <c r="K1283" s="164" t="s">
        <v>528</v>
      </c>
      <c r="L1283" s="164" t="s">
        <v>528</v>
      </c>
      <c r="M1283" s="164" t="s">
        <v>2705</v>
      </c>
      <c r="N1283" s="164" t="s">
        <v>2705</v>
      </c>
      <c r="O1283" s="162">
        <v>0</v>
      </c>
      <c r="P1283" s="162" t="s">
        <v>2706</v>
      </c>
      <c r="Q1283" s="162">
        <v>0</v>
      </c>
      <c r="R1283" s="162" t="s">
        <v>2706</v>
      </c>
      <c r="S1283" s="162">
        <v>0</v>
      </c>
      <c r="T1283" s="162" t="s">
        <v>2706</v>
      </c>
      <c r="U1283" s="162">
        <v>0</v>
      </c>
      <c r="V1283" s="162" t="s">
        <v>2706</v>
      </c>
      <c r="W1283" s="162">
        <v>0</v>
      </c>
      <c r="X1283" s="162" t="s">
        <v>2706</v>
      </c>
      <c r="Y1283" s="162">
        <v>0</v>
      </c>
      <c r="Z1283" s="162" t="s">
        <v>2706</v>
      </c>
      <c r="AA1283" s="162">
        <v>0</v>
      </c>
      <c r="AB1283" s="162" t="s">
        <v>2706</v>
      </c>
      <c r="AC1283" s="162">
        <v>0</v>
      </c>
      <c r="AD1283" s="162" t="s">
        <v>2706</v>
      </c>
      <c r="AE1283" s="162">
        <v>0</v>
      </c>
      <c r="AF1283" s="162" t="s">
        <v>2706</v>
      </c>
      <c r="AG1283" s="162">
        <v>0</v>
      </c>
      <c r="AH1283" s="162" t="s">
        <v>2706</v>
      </c>
      <c r="AI1283" s="162">
        <v>0</v>
      </c>
      <c r="AJ1283" s="162" t="s">
        <v>2706</v>
      </c>
      <c r="AK1283" s="162">
        <v>0</v>
      </c>
      <c r="AL1283" s="162" t="s">
        <v>2706</v>
      </c>
      <c r="AM1283" s="162">
        <v>0</v>
      </c>
      <c r="AN1283" s="162"/>
    </row>
    <row r="1284" spans="1:40" s="100" customFormat="1" ht="46.8" x14ac:dyDescent="0.3">
      <c r="A1284" s="161"/>
      <c r="B1284" s="167"/>
      <c r="C1284" s="98" t="s">
        <v>2708</v>
      </c>
      <c r="D1284" s="163"/>
      <c r="E1284" s="26" t="s">
        <v>48</v>
      </c>
      <c r="F1284" s="30" t="s">
        <v>49</v>
      </c>
      <c r="G1284" s="163"/>
      <c r="H1284" s="163"/>
      <c r="I1284" s="163"/>
      <c r="J1284" s="165"/>
      <c r="K1284" s="165"/>
      <c r="L1284" s="165"/>
      <c r="M1284" s="165"/>
      <c r="N1284" s="165"/>
      <c r="O1284" s="163"/>
      <c r="P1284" s="163"/>
      <c r="Q1284" s="163"/>
      <c r="R1284" s="163"/>
      <c r="S1284" s="163"/>
      <c r="T1284" s="163"/>
      <c r="U1284" s="163"/>
      <c r="V1284" s="163"/>
      <c r="W1284" s="163"/>
      <c r="X1284" s="163"/>
      <c r="Y1284" s="163"/>
      <c r="Z1284" s="163"/>
      <c r="AA1284" s="163"/>
      <c r="AB1284" s="163"/>
      <c r="AC1284" s="163"/>
      <c r="AD1284" s="163"/>
      <c r="AE1284" s="163"/>
      <c r="AF1284" s="163"/>
      <c r="AG1284" s="163"/>
      <c r="AH1284" s="163"/>
      <c r="AI1284" s="163"/>
      <c r="AJ1284" s="163"/>
      <c r="AK1284" s="163"/>
      <c r="AL1284" s="163"/>
      <c r="AM1284" s="163"/>
      <c r="AN1284" s="163"/>
    </row>
    <row r="1285" spans="1:40" s="100" customFormat="1" ht="46.8" x14ac:dyDescent="0.3">
      <c r="A1285" s="160">
        <v>862</v>
      </c>
      <c r="B1285" s="166" t="s">
        <v>1710</v>
      </c>
      <c r="C1285" s="98" t="s">
        <v>2708</v>
      </c>
      <c r="D1285" s="162" t="s">
        <v>2712</v>
      </c>
      <c r="E1285" s="26" t="s">
        <v>144</v>
      </c>
      <c r="F1285" s="30" t="s">
        <v>49</v>
      </c>
      <c r="G1285" s="162" t="s">
        <v>2704</v>
      </c>
      <c r="H1285" s="162">
        <v>18</v>
      </c>
      <c r="I1285" s="162" t="str">
        <f t="shared" si="121"/>
        <v>с ЛН</v>
      </c>
      <c r="J1285" s="164">
        <v>3</v>
      </c>
      <c r="K1285" s="164" t="s">
        <v>528</v>
      </c>
      <c r="L1285" s="164" t="s">
        <v>528</v>
      </c>
      <c r="M1285" s="164" t="s">
        <v>2705</v>
      </c>
      <c r="N1285" s="164" t="s">
        <v>2705</v>
      </c>
      <c r="O1285" s="162">
        <v>0</v>
      </c>
      <c r="P1285" s="162" t="s">
        <v>2706</v>
      </c>
      <c r="Q1285" s="162">
        <v>0</v>
      </c>
      <c r="R1285" s="162" t="s">
        <v>2706</v>
      </c>
      <c r="S1285" s="162">
        <v>0</v>
      </c>
      <c r="T1285" s="162" t="s">
        <v>2706</v>
      </c>
      <c r="U1285" s="162">
        <v>0</v>
      </c>
      <c r="V1285" s="162" t="s">
        <v>2706</v>
      </c>
      <c r="W1285" s="162">
        <v>0</v>
      </c>
      <c r="X1285" s="162" t="s">
        <v>2706</v>
      </c>
      <c r="Y1285" s="162">
        <v>0</v>
      </c>
      <c r="Z1285" s="162" t="s">
        <v>2706</v>
      </c>
      <c r="AA1285" s="162">
        <v>0</v>
      </c>
      <c r="AB1285" s="162" t="s">
        <v>2706</v>
      </c>
      <c r="AC1285" s="162">
        <v>0</v>
      </c>
      <c r="AD1285" s="162" t="s">
        <v>2706</v>
      </c>
      <c r="AE1285" s="162">
        <v>0</v>
      </c>
      <c r="AF1285" s="162" t="s">
        <v>2706</v>
      </c>
      <c r="AG1285" s="162">
        <v>0</v>
      </c>
      <c r="AH1285" s="162" t="s">
        <v>2706</v>
      </c>
      <c r="AI1285" s="162">
        <v>0</v>
      </c>
      <c r="AJ1285" s="162" t="s">
        <v>2706</v>
      </c>
      <c r="AK1285" s="162">
        <v>0</v>
      </c>
      <c r="AL1285" s="162" t="s">
        <v>2706</v>
      </c>
      <c r="AM1285" s="162">
        <v>0</v>
      </c>
      <c r="AN1285" s="162"/>
    </row>
    <row r="1286" spans="1:40" s="100" customFormat="1" ht="46.8" x14ac:dyDescent="0.3">
      <c r="A1286" s="161"/>
      <c r="B1286" s="167"/>
      <c r="C1286" s="98" t="s">
        <v>2708</v>
      </c>
      <c r="D1286" s="163"/>
      <c r="E1286" s="26" t="s">
        <v>48</v>
      </c>
      <c r="F1286" s="30" t="s">
        <v>49</v>
      </c>
      <c r="G1286" s="163"/>
      <c r="H1286" s="163"/>
      <c r="I1286" s="163"/>
      <c r="J1286" s="165"/>
      <c r="K1286" s="165"/>
      <c r="L1286" s="165"/>
      <c r="M1286" s="165"/>
      <c r="N1286" s="165"/>
      <c r="O1286" s="163"/>
      <c r="P1286" s="163"/>
      <c r="Q1286" s="163"/>
      <c r="R1286" s="163"/>
      <c r="S1286" s="163"/>
      <c r="T1286" s="163"/>
      <c r="U1286" s="163"/>
      <c r="V1286" s="163"/>
      <c r="W1286" s="163"/>
      <c r="X1286" s="163"/>
      <c r="Y1286" s="163"/>
      <c r="Z1286" s="163"/>
      <c r="AA1286" s="163"/>
      <c r="AB1286" s="163"/>
      <c r="AC1286" s="163"/>
      <c r="AD1286" s="163"/>
      <c r="AE1286" s="163"/>
      <c r="AF1286" s="163"/>
      <c r="AG1286" s="163"/>
      <c r="AH1286" s="163"/>
      <c r="AI1286" s="163"/>
      <c r="AJ1286" s="163"/>
      <c r="AK1286" s="163"/>
      <c r="AL1286" s="163"/>
      <c r="AM1286" s="163"/>
      <c r="AN1286" s="163"/>
    </row>
    <row r="1287" spans="1:40" s="100" customFormat="1" ht="46.8" x14ac:dyDescent="0.3">
      <c r="A1287" s="160">
        <v>863</v>
      </c>
      <c r="B1287" s="166" t="s">
        <v>1711</v>
      </c>
      <c r="C1287" s="98" t="s">
        <v>2708</v>
      </c>
      <c r="D1287" s="162" t="s">
        <v>2712</v>
      </c>
      <c r="E1287" s="26" t="s">
        <v>144</v>
      </c>
      <c r="F1287" s="30" t="s">
        <v>49</v>
      </c>
      <c r="G1287" s="162" t="s">
        <v>2704</v>
      </c>
      <c r="H1287" s="162">
        <v>13</v>
      </c>
      <c r="I1287" s="162" t="str">
        <f t="shared" si="121"/>
        <v>с ЛН</v>
      </c>
      <c r="J1287" s="164">
        <v>3</v>
      </c>
      <c r="K1287" s="164" t="s">
        <v>528</v>
      </c>
      <c r="L1287" s="164" t="s">
        <v>528</v>
      </c>
      <c r="M1287" s="164" t="s">
        <v>2705</v>
      </c>
      <c r="N1287" s="164" t="s">
        <v>2705</v>
      </c>
      <c r="O1287" s="162">
        <v>0</v>
      </c>
      <c r="P1287" s="162" t="s">
        <v>2706</v>
      </c>
      <c r="Q1287" s="162">
        <v>0</v>
      </c>
      <c r="R1287" s="162" t="s">
        <v>2706</v>
      </c>
      <c r="S1287" s="162">
        <v>0</v>
      </c>
      <c r="T1287" s="162" t="s">
        <v>2706</v>
      </c>
      <c r="U1287" s="162">
        <v>0</v>
      </c>
      <c r="V1287" s="162" t="s">
        <v>2706</v>
      </c>
      <c r="W1287" s="162">
        <v>0</v>
      </c>
      <c r="X1287" s="162" t="s">
        <v>2706</v>
      </c>
      <c r="Y1287" s="162">
        <v>0</v>
      </c>
      <c r="Z1287" s="162" t="s">
        <v>2706</v>
      </c>
      <c r="AA1287" s="162">
        <v>0</v>
      </c>
      <c r="AB1287" s="162" t="s">
        <v>2706</v>
      </c>
      <c r="AC1287" s="162">
        <v>0</v>
      </c>
      <c r="AD1287" s="162" t="s">
        <v>2706</v>
      </c>
      <c r="AE1287" s="162">
        <v>0</v>
      </c>
      <c r="AF1287" s="162" t="s">
        <v>2706</v>
      </c>
      <c r="AG1287" s="162">
        <v>0</v>
      </c>
      <c r="AH1287" s="162" t="s">
        <v>2706</v>
      </c>
      <c r="AI1287" s="162">
        <v>0</v>
      </c>
      <c r="AJ1287" s="162" t="s">
        <v>2706</v>
      </c>
      <c r="AK1287" s="162">
        <v>0</v>
      </c>
      <c r="AL1287" s="162" t="s">
        <v>2706</v>
      </c>
      <c r="AM1287" s="162">
        <v>0</v>
      </c>
      <c r="AN1287" s="162"/>
    </row>
    <row r="1288" spans="1:40" s="100" customFormat="1" ht="46.8" x14ac:dyDescent="0.3">
      <c r="A1288" s="161"/>
      <c r="B1288" s="167"/>
      <c r="C1288" s="98" t="s">
        <v>2708</v>
      </c>
      <c r="D1288" s="163"/>
      <c r="E1288" s="26" t="s">
        <v>48</v>
      </c>
      <c r="F1288" s="30" t="s">
        <v>49</v>
      </c>
      <c r="G1288" s="163"/>
      <c r="H1288" s="163"/>
      <c r="I1288" s="163"/>
      <c r="J1288" s="165"/>
      <c r="K1288" s="165"/>
      <c r="L1288" s="165"/>
      <c r="M1288" s="165"/>
      <c r="N1288" s="165"/>
      <c r="O1288" s="163"/>
      <c r="P1288" s="163"/>
      <c r="Q1288" s="163"/>
      <c r="R1288" s="163"/>
      <c r="S1288" s="163"/>
      <c r="T1288" s="163"/>
      <c r="U1288" s="163"/>
      <c r="V1288" s="163"/>
      <c r="W1288" s="163"/>
      <c r="X1288" s="163"/>
      <c r="Y1288" s="163"/>
      <c r="Z1288" s="163"/>
      <c r="AA1288" s="163"/>
      <c r="AB1288" s="163"/>
      <c r="AC1288" s="163"/>
      <c r="AD1288" s="163"/>
      <c r="AE1288" s="163"/>
      <c r="AF1288" s="163"/>
      <c r="AG1288" s="163"/>
      <c r="AH1288" s="163"/>
      <c r="AI1288" s="163"/>
      <c r="AJ1288" s="163"/>
      <c r="AK1288" s="163"/>
      <c r="AL1288" s="163"/>
      <c r="AM1288" s="163"/>
      <c r="AN1288" s="163"/>
    </row>
    <row r="1289" spans="1:40" s="100" customFormat="1" ht="46.8" x14ac:dyDescent="0.3">
      <c r="A1289" s="160">
        <v>864</v>
      </c>
      <c r="B1289" s="166" t="s">
        <v>1712</v>
      </c>
      <c r="C1289" s="98" t="s">
        <v>2708</v>
      </c>
      <c r="D1289" s="162" t="s">
        <v>2712</v>
      </c>
      <c r="E1289" s="26" t="s">
        <v>144</v>
      </c>
      <c r="F1289" s="30" t="s">
        <v>49</v>
      </c>
      <c r="G1289" s="162" t="s">
        <v>2704</v>
      </c>
      <c r="H1289" s="162">
        <v>20</v>
      </c>
      <c r="I1289" s="162" t="str">
        <f t="shared" si="121"/>
        <v>с ЛН</v>
      </c>
      <c r="J1289" s="164">
        <v>4</v>
      </c>
      <c r="K1289" s="164" t="s">
        <v>528</v>
      </c>
      <c r="L1289" s="164" t="s">
        <v>528</v>
      </c>
      <c r="M1289" s="164" t="s">
        <v>2705</v>
      </c>
      <c r="N1289" s="164" t="s">
        <v>2705</v>
      </c>
      <c r="O1289" s="162">
        <v>333</v>
      </c>
      <c r="P1289" s="162" t="s">
        <v>2706</v>
      </c>
      <c r="Q1289" s="162">
        <v>260</v>
      </c>
      <c r="R1289" s="162" t="s">
        <v>2706</v>
      </c>
      <c r="S1289" s="162">
        <v>208</v>
      </c>
      <c r="T1289" s="162" t="s">
        <v>2706</v>
      </c>
      <c r="U1289" s="162">
        <v>259</v>
      </c>
      <c r="V1289" s="162" t="s">
        <v>2706</v>
      </c>
      <c r="W1289" s="162">
        <v>178</v>
      </c>
      <c r="X1289" s="162" t="s">
        <v>2706</v>
      </c>
      <c r="Y1289" s="162">
        <v>127</v>
      </c>
      <c r="Z1289" s="162" t="s">
        <v>2706</v>
      </c>
      <c r="AA1289" s="162">
        <v>131</v>
      </c>
      <c r="AB1289" s="162" t="s">
        <v>2706</v>
      </c>
      <c r="AC1289" s="162">
        <v>169</v>
      </c>
      <c r="AD1289" s="162" t="s">
        <v>2706</v>
      </c>
      <c r="AE1289" s="162">
        <v>169</v>
      </c>
      <c r="AF1289" s="162" t="s">
        <v>2706</v>
      </c>
      <c r="AG1289" s="162">
        <v>183</v>
      </c>
      <c r="AH1289" s="162" t="s">
        <v>2706</v>
      </c>
      <c r="AI1289" s="162">
        <v>260</v>
      </c>
      <c r="AJ1289" s="162" t="s">
        <v>2706</v>
      </c>
      <c r="AK1289" s="162">
        <v>288</v>
      </c>
      <c r="AL1289" s="162" t="s">
        <v>2706</v>
      </c>
      <c r="AM1289" s="162">
        <v>2396</v>
      </c>
      <c r="AN1289" s="162"/>
    </row>
    <row r="1290" spans="1:40" s="100" customFormat="1" ht="46.8" x14ac:dyDescent="0.3">
      <c r="A1290" s="161"/>
      <c r="B1290" s="167"/>
      <c r="C1290" s="98" t="s">
        <v>2708</v>
      </c>
      <c r="D1290" s="163"/>
      <c r="E1290" s="26" t="s">
        <v>48</v>
      </c>
      <c r="F1290" s="30" t="s">
        <v>49</v>
      </c>
      <c r="G1290" s="163"/>
      <c r="H1290" s="163"/>
      <c r="I1290" s="163"/>
      <c r="J1290" s="165"/>
      <c r="K1290" s="165"/>
      <c r="L1290" s="165"/>
      <c r="M1290" s="165"/>
      <c r="N1290" s="165"/>
      <c r="O1290" s="163"/>
      <c r="P1290" s="163"/>
      <c r="Q1290" s="163"/>
      <c r="R1290" s="163"/>
      <c r="S1290" s="163"/>
      <c r="T1290" s="163"/>
      <c r="U1290" s="163"/>
      <c r="V1290" s="163"/>
      <c r="W1290" s="163"/>
      <c r="X1290" s="163"/>
      <c r="Y1290" s="163"/>
      <c r="Z1290" s="163"/>
      <c r="AA1290" s="163"/>
      <c r="AB1290" s="163"/>
      <c r="AC1290" s="163"/>
      <c r="AD1290" s="163"/>
      <c r="AE1290" s="163"/>
      <c r="AF1290" s="163"/>
      <c r="AG1290" s="163"/>
      <c r="AH1290" s="163"/>
      <c r="AI1290" s="163"/>
      <c r="AJ1290" s="163"/>
      <c r="AK1290" s="163"/>
      <c r="AL1290" s="163"/>
      <c r="AM1290" s="163"/>
      <c r="AN1290" s="163"/>
    </row>
    <row r="1291" spans="1:40" s="100" customFormat="1" ht="46.8" x14ac:dyDescent="0.3">
      <c r="A1291" s="160">
        <v>865</v>
      </c>
      <c r="B1291" s="166" t="s">
        <v>1714</v>
      </c>
      <c r="C1291" s="98" t="s">
        <v>2708</v>
      </c>
      <c r="D1291" s="162" t="s">
        <v>2712</v>
      </c>
      <c r="E1291" s="26" t="s">
        <v>144</v>
      </c>
      <c r="F1291" s="30" t="s">
        <v>49</v>
      </c>
      <c r="G1291" s="162" t="s">
        <v>2704</v>
      </c>
      <c r="H1291" s="162">
        <v>24</v>
      </c>
      <c r="I1291" s="162" t="str">
        <f t="shared" si="121"/>
        <v>с ЛН</v>
      </c>
      <c r="J1291" s="164">
        <v>4</v>
      </c>
      <c r="K1291" s="164" t="s">
        <v>528</v>
      </c>
      <c r="L1291" s="164" t="s">
        <v>528</v>
      </c>
      <c r="M1291" s="164" t="s">
        <v>2705</v>
      </c>
      <c r="N1291" s="164" t="s">
        <v>2705</v>
      </c>
      <c r="O1291" s="162">
        <v>346</v>
      </c>
      <c r="P1291" s="162" t="s">
        <v>2706</v>
      </c>
      <c r="Q1291" s="162">
        <v>303</v>
      </c>
      <c r="R1291" s="162" t="s">
        <v>2706</v>
      </c>
      <c r="S1291" s="162">
        <v>236</v>
      </c>
      <c r="T1291" s="162" t="s">
        <v>2706</v>
      </c>
      <c r="U1291" s="162">
        <v>216</v>
      </c>
      <c r="V1291" s="162" t="s">
        <v>2706</v>
      </c>
      <c r="W1291" s="162">
        <v>209</v>
      </c>
      <c r="X1291" s="162" t="s">
        <v>2706</v>
      </c>
      <c r="Y1291" s="162">
        <v>269</v>
      </c>
      <c r="Z1291" s="162" t="s">
        <v>2706</v>
      </c>
      <c r="AA1291" s="162">
        <v>135</v>
      </c>
      <c r="AB1291" s="162" t="s">
        <v>2706</v>
      </c>
      <c r="AC1291" s="162">
        <v>217</v>
      </c>
      <c r="AD1291" s="162" t="s">
        <v>2706</v>
      </c>
      <c r="AE1291" s="162">
        <v>337</v>
      </c>
      <c r="AF1291" s="162" t="s">
        <v>2706</v>
      </c>
      <c r="AG1291" s="162">
        <v>314</v>
      </c>
      <c r="AH1291" s="162" t="s">
        <v>2706</v>
      </c>
      <c r="AI1291" s="162">
        <v>5527</v>
      </c>
      <c r="AJ1291" s="162" t="s">
        <v>2706</v>
      </c>
      <c r="AK1291" s="162">
        <v>437</v>
      </c>
      <c r="AL1291" s="162" t="s">
        <v>2706</v>
      </c>
      <c r="AM1291" s="162">
        <v>8329</v>
      </c>
      <c r="AN1291" s="162"/>
    </row>
    <row r="1292" spans="1:40" s="100" customFormat="1" ht="46.8" x14ac:dyDescent="0.3">
      <c r="A1292" s="161"/>
      <c r="B1292" s="167"/>
      <c r="C1292" s="98" t="s">
        <v>2708</v>
      </c>
      <c r="D1292" s="163"/>
      <c r="E1292" s="26" t="s">
        <v>48</v>
      </c>
      <c r="F1292" s="30" t="s">
        <v>49</v>
      </c>
      <c r="G1292" s="163"/>
      <c r="H1292" s="163"/>
      <c r="I1292" s="163"/>
      <c r="J1292" s="165"/>
      <c r="K1292" s="165"/>
      <c r="L1292" s="165"/>
      <c r="M1292" s="165"/>
      <c r="N1292" s="165"/>
      <c r="O1292" s="163"/>
      <c r="P1292" s="163"/>
      <c r="Q1292" s="163"/>
      <c r="R1292" s="163"/>
      <c r="S1292" s="163"/>
      <c r="T1292" s="163"/>
      <c r="U1292" s="163"/>
      <c r="V1292" s="163"/>
      <c r="W1292" s="163"/>
      <c r="X1292" s="163"/>
      <c r="Y1292" s="163"/>
      <c r="Z1292" s="163"/>
      <c r="AA1292" s="163"/>
      <c r="AB1292" s="163"/>
      <c r="AC1292" s="163"/>
      <c r="AD1292" s="163"/>
      <c r="AE1292" s="163"/>
      <c r="AF1292" s="163"/>
      <c r="AG1292" s="163"/>
      <c r="AH1292" s="163"/>
      <c r="AI1292" s="163"/>
      <c r="AJ1292" s="163"/>
      <c r="AK1292" s="163"/>
      <c r="AL1292" s="163"/>
      <c r="AM1292" s="163"/>
      <c r="AN1292" s="163"/>
    </row>
    <row r="1293" spans="1:40" s="100" customFormat="1" ht="46.8" x14ac:dyDescent="0.3">
      <c r="A1293" s="160">
        <v>866</v>
      </c>
      <c r="B1293" s="166" t="s">
        <v>1715</v>
      </c>
      <c r="C1293" s="98" t="s">
        <v>2708</v>
      </c>
      <c r="D1293" s="162" t="s">
        <v>2712</v>
      </c>
      <c r="E1293" s="26" t="s">
        <v>144</v>
      </c>
      <c r="F1293" s="30" t="s">
        <v>49</v>
      </c>
      <c r="G1293" s="162" t="s">
        <v>2704</v>
      </c>
      <c r="H1293" s="162">
        <v>14</v>
      </c>
      <c r="I1293" s="162" t="str">
        <f t="shared" si="121"/>
        <v>с ЛН</v>
      </c>
      <c r="J1293" s="164">
        <v>3</v>
      </c>
      <c r="K1293" s="164" t="s">
        <v>528</v>
      </c>
      <c r="L1293" s="164" t="s">
        <v>528</v>
      </c>
      <c r="M1293" s="164" t="s">
        <v>2705</v>
      </c>
      <c r="N1293" s="164" t="s">
        <v>2705</v>
      </c>
      <c r="O1293" s="162">
        <v>0</v>
      </c>
      <c r="P1293" s="162" t="s">
        <v>2706</v>
      </c>
      <c r="Q1293" s="162">
        <v>0</v>
      </c>
      <c r="R1293" s="162" t="s">
        <v>2706</v>
      </c>
      <c r="S1293" s="162">
        <v>0</v>
      </c>
      <c r="T1293" s="162" t="s">
        <v>2706</v>
      </c>
      <c r="U1293" s="162">
        <v>0</v>
      </c>
      <c r="V1293" s="162" t="s">
        <v>2706</v>
      </c>
      <c r="W1293" s="162">
        <v>0</v>
      </c>
      <c r="X1293" s="162" t="s">
        <v>2706</v>
      </c>
      <c r="Y1293" s="162">
        <v>0</v>
      </c>
      <c r="Z1293" s="162" t="s">
        <v>2706</v>
      </c>
      <c r="AA1293" s="162">
        <v>0</v>
      </c>
      <c r="AB1293" s="162" t="s">
        <v>2706</v>
      </c>
      <c r="AC1293" s="162">
        <v>0</v>
      </c>
      <c r="AD1293" s="162" t="s">
        <v>2706</v>
      </c>
      <c r="AE1293" s="162">
        <v>0</v>
      </c>
      <c r="AF1293" s="162" t="s">
        <v>2706</v>
      </c>
      <c r="AG1293" s="162">
        <v>0</v>
      </c>
      <c r="AH1293" s="162" t="s">
        <v>2706</v>
      </c>
      <c r="AI1293" s="162">
        <v>0</v>
      </c>
      <c r="AJ1293" s="162" t="s">
        <v>2706</v>
      </c>
      <c r="AK1293" s="162">
        <v>0</v>
      </c>
      <c r="AL1293" s="162" t="s">
        <v>2706</v>
      </c>
      <c r="AM1293" s="162">
        <v>0</v>
      </c>
      <c r="AN1293" s="162"/>
    </row>
    <row r="1294" spans="1:40" s="100" customFormat="1" ht="46.8" x14ac:dyDescent="0.3">
      <c r="A1294" s="161"/>
      <c r="B1294" s="167"/>
      <c r="C1294" s="98" t="s">
        <v>2708</v>
      </c>
      <c r="D1294" s="163"/>
      <c r="E1294" s="26" t="s">
        <v>48</v>
      </c>
      <c r="F1294" s="30" t="s">
        <v>49</v>
      </c>
      <c r="G1294" s="163"/>
      <c r="H1294" s="163"/>
      <c r="I1294" s="163"/>
      <c r="J1294" s="165"/>
      <c r="K1294" s="165"/>
      <c r="L1294" s="165"/>
      <c r="M1294" s="165"/>
      <c r="N1294" s="165"/>
      <c r="O1294" s="163"/>
      <c r="P1294" s="163"/>
      <c r="Q1294" s="163"/>
      <c r="R1294" s="163"/>
      <c r="S1294" s="163"/>
      <c r="T1294" s="163"/>
      <c r="U1294" s="163"/>
      <c r="V1294" s="163"/>
      <c r="W1294" s="163"/>
      <c r="X1294" s="163"/>
      <c r="Y1294" s="163"/>
      <c r="Z1294" s="163"/>
      <c r="AA1294" s="163"/>
      <c r="AB1294" s="163"/>
      <c r="AC1294" s="163"/>
      <c r="AD1294" s="163"/>
      <c r="AE1294" s="163"/>
      <c r="AF1294" s="163"/>
      <c r="AG1294" s="163"/>
      <c r="AH1294" s="163"/>
      <c r="AI1294" s="163"/>
      <c r="AJ1294" s="163"/>
      <c r="AK1294" s="163"/>
      <c r="AL1294" s="163"/>
      <c r="AM1294" s="163"/>
      <c r="AN1294" s="163"/>
    </row>
    <row r="1295" spans="1:40" s="100" customFormat="1" ht="46.8" x14ac:dyDescent="0.3">
      <c r="A1295" s="160">
        <v>867</v>
      </c>
      <c r="B1295" s="166" t="s">
        <v>1717</v>
      </c>
      <c r="C1295" s="98" t="s">
        <v>2708</v>
      </c>
      <c r="D1295" s="162" t="s">
        <v>2712</v>
      </c>
      <c r="E1295" s="26" t="s">
        <v>144</v>
      </c>
      <c r="F1295" s="30" t="s">
        <v>49</v>
      </c>
      <c r="G1295" s="162" t="s">
        <v>2704</v>
      </c>
      <c r="H1295" s="162">
        <v>20</v>
      </c>
      <c r="I1295" s="162" t="str">
        <f t="shared" si="121"/>
        <v>с ЛН</v>
      </c>
      <c r="J1295" s="164">
        <v>4</v>
      </c>
      <c r="K1295" s="164" t="s">
        <v>528</v>
      </c>
      <c r="L1295" s="164" t="s">
        <v>528</v>
      </c>
      <c r="M1295" s="164" t="s">
        <v>2705</v>
      </c>
      <c r="N1295" s="164" t="s">
        <v>2705</v>
      </c>
      <c r="O1295" s="162">
        <v>0</v>
      </c>
      <c r="P1295" s="162" t="s">
        <v>2706</v>
      </c>
      <c r="Q1295" s="162">
        <v>0</v>
      </c>
      <c r="R1295" s="162" t="s">
        <v>2706</v>
      </c>
      <c r="S1295" s="162">
        <v>0</v>
      </c>
      <c r="T1295" s="162" t="s">
        <v>2706</v>
      </c>
      <c r="U1295" s="162">
        <v>0</v>
      </c>
      <c r="V1295" s="162" t="s">
        <v>2706</v>
      </c>
      <c r="W1295" s="162">
        <v>0</v>
      </c>
      <c r="X1295" s="162" t="s">
        <v>2706</v>
      </c>
      <c r="Y1295" s="162">
        <v>0</v>
      </c>
      <c r="Z1295" s="162" t="s">
        <v>2706</v>
      </c>
      <c r="AA1295" s="162">
        <v>0</v>
      </c>
      <c r="AB1295" s="162" t="s">
        <v>2706</v>
      </c>
      <c r="AC1295" s="162">
        <v>0</v>
      </c>
      <c r="AD1295" s="162" t="s">
        <v>2706</v>
      </c>
      <c r="AE1295" s="162">
        <v>0</v>
      </c>
      <c r="AF1295" s="162" t="s">
        <v>2706</v>
      </c>
      <c r="AG1295" s="162">
        <v>0</v>
      </c>
      <c r="AH1295" s="162" t="s">
        <v>2706</v>
      </c>
      <c r="AI1295" s="162">
        <v>0</v>
      </c>
      <c r="AJ1295" s="162" t="s">
        <v>2706</v>
      </c>
      <c r="AK1295" s="162">
        <v>0</v>
      </c>
      <c r="AL1295" s="162" t="s">
        <v>2706</v>
      </c>
      <c r="AM1295" s="162">
        <v>0</v>
      </c>
      <c r="AN1295" s="162"/>
    </row>
    <row r="1296" spans="1:40" s="100" customFormat="1" ht="46.8" x14ac:dyDescent="0.3">
      <c r="A1296" s="161"/>
      <c r="B1296" s="167"/>
      <c r="C1296" s="98" t="s">
        <v>2708</v>
      </c>
      <c r="D1296" s="163"/>
      <c r="E1296" s="26" t="s">
        <v>48</v>
      </c>
      <c r="F1296" s="30" t="s">
        <v>49</v>
      </c>
      <c r="G1296" s="163"/>
      <c r="H1296" s="163"/>
      <c r="I1296" s="163"/>
      <c r="J1296" s="165"/>
      <c r="K1296" s="165"/>
      <c r="L1296" s="165"/>
      <c r="M1296" s="165"/>
      <c r="N1296" s="165"/>
      <c r="O1296" s="163"/>
      <c r="P1296" s="163"/>
      <c r="Q1296" s="163"/>
      <c r="R1296" s="163"/>
      <c r="S1296" s="163"/>
      <c r="T1296" s="163"/>
      <c r="U1296" s="163"/>
      <c r="V1296" s="163"/>
      <c r="W1296" s="163"/>
      <c r="X1296" s="163"/>
      <c r="Y1296" s="163"/>
      <c r="Z1296" s="163"/>
      <c r="AA1296" s="163"/>
      <c r="AB1296" s="163"/>
      <c r="AC1296" s="163"/>
      <c r="AD1296" s="163"/>
      <c r="AE1296" s="163"/>
      <c r="AF1296" s="163"/>
      <c r="AG1296" s="163"/>
      <c r="AH1296" s="163"/>
      <c r="AI1296" s="163"/>
      <c r="AJ1296" s="163"/>
      <c r="AK1296" s="163"/>
      <c r="AL1296" s="163"/>
      <c r="AM1296" s="163"/>
      <c r="AN1296" s="163"/>
    </row>
    <row r="1297" spans="1:40" s="100" customFormat="1" ht="46.8" x14ac:dyDescent="0.3">
      <c r="A1297" s="160">
        <v>868</v>
      </c>
      <c r="B1297" s="166" t="s">
        <v>1719</v>
      </c>
      <c r="C1297" s="98" t="s">
        <v>2708</v>
      </c>
      <c r="D1297" s="162" t="s">
        <v>2712</v>
      </c>
      <c r="E1297" s="26" t="s">
        <v>144</v>
      </c>
      <c r="F1297" s="30" t="s">
        <v>49</v>
      </c>
      <c r="G1297" s="162" t="s">
        <v>2704</v>
      </c>
      <c r="H1297" s="162">
        <v>27</v>
      </c>
      <c r="I1297" s="162" t="str">
        <f t="shared" si="121"/>
        <v>с ЛН</v>
      </c>
      <c r="J1297" s="164">
        <v>5</v>
      </c>
      <c r="K1297" s="164" t="s">
        <v>528</v>
      </c>
      <c r="L1297" s="164" t="s">
        <v>528</v>
      </c>
      <c r="M1297" s="164" t="s">
        <v>2705</v>
      </c>
      <c r="N1297" s="164" t="s">
        <v>2705</v>
      </c>
      <c r="O1297" s="162">
        <v>896</v>
      </c>
      <c r="P1297" s="162" t="s">
        <v>2706</v>
      </c>
      <c r="Q1297" s="162">
        <v>756</v>
      </c>
      <c r="R1297" s="162" t="s">
        <v>2706</v>
      </c>
      <c r="S1297" s="162">
        <v>626</v>
      </c>
      <c r="T1297" s="162" t="s">
        <v>2706</v>
      </c>
      <c r="U1297" s="162">
        <v>201</v>
      </c>
      <c r="V1297" s="162" t="s">
        <v>2706</v>
      </c>
      <c r="W1297" s="162">
        <v>324</v>
      </c>
      <c r="X1297" s="162" t="s">
        <v>2706</v>
      </c>
      <c r="Y1297" s="162">
        <v>243</v>
      </c>
      <c r="Z1297" s="162" t="s">
        <v>2706</v>
      </c>
      <c r="AA1297" s="162">
        <v>215</v>
      </c>
      <c r="AB1297" s="162" t="s">
        <v>2706</v>
      </c>
      <c r="AC1297" s="162">
        <v>324</v>
      </c>
      <c r="AD1297" s="162" t="s">
        <v>2706</v>
      </c>
      <c r="AE1297" s="162">
        <v>253</v>
      </c>
      <c r="AF1297" s="162" t="s">
        <v>2706</v>
      </c>
      <c r="AG1297" s="162">
        <v>323</v>
      </c>
      <c r="AH1297" s="162" t="s">
        <v>2706</v>
      </c>
      <c r="AI1297" s="162">
        <v>183</v>
      </c>
      <c r="AJ1297" s="162" t="s">
        <v>2706</v>
      </c>
      <c r="AK1297" s="162">
        <v>392</v>
      </c>
      <c r="AL1297" s="162" t="s">
        <v>2706</v>
      </c>
      <c r="AM1297" s="162">
        <v>4412</v>
      </c>
      <c r="AN1297" s="162"/>
    </row>
    <row r="1298" spans="1:40" s="100" customFormat="1" ht="46.8" x14ac:dyDescent="0.3">
      <c r="A1298" s="161"/>
      <c r="B1298" s="167"/>
      <c r="C1298" s="98" t="s">
        <v>2708</v>
      </c>
      <c r="D1298" s="163"/>
      <c r="E1298" s="26" t="s">
        <v>48</v>
      </c>
      <c r="F1298" s="30" t="s">
        <v>49</v>
      </c>
      <c r="G1298" s="163"/>
      <c r="H1298" s="163"/>
      <c r="I1298" s="163"/>
      <c r="J1298" s="165"/>
      <c r="K1298" s="165"/>
      <c r="L1298" s="165"/>
      <c r="M1298" s="165"/>
      <c r="N1298" s="165"/>
      <c r="O1298" s="163"/>
      <c r="P1298" s="163"/>
      <c r="Q1298" s="163"/>
      <c r="R1298" s="163"/>
      <c r="S1298" s="163"/>
      <c r="T1298" s="163"/>
      <c r="U1298" s="163"/>
      <c r="V1298" s="163"/>
      <c r="W1298" s="163"/>
      <c r="X1298" s="163"/>
      <c r="Y1298" s="163"/>
      <c r="Z1298" s="163"/>
      <c r="AA1298" s="163"/>
      <c r="AB1298" s="163"/>
      <c r="AC1298" s="163"/>
      <c r="AD1298" s="163"/>
      <c r="AE1298" s="163"/>
      <c r="AF1298" s="163"/>
      <c r="AG1298" s="163"/>
      <c r="AH1298" s="163"/>
      <c r="AI1298" s="163"/>
      <c r="AJ1298" s="163"/>
      <c r="AK1298" s="163"/>
      <c r="AL1298" s="163"/>
      <c r="AM1298" s="163"/>
      <c r="AN1298" s="163"/>
    </row>
    <row r="1299" spans="1:40" s="100" customFormat="1" ht="46.8" x14ac:dyDescent="0.3">
      <c r="A1299" s="160">
        <v>869</v>
      </c>
      <c r="B1299" s="166" t="s">
        <v>1720</v>
      </c>
      <c r="C1299" s="98" t="s">
        <v>2708</v>
      </c>
      <c r="D1299" s="162" t="s">
        <v>2712</v>
      </c>
      <c r="E1299" s="26" t="s">
        <v>144</v>
      </c>
      <c r="F1299" s="30" t="s">
        <v>49</v>
      </c>
      <c r="G1299" s="162" t="s">
        <v>2704</v>
      </c>
      <c r="H1299" s="162">
        <v>20</v>
      </c>
      <c r="I1299" s="162" t="str">
        <f t="shared" si="121"/>
        <v>с ЛН</v>
      </c>
      <c r="J1299" s="164">
        <v>4</v>
      </c>
      <c r="K1299" s="164" t="s">
        <v>528</v>
      </c>
      <c r="L1299" s="164" t="s">
        <v>528</v>
      </c>
      <c r="M1299" s="164" t="s">
        <v>2705</v>
      </c>
      <c r="N1299" s="164" t="s">
        <v>2705</v>
      </c>
      <c r="O1299" s="162">
        <v>331</v>
      </c>
      <c r="P1299" s="162" t="s">
        <v>2706</v>
      </c>
      <c r="Q1299" s="162">
        <v>238</v>
      </c>
      <c r="R1299" s="162" t="s">
        <v>2706</v>
      </c>
      <c r="S1299" s="162">
        <v>179</v>
      </c>
      <c r="T1299" s="162" t="s">
        <v>2706</v>
      </c>
      <c r="U1299" s="162">
        <v>118</v>
      </c>
      <c r="V1299" s="162" t="s">
        <v>2706</v>
      </c>
      <c r="W1299" s="162">
        <v>93</v>
      </c>
      <c r="X1299" s="162" t="s">
        <v>2706</v>
      </c>
      <c r="Y1299" s="162">
        <v>71</v>
      </c>
      <c r="Z1299" s="162" t="s">
        <v>2706</v>
      </c>
      <c r="AA1299" s="162">
        <v>107</v>
      </c>
      <c r="AB1299" s="162" t="s">
        <v>2706</v>
      </c>
      <c r="AC1299" s="162">
        <v>152</v>
      </c>
      <c r="AD1299" s="162" t="s">
        <v>2706</v>
      </c>
      <c r="AE1299" s="162">
        <v>172</v>
      </c>
      <c r="AF1299" s="162" t="s">
        <v>2706</v>
      </c>
      <c r="AG1299" s="162">
        <v>191</v>
      </c>
      <c r="AH1299" s="162" t="s">
        <v>2706</v>
      </c>
      <c r="AI1299" s="162">
        <v>1212</v>
      </c>
      <c r="AJ1299" s="162" t="s">
        <v>2706</v>
      </c>
      <c r="AK1299" s="162">
        <v>229</v>
      </c>
      <c r="AL1299" s="162" t="s">
        <v>2706</v>
      </c>
      <c r="AM1299" s="162">
        <v>2941</v>
      </c>
      <c r="AN1299" s="162"/>
    </row>
    <row r="1300" spans="1:40" s="100" customFormat="1" ht="46.8" x14ac:dyDescent="0.3">
      <c r="A1300" s="161"/>
      <c r="B1300" s="167"/>
      <c r="C1300" s="98" t="s">
        <v>2708</v>
      </c>
      <c r="D1300" s="163"/>
      <c r="E1300" s="26" t="s">
        <v>48</v>
      </c>
      <c r="F1300" s="30" t="s">
        <v>49</v>
      </c>
      <c r="G1300" s="163"/>
      <c r="H1300" s="163"/>
      <c r="I1300" s="163"/>
      <c r="J1300" s="165"/>
      <c r="K1300" s="165"/>
      <c r="L1300" s="165"/>
      <c r="M1300" s="165"/>
      <c r="N1300" s="165"/>
      <c r="O1300" s="163"/>
      <c r="P1300" s="163"/>
      <c r="Q1300" s="163"/>
      <c r="R1300" s="163"/>
      <c r="S1300" s="163"/>
      <c r="T1300" s="163"/>
      <c r="U1300" s="163"/>
      <c r="V1300" s="163"/>
      <c r="W1300" s="163"/>
      <c r="X1300" s="163"/>
      <c r="Y1300" s="163"/>
      <c r="Z1300" s="163"/>
      <c r="AA1300" s="163"/>
      <c r="AB1300" s="163"/>
      <c r="AC1300" s="163"/>
      <c r="AD1300" s="163"/>
      <c r="AE1300" s="163"/>
      <c r="AF1300" s="163"/>
      <c r="AG1300" s="163"/>
      <c r="AH1300" s="163"/>
      <c r="AI1300" s="163"/>
      <c r="AJ1300" s="163"/>
      <c r="AK1300" s="163"/>
      <c r="AL1300" s="163"/>
      <c r="AM1300" s="163"/>
      <c r="AN1300" s="163"/>
    </row>
    <row r="1301" spans="1:40" s="100" customFormat="1" ht="46.8" x14ac:dyDescent="0.3">
      <c r="A1301" s="160">
        <v>870</v>
      </c>
      <c r="B1301" s="166" t="s">
        <v>1721</v>
      </c>
      <c r="C1301" s="98" t="s">
        <v>2708</v>
      </c>
      <c r="D1301" s="162" t="s">
        <v>2712</v>
      </c>
      <c r="E1301" s="26" t="s">
        <v>144</v>
      </c>
      <c r="F1301" s="30" t="s">
        <v>49</v>
      </c>
      <c r="G1301" s="162"/>
      <c r="H1301" s="162"/>
      <c r="I1301" s="162"/>
      <c r="J1301" s="164"/>
      <c r="K1301" s="164" t="s">
        <v>528</v>
      </c>
      <c r="L1301" s="164" t="s">
        <v>528</v>
      </c>
      <c r="M1301" s="164" t="s">
        <v>2705</v>
      </c>
      <c r="N1301" s="164" t="s">
        <v>2705</v>
      </c>
      <c r="O1301" s="162">
        <v>2507</v>
      </c>
      <c r="P1301" s="162" t="s">
        <v>2706</v>
      </c>
      <c r="Q1301" s="162">
        <v>1716</v>
      </c>
      <c r="R1301" s="162" t="s">
        <v>2706</v>
      </c>
      <c r="S1301" s="162">
        <v>1295</v>
      </c>
      <c r="T1301" s="162" t="s">
        <v>2706</v>
      </c>
      <c r="U1301" s="162">
        <v>1296</v>
      </c>
      <c r="V1301" s="162" t="s">
        <v>2706</v>
      </c>
      <c r="W1301" s="162">
        <v>1055</v>
      </c>
      <c r="X1301" s="162" t="s">
        <v>2706</v>
      </c>
      <c r="Y1301" s="162">
        <v>798</v>
      </c>
      <c r="Z1301" s="162" t="s">
        <v>2706</v>
      </c>
      <c r="AA1301" s="162">
        <v>704</v>
      </c>
      <c r="AB1301" s="162" t="s">
        <v>2706</v>
      </c>
      <c r="AC1301" s="162">
        <v>1166</v>
      </c>
      <c r="AD1301" s="162" t="s">
        <v>2706</v>
      </c>
      <c r="AE1301" s="162">
        <v>1192</v>
      </c>
      <c r="AF1301" s="162" t="s">
        <v>2706</v>
      </c>
      <c r="AG1301" s="162">
        <v>1615</v>
      </c>
      <c r="AH1301" s="162" t="s">
        <v>2706</v>
      </c>
      <c r="AI1301" s="162">
        <v>1324</v>
      </c>
      <c r="AJ1301" s="162" t="s">
        <v>2706</v>
      </c>
      <c r="AK1301" s="162">
        <v>1464</v>
      </c>
      <c r="AL1301" s="162" t="s">
        <v>2706</v>
      </c>
      <c r="AM1301" s="162">
        <v>14966</v>
      </c>
      <c r="AN1301" s="162"/>
    </row>
    <row r="1302" spans="1:40" s="100" customFormat="1" ht="46.8" x14ac:dyDescent="0.3">
      <c r="A1302" s="161"/>
      <c r="B1302" s="167"/>
      <c r="C1302" s="98" t="s">
        <v>2708</v>
      </c>
      <c r="D1302" s="163"/>
      <c r="E1302" s="26" t="s">
        <v>48</v>
      </c>
      <c r="F1302" s="30" t="s">
        <v>49</v>
      </c>
      <c r="G1302" s="163"/>
      <c r="H1302" s="163"/>
      <c r="I1302" s="163"/>
      <c r="J1302" s="165"/>
      <c r="K1302" s="165"/>
      <c r="L1302" s="165"/>
      <c r="M1302" s="165"/>
      <c r="N1302" s="165"/>
      <c r="O1302" s="163"/>
      <c r="P1302" s="163"/>
      <c r="Q1302" s="163"/>
      <c r="R1302" s="163"/>
      <c r="S1302" s="163"/>
      <c r="T1302" s="163"/>
      <c r="U1302" s="163"/>
      <c r="V1302" s="163"/>
      <c r="W1302" s="163"/>
      <c r="X1302" s="163"/>
      <c r="Y1302" s="163"/>
      <c r="Z1302" s="163"/>
      <c r="AA1302" s="163"/>
      <c r="AB1302" s="163"/>
      <c r="AC1302" s="163"/>
      <c r="AD1302" s="163"/>
      <c r="AE1302" s="163"/>
      <c r="AF1302" s="163"/>
      <c r="AG1302" s="163"/>
      <c r="AH1302" s="163"/>
      <c r="AI1302" s="163"/>
      <c r="AJ1302" s="163"/>
      <c r="AK1302" s="163"/>
      <c r="AL1302" s="163"/>
      <c r="AM1302" s="163"/>
      <c r="AN1302" s="163"/>
    </row>
    <row r="1303" spans="1:40" s="100" customFormat="1" ht="46.8" x14ac:dyDescent="0.3">
      <c r="A1303" s="160">
        <v>871</v>
      </c>
      <c r="B1303" s="166" t="s">
        <v>1722</v>
      </c>
      <c r="C1303" s="98" t="s">
        <v>2708</v>
      </c>
      <c r="D1303" s="162" t="s">
        <v>2712</v>
      </c>
      <c r="E1303" s="26" t="s">
        <v>144</v>
      </c>
      <c r="F1303" s="30" t="s">
        <v>49</v>
      </c>
      <c r="G1303" s="162" t="s">
        <v>2704</v>
      </c>
      <c r="H1303" s="162">
        <v>36</v>
      </c>
      <c r="I1303" s="162" t="str">
        <f t="shared" si="121"/>
        <v>с ЛН</v>
      </c>
      <c r="J1303" s="164">
        <v>6</v>
      </c>
      <c r="K1303" s="164" t="s">
        <v>528</v>
      </c>
      <c r="L1303" s="164" t="s">
        <v>528</v>
      </c>
      <c r="M1303" s="164" t="s">
        <v>2705</v>
      </c>
      <c r="N1303" s="164" t="s">
        <v>2705</v>
      </c>
      <c r="O1303" s="162">
        <v>1153</v>
      </c>
      <c r="P1303" s="162" t="s">
        <v>2706</v>
      </c>
      <c r="Q1303" s="162">
        <v>1013</v>
      </c>
      <c r="R1303" s="162" t="s">
        <v>2706</v>
      </c>
      <c r="S1303" s="162">
        <v>984</v>
      </c>
      <c r="T1303" s="162" t="s">
        <v>2706</v>
      </c>
      <c r="U1303" s="162">
        <v>915</v>
      </c>
      <c r="V1303" s="162" t="s">
        <v>2706</v>
      </c>
      <c r="W1303" s="162">
        <v>1284</v>
      </c>
      <c r="X1303" s="162" t="s">
        <v>2706</v>
      </c>
      <c r="Y1303" s="162">
        <v>1009</v>
      </c>
      <c r="Z1303" s="162" t="s">
        <v>2706</v>
      </c>
      <c r="AA1303" s="162">
        <v>1034</v>
      </c>
      <c r="AB1303" s="162" t="s">
        <v>2706</v>
      </c>
      <c r="AC1303" s="162">
        <v>1238</v>
      </c>
      <c r="AD1303" s="162" t="s">
        <v>2706</v>
      </c>
      <c r="AE1303" s="162">
        <v>1077</v>
      </c>
      <c r="AF1303" s="162" t="s">
        <v>2706</v>
      </c>
      <c r="AG1303" s="162">
        <v>955</v>
      </c>
      <c r="AH1303" s="162" t="s">
        <v>2706</v>
      </c>
      <c r="AI1303" s="162">
        <v>1172</v>
      </c>
      <c r="AJ1303" s="162" t="s">
        <v>2706</v>
      </c>
      <c r="AK1303" s="162">
        <v>1224</v>
      </c>
      <c r="AL1303" s="162" t="s">
        <v>2706</v>
      </c>
      <c r="AM1303" s="162">
        <v>11820</v>
      </c>
      <c r="AN1303" s="162"/>
    </row>
    <row r="1304" spans="1:40" s="100" customFormat="1" ht="46.8" x14ac:dyDescent="0.3">
      <c r="A1304" s="161"/>
      <c r="B1304" s="167"/>
      <c r="C1304" s="98" t="s">
        <v>2708</v>
      </c>
      <c r="D1304" s="163"/>
      <c r="E1304" s="26" t="s">
        <v>48</v>
      </c>
      <c r="F1304" s="30" t="s">
        <v>49</v>
      </c>
      <c r="G1304" s="163"/>
      <c r="H1304" s="163"/>
      <c r="I1304" s="163"/>
      <c r="J1304" s="165"/>
      <c r="K1304" s="165"/>
      <c r="L1304" s="165"/>
      <c r="M1304" s="165"/>
      <c r="N1304" s="165"/>
      <c r="O1304" s="163"/>
      <c r="P1304" s="163"/>
      <c r="Q1304" s="163"/>
      <c r="R1304" s="163"/>
      <c r="S1304" s="163"/>
      <c r="T1304" s="163"/>
      <c r="U1304" s="163"/>
      <c r="V1304" s="163"/>
      <c r="W1304" s="163"/>
      <c r="X1304" s="163"/>
      <c r="Y1304" s="163"/>
      <c r="Z1304" s="163"/>
      <c r="AA1304" s="163"/>
      <c r="AB1304" s="163"/>
      <c r="AC1304" s="163"/>
      <c r="AD1304" s="163"/>
      <c r="AE1304" s="163"/>
      <c r="AF1304" s="163"/>
      <c r="AG1304" s="163"/>
      <c r="AH1304" s="163"/>
      <c r="AI1304" s="163"/>
      <c r="AJ1304" s="163"/>
      <c r="AK1304" s="163"/>
      <c r="AL1304" s="163"/>
      <c r="AM1304" s="163"/>
      <c r="AN1304" s="163"/>
    </row>
    <row r="1305" spans="1:40" s="100" customFormat="1" ht="46.8" x14ac:dyDescent="0.3">
      <c r="A1305" s="160">
        <v>872</v>
      </c>
      <c r="B1305" s="166" t="s">
        <v>1724</v>
      </c>
      <c r="C1305" s="98" t="s">
        <v>2708</v>
      </c>
      <c r="D1305" s="162" t="s">
        <v>2712</v>
      </c>
      <c r="E1305" s="26" t="s">
        <v>144</v>
      </c>
      <c r="F1305" s="30" t="s">
        <v>49</v>
      </c>
      <c r="G1305" s="162" t="s">
        <v>2704</v>
      </c>
      <c r="H1305" s="162">
        <v>30</v>
      </c>
      <c r="I1305" s="162" t="str">
        <f t="shared" si="121"/>
        <v>с ЛН</v>
      </c>
      <c r="J1305" s="164">
        <v>5</v>
      </c>
      <c r="K1305" s="164" t="s">
        <v>528</v>
      </c>
      <c r="L1305" s="164" t="s">
        <v>528</v>
      </c>
      <c r="M1305" s="164" t="s">
        <v>2705</v>
      </c>
      <c r="N1305" s="164" t="s">
        <v>2705</v>
      </c>
      <c r="O1305" s="162">
        <v>1035</v>
      </c>
      <c r="P1305" s="162" t="s">
        <v>2706</v>
      </c>
      <c r="Q1305" s="162">
        <v>1019</v>
      </c>
      <c r="R1305" s="162" t="s">
        <v>2706</v>
      </c>
      <c r="S1305" s="162">
        <v>734</v>
      </c>
      <c r="T1305" s="162" t="s">
        <v>2706</v>
      </c>
      <c r="U1305" s="162">
        <v>858</v>
      </c>
      <c r="V1305" s="162" t="s">
        <v>2706</v>
      </c>
      <c r="W1305" s="162">
        <v>852</v>
      </c>
      <c r="X1305" s="162" t="s">
        <v>2706</v>
      </c>
      <c r="Y1305" s="162">
        <v>665</v>
      </c>
      <c r="Z1305" s="162" t="s">
        <v>2706</v>
      </c>
      <c r="AA1305" s="162">
        <v>807</v>
      </c>
      <c r="AB1305" s="162" t="s">
        <v>2706</v>
      </c>
      <c r="AC1305" s="162">
        <v>1019</v>
      </c>
      <c r="AD1305" s="162" t="s">
        <v>2706</v>
      </c>
      <c r="AE1305" s="162">
        <v>790</v>
      </c>
      <c r="AF1305" s="162" t="s">
        <v>2706</v>
      </c>
      <c r="AG1305" s="162">
        <v>958</v>
      </c>
      <c r="AH1305" s="162" t="s">
        <v>2706</v>
      </c>
      <c r="AI1305" s="162">
        <v>879</v>
      </c>
      <c r="AJ1305" s="162" t="s">
        <v>2706</v>
      </c>
      <c r="AK1305" s="162">
        <v>888</v>
      </c>
      <c r="AL1305" s="162" t="s">
        <v>2706</v>
      </c>
      <c r="AM1305" s="162">
        <v>9485</v>
      </c>
      <c r="AN1305" s="162"/>
    </row>
    <row r="1306" spans="1:40" s="100" customFormat="1" ht="46.8" x14ac:dyDescent="0.3">
      <c r="A1306" s="161"/>
      <c r="B1306" s="167"/>
      <c r="C1306" s="98" t="s">
        <v>2708</v>
      </c>
      <c r="D1306" s="163"/>
      <c r="E1306" s="26" t="s">
        <v>48</v>
      </c>
      <c r="F1306" s="30" t="s">
        <v>49</v>
      </c>
      <c r="G1306" s="163"/>
      <c r="H1306" s="163"/>
      <c r="I1306" s="163"/>
      <c r="J1306" s="165"/>
      <c r="K1306" s="165"/>
      <c r="L1306" s="165"/>
      <c r="M1306" s="165"/>
      <c r="N1306" s="165"/>
      <c r="O1306" s="163"/>
      <c r="P1306" s="163"/>
      <c r="Q1306" s="163"/>
      <c r="R1306" s="163"/>
      <c r="S1306" s="163"/>
      <c r="T1306" s="163"/>
      <c r="U1306" s="163"/>
      <c r="V1306" s="163"/>
      <c r="W1306" s="163"/>
      <c r="X1306" s="163"/>
      <c r="Y1306" s="163"/>
      <c r="Z1306" s="163"/>
      <c r="AA1306" s="163"/>
      <c r="AB1306" s="163"/>
      <c r="AC1306" s="163"/>
      <c r="AD1306" s="163"/>
      <c r="AE1306" s="163"/>
      <c r="AF1306" s="163"/>
      <c r="AG1306" s="163"/>
      <c r="AH1306" s="163"/>
      <c r="AI1306" s="163"/>
      <c r="AJ1306" s="163"/>
      <c r="AK1306" s="163"/>
      <c r="AL1306" s="163"/>
      <c r="AM1306" s="163"/>
      <c r="AN1306" s="163"/>
    </row>
    <row r="1307" spans="1:40" s="100" customFormat="1" ht="46.8" x14ac:dyDescent="0.3">
      <c r="A1307" s="160">
        <v>873</v>
      </c>
      <c r="B1307" s="166" t="s">
        <v>1726</v>
      </c>
      <c r="C1307" s="98" t="s">
        <v>2708</v>
      </c>
      <c r="D1307" s="162" t="s">
        <v>2712</v>
      </c>
      <c r="E1307" s="26" t="s">
        <v>144</v>
      </c>
      <c r="F1307" s="30" t="s">
        <v>49</v>
      </c>
      <c r="G1307" s="162" t="s">
        <v>2707</v>
      </c>
      <c r="H1307" s="162">
        <v>24</v>
      </c>
      <c r="I1307" s="162" t="s">
        <v>2704</v>
      </c>
      <c r="J1307" s="164">
        <v>4</v>
      </c>
      <c r="K1307" s="164" t="s">
        <v>528</v>
      </c>
      <c r="L1307" s="164" t="s">
        <v>528</v>
      </c>
      <c r="M1307" s="164" t="s">
        <v>2705</v>
      </c>
      <c r="N1307" s="164" t="s">
        <v>2705</v>
      </c>
      <c r="O1307" s="162">
        <v>1100</v>
      </c>
      <c r="P1307" s="162" t="s">
        <v>2706</v>
      </c>
      <c r="Q1307" s="162">
        <v>1563</v>
      </c>
      <c r="R1307" s="162" t="s">
        <v>2706</v>
      </c>
      <c r="S1307" s="162">
        <v>1304</v>
      </c>
      <c r="T1307" s="162" t="s">
        <v>2706</v>
      </c>
      <c r="U1307" s="162">
        <v>1277</v>
      </c>
      <c r="V1307" s="162" t="s">
        <v>2706</v>
      </c>
      <c r="W1307" s="162">
        <v>1164</v>
      </c>
      <c r="X1307" s="162" t="s">
        <v>2706</v>
      </c>
      <c r="Y1307" s="162">
        <v>1247</v>
      </c>
      <c r="Z1307" s="162" t="s">
        <v>2706</v>
      </c>
      <c r="AA1307" s="162">
        <v>815</v>
      </c>
      <c r="AB1307" s="162" t="s">
        <v>2706</v>
      </c>
      <c r="AC1307" s="162">
        <v>907</v>
      </c>
      <c r="AD1307" s="162" t="s">
        <v>2706</v>
      </c>
      <c r="AE1307" s="162">
        <v>946</v>
      </c>
      <c r="AF1307" s="162" t="s">
        <v>2706</v>
      </c>
      <c r="AG1307" s="162">
        <v>408</v>
      </c>
      <c r="AH1307" s="162" t="s">
        <v>2706</v>
      </c>
      <c r="AI1307" s="162">
        <v>254</v>
      </c>
      <c r="AJ1307" s="162" t="s">
        <v>2706</v>
      </c>
      <c r="AK1307" s="162">
        <v>530</v>
      </c>
      <c r="AL1307" s="162" t="s">
        <v>2706</v>
      </c>
      <c r="AM1307" s="162">
        <v>10608</v>
      </c>
      <c r="AN1307" s="162"/>
    </row>
    <row r="1308" spans="1:40" s="100" customFormat="1" ht="46.8" x14ac:dyDescent="0.3">
      <c r="A1308" s="161"/>
      <c r="B1308" s="167"/>
      <c r="C1308" s="98" t="s">
        <v>2708</v>
      </c>
      <c r="D1308" s="163"/>
      <c r="E1308" s="26" t="s">
        <v>48</v>
      </c>
      <c r="F1308" s="30" t="s">
        <v>49</v>
      </c>
      <c r="G1308" s="163"/>
      <c r="H1308" s="163"/>
      <c r="I1308" s="163"/>
      <c r="J1308" s="165"/>
      <c r="K1308" s="165"/>
      <c r="L1308" s="165"/>
      <c r="M1308" s="165"/>
      <c r="N1308" s="165"/>
      <c r="O1308" s="163"/>
      <c r="P1308" s="163"/>
      <c r="Q1308" s="163"/>
      <c r="R1308" s="163"/>
      <c r="S1308" s="163"/>
      <c r="T1308" s="163"/>
      <c r="U1308" s="163"/>
      <c r="V1308" s="163"/>
      <c r="W1308" s="163"/>
      <c r="X1308" s="163"/>
      <c r="Y1308" s="163"/>
      <c r="Z1308" s="163"/>
      <c r="AA1308" s="163"/>
      <c r="AB1308" s="163"/>
      <c r="AC1308" s="163"/>
      <c r="AD1308" s="163"/>
      <c r="AE1308" s="163"/>
      <c r="AF1308" s="163"/>
      <c r="AG1308" s="163"/>
      <c r="AH1308" s="163"/>
      <c r="AI1308" s="163"/>
      <c r="AJ1308" s="163"/>
      <c r="AK1308" s="163"/>
      <c r="AL1308" s="163"/>
      <c r="AM1308" s="163"/>
      <c r="AN1308" s="163"/>
    </row>
    <row r="1309" spans="1:40" s="100" customFormat="1" ht="46.8" x14ac:dyDescent="0.3">
      <c r="A1309" s="160">
        <v>874</v>
      </c>
      <c r="B1309" s="166" t="s">
        <v>1727</v>
      </c>
      <c r="C1309" s="98" t="s">
        <v>2708</v>
      </c>
      <c r="D1309" s="162" t="s">
        <v>2712</v>
      </c>
      <c r="E1309" s="26" t="s">
        <v>144</v>
      </c>
      <c r="F1309" s="30" t="s">
        <v>49</v>
      </c>
      <c r="G1309" s="162" t="s">
        <v>2707</v>
      </c>
      <c r="H1309" s="162">
        <v>18</v>
      </c>
      <c r="I1309" s="162" t="s">
        <v>2704</v>
      </c>
      <c r="J1309" s="164">
        <v>3</v>
      </c>
      <c r="K1309" s="164" t="s">
        <v>528</v>
      </c>
      <c r="L1309" s="164" t="s">
        <v>528</v>
      </c>
      <c r="M1309" s="164" t="s">
        <v>2705</v>
      </c>
      <c r="N1309" s="164" t="s">
        <v>2705</v>
      </c>
      <c r="O1309" s="162">
        <v>0</v>
      </c>
      <c r="P1309" s="162" t="s">
        <v>2706</v>
      </c>
      <c r="Q1309" s="162">
        <v>0</v>
      </c>
      <c r="R1309" s="162" t="s">
        <v>2706</v>
      </c>
      <c r="S1309" s="162">
        <v>0</v>
      </c>
      <c r="T1309" s="162" t="s">
        <v>2706</v>
      </c>
      <c r="U1309" s="162">
        <v>0</v>
      </c>
      <c r="V1309" s="162" t="s">
        <v>2706</v>
      </c>
      <c r="W1309" s="162">
        <v>0</v>
      </c>
      <c r="X1309" s="162" t="s">
        <v>2706</v>
      </c>
      <c r="Y1309" s="162">
        <v>0</v>
      </c>
      <c r="Z1309" s="162" t="s">
        <v>2706</v>
      </c>
      <c r="AA1309" s="162">
        <v>0</v>
      </c>
      <c r="AB1309" s="162" t="s">
        <v>2706</v>
      </c>
      <c r="AC1309" s="162">
        <v>0</v>
      </c>
      <c r="AD1309" s="162" t="s">
        <v>2706</v>
      </c>
      <c r="AE1309" s="162">
        <v>0</v>
      </c>
      <c r="AF1309" s="162" t="s">
        <v>2706</v>
      </c>
      <c r="AG1309" s="162">
        <v>0</v>
      </c>
      <c r="AH1309" s="162" t="s">
        <v>2706</v>
      </c>
      <c r="AI1309" s="162">
        <v>0</v>
      </c>
      <c r="AJ1309" s="162" t="s">
        <v>2706</v>
      </c>
      <c r="AK1309" s="162">
        <v>0</v>
      </c>
      <c r="AL1309" s="162" t="s">
        <v>2706</v>
      </c>
      <c r="AM1309" s="162">
        <v>0</v>
      </c>
      <c r="AN1309" s="162"/>
    </row>
    <row r="1310" spans="1:40" s="100" customFormat="1" ht="46.8" x14ac:dyDescent="0.3">
      <c r="A1310" s="161"/>
      <c r="B1310" s="167"/>
      <c r="C1310" s="98" t="s">
        <v>2708</v>
      </c>
      <c r="D1310" s="163"/>
      <c r="E1310" s="26" t="s">
        <v>48</v>
      </c>
      <c r="F1310" s="30" t="s">
        <v>49</v>
      </c>
      <c r="G1310" s="163"/>
      <c r="H1310" s="163"/>
      <c r="I1310" s="163"/>
      <c r="J1310" s="165"/>
      <c r="K1310" s="165"/>
      <c r="L1310" s="165"/>
      <c r="M1310" s="165"/>
      <c r="N1310" s="165"/>
      <c r="O1310" s="163"/>
      <c r="P1310" s="163"/>
      <c r="Q1310" s="163"/>
      <c r="R1310" s="163"/>
      <c r="S1310" s="163"/>
      <c r="T1310" s="163"/>
      <c r="U1310" s="163"/>
      <c r="V1310" s="163"/>
      <c r="W1310" s="163"/>
      <c r="X1310" s="163"/>
      <c r="Y1310" s="163"/>
      <c r="Z1310" s="163"/>
      <c r="AA1310" s="163"/>
      <c r="AB1310" s="163"/>
      <c r="AC1310" s="163"/>
      <c r="AD1310" s="163"/>
      <c r="AE1310" s="163"/>
      <c r="AF1310" s="163"/>
      <c r="AG1310" s="163"/>
      <c r="AH1310" s="163"/>
      <c r="AI1310" s="163"/>
      <c r="AJ1310" s="163"/>
      <c r="AK1310" s="163"/>
      <c r="AL1310" s="163"/>
      <c r="AM1310" s="163"/>
      <c r="AN1310" s="163"/>
    </row>
    <row r="1311" spans="1:40" s="100" customFormat="1" ht="46.8" x14ac:dyDescent="0.3">
      <c r="A1311" s="160">
        <v>875</v>
      </c>
      <c r="B1311" s="166" t="s">
        <v>1729</v>
      </c>
      <c r="C1311" s="98" t="s">
        <v>2708</v>
      </c>
      <c r="D1311" s="162" t="s">
        <v>2712</v>
      </c>
      <c r="E1311" s="26" t="s">
        <v>144</v>
      </c>
      <c r="F1311" s="30" t="s">
        <v>49</v>
      </c>
      <c r="G1311" s="162" t="s">
        <v>2704</v>
      </c>
      <c r="H1311" s="162">
        <v>15</v>
      </c>
      <c r="I1311" s="162" t="str">
        <f>G1311</f>
        <v>с ЛН</v>
      </c>
      <c r="J1311" s="164">
        <v>3</v>
      </c>
      <c r="K1311" s="164" t="s">
        <v>528</v>
      </c>
      <c r="L1311" s="164" t="s">
        <v>528</v>
      </c>
      <c r="M1311" s="164" t="s">
        <v>2705</v>
      </c>
      <c r="N1311" s="164" t="s">
        <v>2705</v>
      </c>
      <c r="O1311" s="162">
        <v>82</v>
      </c>
      <c r="P1311" s="162" t="s">
        <v>2706</v>
      </c>
      <c r="Q1311" s="162">
        <v>16</v>
      </c>
      <c r="R1311" s="162" t="s">
        <v>2706</v>
      </c>
      <c r="S1311" s="162">
        <v>1</v>
      </c>
      <c r="T1311" s="162" t="s">
        <v>2706</v>
      </c>
      <c r="U1311" s="162">
        <v>26</v>
      </c>
      <c r="V1311" s="162" t="s">
        <v>2706</v>
      </c>
      <c r="W1311" s="162">
        <v>1</v>
      </c>
      <c r="X1311" s="162" t="s">
        <v>2706</v>
      </c>
      <c r="Y1311" s="162">
        <v>1</v>
      </c>
      <c r="Z1311" s="162" t="s">
        <v>2706</v>
      </c>
      <c r="AA1311" s="162">
        <v>35</v>
      </c>
      <c r="AB1311" s="162" t="s">
        <v>2706</v>
      </c>
      <c r="AC1311" s="162">
        <v>10</v>
      </c>
      <c r="AD1311" s="162" t="s">
        <v>2706</v>
      </c>
      <c r="AE1311" s="162">
        <v>2</v>
      </c>
      <c r="AF1311" s="162" t="s">
        <v>2706</v>
      </c>
      <c r="AG1311" s="162">
        <v>3</v>
      </c>
      <c r="AH1311" s="162" t="s">
        <v>2706</v>
      </c>
      <c r="AI1311" s="162">
        <v>638</v>
      </c>
      <c r="AJ1311" s="162" t="s">
        <v>2706</v>
      </c>
      <c r="AK1311" s="162">
        <v>4</v>
      </c>
      <c r="AL1311" s="162" t="s">
        <v>2706</v>
      </c>
      <c r="AM1311" s="162">
        <v>809</v>
      </c>
      <c r="AN1311" s="162"/>
    </row>
    <row r="1312" spans="1:40" s="100" customFormat="1" ht="46.8" x14ac:dyDescent="0.3">
      <c r="A1312" s="161"/>
      <c r="B1312" s="167"/>
      <c r="C1312" s="98" t="s">
        <v>2708</v>
      </c>
      <c r="D1312" s="163"/>
      <c r="E1312" s="26" t="s">
        <v>48</v>
      </c>
      <c r="F1312" s="30" t="s">
        <v>49</v>
      </c>
      <c r="G1312" s="163"/>
      <c r="H1312" s="163"/>
      <c r="I1312" s="163"/>
      <c r="J1312" s="165"/>
      <c r="K1312" s="165"/>
      <c r="L1312" s="165"/>
      <c r="M1312" s="165"/>
      <c r="N1312" s="165"/>
      <c r="O1312" s="163"/>
      <c r="P1312" s="163"/>
      <c r="Q1312" s="163"/>
      <c r="R1312" s="163"/>
      <c r="S1312" s="163"/>
      <c r="T1312" s="163"/>
      <c r="U1312" s="163"/>
      <c r="V1312" s="163"/>
      <c r="W1312" s="163"/>
      <c r="X1312" s="163"/>
      <c r="Y1312" s="163"/>
      <c r="Z1312" s="163"/>
      <c r="AA1312" s="163"/>
      <c r="AB1312" s="163"/>
      <c r="AC1312" s="163"/>
      <c r="AD1312" s="163"/>
      <c r="AE1312" s="163"/>
      <c r="AF1312" s="163"/>
      <c r="AG1312" s="163"/>
      <c r="AH1312" s="163"/>
      <c r="AI1312" s="163"/>
      <c r="AJ1312" s="163"/>
      <c r="AK1312" s="163"/>
      <c r="AL1312" s="163"/>
      <c r="AM1312" s="163"/>
      <c r="AN1312" s="163"/>
    </row>
    <row r="1313" spans="1:40" s="100" customFormat="1" ht="46.8" x14ac:dyDescent="0.3">
      <c r="A1313" s="160">
        <v>876</v>
      </c>
      <c r="B1313" s="166" t="s">
        <v>1730</v>
      </c>
      <c r="C1313" s="98" t="s">
        <v>2708</v>
      </c>
      <c r="D1313" s="162" t="s">
        <v>2712</v>
      </c>
      <c r="E1313" s="26" t="s">
        <v>144</v>
      </c>
      <c r="F1313" s="30" t="s">
        <v>49</v>
      </c>
      <c r="G1313" s="162" t="s">
        <v>2704</v>
      </c>
      <c r="H1313" s="162">
        <v>37</v>
      </c>
      <c r="I1313" s="162" t="str">
        <f t="shared" ref="I1313" si="122">G1313</f>
        <v>с ЛН</v>
      </c>
      <c r="J1313" s="164">
        <v>7</v>
      </c>
      <c r="K1313" s="164" t="s">
        <v>528</v>
      </c>
      <c r="L1313" s="164" t="s">
        <v>528</v>
      </c>
      <c r="M1313" s="164" t="s">
        <v>2705</v>
      </c>
      <c r="N1313" s="164" t="s">
        <v>2705</v>
      </c>
      <c r="O1313" s="162">
        <v>720</v>
      </c>
      <c r="P1313" s="162" t="s">
        <v>2706</v>
      </c>
      <c r="Q1313" s="162">
        <v>946</v>
      </c>
      <c r="R1313" s="162" t="s">
        <v>2706</v>
      </c>
      <c r="S1313" s="162">
        <v>744</v>
      </c>
      <c r="T1313" s="162" t="s">
        <v>2706</v>
      </c>
      <c r="U1313" s="162">
        <v>698</v>
      </c>
      <c r="V1313" s="162" t="s">
        <v>2706</v>
      </c>
      <c r="W1313" s="162">
        <v>665</v>
      </c>
      <c r="X1313" s="162" t="s">
        <v>2706</v>
      </c>
      <c r="Y1313" s="162">
        <v>568</v>
      </c>
      <c r="Z1313" s="162" t="s">
        <v>2706</v>
      </c>
      <c r="AA1313" s="162">
        <v>542</v>
      </c>
      <c r="AB1313" s="162" t="s">
        <v>2706</v>
      </c>
      <c r="AC1313" s="162">
        <v>599</v>
      </c>
      <c r="AD1313" s="162" t="s">
        <v>2706</v>
      </c>
      <c r="AE1313" s="162">
        <v>551</v>
      </c>
      <c r="AF1313" s="162" t="s">
        <v>2706</v>
      </c>
      <c r="AG1313" s="162">
        <v>535</v>
      </c>
      <c r="AH1313" s="162" t="s">
        <v>2706</v>
      </c>
      <c r="AI1313" s="162">
        <v>465</v>
      </c>
      <c r="AJ1313" s="162" t="s">
        <v>2706</v>
      </c>
      <c r="AK1313" s="162">
        <v>641</v>
      </c>
      <c r="AL1313" s="162" t="s">
        <v>2706</v>
      </c>
      <c r="AM1313" s="162">
        <v>7075</v>
      </c>
      <c r="AN1313" s="162"/>
    </row>
    <row r="1314" spans="1:40" s="100" customFormat="1" ht="46.8" x14ac:dyDescent="0.3">
      <c r="A1314" s="161"/>
      <c r="B1314" s="167"/>
      <c r="C1314" s="98" t="s">
        <v>2708</v>
      </c>
      <c r="D1314" s="163"/>
      <c r="E1314" s="26" t="s">
        <v>48</v>
      </c>
      <c r="F1314" s="30" t="s">
        <v>49</v>
      </c>
      <c r="G1314" s="163"/>
      <c r="H1314" s="163"/>
      <c r="I1314" s="163"/>
      <c r="J1314" s="165"/>
      <c r="K1314" s="165"/>
      <c r="L1314" s="165"/>
      <c r="M1314" s="165"/>
      <c r="N1314" s="165"/>
      <c r="O1314" s="163"/>
      <c r="P1314" s="163"/>
      <c r="Q1314" s="163"/>
      <c r="R1314" s="163"/>
      <c r="S1314" s="163"/>
      <c r="T1314" s="163"/>
      <c r="U1314" s="163"/>
      <c r="V1314" s="163"/>
      <c r="W1314" s="163"/>
      <c r="X1314" s="163"/>
      <c r="Y1314" s="163"/>
      <c r="Z1314" s="163"/>
      <c r="AA1314" s="163"/>
      <c r="AB1314" s="163"/>
      <c r="AC1314" s="163"/>
      <c r="AD1314" s="163"/>
      <c r="AE1314" s="163"/>
      <c r="AF1314" s="163"/>
      <c r="AG1314" s="163"/>
      <c r="AH1314" s="163"/>
      <c r="AI1314" s="163"/>
      <c r="AJ1314" s="163"/>
      <c r="AK1314" s="163"/>
      <c r="AL1314" s="163"/>
      <c r="AM1314" s="163"/>
      <c r="AN1314" s="163"/>
    </row>
    <row r="1315" spans="1:40" s="100" customFormat="1" ht="46.8" x14ac:dyDescent="0.3">
      <c r="A1315" s="160">
        <v>877</v>
      </c>
      <c r="B1315" s="166" t="s">
        <v>1731</v>
      </c>
      <c r="C1315" s="98" t="s">
        <v>2708</v>
      </c>
      <c r="D1315" s="162" t="s">
        <v>2712</v>
      </c>
      <c r="E1315" s="26" t="s">
        <v>144</v>
      </c>
      <c r="F1315" s="30" t="s">
        <v>49</v>
      </c>
      <c r="G1315" s="162" t="s">
        <v>2704</v>
      </c>
      <c r="H1315" s="162">
        <v>40</v>
      </c>
      <c r="I1315" s="162" t="str">
        <f t="shared" ref="I1315" si="123">G1315</f>
        <v>с ЛН</v>
      </c>
      <c r="J1315" s="164">
        <v>6</v>
      </c>
      <c r="K1315" s="164" t="s">
        <v>528</v>
      </c>
      <c r="L1315" s="164" t="s">
        <v>528</v>
      </c>
      <c r="M1315" s="164" t="s">
        <v>2705</v>
      </c>
      <c r="N1315" s="164" t="s">
        <v>2705</v>
      </c>
      <c r="O1315" s="162">
        <v>448</v>
      </c>
      <c r="P1315" s="162" t="s">
        <v>2706</v>
      </c>
      <c r="Q1315" s="162">
        <v>544</v>
      </c>
      <c r="R1315" s="162" t="s">
        <v>2706</v>
      </c>
      <c r="S1315" s="162">
        <v>445</v>
      </c>
      <c r="T1315" s="162" t="s">
        <v>2706</v>
      </c>
      <c r="U1315" s="162">
        <v>436</v>
      </c>
      <c r="V1315" s="162" t="s">
        <v>2706</v>
      </c>
      <c r="W1315" s="162">
        <v>495</v>
      </c>
      <c r="X1315" s="162" t="s">
        <v>2706</v>
      </c>
      <c r="Y1315" s="162">
        <v>410</v>
      </c>
      <c r="Z1315" s="162" t="s">
        <v>2706</v>
      </c>
      <c r="AA1315" s="162">
        <v>282</v>
      </c>
      <c r="AB1315" s="162" t="s">
        <v>2706</v>
      </c>
      <c r="AC1315" s="162">
        <v>239</v>
      </c>
      <c r="AD1315" s="162" t="s">
        <v>2706</v>
      </c>
      <c r="AE1315" s="162">
        <v>272</v>
      </c>
      <c r="AF1315" s="162" t="s">
        <v>2706</v>
      </c>
      <c r="AG1315" s="162">
        <v>211</v>
      </c>
      <c r="AH1315" s="162" t="s">
        <v>2706</v>
      </c>
      <c r="AI1315" s="162">
        <v>1677</v>
      </c>
      <c r="AJ1315" s="162" t="s">
        <v>2706</v>
      </c>
      <c r="AK1315" s="162">
        <v>384</v>
      </c>
      <c r="AL1315" s="162" t="s">
        <v>2706</v>
      </c>
      <c r="AM1315" s="162">
        <v>5604</v>
      </c>
      <c r="AN1315" s="162"/>
    </row>
    <row r="1316" spans="1:40" s="100" customFormat="1" ht="46.8" x14ac:dyDescent="0.3">
      <c r="A1316" s="161"/>
      <c r="B1316" s="167"/>
      <c r="C1316" s="98" t="s">
        <v>2708</v>
      </c>
      <c r="D1316" s="163"/>
      <c r="E1316" s="26" t="s">
        <v>48</v>
      </c>
      <c r="F1316" s="30" t="s">
        <v>49</v>
      </c>
      <c r="G1316" s="163"/>
      <c r="H1316" s="163"/>
      <c r="I1316" s="163"/>
      <c r="J1316" s="165"/>
      <c r="K1316" s="165"/>
      <c r="L1316" s="165"/>
      <c r="M1316" s="165"/>
      <c r="N1316" s="165"/>
      <c r="O1316" s="163"/>
      <c r="P1316" s="163"/>
      <c r="Q1316" s="163"/>
      <c r="R1316" s="163"/>
      <c r="S1316" s="163"/>
      <c r="T1316" s="163"/>
      <c r="U1316" s="163"/>
      <c r="V1316" s="163"/>
      <c r="W1316" s="163"/>
      <c r="X1316" s="163"/>
      <c r="Y1316" s="163"/>
      <c r="Z1316" s="163"/>
      <c r="AA1316" s="163"/>
      <c r="AB1316" s="163"/>
      <c r="AC1316" s="163"/>
      <c r="AD1316" s="163"/>
      <c r="AE1316" s="163"/>
      <c r="AF1316" s="163"/>
      <c r="AG1316" s="163"/>
      <c r="AH1316" s="163"/>
      <c r="AI1316" s="163"/>
      <c r="AJ1316" s="163"/>
      <c r="AK1316" s="163"/>
      <c r="AL1316" s="163"/>
      <c r="AM1316" s="163"/>
      <c r="AN1316" s="163"/>
    </row>
    <row r="1317" spans="1:40" s="100" customFormat="1" ht="46.8" x14ac:dyDescent="0.3">
      <c r="A1317" s="160">
        <v>878</v>
      </c>
      <c r="B1317" s="166" t="s">
        <v>1734</v>
      </c>
      <c r="C1317" s="98" t="s">
        <v>2708</v>
      </c>
      <c r="D1317" s="162" t="s">
        <v>2712</v>
      </c>
      <c r="E1317" s="26" t="s">
        <v>144</v>
      </c>
      <c r="F1317" s="30" t="s">
        <v>49</v>
      </c>
      <c r="G1317" s="162" t="s">
        <v>2704</v>
      </c>
      <c r="H1317" s="162">
        <v>18</v>
      </c>
      <c r="I1317" s="162" t="str">
        <f t="shared" ref="I1317" si="124">G1317</f>
        <v>с ЛН</v>
      </c>
      <c r="J1317" s="164">
        <v>3</v>
      </c>
      <c r="K1317" s="164" t="s">
        <v>528</v>
      </c>
      <c r="L1317" s="164" t="s">
        <v>528</v>
      </c>
      <c r="M1317" s="164" t="s">
        <v>2705</v>
      </c>
      <c r="N1317" s="164" t="s">
        <v>2705</v>
      </c>
      <c r="O1317" s="162">
        <v>339</v>
      </c>
      <c r="P1317" s="162" t="s">
        <v>2706</v>
      </c>
      <c r="Q1317" s="162">
        <v>350</v>
      </c>
      <c r="R1317" s="162" t="s">
        <v>2706</v>
      </c>
      <c r="S1317" s="162">
        <v>304</v>
      </c>
      <c r="T1317" s="162" t="s">
        <v>2706</v>
      </c>
      <c r="U1317" s="162">
        <v>299</v>
      </c>
      <c r="V1317" s="162" t="s">
        <v>2706</v>
      </c>
      <c r="W1317" s="162">
        <v>341</v>
      </c>
      <c r="X1317" s="162" t="s">
        <v>2706</v>
      </c>
      <c r="Y1317" s="162">
        <v>537</v>
      </c>
      <c r="Z1317" s="162" t="s">
        <v>2706</v>
      </c>
      <c r="AA1317" s="162">
        <v>255</v>
      </c>
      <c r="AB1317" s="162" t="s">
        <v>2706</v>
      </c>
      <c r="AC1317" s="162">
        <v>449</v>
      </c>
      <c r="AD1317" s="162" t="s">
        <v>2706</v>
      </c>
      <c r="AE1317" s="162">
        <v>551</v>
      </c>
      <c r="AF1317" s="162" t="s">
        <v>2706</v>
      </c>
      <c r="AG1317" s="162">
        <v>493</v>
      </c>
      <c r="AH1317" s="162" t="s">
        <v>2706</v>
      </c>
      <c r="AI1317" s="162">
        <v>288</v>
      </c>
      <c r="AJ1317" s="162" t="s">
        <v>2706</v>
      </c>
      <c r="AK1317" s="162">
        <v>312</v>
      </c>
      <c r="AL1317" s="162" t="s">
        <v>2706</v>
      </c>
      <c r="AM1317" s="162">
        <v>4069</v>
      </c>
      <c r="AN1317" s="162"/>
    </row>
    <row r="1318" spans="1:40" s="100" customFormat="1" ht="46.8" x14ac:dyDescent="0.3">
      <c r="A1318" s="161"/>
      <c r="B1318" s="167"/>
      <c r="C1318" s="98" t="s">
        <v>2708</v>
      </c>
      <c r="D1318" s="163"/>
      <c r="E1318" s="26" t="s">
        <v>48</v>
      </c>
      <c r="F1318" s="30" t="s">
        <v>49</v>
      </c>
      <c r="G1318" s="163"/>
      <c r="H1318" s="163"/>
      <c r="I1318" s="163"/>
      <c r="J1318" s="165"/>
      <c r="K1318" s="165"/>
      <c r="L1318" s="165"/>
      <c r="M1318" s="165"/>
      <c r="N1318" s="165"/>
      <c r="O1318" s="163"/>
      <c r="P1318" s="163"/>
      <c r="Q1318" s="163"/>
      <c r="R1318" s="163"/>
      <c r="S1318" s="163"/>
      <c r="T1318" s="163"/>
      <c r="U1318" s="163"/>
      <c r="V1318" s="163"/>
      <c r="W1318" s="163"/>
      <c r="X1318" s="163"/>
      <c r="Y1318" s="163"/>
      <c r="Z1318" s="163"/>
      <c r="AA1318" s="163"/>
      <c r="AB1318" s="163"/>
      <c r="AC1318" s="163"/>
      <c r="AD1318" s="163"/>
      <c r="AE1318" s="163"/>
      <c r="AF1318" s="163"/>
      <c r="AG1318" s="163"/>
      <c r="AH1318" s="163"/>
      <c r="AI1318" s="163"/>
      <c r="AJ1318" s="163"/>
      <c r="AK1318" s="163"/>
      <c r="AL1318" s="163"/>
      <c r="AM1318" s="163"/>
      <c r="AN1318" s="163"/>
    </row>
    <row r="1319" spans="1:40" s="100" customFormat="1" ht="46.8" x14ac:dyDescent="0.3">
      <c r="A1319" s="160">
        <v>879</v>
      </c>
      <c r="B1319" s="166" t="s">
        <v>1735</v>
      </c>
      <c r="C1319" s="98" t="s">
        <v>2708</v>
      </c>
      <c r="D1319" s="162" t="s">
        <v>2712</v>
      </c>
      <c r="E1319" s="26" t="s">
        <v>144</v>
      </c>
      <c r="F1319" s="30" t="s">
        <v>49</v>
      </c>
      <c r="G1319" s="162" t="s">
        <v>2704</v>
      </c>
      <c r="H1319" s="162">
        <v>22</v>
      </c>
      <c r="I1319" s="162" t="str">
        <f t="shared" ref="I1319" si="125">G1319</f>
        <v>с ЛН</v>
      </c>
      <c r="J1319" s="164">
        <v>4</v>
      </c>
      <c r="K1319" s="164" t="s">
        <v>528</v>
      </c>
      <c r="L1319" s="164" t="s">
        <v>528</v>
      </c>
      <c r="M1319" s="164" t="s">
        <v>2705</v>
      </c>
      <c r="N1319" s="164" t="s">
        <v>2705</v>
      </c>
      <c r="O1319" s="162">
        <v>277</v>
      </c>
      <c r="P1319" s="162" t="s">
        <v>2706</v>
      </c>
      <c r="Q1319" s="162">
        <v>265</v>
      </c>
      <c r="R1319" s="162" t="s">
        <v>2706</v>
      </c>
      <c r="S1319" s="162">
        <v>217</v>
      </c>
      <c r="T1319" s="162" t="s">
        <v>2706</v>
      </c>
      <c r="U1319" s="162">
        <v>245</v>
      </c>
      <c r="V1319" s="162" t="s">
        <v>2706</v>
      </c>
      <c r="W1319" s="162">
        <v>314</v>
      </c>
      <c r="X1319" s="162" t="s">
        <v>2706</v>
      </c>
      <c r="Y1319" s="162">
        <v>249</v>
      </c>
      <c r="Z1319" s="162" t="s">
        <v>2706</v>
      </c>
      <c r="AA1319" s="162">
        <v>253</v>
      </c>
      <c r="AB1319" s="162" t="s">
        <v>2706</v>
      </c>
      <c r="AC1319" s="162">
        <v>300</v>
      </c>
      <c r="AD1319" s="162" t="s">
        <v>2706</v>
      </c>
      <c r="AE1319" s="162">
        <v>261</v>
      </c>
      <c r="AF1319" s="162" t="s">
        <v>2706</v>
      </c>
      <c r="AG1319" s="162">
        <v>344</v>
      </c>
      <c r="AH1319" s="162" t="s">
        <v>2706</v>
      </c>
      <c r="AI1319" s="162">
        <v>281</v>
      </c>
      <c r="AJ1319" s="162" t="s">
        <v>2706</v>
      </c>
      <c r="AK1319" s="162">
        <v>292</v>
      </c>
      <c r="AL1319" s="162" t="s">
        <v>2706</v>
      </c>
      <c r="AM1319" s="162">
        <v>2998</v>
      </c>
      <c r="AN1319" s="162"/>
    </row>
    <row r="1320" spans="1:40" s="100" customFormat="1" ht="46.8" x14ac:dyDescent="0.3">
      <c r="A1320" s="161"/>
      <c r="B1320" s="167"/>
      <c r="C1320" s="98" t="s">
        <v>2708</v>
      </c>
      <c r="D1320" s="163"/>
      <c r="E1320" s="26" t="s">
        <v>48</v>
      </c>
      <c r="F1320" s="30" t="s">
        <v>49</v>
      </c>
      <c r="G1320" s="163"/>
      <c r="H1320" s="163"/>
      <c r="I1320" s="163"/>
      <c r="J1320" s="165"/>
      <c r="K1320" s="165"/>
      <c r="L1320" s="165"/>
      <c r="M1320" s="165"/>
      <c r="N1320" s="165"/>
      <c r="O1320" s="163"/>
      <c r="P1320" s="163"/>
      <c r="Q1320" s="163"/>
      <c r="R1320" s="163"/>
      <c r="S1320" s="163"/>
      <c r="T1320" s="163"/>
      <c r="U1320" s="163"/>
      <c r="V1320" s="163"/>
      <c r="W1320" s="163"/>
      <c r="X1320" s="163"/>
      <c r="Y1320" s="163"/>
      <c r="Z1320" s="163"/>
      <c r="AA1320" s="163"/>
      <c r="AB1320" s="163"/>
      <c r="AC1320" s="163"/>
      <c r="AD1320" s="163"/>
      <c r="AE1320" s="163"/>
      <c r="AF1320" s="163"/>
      <c r="AG1320" s="163"/>
      <c r="AH1320" s="163"/>
      <c r="AI1320" s="163"/>
      <c r="AJ1320" s="163"/>
      <c r="AK1320" s="163"/>
      <c r="AL1320" s="163"/>
      <c r="AM1320" s="163"/>
      <c r="AN1320" s="163"/>
    </row>
    <row r="1321" spans="1:40" s="100" customFormat="1" ht="46.8" x14ac:dyDescent="0.3">
      <c r="A1321" s="160">
        <v>880</v>
      </c>
      <c r="B1321" s="166" t="s">
        <v>1736</v>
      </c>
      <c r="C1321" s="98" t="s">
        <v>2708</v>
      </c>
      <c r="D1321" s="162" t="s">
        <v>2712</v>
      </c>
      <c r="E1321" s="26" t="s">
        <v>144</v>
      </c>
      <c r="F1321" s="30" t="s">
        <v>49</v>
      </c>
      <c r="G1321" s="162" t="s">
        <v>2704</v>
      </c>
      <c r="H1321" s="162">
        <v>24</v>
      </c>
      <c r="I1321" s="162" t="str">
        <f t="shared" ref="I1321" si="126">G1321</f>
        <v>с ЛН</v>
      </c>
      <c r="J1321" s="164">
        <v>4</v>
      </c>
      <c r="K1321" s="164" t="s">
        <v>528</v>
      </c>
      <c r="L1321" s="164" t="s">
        <v>528</v>
      </c>
      <c r="M1321" s="164" t="s">
        <v>2705</v>
      </c>
      <c r="N1321" s="164" t="s">
        <v>2705</v>
      </c>
      <c r="O1321" s="162">
        <v>852</v>
      </c>
      <c r="P1321" s="162" t="s">
        <v>2706</v>
      </c>
      <c r="Q1321" s="162">
        <v>1204</v>
      </c>
      <c r="R1321" s="162" t="s">
        <v>2706</v>
      </c>
      <c r="S1321" s="162">
        <v>807</v>
      </c>
      <c r="T1321" s="162" t="s">
        <v>2706</v>
      </c>
      <c r="U1321" s="162">
        <v>958</v>
      </c>
      <c r="V1321" s="162" t="s">
        <v>2706</v>
      </c>
      <c r="W1321" s="162">
        <v>906</v>
      </c>
      <c r="X1321" s="162" t="s">
        <v>2706</v>
      </c>
      <c r="Y1321" s="162">
        <v>1019</v>
      </c>
      <c r="Z1321" s="162" t="s">
        <v>2706</v>
      </c>
      <c r="AA1321" s="162">
        <v>859</v>
      </c>
      <c r="AB1321" s="162" t="s">
        <v>2706</v>
      </c>
      <c r="AC1321" s="162">
        <v>1022</v>
      </c>
      <c r="AD1321" s="162" t="s">
        <v>2706</v>
      </c>
      <c r="AE1321" s="162">
        <v>1133</v>
      </c>
      <c r="AF1321" s="162" t="s">
        <v>2706</v>
      </c>
      <c r="AG1321" s="162">
        <v>831</v>
      </c>
      <c r="AH1321" s="162" t="s">
        <v>2706</v>
      </c>
      <c r="AI1321" s="162">
        <v>540</v>
      </c>
      <c r="AJ1321" s="162" t="s">
        <v>2706</v>
      </c>
      <c r="AK1321" s="162">
        <v>960</v>
      </c>
      <c r="AL1321" s="162" t="s">
        <v>2706</v>
      </c>
      <c r="AM1321" s="162">
        <v>10069</v>
      </c>
      <c r="AN1321" s="162"/>
    </row>
    <row r="1322" spans="1:40" s="100" customFormat="1" ht="46.8" x14ac:dyDescent="0.3">
      <c r="A1322" s="161"/>
      <c r="B1322" s="167"/>
      <c r="C1322" s="98" t="s">
        <v>2708</v>
      </c>
      <c r="D1322" s="163"/>
      <c r="E1322" s="26" t="s">
        <v>48</v>
      </c>
      <c r="F1322" s="30" t="s">
        <v>49</v>
      </c>
      <c r="G1322" s="163"/>
      <c r="H1322" s="163"/>
      <c r="I1322" s="163"/>
      <c r="J1322" s="165"/>
      <c r="K1322" s="165"/>
      <c r="L1322" s="165"/>
      <c r="M1322" s="165"/>
      <c r="N1322" s="165"/>
      <c r="O1322" s="163"/>
      <c r="P1322" s="163"/>
      <c r="Q1322" s="163"/>
      <c r="R1322" s="163"/>
      <c r="S1322" s="163"/>
      <c r="T1322" s="163"/>
      <c r="U1322" s="163"/>
      <c r="V1322" s="163"/>
      <c r="W1322" s="163"/>
      <c r="X1322" s="163"/>
      <c r="Y1322" s="163"/>
      <c r="Z1322" s="163"/>
      <c r="AA1322" s="163"/>
      <c r="AB1322" s="163"/>
      <c r="AC1322" s="163"/>
      <c r="AD1322" s="163"/>
      <c r="AE1322" s="163"/>
      <c r="AF1322" s="163"/>
      <c r="AG1322" s="163"/>
      <c r="AH1322" s="163"/>
      <c r="AI1322" s="163"/>
      <c r="AJ1322" s="163"/>
      <c r="AK1322" s="163"/>
      <c r="AL1322" s="163"/>
      <c r="AM1322" s="163"/>
      <c r="AN1322" s="163"/>
    </row>
    <row r="1323" spans="1:40" s="100" customFormat="1" ht="46.8" x14ac:dyDescent="0.3">
      <c r="A1323" s="160">
        <v>881</v>
      </c>
      <c r="B1323" s="166" t="s">
        <v>1737</v>
      </c>
      <c r="C1323" s="98" t="s">
        <v>2708</v>
      </c>
      <c r="D1323" s="162" t="s">
        <v>2712</v>
      </c>
      <c r="E1323" s="26" t="s">
        <v>144</v>
      </c>
      <c r="F1323" s="30" t="s">
        <v>49</v>
      </c>
      <c r="G1323" s="162" t="s">
        <v>2704</v>
      </c>
      <c r="H1323" s="162">
        <v>18</v>
      </c>
      <c r="I1323" s="162" t="str">
        <f t="shared" ref="I1323" si="127">G1323</f>
        <v>с ЛН</v>
      </c>
      <c r="J1323" s="164">
        <v>3</v>
      </c>
      <c r="K1323" s="164" t="s">
        <v>528</v>
      </c>
      <c r="L1323" s="164" t="s">
        <v>528</v>
      </c>
      <c r="M1323" s="164" t="s">
        <v>2705</v>
      </c>
      <c r="N1323" s="164" t="s">
        <v>2705</v>
      </c>
      <c r="O1323" s="162">
        <v>0</v>
      </c>
      <c r="P1323" s="162" t="s">
        <v>2706</v>
      </c>
      <c r="Q1323" s="162">
        <v>0</v>
      </c>
      <c r="R1323" s="162" t="s">
        <v>2706</v>
      </c>
      <c r="S1323" s="162">
        <v>0</v>
      </c>
      <c r="T1323" s="162" t="s">
        <v>2706</v>
      </c>
      <c r="U1323" s="162">
        <v>0</v>
      </c>
      <c r="V1323" s="162" t="s">
        <v>2706</v>
      </c>
      <c r="W1323" s="162">
        <v>0</v>
      </c>
      <c r="X1323" s="162" t="s">
        <v>2706</v>
      </c>
      <c r="Y1323" s="162">
        <v>0</v>
      </c>
      <c r="Z1323" s="162" t="s">
        <v>2706</v>
      </c>
      <c r="AA1323" s="162">
        <v>0</v>
      </c>
      <c r="AB1323" s="162" t="s">
        <v>2706</v>
      </c>
      <c r="AC1323" s="162">
        <v>0</v>
      </c>
      <c r="AD1323" s="162" t="s">
        <v>2706</v>
      </c>
      <c r="AE1323" s="162">
        <v>0</v>
      </c>
      <c r="AF1323" s="162" t="s">
        <v>2706</v>
      </c>
      <c r="AG1323" s="162">
        <v>0</v>
      </c>
      <c r="AH1323" s="162" t="s">
        <v>2706</v>
      </c>
      <c r="AI1323" s="162">
        <v>0</v>
      </c>
      <c r="AJ1323" s="162" t="s">
        <v>2706</v>
      </c>
      <c r="AK1323" s="162">
        <v>0</v>
      </c>
      <c r="AL1323" s="162" t="s">
        <v>2706</v>
      </c>
      <c r="AM1323" s="162">
        <v>0</v>
      </c>
      <c r="AN1323" s="162"/>
    </row>
    <row r="1324" spans="1:40" s="100" customFormat="1" ht="46.8" x14ac:dyDescent="0.3">
      <c r="A1324" s="161"/>
      <c r="B1324" s="167"/>
      <c r="C1324" s="98" t="s">
        <v>2708</v>
      </c>
      <c r="D1324" s="163"/>
      <c r="E1324" s="26" t="s">
        <v>48</v>
      </c>
      <c r="F1324" s="30" t="s">
        <v>49</v>
      </c>
      <c r="G1324" s="163"/>
      <c r="H1324" s="163"/>
      <c r="I1324" s="163"/>
      <c r="J1324" s="165"/>
      <c r="K1324" s="165"/>
      <c r="L1324" s="165"/>
      <c r="M1324" s="165"/>
      <c r="N1324" s="165"/>
      <c r="O1324" s="163"/>
      <c r="P1324" s="163"/>
      <c r="Q1324" s="163"/>
      <c r="R1324" s="163"/>
      <c r="S1324" s="163"/>
      <c r="T1324" s="163"/>
      <c r="U1324" s="163"/>
      <c r="V1324" s="163"/>
      <c r="W1324" s="163"/>
      <c r="X1324" s="163"/>
      <c r="Y1324" s="163"/>
      <c r="Z1324" s="163"/>
      <c r="AA1324" s="163"/>
      <c r="AB1324" s="163"/>
      <c r="AC1324" s="163"/>
      <c r="AD1324" s="163"/>
      <c r="AE1324" s="163"/>
      <c r="AF1324" s="163"/>
      <c r="AG1324" s="163"/>
      <c r="AH1324" s="163"/>
      <c r="AI1324" s="163"/>
      <c r="AJ1324" s="163"/>
      <c r="AK1324" s="163"/>
      <c r="AL1324" s="163"/>
      <c r="AM1324" s="163"/>
      <c r="AN1324" s="163"/>
    </row>
    <row r="1325" spans="1:40" s="100" customFormat="1" ht="46.8" x14ac:dyDescent="0.3">
      <c r="A1325" s="160">
        <v>882</v>
      </c>
      <c r="B1325" s="166" t="s">
        <v>1738</v>
      </c>
      <c r="C1325" s="98" t="s">
        <v>2708</v>
      </c>
      <c r="D1325" s="162" t="s">
        <v>2712</v>
      </c>
      <c r="E1325" s="26" t="s">
        <v>144</v>
      </c>
      <c r="F1325" s="30" t="s">
        <v>49</v>
      </c>
      <c r="G1325" s="162" t="s">
        <v>2704</v>
      </c>
      <c r="H1325" s="162">
        <v>30</v>
      </c>
      <c r="I1325" s="162" t="str">
        <f t="shared" ref="I1325" si="128">G1325</f>
        <v>с ЛН</v>
      </c>
      <c r="J1325" s="164">
        <v>5</v>
      </c>
      <c r="K1325" s="164" t="s">
        <v>528</v>
      </c>
      <c r="L1325" s="164" t="s">
        <v>528</v>
      </c>
      <c r="M1325" s="164" t="s">
        <v>2705</v>
      </c>
      <c r="N1325" s="164" t="s">
        <v>2705</v>
      </c>
      <c r="O1325" s="162">
        <v>1250</v>
      </c>
      <c r="P1325" s="162" t="s">
        <v>2706</v>
      </c>
      <c r="Q1325" s="162">
        <v>1163</v>
      </c>
      <c r="R1325" s="162" t="s">
        <v>2706</v>
      </c>
      <c r="S1325" s="162">
        <v>776</v>
      </c>
      <c r="T1325" s="162" t="s">
        <v>2706</v>
      </c>
      <c r="U1325" s="162">
        <v>1039</v>
      </c>
      <c r="V1325" s="162" t="s">
        <v>2706</v>
      </c>
      <c r="W1325" s="162">
        <v>1091</v>
      </c>
      <c r="X1325" s="162" t="s">
        <v>2706</v>
      </c>
      <c r="Y1325" s="162">
        <v>756</v>
      </c>
      <c r="Z1325" s="162" t="s">
        <v>2706</v>
      </c>
      <c r="AA1325" s="162">
        <v>895</v>
      </c>
      <c r="AB1325" s="162" t="s">
        <v>2706</v>
      </c>
      <c r="AC1325" s="162">
        <v>1051</v>
      </c>
      <c r="AD1325" s="162" t="s">
        <v>2706</v>
      </c>
      <c r="AE1325" s="162">
        <v>912</v>
      </c>
      <c r="AF1325" s="162" t="s">
        <v>2706</v>
      </c>
      <c r="AG1325" s="162">
        <v>799</v>
      </c>
      <c r="AH1325" s="162" t="s">
        <v>2706</v>
      </c>
      <c r="AI1325" s="162">
        <v>1224</v>
      </c>
      <c r="AJ1325" s="162" t="s">
        <v>2706</v>
      </c>
      <c r="AK1325" s="162">
        <v>1334</v>
      </c>
      <c r="AL1325" s="162" t="s">
        <v>2706</v>
      </c>
      <c r="AM1325" s="162">
        <v>11239</v>
      </c>
      <c r="AN1325" s="162"/>
    </row>
    <row r="1326" spans="1:40" s="100" customFormat="1" ht="46.8" x14ac:dyDescent="0.3">
      <c r="A1326" s="161"/>
      <c r="B1326" s="167"/>
      <c r="C1326" s="98" t="s">
        <v>2708</v>
      </c>
      <c r="D1326" s="163"/>
      <c r="E1326" s="26" t="s">
        <v>48</v>
      </c>
      <c r="F1326" s="30" t="s">
        <v>49</v>
      </c>
      <c r="G1326" s="163"/>
      <c r="H1326" s="163"/>
      <c r="I1326" s="163"/>
      <c r="J1326" s="165"/>
      <c r="K1326" s="165"/>
      <c r="L1326" s="165"/>
      <c r="M1326" s="165"/>
      <c r="N1326" s="165"/>
      <c r="O1326" s="163"/>
      <c r="P1326" s="163"/>
      <c r="Q1326" s="163"/>
      <c r="R1326" s="163"/>
      <c r="S1326" s="163"/>
      <c r="T1326" s="163"/>
      <c r="U1326" s="163"/>
      <c r="V1326" s="163"/>
      <c r="W1326" s="163"/>
      <c r="X1326" s="163"/>
      <c r="Y1326" s="163"/>
      <c r="Z1326" s="163"/>
      <c r="AA1326" s="163"/>
      <c r="AB1326" s="163"/>
      <c r="AC1326" s="163"/>
      <c r="AD1326" s="163"/>
      <c r="AE1326" s="163"/>
      <c r="AF1326" s="163"/>
      <c r="AG1326" s="163"/>
      <c r="AH1326" s="163"/>
      <c r="AI1326" s="163"/>
      <c r="AJ1326" s="163"/>
      <c r="AK1326" s="163"/>
      <c r="AL1326" s="163"/>
      <c r="AM1326" s="163"/>
      <c r="AN1326" s="163"/>
    </row>
    <row r="1327" spans="1:40" s="100" customFormat="1" ht="46.8" x14ac:dyDescent="0.3">
      <c r="A1327" s="160">
        <v>883</v>
      </c>
      <c r="B1327" s="166" t="s">
        <v>1740</v>
      </c>
      <c r="C1327" s="98" t="s">
        <v>2708</v>
      </c>
      <c r="D1327" s="162" t="s">
        <v>2712</v>
      </c>
      <c r="E1327" s="26" t="s">
        <v>144</v>
      </c>
      <c r="F1327" s="30" t="s">
        <v>49</v>
      </c>
      <c r="G1327" s="162" t="s">
        <v>2704</v>
      </c>
      <c r="H1327" s="162">
        <v>17</v>
      </c>
      <c r="I1327" s="162" t="str">
        <f t="shared" ref="I1327" si="129">G1327</f>
        <v>с ЛН</v>
      </c>
      <c r="J1327" s="164">
        <v>3</v>
      </c>
      <c r="K1327" s="164" t="s">
        <v>528</v>
      </c>
      <c r="L1327" s="164" t="s">
        <v>528</v>
      </c>
      <c r="M1327" s="164" t="s">
        <v>2705</v>
      </c>
      <c r="N1327" s="164" t="s">
        <v>2705</v>
      </c>
      <c r="O1327" s="162">
        <v>292</v>
      </c>
      <c r="P1327" s="162" t="s">
        <v>2706</v>
      </c>
      <c r="Q1327" s="162">
        <v>354</v>
      </c>
      <c r="R1327" s="162" t="s">
        <v>2706</v>
      </c>
      <c r="S1327" s="162">
        <v>299</v>
      </c>
      <c r="T1327" s="162" t="s">
        <v>2706</v>
      </c>
      <c r="U1327" s="162">
        <v>346</v>
      </c>
      <c r="V1327" s="162" t="s">
        <v>2706</v>
      </c>
      <c r="W1327" s="162">
        <v>345</v>
      </c>
      <c r="X1327" s="162" t="s">
        <v>2706</v>
      </c>
      <c r="Y1327" s="162">
        <v>371</v>
      </c>
      <c r="Z1327" s="162" t="s">
        <v>2706</v>
      </c>
      <c r="AA1327" s="162">
        <v>294</v>
      </c>
      <c r="AB1327" s="162" t="s">
        <v>2706</v>
      </c>
      <c r="AC1327" s="162">
        <v>329</v>
      </c>
      <c r="AD1327" s="162" t="s">
        <v>2706</v>
      </c>
      <c r="AE1327" s="162">
        <v>274</v>
      </c>
      <c r="AF1327" s="162" t="s">
        <v>2706</v>
      </c>
      <c r="AG1327" s="162">
        <v>266</v>
      </c>
      <c r="AH1327" s="162" t="s">
        <v>2706</v>
      </c>
      <c r="AI1327" s="162">
        <v>826</v>
      </c>
      <c r="AJ1327" s="162" t="s">
        <v>2706</v>
      </c>
      <c r="AK1327" s="162">
        <v>218</v>
      </c>
      <c r="AL1327" s="162" t="s">
        <v>2706</v>
      </c>
      <c r="AM1327" s="162">
        <v>3885</v>
      </c>
      <c r="AN1327" s="162"/>
    </row>
    <row r="1328" spans="1:40" s="100" customFormat="1" ht="46.8" x14ac:dyDescent="0.3">
      <c r="A1328" s="161"/>
      <c r="B1328" s="167"/>
      <c r="C1328" s="98" t="s">
        <v>2708</v>
      </c>
      <c r="D1328" s="163"/>
      <c r="E1328" s="26" t="s">
        <v>48</v>
      </c>
      <c r="F1328" s="30" t="s">
        <v>49</v>
      </c>
      <c r="G1328" s="163"/>
      <c r="H1328" s="163"/>
      <c r="I1328" s="163"/>
      <c r="J1328" s="165"/>
      <c r="K1328" s="165"/>
      <c r="L1328" s="165"/>
      <c r="M1328" s="165"/>
      <c r="N1328" s="165"/>
      <c r="O1328" s="163"/>
      <c r="P1328" s="163"/>
      <c r="Q1328" s="163"/>
      <c r="R1328" s="163"/>
      <c r="S1328" s="163"/>
      <c r="T1328" s="163"/>
      <c r="U1328" s="163"/>
      <c r="V1328" s="163"/>
      <c r="W1328" s="163"/>
      <c r="X1328" s="163"/>
      <c r="Y1328" s="163"/>
      <c r="Z1328" s="163"/>
      <c r="AA1328" s="163"/>
      <c r="AB1328" s="163"/>
      <c r="AC1328" s="163"/>
      <c r="AD1328" s="163"/>
      <c r="AE1328" s="163"/>
      <c r="AF1328" s="163"/>
      <c r="AG1328" s="163"/>
      <c r="AH1328" s="163"/>
      <c r="AI1328" s="163"/>
      <c r="AJ1328" s="163"/>
      <c r="AK1328" s="163"/>
      <c r="AL1328" s="163"/>
      <c r="AM1328" s="163"/>
      <c r="AN1328" s="163"/>
    </row>
    <row r="1329" spans="1:40" s="100" customFormat="1" ht="46.8" x14ac:dyDescent="0.3">
      <c r="A1329" s="160">
        <v>884</v>
      </c>
      <c r="B1329" s="166" t="s">
        <v>1741</v>
      </c>
      <c r="C1329" s="98" t="s">
        <v>2708</v>
      </c>
      <c r="D1329" s="162" t="s">
        <v>2712</v>
      </c>
      <c r="E1329" s="26" t="s">
        <v>144</v>
      </c>
      <c r="F1329" s="30" t="s">
        <v>49</v>
      </c>
      <c r="G1329" s="162" t="s">
        <v>2704</v>
      </c>
      <c r="H1329" s="162">
        <v>30</v>
      </c>
      <c r="I1329" s="162" t="str">
        <f t="shared" ref="I1329" si="130">G1329</f>
        <v>с ЛН</v>
      </c>
      <c r="J1329" s="164">
        <v>5</v>
      </c>
      <c r="K1329" s="164" t="s">
        <v>528</v>
      </c>
      <c r="L1329" s="164" t="s">
        <v>528</v>
      </c>
      <c r="M1329" s="164" t="s">
        <v>2705</v>
      </c>
      <c r="N1329" s="164" t="s">
        <v>2705</v>
      </c>
      <c r="O1329" s="162">
        <v>963</v>
      </c>
      <c r="P1329" s="162" t="s">
        <v>2706</v>
      </c>
      <c r="Q1329" s="162">
        <v>860</v>
      </c>
      <c r="R1329" s="162" t="s">
        <v>2706</v>
      </c>
      <c r="S1329" s="162">
        <v>865</v>
      </c>
      <c r="T1329" s="162" t="s">
        <v>2706</v>
      </c>
      <c r="U1329" s="162">
        <v>891</v>
      </c>
      <c r="V1329" s="162" t="s">
        <v>2706</v>
      </c>
      <c r="W1329" s="162">
        <v>743</v>
      </c>
      <c r="X1329" s="162" t="s">
        <v>2706</v>
      </c>
      <c r="Y1329" s="162">
        <v>786</v>
      </c>
      <c r="Z1329" s="162" t="s">
        <v>2706</v>
      </c>
      <c r="AA1329" s="162">
        <v>539</v>
      </c>
      <c r="AB1329" s="162" t="s">
        <v>2706</v>
      </c>
      <c r="AC1329" s="162">
        <v>463</v>
      </c>
      <c r="AD1329" s="162" t="s">
        <v>2706</v>
      </c>
      <c r="AE1329" s="162">
        <v>788</v>
      </c>
      <c r="AF1329" s="162" t="s">
        <v>2706</v>
      </c>
      <c r="AG1329" s="162">
        <v>1055</v>
      </c>
      <c r="AH1329" s="162" t="s">
        <v>2706</v>
      </c>
      <c r="AI1329" s="162">
        <v>1193</v>
      </c>
      <c r="AJ1329" s="162" t="s">
        <v>2706</v>
      </c>
      <c r="AK1329" s="162">
        <v>1220</v>
      </c>
      <c r="AL1329" s="162" t="s">
        <v>2706</v>
      </c>
      <c r="AM1329" s="162">
        <v>9903</v>
      </c>
      <c r="AN1329" s="162"/>
    </row>
    <row r="1330" spans="1:40" s="100" customFormat="1" ht="46.8" x14ac:dyDescent="0.3">
      <c r="A1330" s="161"/>
      <c r="B1330" s="167"/>
      <c r="C1330" s="98" t="s">
        <v>2708</v>
      </c>
      <c r="D1330" s="163"/>
      <c r="E1330" s="26" t="s">
        <v>48</v>
      </c>
      <c r="F1330" s="30" t="s">
        <v>49</v>
      </c>
      <c r="G1330" s="163"/>
      <c r="H1330" s="163"/>
      <c r="I1330" s="163"/>
      <c r="J1330" s="165"/>
      <c r="K1330" s="165"/>
      <c r="L1330" s="165"/>
      <c r="M1330" s="165"/>
      <c r="N1330" s="165"/>
      <c r="O1330" s="163"/>
      <c r="P1330" s="163"/>
      <c r="Q1330" s="163"/>
      <c r="R1330" s="163"/>
      <c r="S1330" s="163"/>
      <c r="T1330" s="163"/>
      <c r="U1330" s="163"/>
      <c r="V1330" s="163"/>
      <c r="W1330" s="163"/>
      <c r="X1330" s="163"/>
      <c r="Y1330" s="163"/>
      <c r="Z1330" s="163"/>
      <c r="AA1330" s="163"/>
      <c r="AB1330" s="163"/>
      <c r="AC1330" s="163"/>
      <c r="AD1330" s="163"/>
      <c r="AE1330" s="163"/>
      <c r="AF1330" s="163"/>
      <c r="AG1330" s="163"/>
      <c r="AH1330" s="163"/>
      <c r="AI1330" s="163"/>
      <c r="AJ1330" s="163"/>
      <c r="AK1330" s="163"/>
      <c r="AL1330" s="163"/>
      <c r="AM1330" s="163"/>
      <c r="AN1330" s="163"/>
    </row>
    <row r="1331" spans="1:40" s="100" customFormat="1" ht="46.8" x14ac:dyDescent="0.3">
      <c r="A1331" s="160">
        <v>885</v>
      </c>
      <c r="B1331" s="166" t="s">
        <v>1743</v>
      </c>
      <c r="C1331" s="98" t="s">
        <v>2708</v>
      </c>
      <c r="D1331" s="162" t="s">
        <v>2712</v>
      </c>
      <c r="E1331" s="26" t="s">
        <v>144</v>
      </c>
      <c r="F1331" s="30" t="s">
        <v>49</v>
      </c>
      <c r="G1331" s="162" t="s">
        <v>2704</v>
      </c>
      <c r="H1331" s="162">
        <v>27</v>
      </c>
      <c r="I1331" s="162" t="str">
        <f t="shared" ref="I1331" si="131">G1331</f>
        <v>с ЛН</v>
      </c>
      <c r="J1331" s="164">
        <v>5</v>
      </c>
      <c r="K1331" s="164" t="s">
        <v>528</v>
      </c>
      <c r="L1331" s="164" t="s">
        <v>528</v>
      </c>
      <c r="M1331" s="164" t="s">
        <v>2705</v>
      </c>
      <c r="N1331" s="164" t="s">
        <v>2705</v>
      </c>
      <c r="O1331" s="162">
        <v>17970</v>
      </c>
      <c r="P1331" s="162" t="s">
        <v>2706</v>
      </c>
      <c r="Q1331" s="162">
        <v>15900</v>
      </c>
      <c r="R1331" s="162" t="s">
        <v>2706</v>
      </c>
      <c r="S1331" s="162">
        <v>15120</v>
      </c>
      <c r="T1331" s="162" t="s">
        <v>2706</v>
      </c>
      <c r="U1331" s="162">
        <v>14910</v>
      </c>
      <c r="V1331" s="162" t="s">
        <v>2706</v>
      </c>
      <c r="W1331" s="162">
        <v>13680</v>
      </c>
      <c r="X1331" s="162" t="s">
        <v>2706</v>
      </c>
      <c r="Y1331" s="162">
        <v>15120</v>
      </c>
      <c r="Z1331" s="162" t="s">
        <v>2706</v>
      </c>
      <c r="AA1331" s="162">
        <v>11730</v>
      </c>
      <c r="AB1331" s="162" t="s">
        <v>2706</v>
      </c>
      <c r="AC1331" s="162">
        <v>11880</v>
      </c>
      <c r="AD1331" s="162" t="s">
        <v>2706</v>
      </c>
      <c r="AE1331" s="162">
        <v>14700</v>
      </c>
      <c r="AF1331" s="162" t="s">
        <v>2706</v>
      </c>
      <c r="AG1331" s="162">
        <v>13380</v>
      </c>
      <c r="AH1331" s="162" t="s">
        <v>2706</v>
      </c>
      <c r="AI1331" s="162">
        <v>0</v>
      </c>
      <c r="AJ1331" s="162" t="s">
        <v>2706</v>
      </c>
      <c r="AK1331" s="162">
        <v>20760</v>
      </c>
      <c r="AL1331" s="162" t="s">
        <v>2706</v>
      </c>
      <c r="AM1331" s="162">
        <v>153270</v>
      </c>
      <c r="AN1331" s="162"/>
    </row>
    <row r="1332" spans="1:40" s="100" customFormat="1" ht="46.8" x14ac:dyDescent="0.3">
      <c r="A1332" s="161"/>
      <c r="B1332" s="167"/>
      <c r="C1332" s="98" t="s">
        <v>2708</v>
      </c>
      <c r="D1332" s="163"/>
      <c r="E1332" s="26" t="s">
        <v>48</v>
      </c>
      <c r="F1332" s="30" t="s">
        <v>49</v>
      </c>
      <c r="G1332" s="163"/>
      <c r="H1332" s="163"/>
      <c r="I1332" s="163"/>
      <c r="J1332" s="165"/>
      <c r="K1332" s="165"/>
      <c r="L1332" s="165"/>
      <c r="M1332" s="165"/>
      <c r="N1332" s="165"/>
      <c r="O1332" s="163"/>
      <c r="P1332" s="163"/>
      <c r="Q1332" s="163"/>
      <c r="R1332" s="163"/>
      <c r="S1332" s="163"/>
      <c r="T1332" s="163"/>
      <c r="U1332" s="163"/>
      <c r="V1332" s="163"/>
      <c r="W1332" s="163"/>
      <c r="X1332" s="163"/>
      <c r="Y1332" s="163"/>
      <c r="Z1332" s="163"/>
      <c r="AA1332" s="163"/>
      <c r="AB1332" s="163"/>
      <c r="AC1332" s="163"/>
      <c r="AD1332" s="163"/>
      <c r="AE1332" s="163"/>
      <c r="AF1332" s="163"/>
      <c r="AG1332" s="163"/>
      <c r="AH1332" s="163"/>
      <c r="AI1332" s="163"/>
      <c r="AJ1332" s="163"/>
      <c r="AK1332" s="163"/>
      <c r="AL1332" s="163"/>
      <c r="AM1332" s="163"/>
      <c r="AN1332" s="163"/>
    </row>
    <row r="1333" spans="1:40" s="100" customFormat="1" ht="46.8" x14ac:dyDescent="0.3">
      <c r="A1333" s="160">
        <v>886</v>
      </c>
      <c r="B1333" s="166" t="s">
        <v>1744</v>
      </c>
      <c r="C1333" s="98" t="s">
        <v>2708</v>
      </c>
      <c r="D1333" s="162" t="s">
        <v>2712</v>
      </c>
      <c r="E1333" s="26" t="s">
        <v>144</v>
      </c>
      <c r="F1333" s="30" t="s">
        <v>49</v>
      </c>
      <c r="G1333" s="162" t="s">
        <v>2704</v>
      </c>
      <c r="H1333" s="162">
        <v>40</v>
      </c>
      <c r="I1333" s="162" t="str">
        <f t="shared" ref="I1333" si="132">G1333</f>
        <v>с ЛН</v>
      </c>
      <c r="J1333" s="164">
        <v>6</v>
      </c>
      <c r="K1333" s="164" t="s">
        <v>528</v>
      </c>
      <c r="L1333" s="164" t="s">
        <v>528</v>
      </c>
      <c r="M1333" s="164" t="s">
        <v>2705</v>
      </c>
      <c r="N1333" s="164" t="s">
        <v>2705</v>
      </c>
      <c r="O1333" s="162">
        <v>3293</v>
      </c>
      <c r="P1333" s="162" t="s">
        <v>2706</v>
      </c>
      <c r="Q1333" s="162">
        <v>3645</v>
      </c>
      <c r="R1333" s="162" t="s">
        <v>2706</v>
      </c>
      <c r="S1333" s="162">
        <v>3895</v>
      </c>
      <c r="T1333" s="162" t="s">
        <v>2706</v>
      </c>
      <c r="U1333" s="162">
        <v>3392</v>
      </c>
      <c r="V1333" s="162" t="s">
        <v>2706</v>
      </c>
      <c r="W1333" s="162">
        <v>3385</v>
      </c>
      <c r="X1333" s="162" t="s">
        <v>2706</v>
      </c>
      <c r="Y1333" s="162">
        <v>3289</v>
      </c>
      <c r="Z1333" s="162" t="s">
        <v>2706</v>
      </c>
      <c r="AA1333" s="162">
        <v>3096</v>
      </c>
      <c r="AB1333" s="162" t="s">
        <v>2706</v>
      </c>
      <c r="AC1333" s="162">
        <v>3586</v>
      </c>
      <c r="AD1333" s="162" t="s">
        <v>2706</v>
      </c>
      <c r="AE1333" s="162">
        <v>4152</v>
      </c>
      <c r="AF1333" s="162" t="s">
        <v>2706</v>
      </c>
      <c r="AG1333" s="162">
        <v>3608</v>
      </c>
      <c r="AH1333" s="162" t="s">
        <v>2706</v>
      </c>
      <c r="AI1333" s="162">
        <v>2</v>
      </c>
      <c r="AJ1333" s="162" t="s">
        <v>2706</v>
      </c>
      <c r="AK1333" s="162">
        <v>4032</v>
      </c>
      <c r="AL1333" s="162" t="s">
        <v>2706</v>
      </c>
      <c r="AM1333" s="162">
        <v>35789</v>
      </c>
      <c r="AN1333" s="162"/>
    </row>
    <row r="1334" spans="1:40" s="100" customFormat="1" ht="46.8" x14ac:dyDescent="0.3">
      <c r="A1334" s="161"/>
      <c r="B1334" s="167"/>
      <c r="C1334" s="98" t="s">
        <v>2708</v>
      </c>
      <c r="D1334" s="163"/>
      <c r="E1334" s="26" t="s">
        <v>48</v>
      </c>
      <c r="F1334" s="30" t="s">
        <v>49</v>
      </c>
      <c r="G1334" s="163"/>
      <c r="H1334" s="163"/>
      <c r="I1334" s="163"/>
      <c r="J1334" s="165"/>
      <c r="K1334" s="165"/>
      <c r="L1334" s="165"/>
      <c r="M1334" s="165"/>
      <c r="N1334" s="165"/>
      <c r="O1334" s="163"/>
      <c r="P1334" s="163"/>
      <c r="Q1334" s="163"/>
      <c r="R1334" s="163"/>
      <c r="S1334" s="163"/>
      <c r="T1334" s="163"/>
      <c r="U1334" s="163"/>
      <c r="V1334" s="163"/>
      <c r="W1334" s="163"/>
      <c r="X1334" s="163"/>
      <c r="Y1334" s="163"/>
      <c r="Z1334" s="163"/>
      <c r="AA1334" s="163"/>
      <c r="AB1334" s="163"/>
      <c r="AC1334" s="163"/>
      <c r="AD1334" s="163"/>
      <c r="AE1334" s="163"/>
      <c r="AF1334" s="163"/>
      <c r="AG1334" s="163"/>
      <c r="AH1334" s="163"/>
      <c r="AI1334" s="163"/>
      <c r="AJ1334" s="163"/>
      <c r="AK1334" s="163"/>
      <c r="AL1334" s="163"/>
      <c r="AM1334" s="163"/>
      <c r="AN1334" s="163"/>
    </row>
    <row r="1335" spans="1:40" s="100" customFormat="1" ht="46.8" x14ac:dyDescent="0.3">
      <c r="A1335" s="160">
        <v>887</v>
      </c>
      <c r="B1335" s="166" t="s">
        <v>1746</v>
      </c>
      <c r="C1335" s="98" t="s">
        <v>2708</v>
      </c>
      <c r="D1335" s="162" t="s">
        <v>2712</v>
      </c>
      <c r="E1335" s="26" t="s">
        <v>144</v>
      </c>
      <c r="F1335" s="30" t="s">
        <v>49</v>
      </c>
      <c r="G1335" s="162" t="s">
        <v>2704</v>
      </c>
      <c r="H1335" s="162">
        <v>24</v>
      </c>
      <c r="I1335" s="162" t="str">
        <f t="shared" ref="I1335" si="133">G1335</f>
        <v>с ЛН</v>
      </c>
      <c r="J1335" s="164">
        <v>4</v>
      </c>
      <c r="K1335" s="164" t="s">
        <v>528</v>
      </c>
      <c r="L1335" s="164" t="s">
        <v>528</v>
      </c>
      <c r="M1335" s="164" t="s">
        <v>2705</v>
      </c>
      <c r="N1335" s="164" t="s">
        <v>2705</v>
      </c>
      <c r="O1335" s="162">
        <v>1157</v>
      </c>
      <c r="P1335" s="162" t="s">
        <v>2706</v>
      </c>
      <c r="Q1335" s="162">
        <v>1231</v>
      </c>
      <c r="R1335" s="162" t="s">
        <v>2706</v>
      </c>
      <c r="S1335" s="162">
        <v>1098</v>
      </c>
      <c r="T1335" s="162" t="s">
        <v>2706</v>
      </c>
      <c r="U1335" s="162">
        <v>1240</v>
      </c>
      <c r="V1335" s="162" t="s">
        <v>2706</v>
      </c>
      <c r="W1335" s="162">
        <v>1138</v>
      </c>
      <c r="X1335" s="162" t="s">
        <v>2706</v>
      </c>
      <c r="Y1335" s="162">
        <v>1378</v>
      </c>
      <c r="Z1335" s="162" t="s">
        <v>2706</v>
      </c>
      <c r="AA1335" s="162">
        <v>1196</v>
      </c>
      <c r="AB1335" s="162" t="s">
        <v>2706</v>
      </c>
      <c r="AC1335" s="162">
        <v>1348</v>
      </c>
      <c r="AD1335" s="162" t="s">
        <v>2706</v>
      </c>
      <c r="AE1335" s="162">
        <v>1521</v>
      </c>
      <c r="AF1335" s="162" t="s">
        <v>2706</v>
      </c>
      <c r="AG1335" s="162">
        <v>1125</v>
      </c>
      <c r="AH1335" s="162" t="s">
        <v>2706</v>
      </c>
      <c r="AI1335" s="162">
        <v>0</v>
      </c>
      <c r="AJ1335" s="162" t="s">
        <v>2706</v>
      </c>
      <c r="AK1335" s="162">
        <v>1318</v>
      </c>
      <c r="AL1335" s="162" t="s">
        <v>2706</v>
      </c>
      <c r="AM1335" s="162">
        <v>12402</v>
      </c>
      <c r="AN1335" s="162"/>
    </row>
    <row r="1336" spans="1:40" s="100" customFormat="1" ht="46.8" x14ac:dyDescent="0.3">
      <c r="A1336" s="161"/>
      <c r="B1336" s="167"/>
      <c r="C1336" s="98" t="s">
        <v>2708</v>
      </c>
      <c r="D1336" s="163"/>
      <c r="E1336" s="26" t="s">
        <v>48</v>
      </c>
      <c r="F1336" s="30" t="s">
        <v>49</v>
      </c>
      <c r="G1336" s="163"/>
      <c r="H1336" s="163"/>
      <c r="I1336" s="163"/>
      <c r="J1336" s="165"/>
      <c r="K1336" s="165"/>
      <c r="L1336" s="165"/>
      <c r="M1336" s="165"/>
      <c r="N1336" s="165"/>
      <c r="O1336" s="163"/>
      <c r="P1336" s="163"/>
      <c r="Q1336" s="163"/>
      <c r="R1336" s="163"/>
      <c r="S1336" s="163"/>
      <c r="T1336" s="163"/>
      <c r="U1336" s="163"/>
      <c r="V1336" s="163"/>
      <c r="W1336" s="163"/>
      <c r="X1336" s="163"/>
      <c r="Y1336" s="163"/>
      <c r="Z1336" s="163"/>
      <c r="AA1336" s="163"/>
      <c r="AB1336" s="163"/>
      <c r="AC1336" s="163"/>
      <c r="AD1336" s="163"/>
      <c r="AE1336" s="163"/>
      <c r="AF1336" s="163"/>
      <c r="AG1336" s="163"/>
      <c r="AH1336" s="163"/>
      <c r="AI1336" s="163"/>
      <c r="AJ1336" s="163"/>
      <c r="AK1336" s="163"/>
      <c r="AL1336" s="163"/>
      <c r="AM1336" s="163"/>
      <c r="AN1336" s="163"/>
    </row>
    <row r="1337" spans="1:40" s="100" customFormat="1" ht="46.8" x14ac:dyDescent="0.3">
      <c r="A1337" s="160">
        <v>888</v>
      </c>
      <c r="B1337" s="166" t="s">
        <v>1748</v>
      </c>
      <c r="C1337" s="98" t="s">
        <v>2708</v>
      </c>
      <c r="D1337" s="162" t="s">
        <v>2712</v>
      </c>
      <c r="E1337" s="26" t="s">
        <v>144</v>
      </c>
      <c r="F1337" s="30" t="s">
        <v>49</v>
      </c>
      <c r="G1337" s="162" t="s">
        <v>2704</v>
      </c>
      <c r="H1337" s="162">
        <v>27</v>
      </c>
      <c r="I1337" s="162" t="str">
        <f t="shared" ref="I1337" si="134">G1337</f>
        <v>с ЛН</v>
      </c>
      <c r="J1337" s="164">
        <v>5</v>
      </c>
      <c r="K1337" s="164" t="s">
        <v>529</v>
      </c>
      <c r="L1337" s="164" t="s">
        <v>529</v>
      </c>
      <c r="M1337" s="164" t="s">
        <v>2705</v>
      </c>
      <c r="N1337" s="164" t="s">
        <v>2705</v>
      </c>
      <c r="O1337" s="162">
        <v>0</v>
      </c>
      <c r="P1337" s="162" t="s">
        <v>2706</v>
      </c>
      <c r="Q1337" s="162">
        <v>0</v>
      </c>
      <c r="R1337" s="162" t="s">
        <v>2706</v>
      </c>
      <c r="S1337" s="162">
        <v>0</v>
      </c>
      <c r="T1337" s="162" t="s">
        <v>2706</v>
      </c>
      <c r="U1337" s="162">
        <v>0</v>
      </c>
      <c r="V1337" s="162" t="s">
        <v>2706</v>
      </c>
      <c r="W1337" s="162">
        <v>0</v>
      </c>
      <c r="X1337" s="162" t="s">
        <v>2706</v>
      </c>
      <c r="Y1337" s="162">
        <v>0</v>
      </c>
      <c r="Z1337" s="162" t="s">
        <v>2706</v>
      </c>
      <c r="AA1337" s="162">
        <v>0</v>
      </c>
      <c r="AB1337" s="162" t="s">
        <v>2706</v>
      </c>
      <c r="AC1337" s="162">
        <v>0</v>
      </c>
      <c r="AD1337" s="162" t="s">
        <v>2706</v>
      </c>
      <c r="AE1337" s="162">
        <v>0</v>
      </c>
      <c r="AF1337" s="162" t="s">
        <v>2706</v>
      </c>
      <c r="AG1337" s="162">
        <v>0</v>
      </c>
      <c r="AH1337" s="162" t="s">
        <v>2706</v>
      </c>
      <c r="AI1337" s="162">
        <v>1047</v>
      </c>
      <c r="AJ1337" s="162" t="s">
        <v>2706</v>
      </c>
      <c r="AK1337" s="162">
        <v>1361</v>
      </c>
      <c r="AL1337" s="162" t="s">
        <v>2706</v>
      </c>
      <c r="AM1337" s="162">
        <v>2408</v>
      </c>
      <c r="AN1337" s="162"/>
    </row>
    <row r="1338" spans="1:40" s="100" customFormat="1" ht="46.8" x14ac:dyDescent="0.3">
      <c r="A1338" s="161"/>
      <c r="B1338" s="167"/>
      <c r="C1338" s="98" t="s">
        <v>2708</v>
      </c>
      <c r="D1338" s="163"/>
      <c r="E1338" s="26" t="s">
        <v>48</v>
      </c>
      <c r="F1338" s="30" t="s">
        <v>49</v>
      </c>
      <c r="G1338" s="163"/>
      <c r="H1338" s="163"/>
      <c r="I1338" s="163"/>
      <c r="J1338" s="165"/>
      <c r="K1338" s="165"/>
      <c r="L1338" s="165"/>
      <c r="M1338" s="165"/>
      <c r="N1338" s="165"/>
      <c r="O1338" s="163"/>
      <c r="P1338" s="163"/>
      <c r="Q1338" s="163"/>
      <c r="R1338" s="163"/>
      <c r="S1338" s="163"/>
      <c r="T1338" s="163"/>
      <c r="U1338" s="163"/>
      <c r="V1338" s="163"/>
      <c r="W1338" s="163"/>
      <c r="X1338" s="163"/>
      <c r="Y1338" s="163"/>
      <c r="Z1338" s="163"/>
      <c r="AA1338" s="163"/>
      <c r="AB1338" s="163"/>
      <c r="AC1338" s="163"/>
      <c r="AD1338" s="163"/>
      <c r="AE1338" s="163"/>
      <c r="AF1338" s="163"/>
      <c r="AG1338" s="163"/>
      <c r="AH1338" s="163"/>
      <c r="AI1338" s="163"/>
      <c r="AJ1338" s="163"/>
      <c r="AK1338" s="163"/>
      <c r="AL1338" s="163"/>
      <c r="AM1338" s="163"/>
      <c r="AN1338" s="163"/>
    </row>
    <row r="1339" spans="1:40" s="100" customFormat="1" ht="46.8" x14ac:dyDescent="0.3">
      <c r="A1339" s="160">
        <v>889</v>
      </c>
      <c r="B1339" s="166" t="s">
        <v>1749</v>
      </c>
      <c r="C1339" s="98" t="s">
        <v>2708</v>
      </c>
      <c r="D1339" s="162" t="s">
        <v>2712</v>
      </c>
      <c r="E1339" s="26" t="s">
        <v>144</v>
      </c>
      <c r="F1339" s="30" t="s">
        <v>49</v>
      </c>
      <c r="G1339" s="162" t="s">
        <v>2704</v>
      </c>
      <c r="H1339" s="162">
        <v>16</v>
      </c>
      <c r="I1339" s="162" t="str">
        <f t="shared" ref="I1339" si="135">G1339</f>
        <v>с ЛН</v>
      </c>
      <c r="J1339" s="164">
        <v>3</v>
      </c>
      <c r="K1339" s="164" t="s">
        <v>528</v>
      </c>
      <c r="L1339" s="164" t="s">
        <v>528</v>
      </c>
      <c r="M1339" s="164" t="s">
        <v>2705</v>
      </c>
      <c r="N1339" s="164" t="s">
        <v>2705</v>
      </c>
      <c r="O1339" s="162">
        <v>0</v>
      </c>
      <c r="P1339" s="162" t="s">
        <v>2706</v>
      </c>
      <c r="Q1339" s="162">
        <v>0</v>
      </c>
      <c r="R1339" s="162" t="s">
        <v>2706</v>
      </c>
      <c r="S1339" s="162">
        <v>0</v>
      </c>
      <c r="T1339" s="162" t="s">
        <v>2706</v>
      </c>
      <c r="U1339" s="162">
        <v>0</v>
      </c>
      <c r="V1339" s="162" t="s">
        <v>2706</v>
      </c>
      <c r="W1339" s="162">
        <v>0</v>
      </c>
      <c r="X1339" s="162" t="s">
        <v>2706</v>
      </c>
      <c r="Y1339" s="162">
        <v>0</v>
      </c>
      <c r="Z1339" s="162" t="s">
        <v>2706</v>
      </c>
      <c r="AA1339" s="162">
        <v>0</v>
      </c>
      <c r="AB1339" s="162" t="s">
        <v>2706</v>
      </c>
      <c r="AC1339" s="162">
        <v>0</v>
      </c>
      <c r="AD1339" s="162" t="s">
        <v>2706</v>
      </c>
      <c r="AE1339" s="162">
        <v>0</v>
      </c>
      <c r="AF1339" s="162" t="s">
        <v>2706</v>
      </c>
      <c r="AG1339" s="162">
        <v>0</v>
      </c>
      <c r="AH1339" s="162" t="s">
        <v>2706</v>
      </c>
      <c r="AI1339" s="162">
        <v>0</v>
      </c>
      <c r="AJ1339" s="162" t="s">
        <v>2706</v>
      </c>
      <c r="AK1339" s="162">
        <v>0</v>
      </c>
      <c r="AL1339" s="162" t="s">
        <v>2706</v>
      </c>
      <c r="AM1339" s="162">
        <v>0</v>
      </c>
      <c r="AN1339" s="162"/>
    </row>
    <row r="1340" spans="1:40" s="100" customFormat="1" ht="46.8" x14ac:dyDescent="0.3">
      <c r="A1340" s="161"/>
      <c r="B1340" s="167"/>
      <c r="C1340" s="98" t="s">
        <v>2708</v>
      </c>
      <c r="D1340" s="163"/>
      <c r="E1340" s="26" t="s">
        <v>48</v>
      </c>
      <c r="F1340" s="30" t="s">
        <v>49</v>
      </c>
      <c r="G1340" s="163"/>
      <c r="H1340" s="163"/>
      <c r="I1340" s="163"/>
      <c r="J1340" s="165"/>
      <c r="K1340" s="165"/>
      <c r="L1340" s="165"/>
      <c r="M1340" s="165"/>
      <c r="N1340" s="165"/>
      <c r="O1340" s="163"/>
      <c r="P1340" s="163"/>
      <c r="Q1340" s="163"/>
      <c r="R1340" s="163"/>
      <c r="S1340" s="163"/>
      <c r="T1340" s="163"/>
      <c r="U1340" s="163"/>
      <c r="V1340" s="163"/>
      <c r="W1340" s="163"/>
      <c r="X1340" s="163"/>
      <c r="Y1340" s="163"/>
      <c r="Z1340" s="163"/>
      <c r="AA1340" s="163"/>
      <c r="AB1340" s="163"/>
      <c r="AC1340" s="163"/>
      <c r="AD1340" s="163"/>
      <c r="AE1340" s="163"/>
      <c r="AF1340" s="163"/>
      <c r="AG1340" s="163"/>
      <c r="AH1340" s="163"/>
      <c r="AI1340" s="163"/>
      <c r="AJ1340" s="163"/>
      <c r="AK1340" s="163"/>
      <c r="AL1340" s="163"/>
      <c r="AM1340" s="163"/>
      <c r="AN1340" s="163"/>
    </row>
    <row r="1341" spans="1:40" s="100" customFormat="1" ht="46.8" x14ac:dyDescent="0.3">
      <c r="A1341" s="160">
        <v>890</v>
      </c>
      <c r="B1341" s="166" t="s">
        <v>1750</v>
      </c>
      <c r="C1341" s="98" t="s">
        <v>2708</v>
      </c>
      <c r="D1341" s="162" t="s">
        <v>2712</v>
      </c>
      <c r="E1341" s="26" t="s">
        <v>144</v>
      </c>
      <c r="F1341" s="30" t="s">
        <v>49</v>
      </c>
      <c r="G1341" s="162" t="s">
        <v>2704</v>
      </c>
      <c r="H1341" s="162">
        <v>24</v>
      </c>
      <c r="I1341" s="162" t="str">
        <f t="shared" ref="I1341" si="136">G1341</f>
        <v>с ЛН</v>
      </c>
      <c r="J1341" s="164">
        <v>4</v>
      </c>
      <c r="K1341" s="164" t="s">
        <v>528</v>
      </c>
      <c r="L1341" s="164" t="s">
        <v>528</v>
      </c>
      <c r="M1341" s="164" t="s">
        <v>2705</v>
      </c>
      <c r="N1341" s="164" t="s">
        <v>2705</v>
      </c>
      <c r="O1341" s="162">
        <v>458</v>
      </c>
      <c r="P1341" s="162" t="s">
        <v>2706</v>
      </c>
      <c r="Q1341" s="162">
        <v>671</v>
      </c>
      <c r="R1341" s="162" t="s">
        <v>2706</v>
      </c>
      <c r="S1341" s="162">
        <v>384</v>
      </c>
      <c r="T1341" s="162" t="s">
        <v>2706</v>
      </c>
      <c r="U1341" s="162">
        <v>415</v>
      </c>
      <c r="V1341" s="162" t="s">
        <v>2706</v>
      </c>
      <c r="W1341" s="162">
        <v>324</v>
      </c>
      <c r="X1341" s="162" t="s">
        <v>2706</v>
      </c>
      <c r="Y1341" s="162">
        <v>317</v>
      </c>
      <c r="Z1341" s="162" t="s">
        <v>2706</v>
      </c>
      <c r="AA1341" s="162">
        <v>308</v>
      </c>
      <c r="AB1341" s="162" t="s">
        <v>2706</v>
      </c>
      <c r="AC1341" s="162">
        <v>407</v>
      </c>
      <c r="AD1341" s="162" t="s">
        <v>2706</v>
      </c>
      <c r="AE1341" s="162">
        <v>322</v>
      </c>
      <c r="AF1341" s="162" t="s">
        <v>2706</v>
      </c>
      <c r="AG1341" s="162">
        <v>390</v>
      </c>
      <c r="AH1341" s="162" t="s">
        <v>2706</v>
      </c>
      <c r="AI1341" s="162">
        <v>4247</v>
      </c>
      <c r="AJ1341" s="162" t="s">
        <v>2706</v>
      </c>
      <c r="AK1341" s="162">
        <v>535</v>
      </c>
      <c r="AL1341" s="162" t="s">
        <v>2706</v>
      </c>
      <c r="AM1341" s="162">
        <v>8371</v>
      </c>
      <c r="AN1341" s="162"/>
    </row>
    <row r="1342" spans="1:40" s="100" customFormat="1" ht="46.8" x14ac:dyDescent="0.3">
      <c r="A1342" s="161"/>
      <c r="B1342" s="167"/>
      <c r="C1342" s="98" t="s">
        <v>2708</v>
      </c>
      <c r="D1342" s="163"/>
      <c r="E1342" s="26" t="s">
        <v>48</v>
      </c>
      <c r="F1342" s="30" t="s">
        <v>49</v>
      </c>
      <c r="G1342" s="163"/>
      <c r="H1342" s="163"/>
      <c r="I1342" s="163"/>
      <c r="J1342" s="165"/>
      <c r="K1342" s="165"/>
      <c r="L1342" s="165"/>
      <c r="M1342" s="165"/>
      <c r="N1342" s="165"/>
      <c r="O1342" s="163"/>
      <c r="P1342" s="163"/>
      <c r="Q1342" s="163"/>
      <c r="R1342" s="163"/>
      <c r="S1342" s="163"/>
      <c r="T1342" s="163"/>
      <c r="U1342" s="163"/>
      <c r="V1342" s="163"/>
      <c r="W1342" s="163"/>
      <c r="X1342" s="163"/>
      <c r="Y1342" s="163"/>
      <c r="Z1342" s="163"/>
      <c r="AA1342" s="163"/>
      <c r="AB1342" s="163"/>
      <c r="AC1342" s="163"/>
      <c r="AD1342" s="163"/>
      <c r="AE1342" s="163"/>
      <c r="AF1342" s="163"/>
      <c r="AG1342" s="163"/>
      <c r="AH1342" s="163"/>
      <c r="AI1342" s="163"/>
      <c r="AJ1342" s="163"/>
      <c r="AK1342" s="163"/>
      <c r="AL1342" s="163"/>
      <c r="AM1342" s="163"/>
      <c r="AN1342" s="163"/>
    </row>
    <row r="1343" spans="1:40" s="100" customFormat="1" ht="46.8" x14ac:dyDescent="0.3">
      <c r="A1343" s="160">
        <v>891</v>
      </c>
      <c r="B1343" s="166" t="s">
        <v>1752</v>
      </c>
      <c r="C1343" s="98" t="s">
        <v>2708</v>
      </c>
      <c r="D1343" s="162" t="s">
        <v>2712</v>
      </c>
      <c r="E1343" s="26" t="s">
        <v>144</v>
      </c>
      <c r="F1343" s="30" t="s">
        <v>49</v>
      </c>
      <c r="G1343" s="162" t="s">
        <v>2704</v>
      </c>
      <c r="H1343" s="162">
        <v>16</v>
      </c>
      <c r="I1343" s="162" t="str">
        <f t="shared" ref="I1343" si="137">G1343</f>
        <v>с ЛН</v>
      </c>
      <c r="J1343" s="164">
        <v>3</v>
      </c>
      <c r="K1343" s="164" t="s">
        <v>528</v>
      </c>
      <c r="L1343" s="164" t="s">
        <v>528</v>
      </c>
      <c r="M1343" s="164" t="s">
        <v>2705</v>
      </c>
      <c r="N1343" s="164" t="s">
        <v>2705</v>
      </c>
      <c r="O1343" s="162">
        <v>314</v>
      </c>
      <c r="P1343" s="162" t="s">
        <v>2706</v>
      </c>
      <c r="Q1343" s="162">
        <v>201</v>
      </c>
      <c r="R1343" s="162" t="s">
        <v>2706</v>
      </c>
      <c r="S1343" s="162">
        <v>128</v>
      </c>
      <c r="T1343" s="162" t="s">
        <v>2706</v>
      </c>
      <c r="U1343" s="162">
        <v>241</v>
      </c>
      <c r="V1343" s="162" t="s">
        <v>2706</v>
      </c>
      <c r="W1343" s="162">
        <v>191</v>
      </c>
      <c r="X1343" s="162" t="s">
        <v>2706</v>
      </c>
      <c r="Y1343" s="162">
        <v>420</v>
      </c>
      <c r="Z1343" s="162" t="s">
        <v>2706</v>
      </c>
      <c r="AA1343" s="162">
        <v>403</v>
      </c>
      <c r="AB1343" s="162" t="s">
        <v>2706</v>
      </c>
      <c r="AC1343" s="162">
        <v>821</v>
      </c>
      <c r="AD1343" s="162" t="s">
        <v>2706</v>
      </c>
      <c r="AE1343" s="162">
        <v>879</v>
      </c>
      <c r="AF1343" s="162" t="s">
        <v>2706</v>
      </c>
      <c r="AG1343" s="162">
        <v>1012</v>
      </c>
      <c r="AH1343" s="162" t="s">
        <v>2706</v>
      </c>
      <c r="AI1343" s="162">
        <v>302</v>
      </c>
      <c r="AJ1343" s="162" t="s">
        <v>2706</v>
      </c>
      <c r="AK1343" s="162">
        <v>806</v>
      </c>
      <c r="AL1343" s="162" t="s">
        <v>2706</v>
      </c>
      <c r="AM1343" s="162">
        <v>4897</v>
      </c>
      <c r="AN1343" s="162"/>
    </row>
    <row r="1344" spans="1:40" s="100" customFormat="1" ht="46.8" x14ac:dyDescent="0.3">
      <c r="A1344" s="161"/>
      <c r="B1344" s="167"/>
      <c r="C1344" s="98" t="s">
        <v>2708</v>
      </c>
      <c r="D1344" s="163"/>
      <c r="E1344" s="26" t="s">
        <v>48</v>
      </c>
      <c r="F1344" s="30" t="s">
        <v>49</v>
      </c>
      <c r="G1344" s="163"/>
      <c r="H1344" s="163"/>
      <c r="I1344" s="163"/>
      <c r="J1344" s="165"/>
      <c r="K1344" s="165"/>
      <c r="L1344" s="165"/>
      <c r="M1344" s="165"/>
      <c r="N1344" s="165"/>
      <c r="O1344" s="163"/>
      <c r="P1344" s="163"/>
      <c r="Q1344" s="163"/>
      <c r="R1344" s="163"/>
      <c r="S1344" s="163"/>
      <c r="T1344" s="163"/>
      <c r="U1344" s="163"/>
      <c r="V1344" s="163"/>
      <c r="W1344" s="163"/>
      <c r="X1344" s="163"/>
      <c r="Y1344" s="163"/>
      <c r="Z1344" s="163"/>
      <c r="AA1344" s="163"/>
      <c r="AB1344" s="163"/>
      <c r="AC1344" s="163"/>
      <c r="AD1344" s="163"/>
      <c r="AE1344" s="163"/>
      <c r="AF1344" s="163"/>
      <c r="AG1344" s="163"/>
      <c r="AH1344" s="163"/>
      <c r="AI1344" s="163"/>
      <c r="AJ1344" s="163"/>
      <c r="AK1344" s="163"/>
      <c r="AL1344" s="163"/>
      <c r="AM1344" s="163"/>
      <c r="AN1344" s="163"/>
    </row>
    <row r="1345" spans="1:40" s="100" customFormat="1" ht="46.8" x14ac:dyDescent="0.3">
      <c r="A1345" s="160">
        <v>892</v>
      </c>
      <c r="B1345" s="166" t="s">
        <v>1753</v>
      </c>
      <c r="C1345" s="98" t="s">
        <v>2708</v>
      </c>
      <c r="D1345" s="162" t="s">
        <v>2712</v>
      </c>
      <c r="E1345" s="26" t="s">
        <v>144</v>
      </c>
      <c r="F1345" s="30" t="s">
        <v>49</v>
      </c>
      <c r="G1345" s="162" t="s">
        <v>2704</v>
      </c>
      <c r="H1345" s="162">
        <v>17</v>
      </c>
      <c r="I1345" s="162" t="str">
        <f t="shared" ref="I1345" si="138">G1345</f>
        <v>с ЛН</v>
      </c>
      <c r="J1345" s="164">
        <v>3</v>
      </c>
      <c r="K1345" s="164" t="s">
        <v>528</v>
      </c>
      <c r="L1345" s="164" t="s">
        <v>528</v>
      </c>
      <c r="M1345" s="164" t="s">
        <v>2705</v>
      </c>
      <c r="N1345" s="164" t="s">
        <v>2705</v>
      </c>
      <c r="O1345" s="162">
        <v>0</v>
      </c>
      <c r="P1345" s="162" t="s">
        <v>2706</v>
      </c>
      <c r="Q1345" s="162">
        <v>0</v>
      </c>
      <c r="R1345" s="162" t="s">
        <v>2706</v>
      </c>
      <c r="S1345" s="162">
        <v>0</v>
      </c>
      <c r="T1345" s="162" t="s">
        <v>2706</v>
      </c>
      <c r="U1345" s="162">
        <v>0</v>
      </c>
      <c r="V1345" s="162" t="s">
        <v>2706</v>
      </c>
      <c r="W1345" s="162">
        <v>0</v>
      </c>
      <c r="X1345" s="162" t="s">
        <v>2706</v>
      </c>
      <c r="Y1345" s="162">
        <v>0</v>
      </c>
      <c r="Z1345" s="162" t="s">
        <v>2706</v>
      </c>
      <c r="AA1345" s="162">
        <v>0</v>
      </c>
      <c r="AB1345" s="162" t="s">
        <v>2706</v>
      </c>
      <c r="AC1345" s="162">
        <v>0</v>
      </c>
      <c r="AD1345" s="162" t="s">
        <v>2706</v>
      </c>
      <c r="AE1345" s="162">
        <v>0</v>
      </c>
      <c r="AF1345" s="162" t="s">
        <v>2706</v>
      </c>
      <c r="AG1345" s="162">
        <v>0</v>
      </c>
      <c r="AH1345" s="162" t="s">
        <v>2706</v>
      </c>
      <c r="AI1345" s="162">
        <v>0</v>
      </c>
      <c r="AJ1345" s="162" t="s">
        <v>2706</v>
      </c>
      <c r="AK1345" s="162">
        <v>0</v>
      </c>
      <c r="AL1345" s="162" t="s">
        <v>2706</v>
      </c>
      <c r="AM1345" s="162">
        <v>0</v>
      </c>
      <c r="AN1345" s="162"/>
    </row>
    <row r="1346" spans="1:40" s="100" customFormat="1" ht="46.8" x14ac:dyDescent="0.3">
      <c r="A1346" s="161"/>
      <c r="B1346" s="167"/>
      <c r="C1346" s="98" t="s">
        <v>2708</v>
      </c>
      <c r="D1346" s="163"/>
      <c r="E1346" s="26" t="s">
        <v>48</v>
      </c>
      <c r="F1346" s="30" t="s">
        <v>49</v>
      </c>
      <c r="G1346" s="163"/>
      <c r="H1346" s="163"/>
      <c r="I1346" s="163"/>
      <c r="J1346" s="165"/>
      <c r="K1346" s="165"/>
      <c r="L1346" s="165"/>
      <c r="M1346" s="165"/>
      <c r="N1346" s="165"/>
      <c r="O1346" s="163"/>
      <c r="P1346" s="163"/>
      <c r="Q1346" s="163"/>
      <c r="R1346" s="163"/>
      <c r="S1346" s="163"/>
      <c r="T1346" s="163"/>
      <c r="U1346" s="163"/>
      <c r="V1346" s="163"/>
      <c r="W1346" s="163"/>
      <c r="X1346" s="163"/>
      <c r="Y1346" s="163"/>
      <c r="Z1346" s="163"/>
      <c r="AA1346" s="163"/>
      <c r="AB1346" s="163"/>
      <c r="AC1346" s="163"/>
      <c r="AD1346" s="163"/>
      <c r="AE1346" s="163"/>
      <c r="AF1346" s="163"/>
      <c r="AG1346" s="163"/>
      <c r="AH1346" s="163"/>
      <c r="AI1346" s="163"/>
      <c r="AJ1346" s="163"/>
      <c r="AK1346" s="163"/>
      <c r="AL1346" s="163"/>
      <c r="AM1346" s="163"/>
      <c r="AN1346" s="163"/>
    </row>
    <row r="1347" spans="1:40" s="100" customFormat="1" ht="46.8" x14ac:dyDescent="0.3">
      <c r="A1347" s="160">
        <v>893</v>
      </c>
      <c r="B1347" s="166" t="s">
        <v>1754</v>
      </c>
      <c r="C1347" s="98" t="s">
        <v>2708</v>
      </c>
      <c r="D1347" s="162" t="s">
        <v>2712</v>
      </c>
      <c r="E1347" s="26" t="s">
        <v>144</v>
      </c>
      <c r="F1347" s="30" t="s">
        <v>49</v>
      </c>
      <c r="G1347" s="162"/>
      <c r="H1347" s="162"/>
      <c r="I1347" s="162"/>
      <c r="J1347" s="164"/>
      <c r="K1347" s="164" t="s">
        <v>528</v>
      </c>
      <c r="L1347" s="164" t="s">
        <v>528</v>
      </c>
      <c r="M1347" s="164" t="s">
        <v>2705</v>
      </c>
      <c r="N1347" s="164" t="s">
        <v>2705</v>
      </c>
      <c r="O1347" s="162">
        <v>2925</v>
      </c>
      <c r="P1347" s="162" t="s">
        <v>2706</v>
      </c>
      <c r="Q1347" s="162">
        <v>2850</v>
      </c>
      <c r="R1347" s="162" t="s">
        <v>2706</v>
      </c>
      <c r="S1347" s="162">
        <v>2097</v>
      </c>
      <c r="T1347" s="162" t="s">
        <v>2706</v>
      </c>
      <c r="U1347" s="162">
        <v>2642</v>
      </c>
      <c r="V1347" s="162" t="s">
        <v>2706</v>
      </c>
      <c r="W1347" s="162">
        <v>2236</v>
      </c>
      <c r="X1347" s="162" t="s">
        <v>2706</v>
      </c>
      <c r="Y1347" s="162">
        <v>1961</v>
      </c>
      <c r="Z1347" s="162" t="s">
        <v>2706</v>
      </c>
      <c r="AA1347" s="162">
        <v>1365</v>
      </c>
      <c r="AB1347" s="162" t="s">
        <v>2706</v>
      </c>
      <c r="AC1347" s="162">
        <v>1816</v>
      </c>
      <c r="AD1347" s="162" t="s">
        <v>2706</v>
      </c>
      <c r="AE1347" s="162">
        <v>1721</v>
      </c>
      <c r="AF1347" s="162" t="s">
        <v>2706</v>
      </c>
      <c r="AG1347" s="162">
        <v>1965</v>
      </c>
      <c r="AH1347" s="162" t="s">
        <v>2706</v>
      </c>
      <c r="AI1347" s="162">
        <v>2434</v>
      </c>
      <c r="AJ1347" s="162" t="s">
        <v>2706</v>
      </c>
      <c r="AK1347" s="162">
        <v>3168</v>
      </c>
      <c r="AL1347" s="162" t="s">
        <v>2706</v>
      </c>
      <c r="AM1347" s="162">
        <v>25364</v>
      </c>
      <c r="AN1347" s="162"/>
    </row>
    <row r="1348" spans="1:40" s="100" customFormat="1" ht="46.8" x14ac:dyDescent="0.3">
      <c r="A1348" s="161"/>
      <c r="B1348" s="167"/>
      <c r="C1348" s="98" t="s">
        <v>2708</v>
      </c>
      <c r="D1348" s="163"/>
      <c r="E1348" s="26" t="s">
        <v>48</v>
      </c>
      <c r="F1348" s="30" t="s">
        <v>49</v>
      </c>
      <c r="G1348" s="163"/>
      <c r="H1348" s="163"/>
      <c r="I1348" s="163"/>
      <c r="J1348" s="165"/>
      <c r="K1348" s="165"/>
      <c r="L1348" s="165"/>
      <c r="M1348" s="165"/>
      <c r="N1348" s="165"/>
      <c r="O1348" s="163"/>
      <c r="P1348" s="163"/>
      <c r="Q1348" s="163"/>
      <c r="R1348" s="163"/>
      <c r="S1348" s="163"/>
      <c r="T1348" s="163"/>
      <c r="U1348" s="163"/>
      <c r="V1348" s="163"/>
      <c r="W1348" s="163"/>
      <c r="X1348" s="163"/>
      <c r="Y1348" s="163"/>
      <c r="Z1348" s="163"/>
      <c r="AA1348" s="163"/>
      <c r="AB1348" s="163"/>
      <c r="AC1348" s="163"/>
      <c r="AD1348" s="163"/>
      <c r="AE1348" s="163"/>
      <c r="AF1348" s="163"/>
      <c r="AG1348" s="163"/>
      <c r="AH1348" s="163"/>
      <c r="AI1348" s="163"/>
      <c r="AJ1348" s="163"/>
      <c r="AK1348" s="163"/>
      <c r="AL1348" s="163"/>
      <c r="AM1348" s="163"/>
      <c r="AN1348" s="163"/>
    </row>
    <row r="1349" spans="1:40" s="100" customFormat="1" ht="46.8" x14ac:dyDescent="0.3">
      <c r="A1349" s="160">
        <v>894</v>
      </c>
      <c r="B1349" s="166" t="s">
        <v>1755</v>
      </c>
      <c r="C1349" s="98" t="s">
        <v>2708</v>
      </c>
      <c r="D1349" s="162" t="s">
        <v>2712</v>
      </c>
      <c r="E1349" s="26" t="s">
        <v>144</v>
      </c>
      <c r="F1349" s="30" t="s">
        <v>49</v>
      </c>
      <c r="G1349" s="162" t="s">
        <v>2704</v>
      </c>
      <c r="H1349" s="162">
        <v>40</v>
      </c>
      <c r="I1349" s="162" t="str">
        <f t="shared" ref="I1349" si="139">G1349</f>
        <v>с ЛН</v>
      </c>
      <c r="J1349" s="164">
        <v>6</v>
      </c>
      <c r="K1349" s="164" t="s">
        <v>528</v>
      </c>
      <c r="L1349" s="164" t="s">
        <v>528</v>
      </c>
      <c r="M1349" s="164" t="s">
        <v>2705</v>
      </c>
      <c r="N1349" s="164" t="s">
        <v>2705</v>
      </c>
      <c r="O1349" s="162">
        <v>1267</v>
      </c>
      <c r="P1349" s="162" t="s">
        <v>2706</v>
      </c>
      <c r="Q1349" s="162">
        <v>1232</v>
      </c>
      <c r="R1349" s="162" t="s">
        <v>2706</v>
      </c>
      <c r="S1349" s="162">
        <v>978</v>
      </c>
      <c r="T1349" s="162" t="s">
        <v>2706</v>
      </c>
      <c r="U1349" s="162">
        <v>1135</v>
      </c>
      <c r="V1349" s="162" t="s">
        <v>2706</v>
      </c>
      <c r="W1349" s="162">
        <v>1180</v>
      </c>
      <c r="X1349" s="162" t="s">
        <v>2706</v>
      </c>
      <c r="Y1349" s="162">
        <v>1157</v>
      </c>
      <c r="Z1349" s="162" t="s">
        <v>2706</v>
      </c>
      <c r="AA1349" s="162">
        <v>868</v>
      </c>
      <c r="AB1349" s="162" t="s">
        <v>2706</v>
      </c>
      <c r="AC1349" s="162">
        <v>1147</v>
      </c>
      <c r="AD1349" s="162" t="s">
        <v>2706</v>
      </c>
      <c r="AE1349" s="162">
        <v>918</v>
      </c>
      <c r="AF1349" s="162" t="s">
        <v>2706</v>
      </c>
      <c r="AG1349" s="162">
        <v>1006</v>
      </c>
      <c r="AH1349" s="162" t="s">
        <v>2706</v>
      </c>
      <c r="AI1349" s="162">
        <v>1182</v>
      </c>
      <c r="AJ1349" s="162" t="s">
        <v>2706</v>
      </c>
      <c r="AK1349" s="162">
        <v>1435</v>
      </c>
      <c r="AL1349" s="162" t="s">
        <v>2706</v>
      </c>
      <c r="AM1349" s="162">
        <v>12358</v>
      </c>
      <c r="AN1349" s="162"/>
    </row>
    <row r="1350" spans="1:40" s="100" customFormat="1" ht="46.8" x14ac:dyDescent="0.3">
      <c r="A1350" s="161"/>
      <c r="B1350" s="167"/>
      <c r="C1350" s="98" t="s">
        <v>2708</v>
      </c>
      <c r="D1350" s="163"/>
      <c r="E1350" s="26" t="s">
        <v>48</v>
      </c>
      <c r="F1350" s="30" t="s">
        <v>49</v>
      </c>
      <c r="G1350" s="163"/>
      <c r="H1350" s="163"/>
      <c r="I1350" s="163"/>
      <c r="J1350" s="165"/>
      <c r="K1350" s="165"/>
      <c r="L1350" s="165"/>
      <c r="M1350" s="165"/>
      <c r="N1350" s="165"/>
      <c r="O1350" s="163"/>
      <c r="P1350" s="163"/>
      <c r="Q1350" s="163"/>
      <c r="R1350" s="163"/>
      <c r="S1350" s="163"/>
      <c r="T1350" s="163"/>
      <c r="U1350" s="163"/>
      <c r="V1350" s="163"/>
      <c r="W1350" s="163"/>
      <c r="X1350" s="163"/>
      <c r="Y1350" s="163"/>
      <c r="Z1350" s="163"/>
      <c r="AA1350" s="163"/>
      <c r="AB1350" s="163"/>
      <c r="AC1350" s="163"/>
      <c r="AD1350" s="163"/>
      <c r="AE1350" s="163"/>
      <c r="AF1350" s="163"/>
      <c r="AG1350" s="163"/>
      <c r="AH1350" s="163"/>
      <c r="AI1350" s="163"/>
      <c r="AJ1350" s="163"/>
      <c r="AK1350" s="163"/>
      <c r="AL1350" s="163"/>
      <c r="AM1350" s="163"/>
      <c r="AN1350" s="163"/>
    </row>
    <row r="1351" spans="1:40" s="100" customFormat="1" ht="46.8" x14ac:dyDescent="0.3">
      <c r="A1351" s="160">
        <v>895</v>
      </c>
      <c r="B1351" s="166" t="s">
        <v>1756</v>
      </c>
      <c r="C1351" s="98" t="s">
        <v>2708</v>
      </c>
      <c r="D1351" s="162" t="s">
        <v>2712</v>
      </c>
      <c r="E1351" s="26" t="s">
        <v>144</v>
      </c>
      <c r="F1351" s="30" t="s">
        <v>49</v>
      </c>
      <c r="G1351" s="162" t="s">
        <v>2704</v>
      </c>
      <c r="H1351" s="162">
        <v>44</v>
      </c>
      <c r="I1351" s="162" t="str">
        <f t="shared" ref="I1351:I1395" si="140">G1351</f>
        <v>с ЛН</v>
      </c>
      <c r="J1351" s="164">
        <v>6</v>
      </c>
      <c r="K1351" s="164" t="s">
        <v>528</v>
      </c>
      <c r="L1351" s="164" t="s">
        <v>528</v>
      </c>
      <c r="M1351" s="164" t="s">
        <v>2705</v>
      </c>
      <c r="N1351" s="164" t="s">
        <v>2705</v>
      </c>
      <c r="O1351" s="162">
        <v>1385</v>
      </c>
      <c r="P1351" s="162" t="s">
        <v>2706</v>
      </c>
      <c r="Q1351" s="162">
        <v>1541</v>
      </c>
      <c r="R1351" s="162" t="s">
        <v>2706</v>
      </c>
      <c r="S1351" s="162">
        <v>1118</v>
      </c>
      <c r="T1351" s="162" t="s">
        <v>2706</v>
      </c>
      <c r="U1351" s="162">
        <v>1574</v>
      </c>
      <c r="V1351" s="162" t="s">
        <v>2706</v>
      </c>
      <c r="W1351" s="162">
        <v>1393</v>
      </c>
      <c r="X1351" s="162" t="s">
        <v>2706</v>
      </c>
      <c r="Y1351" s="162">
        <v>1362</v>
      </c>
      <c r="Z1351" s="162" t="s">
        <v>2706</v>
      </c>
      <c r="AA1351" s="162">
        <v>991</v>
      </c>
      <c r="AB1351" s="162" t="s">
        <v>2706</v>
      </c>
      <c r="AC1351" s="162">
        <v>1436</v>
      </c>
      <c r="AD1351" s="162" t="s">
        <v>2706</v>
      </c>
      <c r="AE1351" s="162">
        <v>1220</v>
      </c>
      <c r="AF1351" s="162" t="s">
        <v>2706</v>
      </c>
      <c r="AG1351" s="162">
        <v>1260</v>
      </c>
      <c r="AH1351" s="162" t="s">
        <v>2706</v>
      </c>
      <c r="AI1351" s="162">
        <v>1397</v>
      </c>
      <c r="AJ1351" s="162" t="s">
        <v>2706</v>
      </c>
      <c r="AK1351" s="162">
        <v>1774</v>
      </c>
      <c r="AL1351" s="162" t="s">
        <v>2706</v>
      </c>
      <c r="AM1351" s="162">
        <v>15015</v>
      </c>
      <c r="AN1351" s="162"/>
    </row>
    <row r="1352" spans="1:40" s="100" customFormat="1" ht="46.8" x14ac:dyDescent="0.3">
      <c r="A1352" s="161"/>
      <c r="B1352" s="167"/>
      <c r="C1352" s="98" t="s">
        <v>2708</v>
      </c>
      <c r="D1352" s="163"/>
      <c r="E1352" s="26" t="s">
        <v>48</v>
      </c>
      <c r="F1352" s="30" t="s">
        <v>49</v>
      </c>
      <c r="G1352" s="163"/>
      <c r="H1352" s="163"/>
      <c r="I1352" s="163"/>
      <c r="J1352" s="165"/>
      <c r="K1352" s="165"/>
      <c r="L1352" s="165"/>
      <c r="M1352" s="165"/>
      <c r="N1352" s="165"/>
      <c r="O1352" s="163"/>
      <c r="P1352" s="163"/>
      <c r="Q1352" s="163"/>
      <c r="R1352" s="163"/>
      <c r="S1352" s="163"/>
      <c r="T1352" s="163"/>
      <c r="U1352" s="163"/>
      <c r="V1352" s="163"/>
      <c r="W1352" s="163"/>
      <c r="X1352" s="163"/>
      <c r="Y1352" s="163"/>
      <c r="Z1352" s="163"/>
      <c r="AA1352" s="163"/>
      <c r="AB1352" s="163"/>
      <c r="AC1352" s="163"/>
      <c r="AD1352" s="163"/>
      <c r="AE1352" s="163"/>
      <c r="AF1352" s="163"/>
      <c r="AG1352" s="163"/>
      <c r="AH1352" s="163"/>
      <c r="AI1352" s="163"/>
      <c r="AJ1352" s="163"/>
      <c r="AK1352" s="163"/>
      <c r="AL1352" s="163"/>
      <c r="AM1352" s="163"/>
      <c r="AN1352" s="163"/>
    </row>
    <row r="1353" spans="1:40" s="100" customFormat="1" ht="46.8" x14ac:dyDescent="0.3">
      <c r="A1353" s="160">
        <v>896</v>
      </c>
      <c r="B1353" s="166" t="s">
        <v>1757</v>
      </c>
      <c r="C1353" s="98" t="s">
        <v>2708</v>
      </c>
      <c r="D1353" s="162" t="s">
        <v>2712</v>
      </c>
      <c r="E1353" s="26" t="s">
        <v>144</v>
      </c>
      <c r="F1353" s="30" t="s">
        <v>49</v>
      </c>
      <c r="G1353" s="162" t="s">
        <v>2704</v>
      </c>
      <c r="H1353" s="162">
        <v>27</v>
      </c>
      <c r="I1353" s="162" t="str">
        <f t="shared" si="140"/>
        <v>с ЛН</v>
      </c>
      <c r="J1353" s="164">
        <v>5</v>
      </c>
      <c r="K1353" s="164" t="s">
        <v>528</v>
      </c>
      <c r="L1353" s="164" t="s">
        <v>528</v>
      </c>
      <c r="M1353" s="164" t="s">
        <v>2705</v>
      </c>
      <c r="N1353" s="164" t="s">
        <v>2705</v>
      </c>
      <c r="O1353" s="162">
        <v>345</v>
      </c>
      <c r="P1353" s="162" t="s">
        <v>2706</v>
      </c>
      <c r="Q1353" s="162">
        <v>345</v>
      </c>
      <c r="R1353" s="162" t="s">
        <v>2706</v>
      </c>
      <c r="S1353" s="162">
        <v>345</v>
      </c>
      <c r="T1353" s="162" t="s">
        <v>2706</v>
      </c>
      <c r="U1353" s="162">
        <v>345</v>
      </c>
      <c r="V1353" s="162" t="s">
        <v>2706</v>
      </c>
      <c r="W1353" s="162">
        <v>345</v>
      </c>
      <c r="X1353" s="162" t="s">
        <v>2706</v>
      </c>
      <c r="Y1353" s="162">
        <v>180</v>
      </c>
      <c r="Z1353" s="162" t="s">
        <v>2706</v>
      </c>
      <c r="AA1353" s="162">
        <v>425</v>
      </c>
      <c r="AB1353" s="162" t="s">
        <v>2706</v>
      </c>
      <c r="AC1353" s="162">
        <v>490</v>
      </c>
      <c r="AD1353" s="162" t="s">
        <v>2706</v>
      </c>
      <c r="AE1353" s="162">
        <v>392</v>
      </c>
      <c r="AF1353" s="162" t="s">
        <v>2706</v>
      </c>
      <c r="AG1353" s="162">
        <v>436</v>
      </c>
      <c r="AH1353" s="162" t="s">
        <v>2706</v>
      </c>
      <c r="AI1353" s="162">
        <v>687</v>
      </c>
      <c r="AJ1353" s="162" t="s">
        <v>2706</v>
      </c>
      <c r="AK1353" s="162">
        <v>835</v>
      </c>
      <c r="AL1353" s="162" t="s">
        <v>2706</v>
      </c>
      <c r="AM1353" s="162">
        <v>4680</v>
      </c>
      <c r="AN1353" s="162"/>
    </row>
    <row r="1354" spans="1:40" s="100" customFormat="1" ht="46.8" x14ac:dyDescent="0.3">
      <c r="A1354" s="161"/>
      <c r="B1354" s="167"/>
      <c r="C1354" s="98" t="s">
        <v>2708</v>
      </c>
      <c r="D1354" s="163"/>
      <c r="E1354" s="26" t="s">
        <v>48</v>
      </c>
      <c r="F1354" s="30" t="s">
        <v>49</v>
      </c>
      <c r="G1354" s="163"/>
      <c r="H1354" s="163"/>
      <c r="I1354" s="163"/>
      <c r="J1354" s="165"/>
      <c r="K1354" s="165"/>
      <c r="L1354" s="165"/>
      <c r="M1354" s="165"/>
      <c r="N1354" s="165"/>
      <c r="O1354" s="163"/>
      <c r="P1354" s="163"/>
      <c r="Q1354" s="163"/>
      <c r="R1354" s="163"/>
      <c r="S1354" s="163"/>
      <c r="T1354" s="163"/>
      <c r="U1354" s="163"/>
      <c r="V1354" s="163"/>
      <c r="W1354" s="163"/>
      <c r="X1354" s="163"/>
      <c r="Y1354" s="163"/>
      <c r="Z1354" s="163"/>
      <c r="AA1354" s="163"/>
      <c r="AB1354" s="163"/>
      <c r="AC1354" s="163"/>
      <c r="AD1354" s="163"/>
      <c r="AE1354" s="163"/>
      <c r="AF1354" s="163"/>
      <c r="AG1354" s="163"/>
      <c r="AH1354" s="163"/>
      <c r="AI1354" s="163"/>
      <c r="AJ1354" s="163"/>
      <c r="AK1354" s="163"/>
      <c r="AL1354" s="163"/>
      <c r="AM1354" s="163"/>
      <c r="AN1354" s="163"/>
    </row>
    <row r="1355" spans="1:40" s="100" customFormat="1" ht="46.8" x14ac:dyDescent="0.3">
      <c r="A1355" s="160">
        <v>897</v>
      </c>
      <c r="B1355" s="166" t="s">
        <v>1758</v>
      </c>
      <c r="C1355" s="98" t="s">
        <v>2708</v>
      </c>
      <c r="D1355" s="162" t="s">
        <v>2712</v>
      </c>
      <c r="E1355" s="26" t="s">
        <v>144</v>
      </c>
      <c r="F1355" s="30" t="s">
        <v>49</v>
      </c>
      <c r="G1355" s="162" t="s">
        <v>2704</v>
      </c>
      <c r="H1355" s="162">
        <v>42</v>
      </c>
      <c r="I1355" s="162" t="str">
        <f t="shared" si="140"/>
        <v>с ЛН</v>
      </c>
      <c r="J1355" s="164">
        <v>7</v>
      </c>
      <c r="K1355" s="164" t="s">
        <v>528</v>
      </c>
      <c r="L1355" s="164" t="s">
        <v>528</v>
      </c>
      <c r="M1355" s="164" t="s">
        <v>2705</v>
      </c>
      <c r="N1355" s="164" t="s">
        <v>2705</v>
      </c>
      <c r="O1355" s="162">
        <v>400</v>
      </c>
      <c r="P1355" s="162" t="s">
        <v>2706</v>
      </c>
      <c r="Q1355" s="162">
        <v>764</v>
      </c>
      <c r="R1355" s="162" t="s">
        <v>2706</v>
      </c>
      <c r="S1355" s="162">
        <v>515</v>
      </c>
      <c r="T1355" s="162" t="s">
        <v>2706</v>
      </c>
      <c r="U1355" s="162">
        <v>537</v>
      </c>
      <c r="V1355" s="162" t="s">
        <v>2706</v>
      </c>
      <c r="W1355" s="162">
        <v>483</v>
      </c>
      <c r="X1355" s="162" t="s">
        <v>2706</v>
      </c>
      <c r="Y1355" s="162">
        <v>575</v>
      </c>
      <c r="Z1355" s="162" t="s">
        <v>2706</v>
      </c>
      <c r="AA1355" s="162">
        <v>560</v>
      </c>
      <c r="AB1355" s="162" t="s">
        <v>2706</v>
      </c>
      <c r="AC1355" s="162">
        <v>524</v>
      </c>
      <c r="AD1355" s="162" t="s">
        <v>2706</v>
      </c>
      <c r="AE1355" s="162">
        <v>539</v>
      </c>
      <c r="AF1355" s="162" t="s">
        <v>2706</v>
      </c>
      <c r="AG1355" s="162">
        <v>443</v>
      </c>
      <c r="AH1355" s="162" t="s">
        <v>2706</v>
      </c>
      <c r="AI1355" s="162">
        <v>1658</v>
      </c>
      <c r="AJ1355" s="162" t="s">
        <v>2706</v>
      </c>
      <c r="AK1355" s="162">
        <v>3394</v>
      </c>
      <c r="AL1355" s="162" t="s">
        <v>2706</v>
      </c>
      <c r="AM1355" s="162">
        <v>9868</v>
      </c>
      <c r="AN1355" s="162"/>
    </row>
    <row r="1356" spans="1:40" s="100" customFormat="1" ht="46.8" x14ac:dyDescent="0.3">
      <c r="A1356" s="161"/>
      <c r="B1356" s="167"/>
      <c r="C1356" s="98" t="s">
        <v>2708</v>
      </c>
      <c r="D1356" s="163"/>
      <c r="E1356" s="26" t="s">
        <v>48</v>
      </c>
      <c r="F1356" s="30" t="s">
        <v>49</v>
      </c>
      <c r="G1356" s="163"/>
      <c r="H1356" s="163"/>
      <c r="I1356" s="163"/>
      <c r="J1356" s="165"/>
      <c r="K1356" s="165"/>
      <c r="L1356" s="165"/>
      <c r="M1356" s="165"/>
      <c r="N1356" s="165"/>
      <c r="O1356" s="163"/>
      <c r="P1356" s="163"/>
      <c r="Q1356" s="163"/>
      <c r="R1356" s="163"/>
      <c r="S1356" s="163"/>
      <c r="T1356" s="163"/>
      <c r="U1356" s="163"/>
      <c r="V1356" s="163"/>
      <c r="W1356" s="163"/>
      <c r="X1356" s="163"/>
      <c r="Y1356" s="163"/>
      <c r="Z1356" s="163"/>
      <c r="AA1356" s="163"/>
      <c r="AB1356" s="163"/>
      <c r="AC1356" s="163"/>
      <c r="AD1356" s="163"/>
      <c r="AE1356" s="163"/>
      <c r="AF1356" s="163"/>
      <c r="AG1356" s="163"/>
      <c r="AH1356" s="163"/>
      <c r="AI1356" s="163"/>
      <c r="AJ1356" s="163"/>
      <c r="AK1356" s="163"/>
      <c r="AL1356" s="163"/>
      <c r="AM1356" s="163"/>
      <c r="AN1356" s="163"/>
    </row>
    <row r="1357" spans="1:40" s="100" customFormat="1" ht="46.8" x14ac:dyDescent="0.3">
      <c r="A1357" s="160">
        <v>898</v>
      </c>
      <c r="B1357" s="166" t="s">
        <v>1760</v>
      </c>
      <c r="C1357" s="98" t="s">
        <v>2708</v>
      </c>
      <c r="D1357" s="162" t="s">
        <v>2712</v>
      </c>
      <c r="E1357" s="26" t="s">
        <v>144</v>
      </c>
      <c r="F1357" s="30" t="s">
        <v>49</v>
      </c>
      <c r="G1357" s="162" t="s">
        <v>2704</v>
      </c>
      <c r="H1357" s="162">
        <v>20</v>
      </c>
      <c r="I1357" s="162" t="str">
        <f t="shared" si="140"/>
        <v>с ЛН</v>
      </c>
      <c r="J1357" s="164">
        <v>4</v>
      </c>
      <c r="K1357" s="164" t="s">
        <v>529</v>
      </c>
      <c r="L1357" s="164" t="s">
        <v>529</v>
      </c>
      <c r="M1357" s="164" t="s">
        <v>2705</v>
      </c>
      <c r="N1357" s="164" t="s">
        <v>2705</v>
      </c>
      <c r="O1357" s="162">
        <v>815</v>
      </c>
      <c r="P1357" s="162" t="s">
        <v>2706</v>
      </c>
      <c r="Q1357" s="162">
        <v>825</v>
      </c>
      <c r="R1357" s="162" t="s">
        <v>2706</v>
      </c>
      <c r="S1357" s="162">
        <v>790</v>
      </c>
      <c r="T1357" s="162" t="s">
        <v>2706</v>
      </c>
      <c r="U1357" s="162">
        <v>742</v>
      </c>
      <c r="V1357" s="162" t="s">
        <v>2706</v>
      </c>
      <c r="W1357" s="162">
        <v>767</v>
      </c>
      <c r="X1357" s="162" t="s">
        <v>2706</v>
      </c>
      <c r="Y1357" s="162">
        <v>1318</v>
      </c>
      <c r="Z1357" s="162" t="s">
        <v>2706</v>
      </c>
      <c r="AA1357" s="162">
        <v>1270</v>
      </c>
      <c r="AB1357" s="162" t="s">
        <v>2706</v>
      </c>
      <c r="AC1357" s="162">
        <v>62</v>
      </c>
      <c r="AD1357" s="162" t="s">
        <v>2706</v>
      </c>
      <c r="AE1357" s="162">
        <v>1325</v>
      </c>
      <c r="AF1357" s="162" t="s">
        <v>2706</v>
      </c>
      <c r="AG1357" s="162">
        <v>1368</v>
      </c>
      <c r="AH1357" s="162" t="s">
        <v>2706</v>
      </c>
      <c r="AI1357" s="162">
        <v>866</v>
      </c>
      <c r="AJ1357" s="162" t="s">
        <v>2706</v>
      </c>
      <c r="AK1357" s="162">
        <v>1495</v>
      </c>
      <c r="AL1357" s="162" t="s">
        <v>2706</v>
      </c>
      <c r="AM1357" s="162">
        <v>11581</v>
      </c>
      <c r="AN1357" s="162"/>
    </row>
    <row r="1358" spans="1:40" s="100" customFormat="1" ht="46.8" x14ac:dyDescent="0.3">
      <c r="A1358" s="161"/>
      <c r="B1358" s="167"/>
      <c r="C1358" s="98" t="s">
        <v>2708</v>
      </c>
      <c r="D1358" s="163"/>
      <c r="E1358" s="26" t="s">
        <v>48</v>
      </c>
      <c r="F1358" s="30" t="s">
        <v>49</v>
      </c>
      <c r="G1358" s="163"/>
      <c r="H1358" s="163"/>
      <c r="I1358" s="163"/>
      <c r="J1358" s="165"/>
      <c r="K1358" s="165"/>
      <c r="L1358" s="165"/>
      <c r="M1358" s="165"/>
      <c r="N1358" s="165"/>
      <c r="O1358" s="163"/>
      <c r="P1358" s="163"/>
      <c r="Q1358" s="163"/>
      <c r="R1358" s="163"/>
      <c r="S1358" s="163"/>
      <c r="T1358" s="163"/>
      <c r="U1358" s="163"/>
      <c r="V1358" s="163"/>
      <c r="W1358" s="163"/>
      <c r="X1358" s="163"/>
      <c r="Y1358" s="163"/>
      <c r="Z1358" s="163"/>
      <c r="AA1358" s="163"/>
      <c r="AB1358" s="163"/>
      <c r="AC1358" s="163"/>
      <c r="AD1358" s="163"/>
      <c r="AE1358" s="163"/>
      <c r="AF1358" s="163"/>
      <c r="AG1358" s="163"/>
      <c r="AH1358" s="163"/>
      <c r="AI1358" s="163"/>
      <c r="AJ1358" s="163"/>
      <c r="AK1358" s="163"/>
      <c r="AL1358" s="163"/>
      <c r="AM1358" s="163"/>
      <c r="AN1358" s="163"/>
    </row>
    <row r="1359" spans="1:40" s="100" customFormat="1" ht="46.8" x14ac:dyDescent="0.3">
      <c r="A1359" s="160">
        <v>899</v>
      </c>
      <c r="B1359" s="166" t="s">
        <v>1761</v>
      </c>
      <c r="C1359" s="98" t="s">
        <v>2708</v>
      </c>
      <c r="D1359" s="162" t="s">
        <v>2712</v>
      </c>
      <c r="E1359" s="26" t="s">
        <v>144</v>
      </c>
      <c r="F1359" s="30" t="s">
        <v>49</v>
      </c>
      <c r="G1359" s="162" t="s">
        <v>2704</v>
      </c>
      <c r="H1359" s="162">
        <v>17</v>
      </c>
      <c r="I1359" s="162" t="str">
        <f t="shared" si="140"/>
        <v>с ЛН</v>
      </c>
      <c r="J1359" s="164">
        <v>3</v>
      </c>
      <c r="K1359" s="164" t="s">
        <v>528</v>
      </c>
      <c r="L1359" s="164" t="s">
        <v>528</v>
      </c>
      <c r="M1359" s="164" t="s">
        <v>2705</v>
      </c>
      <c r="N1359" s="164" t="s">
        <v>2705</v>
      </c>
      <c r="O1359" s="162">
        <v>0</v>
      </c>
      <c r="P1359" s="162" t="s">
        <v>2706</v>
      </c>
      <c r="Q1359" s="162">
        <v>0</v>
      </c>
      <c r="R1359" s="162" t="s">
        <v>2706</v>
      </c>
      <c r="S1359" s="162">
        <v>0</v>
      </c>
      <c r="T1359" s="162" t="s">
        <v>2706</v>
      </c>
      <c r="U1359" s="162">
        <v>0</v>
      </c>
      <c r="V1359" s="162" t="s">
        <v>2706</v>
      </c>
      <c r="W1359" s="162">
        <v>0</v>
      </c>
      <c r="X1359" s="162" t="s">
        <v>2706</v>
      </c>
      <c r="Y1359" s="162">
        <v>0</v>
      </c>
      <c r="Z1359" s="162" t="s">
        <v>2706</v>
      </c>
      <c r="AA1359" s="162">
        <v>0</v>
      </c>
      <c r="AB1359" s="162" t="s">
        <v>2706</v>
      </c>
      <c r="AC1359" s="162">
        <v>0</v>
      </c>
      <c r="AD1359" s="162" t="s">
        <v>2706</v>
      </c>
      <c r="AE1359" s="162">
        <v>0</v>
      </c>
      <c r="AF1359" s="162" t="s">
        <v>2706</v>
      </c>
      <c r="AG1359" s="162">
        <v>0</v>
      </c>
      <c r="AH1359" s="162" t="s">
        <v>2706</v>
      </c>
      <c r="AI1359" s="162">
        <v>0</v>
      </c>
      <c r="AJ1359" s="162" t="s">
        <v>2706</v>
      </c>
      <c r="AK1359" s="162">
        <v>0</v>
      </c>
      <c r="AL1359" s="162" t="s">
        <v>2706</v>
      </c>
      <c r="AM1359" s="162">
        <v>0</v>
      </c>
      <c r="AN1359" s="162"/>
    </row>
    <row r="1360" spans="1:40" s="100" customFormat="1" ht="46.8" x14ac:dyDescent="0.3">
      <c r="A1360" s="161"/>
      <c r="B1360" s="167"/>
      <c r="C1360" s="98" t="s">
        <v>2708</v>
      </c>
      <c r="D1360" s="163"/>
      <c r="E1360" s="26" t="s">
        <v>48</v>
      </c>
      <c r="F1360" s="30" t="s">
        <v>49</v>
      </c>
      <c r="G1360" s="163"/>
      <c r="H1360" s="163"/>
      <c r="I1360" s="163"/>
      <c r="J1360" s="165"/>
      <c r="K1360" s="165"/>
      <c r="L1360" s="165"/>
      <c r="M1360" s="165"/>
      <c r="N1360" s="165"/>
      <c r="O1360" s="163"/>
      <c r="P1360" s="163"/>
      <c r="Q1360" s="163"/>
      <c r="R1360" s="163"/>
      <c r="S1360" s="163"/>
      <c r="T1360" s="163"/>
      <c r="U1360" s="163"/>
      <c r="V1360" s="163"/>
      <c r="W1360" s="163"/>
      <c r="X1360" s="163"/>
      <c r="Y1360" s="163"/>
      <c r="Z1360" s="163"/>
      <c r="AA1360" s="163"/>
      <c r="AB1360" s="163"/>
      <c r="AC1360" s="163"/>
      <c r="AD1360" s="163"/>
      <c r="AE1360" s="163"/>
      <c r="AF1360" s="163"/>
      <c r="AG1360" s="163"/>
      <c r="AH1360" s="163"/>
      <c r="AI1360" s="163"/>
      <c r="AJ1360" s="163"/>
      <c r="AK1360" s="163"/>
      <c r="AL1360" s="163"/>
      <c r="AM1360" s="163"/>
      <c r="AN1360" s="163"/>
    </row>
    <row r="1361" spans="1:40" s="100" customFormat="1" ht="46.8" x14ac:dyDescent="0.3">
      <c r="A1361" s="160">
        <v>900</v>
      </c>
      <c r="B1361" s="166" t="s">
        <v>1763</v>
      </c>
      <c r="C1361" s="98" t="s">
        <v>2708</v>
      </c>
      <c r="D1361" s="162" t="s">
        <v>2712</v>
      </c>
      <c r="E1361" s="26" t="s">
        <v>144</v>
      </c>
      <c r="F1361" s="30" t="s">
        <v>49</v>
      </c>
      <c r="G1361" s="162" t="s">
        <v>2704</v>
      </c>
      <c r="H1361" s="162">
        <v>48</v>
      </c>
      <c r="I1361" s="162" t="str">
        <f t="shared" si="140"/>
        <v>с ЛН</v>
      </c>
      <c r="J1361" s="164">
        <v>8</v>
      </c>
      <c r="K1361" s="164" t="s">
        <v>528</v>
      </c>
      <c r="L1361" s="164" t="s">
        <v>528</v>
      </c>
      <c r="M1361" s="164" t="s">
        <v>2705</v>
      </c>
      <c r="N1361" s="164" t="s">
        <v>2705</v>
      </c>
      <c r="O1361" s="162">
        <v>1376</v>
      </c>
      <c r="P1361" s="162" t="s">
        <v>2706</v>
      </c>
      <c r="Q1361" s="162">
        <v>1803</v>
      </c>
      <c r="R1361" s="162" t="s">
        <v>2706</v>
      </c>
      <c r="S1361" s="162">
        <v>1301</v>
      </c>
      <c r="T1361" s="162" t="s">
        <v>2706</v>
      </c>
      <c r="U1361" s="162">
        <v>1479</v>
      </c>
      <c r="V1361" s="162" t="s">
        <v>2706</v>
      </c>
      <c r="W1361" s="162">
        <v>1223</v>
      </c>
      <c r="X1361" s="162" t="s">
        <v>2706</v>
      </c>
      <c r="Y1361" s="162">
        <v>1389</v>
      </c>
      <c r="Z1361" s="162" t="s">
        <v>2706</v>
      </c>
      <c r="AA1361" s="162">
        <v>1283</v>
      </c>
      <c r="AB1361" s="162" t="s">
        <v>2706</v>
      </c>
      <c r="AC1361" s="162">
        <v>1124</v>
      </c>
      <c r="AD1361" s="162" t="s">
        <v>2706</v>
      </c>
      <c r="AE1361" s="162">
        <v>1900</v>
      </c>
      <c r="AF1361" s="162" t="s">
        <v>2706</v>
      </c>
      <c r="AG1361" s="162">
        <v>1297</v>
      </c>
      <c r="AH1361" s="162" t="s">
        <v>2706</v>
      </c>
      <c r="AI1361" s="162">
        <v>1154</v>
      </c>
      <c r="AJ1361" s="162" t="s">
        <v>2706</v>
      </c>
      <c r="AK1361" s="162">
        <v>2234</v>
      </c>
      <c r="AL1361" s="162" t="s">
        <v>2706</v>
      </c>
      <c r="AM1361" s="162">
        <v>16439</v>
      </c>
      <c r="AN1361" s="162"/>
    </row>
    <row r="1362" spans="1:40" s="100" customFormat="1" ht="46.8" x14ac:dyDescent="0.3">
      <c r="A1362" s="161"/>
      <c r="B1362" s="167"/>
      <c r="C1362" s="98" t="s">
        <v>2708</v>
      </c>
      <c r="D1362" s="163"/>
      <c r="E1362" s="26" t="s">
        <v>48</v>
      </c>
      <c r="F1362" s="30" t="s">
        <v>49</v>
      </c>
      <c r="G1362" s="163"/>
      <c r="H1362" s="163"/>
      <c r="I1362" s="163"/>
      <c r="J1362" s="165"/>
      <c r="K1362" s="165"/>
      <c r="L1362" s="165"/>
      <c r="M1362" s="165"/>
      <c r="N1362" s="165"/>
      <c r="O1362" s="163"/>
      <c r="P1362" s="163"/>
      <c r="Q1362" s="163"/>
      <c r="R1362" s="163"/>
      <c r="S1362" s="163"/>
      <c r="T1362" s="163"/>
      <c r="U1362" s="163"/>
      <c r="V1362" s="163"/>
      <c r="W1362" s="163"/>
      <c r="X1362" s="163"/>
      <c r="Y1362" s="163"/>
      <c r="Z1362" s="163"/>
      <c r="AA1362" s="163"/>
      <c r="AB1362" s="163"/>
      <c r="AC1362" s="163"/>
      <c r="AD1362" s="163"/>
      <c r="AE1362" s="163"/>
      <c r="AF1362" s="163"/>
      <c r="AG1362" s="163"/>
      <c r="AH1362" s="163"/>
      <c r="AI1362" s="163"/>
      <c r="AJ1362" s="163"/>
      <c r="AK1362" s="163"/>
      <c r="AL1362" s="163"/>
      <c r="AM1362" s="163"/>
      <c r="AN1362" s="163"/>
    </row>
    <row r="1363" spans="1:40" s="100" customFormat="1" ht="46.8" x14ac:dyDescent="0.3">
      <c r="A1363" s="160">
        <v>901</v>
      </c>
      <c r="B1363" s="166" t="s">
        <v>1765</v>
      </c>
      <c r="C1363" s="98" t="s">
        <v>2708</v>
      </c>
      <c r="D1363" s="162" t="s">
        <v>2712</v>
      </c>
      <c r="E1363" s="26" t="s">
        <v>144</v>
      </c>
      <c r="F1363" s="30" t="s">
        <v>49</v>
      </c>
      <c r="G1363" s="162" t="s">
        <v>2704</v>
      </c>
      <c r="H1363" s="162">
        <v>40</v>
      </c>
      <c r="I1363" s="162" t="str">
        <f t="shared" si="140"/>
        <v>с ЛН</v>
      </c>
      <c r="J1363" s="164">
        <v>6</v>
      </c>
      <c r="K1363" s="164" t="s">
        <v>528</v>
      </c>
      <c r="L1363" s="164" t="s">
        <v>528</v>
      </c>
      <c r="M1363" s="164" t="s">
        <v>2705</v>
      </c>
      <c r="N1363" s="164" t="s">
        <v>2705</v>
      </c>
      <c r="O1363" s="162">
        <v>914</v>
      </c>
      <c r="P1363" s="162" t="s">
        <v>2706</v>
      </c>
      <c r="Q1363" s="162">
        <v>1029</v>
      </c>
      <c r="R1363" s="162" t="s">
        <v>2706</v>
      </c>
      <c r="S1363" s="162">
        <v>846</v>
      </c>
      <c r="T1363" s="162" t="s">
        <v>2706</v>
      </c>
      <c r="U1363" s="162">
        <v>873</v>
      </c>
      <c r="V1363" s="162" t="s">
        <v>2706</v>
      </c>
      <c r="W1363" s="162">
        <v>994</v>
      </c>
      <c r="X1363" s="162" t="s">
        <v>2706</v>
      </c>
      <c r="Y1363" s="162">
        <v>843</v>
      </c>
      <c r="Z1363" s="162" t="s">
        <v>2706</v>
      </c>
      <c r="AA1363" s="162">
        <v>876</v>
      </c>
      <c r="AB1363" s="162" t="s">
        <v>2706</v>
      </c>
      <c r="AC1363" s="162">
        <v>664</v>
      </c>
      <c r="AD1363" s="162" t="s">
        <v>2706</v>
      </c>
      <c r="AE1363" s="162">
        <v>892</v>
      </c>
      <c r="AF1363" s="162" t="s">
        <v>2706</v>
      </c>
      <c r="AG1363" s="162">
        <v>1136</v>
      </c>
      <c r="AH1363" s="162" t="s">
        <v>2706</v>
      </c>
      <c r="AI1363" s="162">
        <v>1473</v>
      </c>
      <c r="AJ1363" s="162" t="s">
        <v>2706</v>
      </c>
      <c r="AK1363" s="162">
        <v>1297</v>
      </c>
      <c r="AL1363" s="162" t="s">
        <v>2706</v>
      </c>
      <c r="AM1363" s="162">
        <v>11173</v>
      </c>
      <c r="AN1363" s="162"/>
    </row>
    <row r="1364" spans="1:40" s="100" customFormat="1" ht="46.8" x14ac:dyDescent="0.3">
      <c r="A1364" s="161"/>
      <c r="B1364" s="167"/>
      <c r="C1364" s="98" t="s">
        <v>2708</v>
      </c>
      <c r="D1364" s="163"/>
      <c r="E1364" s="26" t="s">
        <v>48</v>
      </c>
      <c r="F1364" s="30" t="s">
        <v>49</v>
      </c>
      <c r="G1364" s="163"/>
      <c r="H1364" s="163"/>
      <c r="I1364" s="163"/>
      <c r="J1364" s="165"/>
      <c r="K1364" s="165"/>
      <c r="L1364" s="165"/>
      <c r="M1364" s="165"/>
      <c r="N1364" s="165"/>
      <c r="O1364" s="163"/>
      <c r="P1364" s="163"/>
      <c r="Q1364" s="163"/>
      <c r="R1364" s="163"/>
      <c r="S1364" s="163"/>
      <c r="T1364" s="163"/>
      <c r="U1364" s="163"/>
      <c r="V1364" s="163"/>
      <c r="W1364" s="163"/>
      <c r="X1364" s="163"/>
      <c r="Y1364" s="163"/>
      <c r="Z1364" s="163"/>
      <c r="AA1364" s="163"/>
      <c r="AB1364" s="163"/>
      <c r="AC1364" s="163"/>
      <c r="AD1364" s="163"/>
      <c r="AE1364" s="163"/>
      <c r="AF1364" s="163"/>
      <c r="AG1364" s="163"/>
      <c r="AH1364" s="163"/>
      <c r="AI1364" s="163"/>
      <c r="AJ1364" s="163"/>
      <c r="AK1364" s="163"/>
      <c r="AL1364" s="163"/>
      <c r="AM1364" s="163"/>
      <c r="AN1364" s="163"/>
    </row>
    <row r="1365" spans="1:40" s="100" customFormat="1" ht="46.8" x14ac:dyDescent="0.3">
      <c r="A1365" s="160">
        <v>902</v>
      </c>
      <c r="B1365" s="166" t="s">
        <v>1766</v>
      </c>
      <c r="C1365" s="98" t="s">
        <v>2708</v>
      </c>
      <c r="D1365" s="162" t="s">
        <v>2712</v>
      </c>
      <c r="E1365" s="26" t="s">
        <v>144</v>
      </c>
      <c r="F1365" s="30" t="s">
        <v>49</v>
      </c>
      <c r="G1365" s="162" t="s">
        <v>2704</v>
      </c>
      <c r="H1365" s="162">
        <v>42</v>
      </c>
      <c r="I1365" s="162" t="str">
        <f t="shared" si="140"/>
        <v>с ЛН</v>
      </c>
      <c r="J1365" s="164">
        <v>7</v>
      </c>
      <c r="K1365" s="164" t="s">
        <v>528</v>
      </c>
      <c r="L1365" s="164" t="s">
        <v>528</v>
      </c>
      <c r="M1365" s="164" t="s">
        <v>2705</v>
      </c>
      <c r="N1365" s="164" t="s">
        <v>2705</v>
      </c>
      <c r="O1365" s="162">
        <v>1062</v>
      </c>
      <c r="P1365" s="162" t="s">
        <v>2706</v>
      </c>
      <c r="Q1365" s="162">
        <v>1507</v>
      </c>
      <c r="R1365" s="162" t="s">
        <v>2706</v>
      </c>
      <c r="S1365" s="162">
        <v>1254</v>
      </c>
      <c r="T1365" s="162" t="s">
        <v>2706</v>
      </c>
      <c r="U1365" s="162">
        <v>1214</v>
      </c>
      <c r="V1365" s="162" t="s">
        <v>2706</v>
      </c>
      <c r="W1365" s="162">
        <v>1119</v>
      </c>
      <c r="X1365" s="162" t="s">
        <v>2706</v>
      </c>
      <c r="Y1365" s="162">
        <v>607</v>
      </c>
      <c r="Z1365" s="162" t="s">
        <v>2706</v>
      </c>
      <c r="AA1365" s="162">
        <v>611</v>
      </c>
      <c r="AB1365" s="162" t="s">
        <v>2706</v>
      </c>
      <c r="AC1365" s="162">
        <v>646</v>
      </c>
      <c r="AD1365" s="162" t="s">
        <v>2706</v>
      </c>
      <c r="AE1365" s="162">
        <v>863</v>
      </c>
      <c r="AF1365" s="162" t="s">
        <v>2706</v>
      </c>
      <c r="AG1365" s="162">
        <v>1109</v>
      </c>
      <c r="AH1365" s="162" t="s">
        <v>2706</v>
      </c>
      <c r="AI1365" s="162">
        <v>0</v>
      </c>
      <c r="AJ1365" s="162" t="s">
        <v>2706</v>
      </c>
      <c r="AK1365" s="162">
        <v>1122</v>
      </c>
      <c r="AL1365" s="162" t="s">
        <v>2706</v>
      </c>
      <c r="AM1365" s="162">
        <v>10468</v>
      </c>
      <c r="AN1365" s="162"/>
    </row>
    <row r="1366" spans="1:40" s="100" customFormat="1" ht="46.8" x14ac:dyDescent="0.3">
      <c r="A1366" s="161"/>
      <c r="B1366" s="167"/>
      <c r="C1366" s="98" t="s">
        <v>2708</v>
      </c>
      <c r="D1366" s="163"/>
      <c r="E1366" s="26" t="s">
        <v>48</v>
      </c>
      <c r="F1366" s="30" t="s">
        <v>49</v>
      </c>
      <c r="G1366" s="163"/>
      <c r="H1366" s="163"/>
      <c r="I1366" s="163"/>
      <c r="J1366" s="165"/>
      <c r="K1366" s="165"/>
      <c r="L1366" s="165"/>
      <c r="M1366" s="165"/>
      <c r="N1366" s="165"/>
      <c r="O1366" s="163"/>
      <c r="P1366" s="163"/>
      <c r="Q1366" s="163"/>
      <c r="R1366" s="163"/>
      <c r="S1366" s="163"/>
      <c r="T1366" s="163"/>
      <c r="U1366" s="163"/>
      <c r="V1366" s="163"/>
      <c r="W1366" s="163"/>
      <c r="X1366" s="163"/>
      <c r="Y1366" s="163"/>
      <c r="Z1366" s="163"/>
      <c r="AA1366" s="163"/>
      <c r="AB1366" s="163"/>
      <c r="AC1366" s="163"/>
      <c r="AD1366" s="163"/>
      <c r="AE1366" s="163"/>
      <c r="AF1366" s="163"/>
      <c r="AG1366" s="163"/>
      <c r="AH1366" s="163"/>
      <c r="AI1366" s="163"/>
      <c r="AJ1366" s="163"/>
      <c r="AK1366" s="163"/>
      <c r="AL1366" s="163"/>
      <c r="AM1366" s="163"/>
      <c r="AN1366" s="163"/>
    </row>
    <row r="1367" spans="1:40" s="100" customFormat="1" ht="46.8" x14ac:dyDescent="0.3">
      <c r="A1367" s="160">
        <v>903</v>
      </c>
      <c r="B1367" s="166" t="s">
        <v>1767</v>
      </c>
      <c r="C1367" s="98" t="s">
        <v>2708</v>
      </c>
      <c r="D1367" s="162" t="s">
        <v>2712</v>
      </c>
      <c r="E1367" s="26" t="s">
        <v>144</v>
      </c>
      <c r="F1367" s="30" t="s">
        <v>49</v>
      </c>
      <c r="G1367" s="162" t="s">
        <v>2704</v>
      </c>
      <c r="H1367" s="162">
        <v>54</v>
      </c>
      <c r="I1367" s="162" t="str">
        <f t="shared" si="140"/>
        <v>с ЛН</v>
      </c>
      <c r="J1367" s="164">
        <v>9</v>
      </c>
      <c r="K1367" s="164" t="s">
        <v>528</v>
      </c>
      <c r="L1367" s="164" t="s">
        <v>528</v>
      </c>
      <c r="M1367" s="164" t="s">
        <v>2705</v>
      </c>
      <c r="N1367" s="164" t="s">
        <v>2705</v>
      </c>
      <c r="O1367" s="162">
        <v>230</v>
      </c>
      <c r="P1367" s="162" t="s">
        <v>2706</v>
      </c>
      <c r="Q1367" s="162">
        <v>288</v>
      </c>
      <c r="R1367" s="162" t="s">
        <v>2706</v>
      </c>
      <c r="S1367" s="162">
        <v>390</v>
      </c>
      <c r="T1367" s="162" t="s">
        <v>2706</v>
      </c>
      <c r="U1367" s="162">
        <v>298</v>
      </c>
      <c r="V1367" s="162" t="s">
        <v>2706</v>
      </c>
      <c r="W1367" s="162">
        <v>345</v>
      </c>
      <c r="X1367" s="162" t="s">
        <v>2706</v>
      </c>
      <c r="Y1367" s="162">
        <v>308</v>
      </c>
      <c r="Z1367" s="162" t="s">
        <v>2706</v>
      </c>
      <c r="AA1367" s="162">
        <v>293</v>
      </c>
      <c r="AB1367" s="162" t="s">
        <v>2706</v>
      </c>
      <c r="AC1367" s="162">
        <v>414</v>
      </c>
      <c r="AD1367" s="162" t="s">
        <v>2706</v>
      </c>
      <c r="AE1367" s="162">
        <v>390</v>
      </c>
      <c r="AF1367" s="162" t="s">
        <v>2706</v>
      </c>
      <c r="AG1367" s="162">
        <v>391</v>
      </c>
      <c r="AH1367" s="162" t="s">
        <v>2706</v>
      </c>
      <c r="AI1367" s="162">
        <v>23790</v>
      </c>
      <c r="AJ1367" s="162" t="s">
        <v>2706</v>
      </c>
      <c r="AK1367" s="162">
        <v>5982</v>
      </c>
      <c r="AL1367" s="162" t="s">
        <v>2706</v>
      </c>
      <c r="AM1367" s="162">
        <v>32705</v>
      </c>
      <c r="AN1367" s="162"/>
    </row>
    <row r="1368" spans="1:40" s="100" customFormat="1" ht="46.8" x14ac:dyDescent="0.3">
      <c r="A1368" s="161"/>
      <c r="B1368" s="167"/>
      <c r="C1368" s="98" t="s">
        <v>2708</v>
      </c>
      <c r="D1368" s="163"/>
      <c r="E1368" s="26" t="s">
        <v>48</v>
      </c>
      <c r="F1368" s="30" t="s">
        <v>49</v>
      </c>
      <c r="G1368" s="163"/>
      <c r="H1368" s="163"/>
      <c r="I1368" s="163"/>
      <c r="J1368" s="165"/>
      <c r="K1368" s="165"/>
      <c r="L1368" s="165"/>
      <c r="M1368" s="165"/>
      <c r="N1368" s="165"/>
      <c r="O1368" s="163"/>
      <c r="P1368" s="163"/>
      <c r="Q1368" s="163"/>
      <c r="R1368" s="163"/>
      <c r="S1368" s="163"/>
      <c r="T1368" s="163"/>
      <c r="U1368" s="163"/>
      <c r="V1368" s="163"/>
      <c r="W1368" s="163"/>
      <c r="X1368" s="163"/>
      <c r="Y1368" s="163"/>
      <c r="Z1368" s="163"/>
      <c r="AA1368" s="163"/>
      <c r="AB1368" s="163"/>
      <c r="AC1368" s="163"/>
      <c r="AD1368" s="163"/>
      <c r="AE1368" s="163"/>
      <c r="AF1368" s="163"/>
      <c r="AG1368" s="163"/>
      <c r="AH1368" s="163"/>
      <c r="AI1368" s="163"/>
      <c r="AJ1368" s="163"/>
      <c r="AK1368" s="163"/>
      <c r="AL1368" s="163"/>
      <c r="AM1368" s="163"/>
      <c r="AN1368" s="163"/>
    </row>
    <row r="1369" spans="1:40" s="100" customFormat="1" ht="46.8" x14ac:dyDescent="0.3">
      <c r="A1369" s="160">
        <v>904</v>
      </c>
      <c r="B1369" s="166" t="s">
        <v>1768</v>
      </c>
      <c r="C1369" s="98" t="s">
        <v>2708</v>
      </c>
      <c r="D1369" s="162" t="s">
        <v>2712</v>
      </c>
      <c r="E1369" s="26" t="s">
        <v>144</v>
      </c>
      <c r="F1369" s="30" t="s">
        <v>49</v>
      </c>
      <c r="G1369" s="162" t="s">
        <v>2704</v>
      </c>
      <c r="H1369" s="162">
        <v>30</v>
      </c>
      <c r="I1369" s="162" t="str">
        <f t="shared" si="140"/>
        <v>с ЛН</v>
      </c>
      <c r="J1369" s="164">
        <v>5</v>
      </c>
      <c r="K1369" s="164" t="s">
        <v>528</v>
      </c>
      <c r="L1369" s="164" t="s">
        <v>528</v>
      </c>
      <c r="M1369" s="164" t="s">
        <v>2705</v>
      </c>
      <c r="N1369" s="164" t="s">
        <v>2705</v>
      </c>
      <c r="O1369" s="162">
        <v>0</v>
      </c>
      <c r="P1369" s="162" t="s">
        <v>2706</v>
      </c>
      <c r="Q1369" s="162">
        <v>0</v>
      </c>
      <c r="R1369" s="162" t="s">
        <v>2706</v>
      </c>
      <c r="S1369" s="162">
        <v>0</v>
      </c>
      <c r="T1369" s="162" t="s">
        <v>2706</v>
      </c>
      <c r="U1369" s="162">
        <v>0</v>
      </c>
      <c r="V1369" s="162" t="s">
        <v>2706</v>
      </c>
      <c r="W1369" s="162">
        <v>0</v>
      </c>
      <c r="X1369" s="162" t="s">
        <v>2706</v>
      </c>
      <c r="Y1369" s="162">
        <v>0</v>
      </c>
      <c r="Z1369" s="162" t="s">
        <v>2706</v>
      </c>
      <c r="AA1369" s="162">
        <v>0</v>
      </c>
      <c r="AB1369" s="162" t="s">
        <v>2706</v>
      </c>
      <c r="AC1369" s="162">
        <v>0</v>
      </c>
      <c r="AD1369" s="162" t="s">
        <v>2706</v>
      </c>
      <c r="AE1369" s="162">
        <v>0</v>
      </c>
      <c r="AF1369" s="162" t="s">
        <v>2706</v>
      </c>
      <c r="AG1369" s="162">
        <v>0</v>
      </c>
      <c r="AH1369" s="162" t="s">
        <v>2706</v>
      </c>
      <c r="AI1369" s="162">
        <v>0</v>
      </c>
      <c r="AJ1369" s="162" t="s">
        <v>2706</v>
      </c>
      <c r="AK1369" s="162">
        <v>0</v>
      </c>
      <c r="AL1369" s="162" t="s">
        <v>2706</v>
      </c>
      <c r="AM1369" s="162">
        <v>0</v>
      </c>
      <c r="AN1369" s="162"/>
    </row>
    <row r="1370" spans="1:40" s="100" customFormat="1" ht="46.8" x14ac:dyDescent="0.3">
      <c r="A1370" s="161"/>
      <c r="B1370" s="167"/>
      <c r="C1370" s="98" t="s">
        <v>2708</v>
      </c>
      <c r="D1370" s="163"/>
      <c r="E1370" s="26" t="s">
        <v>48</v>
      </c>
      <c r="F1370" s="30" t="s">
        <v>49</v>
      </c>
      <c r="G1370" s="163"/>
      <c r="H1370" s="163"/>
      <c r="I1370" s="163"/>
      <c r="J1370" s="165"/>
      <c r="K1370" s="165"/>
      <c r="L1370" s="165"/>
      <c r="M1370" s="165"/>
      <c r="N1370" s="165"/>
      <c r="O1370" s="163"/>
      <c r="P1370" s="163"/>
      <c r="Q1370" s="163"/>
      <c r="R1370" s="163"/>
      <c r="S1370" s="163"/>
      <c r="T1370" s="163"/>
      <c r="U1370" s="163"/>
      <c r="V1370" s="163"/>
      <c r="W1370" s="163"/>
      <c r="X1370" s="163"/>
      <c r="Y1370" s="163"/>
      <c r="Z1370" s="163"/>
      <c r="AA1370" s="163"/>
      <c r="AB1370" s="163"/>
      <c r="AC1370" s="163"/>
      <c r="AD1370" s="163"/>
      <c r="AE1370" s="163"/>
      <c r="AF1370" s="163"/>
      <c r="AG1370" s="163"/>
      <c r="AH1370" s="163"/>
      <c r="AI1370" s="163"/>
      <c r="AJ1370" s="163"/>
      <c r="AK1370" s="163"/>
      <c r="AL1370" s="163"/>
      <c r="AM1370" s="163"/>
      <c r="AN1370" s="163"/>
    </row>
    <row r="1371" spans="1:40" s="100" customFormat="1" ht="46.8" x14ac:dyDescent="0.3">
      <c r="A1371" s="160">
        <v>905</v>
      </c>
      <c r="B1371" s="166" t="s">
        <v>1770</v>
      </c>
      <c r="C1371" s="98" t="s">
        <v>2708</v>
      </c>
      <c r="D1371" s="162" t="s">
        <v>2712</v>
      </c>
      <c r="E1371" s="26" t="s">
        <v>144</v>
      </c>
      <c r="F1371" s="30" t="s">
        <v>49</v>
      </c>
      <c r="G1371" s="162" t="s">
        <v>2704</v>
      </c>
      <c r="H1371" s="162">
        <v>48</v>
      </c>
      <c r="I1371" s="162" t="str">
        <f t="shared" si="140"/>
        <v>с ЛН</v>
      </c>
      <c r="J1371" s="164">
        <v>8</v>
      </c>
      <c r="K1371" s="164" t="s">
        <v>528</v>
      </c>
      <c r="L1371" s="164" t="s">
        <v>528</v>
      </c>
      <c r="M1371" s="164" t="s">
        <v>2705</v>
      </c>
      <c r="N1371" s="164" t="s">
        <v>2705</v>
      </c>
      <c r="O1371" s="162">
        <v>1790</v>
      </c>
      <c r="P1371" s="162" t="s">
        <v>2706</v>
      </c>
      <c r="Q1371" s="162">
        <v>1917</v>
      </c>
      <c r="R1371" s="162" t="s">
        <v>2706</v>
      </c>
      <c r="S1371" s="162">
        <v>1427</v>
      </c>
      <c r="T1371" s="162" t="s">
        <v>2706</v>
      </c>
      <c r="U1371" s="162">
        <v>1757</v>
      </c>
      <c r="V1371" s="162" t="s">
        <v>2706</v>
      </c>
      <c r="W1371" s="162">
        <v>1687</v>
      </c>
      <c r="X1371" s="162" t="s">
        <v>2706</v>
      </c>
      <c r="Y1371" s="162">
        <v>1251</v>
      </c>
      <c r="Z1371" s="162" t="s">
        <v>2706</v>
      </c>
      <c r="AA1371" s="162">
        <v>1048</v>
      </c>
      <c r="AB1371" s="162" t="s">
        <v>2706</v>
      </c>
      <c r="AC1371" s="162">
        <v>1507</v>
      </c>
      <c r="AD1371" s="162" t="s">
        <v>2706</v>
      </c>
      <c r="AE1371" s="162">
        <v>1397</v>
      </c>
      <c r="AF1371" s="162" t="s">
        <v>2706</v>
      </c>
      <c r="AG1371" s="162">
        <v>1390</v>
      </c>
      <c r="AH1371" s="162" t="s">
        <v>2706</v>
      </c>
      <c r="AI1371" s="162">
        <v>452</v>
      </c>
      <c r="AJ1371" s="162" t="s">
        <v>2706</v>
      </c>
      <c r="AK1371" s="162">
        <v>2275</v>
      </c>
      <c r="AL1371" s="162" t="s">
        <v>2706</v>
      </c>
      <c r="AM1371" s="162">
        <v>16391</v>
      </c>
      <c r="AN1371" s="162"/>
    </row>
    <row r="1372" spans="1:40" s="100" customFormat="1" ht="46.8" x14ac:dyDescent="0.3">
      <c r="A1372" s="161"/>
      <c r="B1372" s="167"/>
      <c r="C1372" s="98" t="s">
        <v>2708</v>
      </c>
      <c r="D1372" s="163"/>
      <c r="E1372" s="26" t="s">
        <v>48</v>
      </c>
      <c r="F1372" s="30" t="s">
        <v>49</v>
      </c>
      <c r="G1372" s="163"/>
      <c r="H1372" s="163"/>
      <c r="I1372" s="163"/>
      <c r="J1372" s="165"/>
      <c r="K1372" s="165"/>
      <c r="L1372" s="165"/>
      <c r="M1372" s="165"/>
      <c r="N1372" s="165"/>
      <c r="O1372" s="163"/>
      <c r="P1372" s="163"/>
      <c r="Q1372" s="163"/>
      <c r="R1372" s="163"/>
      <c r="S1372" s="163"/>
      <c r="T1372" s="163"/>
      <c r="U1372" s="163"/>
      <c r="V1372" s="163"/>
      <c r="W1372" s="163"/>
      <c r="X1372" s="163"/>
      <c r="Y1372" s="163"/>
      <c r="Z1372" s="163"/>
      <c r="AA1372" s="163"/>
      <c r="AB1372" s="163"/>
      <c r="AC1372" s="163"/>
      <c r="AD1372" s="163"/>
      <c r="AE1372" s="163"/>
      <c r="AF1372" s="163"/>
      <c r="AG1372" s="163"/>
      <c r="AH1372" s="163"/>
      <c r="AI1372" s="163"/>
      <c r="AJ1372" s="163"/>
      <c r="AK1372" s="163"/>
      <c r="AL1372" s="163"/>
      <c r="AM1372" s="163"/>
      <c r="AN1372" s="163"/>
    </row>
    <row r="1373" spans="1:40" s="100" customFormat="1" ht="46.8" x14ac:dyDescent="0.3">
      <c r="A1373" s="160">
        <v>906</v>
      </c>
      <c r="B1373" s="166" t="s">
        <v>1771</v>
      </c>
      <c r="C1373" s="98" t="s">
        <v>2708</v>
      </c>
      <c r="D1373" s="162" t="s">
        <v>2712</v>
      </c>
      <c r="E1373" s="26" t="s">
        <v>144</v>
      </c>
      <c r="F1373" s="30" t="s">
        <v>49</v>
      </c>
      <c r="G1373" s="162" t="s">
        <v>2704</v>
      </c>
      <c r="H1373" s="162">
        <v>19</v>
      </c>
      <c r="I1373" s="162" t="str">
        <f t="shared" si="140"/>
        <v>с ЛН</v>
      </c>
      <c r="J1373" s="164">
        <v>3</v>
      </c>
      <c r="K1373" s="164" t="s">
        <v>528</v>
      </c>
      <c r="L1373" s="164" t="s">
        <v>528</v>
      </c>
      <c r="M1373" s="164" t="s">
        <v>2705</v>
      </c>
      <c r="N1373" s="164" t="s">
        <v>2705</v>
      </c>
      <c r="O1373" s="162">
        <v>334</v>
      </c>
      <c r="P1373" s="162" t="s">
        <v>2706</v>
      </c>
      <c r="Q1373" s="162">
        <v>338</v>
      </c>
      <c r="R1373" s="162" t="s">
        <v>2706</v>
      </c>
      <c r="S1373" s="162">
        <v>307</v>
      </c>
      <c r="T1373" s="162" t="s">
        <v>2706</v>
      </c>
      <c r="U1373" s="162">
        <v>343</v>
      </c>
      <c r="V1373" s="162" t="s">
        <v>2706</v>
      </c>
      <c r="W1373" s="162">
        <v>368</v>
      </c>
      <c r="X1373" s="162" t="s">
        <v>2706</v>
      </c>
      <c r="Y1373" s="162">
        <v>261</v>
      </c>
      <c r="Z1373" s="162" t="s">
        <v>2706</v>
      </c>
      <c r="AA1373" s="162">
        <v>273</v>
      </c>
      <c r="AB1373" s="162" t="s">
        <v>2706</v>
      </c>
      <c r="AC1373" s="162">
        <v>339</v>
      </c>
      <c r="AD1373" s="162" t="s">
        <v>2706</v>
      </c>
      <c r="AE1373" s="162">
        <v>242</v>
      </c>
      <c r="AF1373" s="162" t="s">
        <v>2706</v>
      </c>
      <c r="AG1373" s="162">
        <v>318</v>
      </c>
      <c r="AH1373" s="162" t="s">
        <v>2706</v>
      </c>
      <c r="AI1373" s="162">
        <v>252</v>
      </c>
      <c r="AJ1373" s="162" t="s">
        <v>2706</v>
      </c>
      <c r="AK1373" s="162">
        <v>515</v>
      </c>
      <c r="AL1373" s="162" t="s">
        <v>2706</v>
      </c>
      <c r="AM1373" s="162">
        <v>3551</v>
      </c>
      <c r="AN1373" s="162"/>
    </row>
    <row r="1374" spans="1:40" s="100" customFormat="1" ht="46.8" x14ac:dyDescent="0.3">
      <c r="A1374" s="161"/>
      <c r="B1374" s="167"/>
      <c r="C1374" s="98" t="s">
        <v>2708</v>
      </c>
      <c r="D1374" s="163"/>
      <c r="E1374" s="26" t="s">
        <v>48</v>
      </c>
      <c r="F1374" s="30" t="s">
        <v>49</v>
      </c>
      <c r="G1374" s="163"/>
      <c r="H1374" s="163"/>
      <c r="I1374" s="163"/>
      <c r="J1374" s="165"/>
      <c r="K1374" s="165"/>
      <c r="L1374" s="165"/>
      <c r="M1374" s="165"/>
      <c r="N1374" s="165"/>
      <c r="O1374" s="163"/>
      <c r="P1374" s="163"/>
      <c r="Q1374" s="163"/>
      <c r="R1374" s="163"/>
      <c r="S1374" s="163"/>
      <c r="T1374" s="163"/>
      <c r="U1374" s="163"/>
      <c r="V1374" s="163"/>
      <c r="W1374" s="163"/>
      <c r="X1374" s="163"/>
      <c r="Y1374" s="163"/>
      <c r="Z1374" s="163"/>
      <c r="AA1374" s="163"/>
      <c r="AB1374" s="163"/>
      <c r="AC1374" s="163"/>
      <c r="AD1374" s="163"/>
      <c r="AE1374" s="163"/>
      <c r="AF1374" s="163"/>
      <c r="AG1374" s="163"/>
      <c r="AH1374" s="163"/>
      <c r="AI1374" s="163"/>
      <c r="AJ1374" s="163"/>
      <c r="AK1374" s="163"/>
      <c r="AL1374" s="163"/>
      <c r="AM1374" s="163"/>
      <c r="AN1374" s="163"/>
    </row>
    <row r="1375" spans="1:40" s="100" customFormat="1" ht="46.8" x14ac:dyDescent="0.3">
      <c r="A1375" s="160">
        <v>907</v>
      </c>
      <c r="B1375" s="166" t="s">
        <v>1773</v>
      </c>
      <c r="C1375" s="98" t="s">
        <v>2708</v>
      </c>
      <c r="D1375" s="162" t="s">
        <v>2712</v>
      </c>
      <c r="E1375" s="26" t="s">
        <v>144</v>
      </c>
      <c r="F1375" s="30" t="s">
        <v>49</v>
      </c>
      <c r="G1375" s="162" t="s">
        <v>2704</v>
      </c>
      <c r="H1375" s="162">
        <v>36</v>
      </c>
      <c r="I1375" s="162" t="str">
        <f t="shared" si="140"/>
        <v>с ЛН</v>
      </c>
      <c r="J1375" s="164">
        <v>6</v>
      </c>
      <c r="K1375" s="164" t="s">
        <v>528</v>
      </c>
      <c r="L1375" s="164" t="s">
        <v>528</v>
      </c>
      <c r="M1375" s="164" t="s">
        <v>2705</v>
      </c>
      <c r="N1375" s="164" t="s">
        <v>2705</v>
      </c>
      <c r="O1375" s="162">
        <v>1229</v>
      </c>
      <c r="P1375" s="162" t="s">
        <v>2706</v>
      </c>
      <c r="Q1375" s="162">
        <v>1417</v>
      </c>
      <c r="R1375" s="162" t="s">
        <v>2706</v>
      </c>
      <c r="S1375" s="162">
        <v>1164</v>
      </c>
      <c r="T1375" s="162" t="s">
        <v>2706</v>
      </c>
      <c r="U1375" s="162">
        <v>1413</v>
      </c>
      <c r="V1375" s="162" t="s">
        <v>2706</v>
      </c>
      <c r="W1375" s="162">
        <v>1565</v>
      </c>
      <c r="X1375" s="162" t="s">
        <v>2706</v>
      </c>
      <c r="Y1375" s="162">
        <v>1236</v>
      </c>
      <c r="Z1375" s="162" t="s">
        <v>2706</v>
      </c>
      <c r="AA1375" s="162">
        <v>1234</v>
      </c>
      <c r="AB1375" s="162" t="s">
        <v>2706</v>
      </c>
      <c r="AC1375" s="162">
        <v>1516</v>
      </c>
      <c r="AD1375" s="162" t="s">
        <v>2706</v>
      </c>
      <c r="AE1375" s="162">
        <v>1507</v>
      </c>
      <c r="AF1375" s="162" t="s">
        <v>2706</v>
      </c>
      <c r="AG1375" s="162">
        <v>1189</v>
      </c>
      <c r="AH1375" s="162" t="s">
        <v>2706</v>
      </c>
      <c r="AI1375" s="162">
        <v>1051</v>
      </c>
      <c r="AJ1375" s="162" t="s">
        <v>2706</v>
      </c>
      <c r="AK1375" s="162">
        <v>988</v>
      </c>
      <c r="AL1375" s="162" t="s">
        <v>2706</v>
      </c>
      <c r="AM1375" s="162">
        <v>13993</v>
      </c>
      <c r="AN1375" s="162"/>
    </row>
    <row r="1376" spans="1:40" s="100" customFormat="1" ht="46.8" x14ac:dyDescent="0.3">
      <c r="A1376" s="161"/>
      <c r="B1376" s="167"/>
      <c r="C1376" s="98" t="s">
        <v>2708</v>
      </c>
      <c r="D1376" s="163"/>
      <c r="E1376" s="26" t="s">
        <v>48</v>
      </c>
      <c r="F1376" s="30" t="s">
        <v>49</v>
      </c>
      <c r="G1376" s="163"/>
      <c r="H1376" s="163"/>
      <c r="I1376" s="163"/>
      <c r="J1376" s="165"/>
      <c r="K1376" s="165"/>
      <c r="L1376" s="165"/>
      <c r="M1376" s="165"/>
      <c r="N1376" s="165"/>
      <c r="O1376" s="163"/>
      <c r="P1376" s="163"/>
      <c r="Q1376" s="163"/>
      <c r="R1376" s="163"/>
      <c r="S1376" s="163"/>
      <c r="T1376" s="163"/>
      <c r="U1376" s="163"/>
      <c r="V1376" s="163"/>
      <c r="W1376" s="163"/>
      <c r="X1376" s="163"/>
      <c r="Y1376" s="163"/>
      <c r="Z1376" s="163"/>
      <c r="AA1376" s="163"/>
      <c r="AB1376" s="163"/>
      <c r="AC1376" s="163"/>
      <c r="AD1376" s="163"/>
      <c r="AE1376" s="163"/>
      <c r="AF1376" s="163"/>
      <c r="AG1376" s="163"/>
      <c r="AH1376" s="163"/>
      <c r="AI1376" s="163"/>
      <c r="AJ1376" s="163"/>
      <c r="AK1376" s="163"/>
      <c r="AL1376" s="163"/>
      <c r="AM1376" s="163"/>
      <c r="AN1376" s="163"/>
    </row>
    <row r="1377" spans="1:40" s="100" customFormat="1" ht="46.8" x14ac:dyDescent="0.3">
      <c r="A1377" s="160">
        <v>908</v>
      </c>
      <c r="B1377" s="166" t="s">
        <v>1775</v>
      </c>
      <c r="C1377" s="98" t="s">
        <v>2708</v>
      </c>
      <c r="D1377" s="162" t="s">
        <v>2712</v>
      </c>
      <c r="E1377" s="26" t="s">
        <v>144</v>
      </c>
      <c r="F1377" s="30" t="s">
        <v>49</v>
      </c>
      <c r="G1377" s="162" t="s">
        <v>2704</v>
      </c>
      <c r="H1377" s="162">
        <v>44</v>
      </c>
      <c r="I1377" s="162" t="str">
        <f t="shared" si="140"/>
        <v>с ЛН</v>
      </c>
      <c r="J1377" s="164">
        <v>6</v>
      </c>
      <c r="K1377" s="164" t="s">
        <v>528</v>
      </c>
      <c r="L1377" s="164" t="s">
        <v>528</v>
      </c>
      <c r="M1377" s="164" t="s">
        <v>2705</v>
      </c>
      <c r="N1377" s="164" t="s">
        <v>2705</v>
      </c>
      <c r="O1377" s="162">
        <v>2712</v>
      </c>
      <c r="P1377" s="162" t="s">
        <v>2706</v>
      </c>
      <c r="Q1377" s="162">
        <v>2558</v>
      </c>
      <c r="R1377" s="162" t="s">
        <v>2706</v>
      </c>
      <c r="S1377" s="162">
        <v>2189</v>
      </c>
      <c r="T1377" s="162" t="s">
        <v>2706</v>
      </c>
      <c r="U1377" s="162">
        <v>2606</v>
      </c>
      <c r="V1377" s="162" t="s">
        <v>2706</v>
      </c>
      <c r="W1377" s="162">
        <v>3756</v>
      </c>
      <c r="X1377" s="162" t="s">
        <v>2706</v>
      </c>
      <c r="Y1377" s="162">
        <v>1352</v>
      </c>
      <c r="Z1377" s="162" t="s">
        <v>2706</v>
      </c>
      <c r="AA1377" s="162">
        <v>1275</v>
      </c>
      <c r="AB1377" s="162" t="s">
        <v>2706</v>
      </c>
      <c r="AC1377" s="162">
        <v>2509</v>
      </c>
      <c r="AD1377" s="162" t="s">
        <v>2706</v>
      </c>
      <c r="AE1377" s="162">
        <v>2041</v>
      </c>
      <c r="AF1377" s="162" t="s">
        <v>2706</v>
      </c>
      <c r="AG1377" s="162">
        <v>2050</v>
      </c>
      <c r="AH1377" s="162" t="s">
        <v>2706</v>
      </c>
      <c r="AI1377" s="162">
        <v>1572</v>
      </c>
      <c r="AJ1377" s="162" t="s">
        <v>2706</v>
      </c>
      <c r="AK1377" s="162">
        <v>2554</v>
      </c>
      <c r="AL1377" s="162" t="s">
        <v>2706</v>
      </c>
      <c r="AM1377" s="162">
        <v>24665</v>
      </c>
      <c r="AN1377" s="162"/>
    </row>
    <row r="1378" spans="1:40" s="100" customFormat="1" ht="46.8" x14ac:dyDescent="0.3">
      <c r="A1378" s="161"/>
      <c r="B1378" s="167"/>
      <c r="C1378" s="98" t="s">
        <v>2708</v>
      </c>
      <c r="D1378" s="163"/>
      <c r="E1378" s="26" t="s">
        <v>48</v>
      </c>
      <c r="F1378" s="30" t="s">
        <v>49</v>
      </c>
      <c r="G1378" s="163"/>
      <c r="H1378" s="163"/>
      <c r="I1378" s="163"/>
      <c r="J1378" s="165"/>
      <c r="K1378" s="165"/>
      <c r="L1378" s="165"/>
      <c r="M1378" s="165"/>
      <c r="N1378" s="165"/>
      <c r="O1378" s="163"/>
      <c r="P1378" s="163"/>
      <c r="Q1378" s="163"/>
      <c r="R1378" s="163"/>
      <c r="S1378" s="163"/>
      <c r="T1378" s="163"/>
      <c r="U1378" s="163"/>
      <c r="V1378" s="163"/>
      <c r="W1378" s="163"/>
      <c r="X1378" s="163"/>
      <c r="Y1378" s="163"/>
      <c r="Z1378" s="163"/>
      <c r="AA1378" s="163"/>
      <c r="AB1378" s="163"/>
      <c r="AC1378" s="163"/>
      <c r="AD1378" s="163"/>
      <c r="AE1378" s="163"/>
      <c r="AF1378" s="163"/>
      <c r="AG1378" s="163"/>
      <c r="AH1378" s="163"/>
      <c r="AI1378" s="163"/>
      <c r="AJ1378" s="163"/>
      <c r="AK1378" s="163"/>
      <c r="AL1378" s="163"/>
      <c r="AM1378" s="163"/>
      <c r="AN1378" s="163"/>
    </row>
    <row r="1379" spans="1:40" s="100" customFormat="1" ht="46.8" x14ac:dyDescent="0.3">
      <c r="A1379" s="160">
        <v>909</v>
      </c>
      <c r="B1379" s="166" t="s">
        <v>1776</v>
      </c>
      <c r="C1379" s="98" t="s">
        <v>2708</v>
      </c>
      <c r="D1379" s="162" t="s">
        <v>2712</v>
      </c>
      <c r="E1379" s="26" t="s">
        <v>144</v>
      </c>
      <c r="F1379" s="30" t="s">
        <v>49</v>
      </c>
      <c r="G1379" s="162" t="s">
        <v>2704</v>
      </c>
      <c r="H1379" s="162">
        <v>54</v>
      </c>
      <c r="I1379" s="162" t="str">
        <f t="shared" si="140"/>
        <v>с ЛН</v>
      </c>
      <c r="J1379" s="164">
        <v>8</v>
      </c>
      <c r="K1379" s="164" t="s">
        <v>528</v>
      </c>
      <c r="L1379" s="164" t="s">
        <v>528</v>
      </c>
      <c r="M1379" s="164" t="s">
        <v>2705</v>
      </c>
      <c r="N1379" s="164" t="s">
        <v>2705</v>
      </c>
      <c r="O1379" s="162">
        <v>1601</v>
      </c>
      <c r="P1379" s="162" t="s">
        <v>2706</v>
      </c>
      <c r="Q1379" s="162">
        <v>1501</v>
      </c>
      <c r="R1379" s="162" t="s">
        <v>2706</v>
      </c>
      <c r="S1379" s="162">
        <v>1240</v>
      </c>
      <c r="T1379" s="162" t="s">
        <v>2706</v>
      </c>
      <c r="U1379" s="162">
        <v>1686</v>
      </c>
      <c r="V1379" s="162" t="s">
        <v>2706</v>
      </c>
      <c r="W1379" s="162">
        <v>1626</v>
      </c>
      <c r="X1379" s="162" t="s">
        <v>2706</v>
      </c>
      <c r="Y1379" s="162">
        <v>1261</v>
      </c>
      <c r="Z1379" s="162" t="s">
        <v>2706</v>
      </c>
      <c r="AA1379" s="162">
        <v>1105</v>
      </c>
      <c r="AB1379" s="162" t="s">
        <v>2706</v>
      </c>
      <c r="AC1379" s="162">
        <v>1407</v>
      </c>
      <c r="AD1379" s="162" t="s">
        <v>2706</v>
      </c>
      <c r="AE1379" s="162">
        <v>1198</v>
      </c>
      <c r="AF1379" s="162" t="s">
        <v>2706</v>
      </c>
      <c r="AG1379" s="162">
        <v>1316</v>
      </c>
      <c r="AH1379" s="162" t="s">
        <v>2706</v>
      </c>
      <c r="AI1379" s="162">
        <v>2127</v>
      </c>
      <c r="AJ1379" s="162" t="s">
        <v>2706</v>
      </c>
      <c r="AK1379" s="162">
        <v>1806</v>
      </c>
      <c r="AL1379" s="162" t="s">
        <v>2706</v>
      </c>
      <c r="AM1379" s="162">
        <v>16467</v>
      </c>
      <c r="AN1379" s="162"/>
    </row>
    <row r="1380" spans="1:40" s="100" customFormat="1" ht="46.8" x14ac:dyDescent="0.3">
      <c r="A1380" s="161"/>
      <c r="B1380" s="167"/>
      <c r="C1380" s="98" t="s">
        <v>2708</v>
      </c>
      <c r="D1380" s="163"/>
      <c r="E1380" s="26" t="s">
        <v>48</v>
      </c>
      <c r="F1380" s="30" t="s">
        <v>49</v>
      </c>
      <c r="G1380" s="163"/>
      <c r="H1380" s="163"/>
      <c r="I1380" s="163"/>
      <c r="J1380" s="165"/>
      <c r="K1380" s="165"/>
      <c r="L1380" s="165"/>
      <c r="M1380" s="165"/>
      <c r="N1380" s="165"/>
      <c r="O1380" s="163"/>
      <c r="P1380" s="163"/>
      <c r="Q1380" s="163"/>
      <c r="R1380" s="163"/>
      <c r="S1380" s="163"/>
      <c r="T1380" s="163"/>
      <c r="U1380" s="163"/>
      <c r="V1380" s="163"/>
      <c r="W1380" s="163"/>
      <c r="X1380" s="163"/>
      <c r="Y1380" s="163"/>
      <c r="Z1380" s="163"/>
      <c r="AA1380" s="163"/>
      <c r="AB1380" s="163"/>
      <c r="AC1380" s="163"/>
      <c r="AD1380" s="163"/>
      <c r="AE1380" s="163"/>
      <c r="AF1380" s="163"/>
      <c r="AG1380" s="163"/>
      <c r="AH1380" s="163"/>
      <c r="AI1380" s="163"/>
      <c r="AJ1380" s="163"/>
      <c r="AK1380" s="163"/>
      <c r="AL1380" s="163"/>
      <c r="AM1380" s="163"/>
      <c r="AN1380" s="163"/>
    </row>
    <row r="1381" spans="1:40" s="100" customFormat="1" ht="46.8" x14ac:dyDescent="0.3">
      <c r="A1381" s="160">
        <v>910</v>
      </c>
      <c r="B1381" s="166" t="s">
        <v>1778</v>
      </c>
      <c r="C1381" s="98" t="s">
        <v>2708</v>
      </c>
      <c r="D1381" s="162" t="s">
        <v>2712</v>
      </c>
      <c r="E1381" s="26" t="s">
        <v>144</v>
      </c>
      <c r="F1381" s="30" t="s">
        <v>49</v>
      </c>
      <c r="G1381" s="162" t="s">
        <v>2704</v>
      </c>
      <c r="H1381" s="162">
        <v>18</v>
      </c>
      <c r="I1381" s="162" t="str">
        <f t="shared" si="140"/>
        <v>с ЛН</v>
      </c>
      <c r="J1381" s="164">
        <v>3</v>
      </c>
      <c r="K1381" s="164" t="s">
        <v>528</v>
      </c>
      <c r="L1381" s="164" t="s">
        <v>528</v>
      </c>
      <c r="M1381" s="164" t="s">
        <v>2705</v>
      </c>
      <c r="N1381" s="164" t="s">
        <v>2705</v>
      </c>
      <c r="O1381" s="162">
        <v>1847</v>
      </c>
      <c r="P1381" s="162" t="s">
        <v>2706</v>
      </c>
      <c r="Q1381" s="162">
        <v>2025</v>
      </c>
      <c r="R1381" s="162" t="s">
        <v>2706</v>
      </c>
      <c r="S1381" s="162">
        <v>1638</v>
      </c>
      <c r="T1381" s="162" t="s">
        <v>2706</v>
      </c>
      <c r="U1381" s="162">
        <v>1908</v>
      </c>
      <c r="V1381" s="162" t="s">
        <v>2706</v>
      </c>
      <c r="W1381" s="162">
        <v>2358</v>
      </c>
      <c r="X1381" s="162" t="s">
        <v>2706</v>
      </c>
      <c r="Y1381" s="162">
        <v>1692</v>
      </c>
      <c r="Z1381" s="162" t="s">
        <v>2706</v>
      </c>
      <c r="AA1381" s="162">
        <v>1541</v>
      </c>
      <c r="AB1381" s="162" t="s">
        <v>2706</v>
      </c>
      <c r="AC1381" s="162">
        <v>2038</v>
      </c>
      <c r="AD1381" s="162" t="s">
        <v>2706</v>
      </c>
      <c r="AE1381" s="162">
        <v>1820</v>
      </c>
      <c r="AF1381" s="162" t="s">
        <v>2706</v>
      </c>
      <c r="AG1381" s="162">
        <v>1779</v>
      </c>
      <c r="AH1381" s="162" t="s">
        <v>2706</v>
      </c>
      <c r="AI1381" s="162">
        <v>2016</v>
      </c>
      <c r="AJ1381" s="162" t="s">
        <v>2706</v>
      </c>
      <c r="AK1381" s="162">
        <v>2099</v>
      </c>
      <c r="AL1381" s="162" t="s">
        <v>2706</v>
      </c>
      <c r="AM1381" s="162">
        <v>20723</v>
      </c>
      <c r="AN1381" s="162"/>
    </row>
    <row r="1382" spans="1:40" s="100" customFormat="1" ht="46.8" x14ac:dyDescent="0.3">
      <c r="A1382" s="161"/>
      <c r="B1382" s="167"/>
      <c r="C1382" s="98" t="s">
        <v>2708</v>
      </c>
      <c r="D1382" s="163"/>
      <c r="E1382" s="26" t="s">
        <v>48</v>
      </c>
      <c r="F1382" s="30" t="s">
        <v>49</v>
      </c>
      <c r="G1382" s="163"/>
      <c r="H1382" s="163"/>
      <c r="I1382" s="163"/>
      <c r="J1382" s="165"/>
      <c r="K1382" s="165"/>
      <c r="L1382" s="165"/>
      <c r="M1382" s="165"/>
      <c r="N1382" s="165"/>
      <c r="O1382" s="163"/>
      <c r="P1382" s="163"/>
      <c r="Q1382" s="163"/>
      <c r="R1382" s="163"/>
      <c r="S1382" s="163"/>
      <c r="T1382" s="163"/>
      <c r="U1382" s="163"/>
      <c r="V1382" s="163"/>
      <c r="W1382" s="163"/>
      <c r="X1382" s="163"/>
      <c r="Y1382" s="163"/>
      <c r="Z1382" s="163"/>
      <c r="AA1382" s="163"/>
      <c r="AB1382" s="163"/>
      <c r="AC1382" s="163"/>
      <c r="AD1382" s="163"/>
      <c r="AE1382" s="163"/>
      <c r="AF1382" s="163"/>
      <c r="AG1382" s="163"/>
      <c r="AH1382" s="163"/>
      <c r="AI1382" s="163"/>
      <c r="AJ1382" s="163"/>
      <c r="AK1382" s="163"/>
      <c r="AL1382" s="163"/>
      <c r="AM1382" s="163"/>
      <c r="AN1382" s="163"/>
    </row>
    <row r="1383" spans="1:40" s="100" customFormat="1" ht="46.8" x14ac:dyDescent="0.3">
      <c r="A1383" s="160">
        <v>911</v>
      </c>
      <c r="B1383" s="166" t="s">
        <v>1779</v>
      </c>
      <c r="C1383" s="98" t="s">
        <v>2708</v>
      </c>
      <c r="D1383" s="162" t="s">
        <v>2712</v>
      </c>
      <c r="E1383" s="26" t="s">
        <v>144</v>
      </c>
      <c r="F1383" s="30" t="s">
        <v>49</v>
      </c>
      <c r="G1383" s="162" t="s">
        <v>2704</v>
      </c>
      <c r="H1383" s="162">
        <v>18</v>
      </c>
      <c r="I1383" s="162" t="str">
        <f t="shared" si="140"/>
        <v>с ЛН</v>
      </c>
      <c r="J1383" s="164">
        <v>3</v>
      </c>
      <c r="K1383" s="164" t="s">
        <v>528</v>
      </c>
      <c r="L1383" s="164" t="s">
        <v>528</v>
      </c>
      <c r="M1383" s="164" t="s">
        <v>2705</v>
      </c>
      <c r="N1383" s="164" t="s">
        <v>2705</v>
      </c>
      <c r="O1383" s="162">
        <v>0</v>
      </c>
      <c r="P1383" s="162" t="s">
        <v>2706</v>
      </c>
      <c r="Q1383" s="162">
        <v>0</v>
      </c>
      <c r="R1383" s="162" t="s">
        <v>2706</v>
      </c>
      <c r="S1383" s="162">
        <v>0</v>
      </c>
      <c r="T1383" s="162" t="s">
        <v>2706</v>
      </c>
      <c r="U1383" s="162">
        <v>0</v>
      </c>
      <c r="V1383" s="162" t="s">
        <v>2706</v>
      </c>
      <c r="W1383" s="162">
        <v>0</v>
      </c>
      <c r="X1383" s="162" t="s">
        <v>2706</v>
      </c>
      <c r="Y1383" s="162">
        <v>0</v>
      </c>
      <c r="Z1383" s="162" t="s">
        <v>2706</v>
      </c>
      <c r="AA1383" s="162">
        <v>0</v>
      </c>
      <c r="AB1383" s="162" t="s">
        <v>2706</v>
      </c>
      <c r="AC1383" s="162">
        <v>0</v>
      </c>
      <c r="AD1383" s="162" t="s">
        <v>2706</v>
      </c>
      <c r="AE1383" s="162">
        <v>0</v>
      </c>
      <c r="AF1383" s="162" t="s">
        <v>2706</v>
      </c>
      <c r="AG1383" s="162">
        <v>0</v>
      </c>
      <c r="AH1383" s="162" t="s">
        <v>2706</v>
      </c>
      <c r="AI1383" s="162">
        <v>0</v>
      </c>
      <c r="AJ1383" s="162" t="s">
        <v>2706</v>
      </c>
      <c r="AK1383" s="162">
        <v>0</v>
      </c>
      <c r="AL1383" s="162" t="s">
        <v>2706</v>
      </c>
      <c r="AM1383" s="162">
        <v>0</v>
      </c>
      <c r="AN1383" s="162"/>
    </row>
    <row r="1384" spans="1:40" s="100" customFormat="1" ht="46.8" x14ac:dyDescent="0.3">
      <c r="A1384" s="161"/>
      <c r="B1384" s="167"/>
      <c r="C1384" s="98" t="s">
        <v>2708</v>
      </c>
      <c r="D1384" s="163"/>
      <c r="E1384" s="26" t="s">
        <v>48</v>
      </c>
      <c r="F1384" s="30" t="s">
        <v>49</v>
      </c>
      <c r="G1384" s="163"/>
      <c r="H1384" s="163"/>
      <c r="I1384" s="163"/>
      <c r="J1384" s="165"/>
      <c r="K1384" s="165"/>
      <c r="L1384" s="165"/>
      <c r="M1384" s="165"/>
      <c r="N1384" s="165"/>
      <c r="O1384" s="163"/>
      <c r="P1384" s="163"/>
      <c r="Q1384" s="163"/>
      <c r="R1384" s="163"/>
      <c r="S1384" s="163"/>
      <c r="T1384" s="163"/>
      <c r="U1384" s="163"/>
      <c r="V1384" s="163"/>
      <c r="W1384" s="163"/>
      <c r="X1384" s="163"/>
      <c r="Y1384" s="163"/>
      <c r="Z1384" s="163"/>
      <c r="AA1384" s="163"/>
      <c r="AB1384" s="163"/>
      <c r="AC1384" s="163"/>
      <c r="AD1384" s="163"/>
      <c r="AE1384" s="163"/>
      <c r="AF1384" s="163"/>
      <c r="AG1384" s="163"/>
      <c r="AH1384" s="163"/>
      <c r="AI1384" s="163"/>
      <c r="AJ1384" s="163"/>
      <c r="AK1384" s="163"/>
      <c r="AL1384" s="163"/>
      <c r="AM1384" s="163"/>
      <c r="AN1384" s="163"/>
    </row>
    <row r="1385" spans="1:40" s="100" customFormat="1" ht="46.8" x14ac:dyDescent="0.3">
      <c r="A1385" s="160">
        <v>912</v>
      </c>
      <c r="B1385" s="166" t="s">
        <v>1781</v>
      </c>
      <c r="C1385" s="98" t="s">
        <v>2708</v>
      </c>
      <c r="D1385" s="162" t="s">
        <v>2712</v>
      </c>
      <c r="E1385" s="26" t="s">
        <v>144</v>
      </c>
      <c r="F1385" s="30" t="s">
        <v>49</v>
      </c>
      <c r="G1385" s="162" t="s">
        <v>2704</v>
      </c>
      <c r="H1385" s="162">
        <v>18</v>
      </c>
      <c r="I1385" s="162" t="str">
        <f t="shared" si="140"/>
        <v>с ЛН</v>
      </c>
      <c r="J1385" s="164">
        <v>3</v>
      </c>
      <c r="K1385" s="164" t="s">
        <v>528</v>
      </c>
      <c r="L1385" s="164" t="s">
        <v>528</v>
      </c>
      <c r="M1385" s="164" t="s">
        <v>2705</v>
      </c>
      <c r="N1385" s="164" t="s">
        <v>2705</v>
      </c>
      <c r="O1385" s="162">
        <v>1227</v>
      </c>
      <c r="P1385" s="162" t="s">
        <v>2706</v>
      </c>
      <c r="Q1385" s="162">
        <v>1726</v>
      </c>
      <c r="R1385" s="162" t="s">
        <v>2706</v>
      </c>
      <c r="S1385" s="162">
        <v>1291</v>
      </c>
      <c r="T1385" s="162" t="s">
        <v>2706</v>
      </c>
      <c r="U1385" s="162">
        <v>1829</v>
      </c>
      <c r="V1385" s="162" t="s">
        <v>2706</v>
      </c>
      <c r="W1385" s="162">
        <v>1812</v>
      </c>
      <c r="X1385" s="162" t="s">
        <v>2706</v>
      </c>
      <c r="Y1385" s="162">
        <v>1343</v>
      </c>
      <c r="Z1385" s="162" t="s">
        <v>2706</v>
      </c>
      <c r="AA1385" s="162">
        <v>1327</v>
      </c>
      <c r="AB1385" s="162" t="s">
        <v>2706</v>
      </c>
      <c r="AC1385" s="162">
        <v>1914</v>
      </c>
      <c r="AD1385" s="162" t="s">
        <v>2706</v>
      </c>
      <c r="AE1385" s="162">
        <v>1571</v>
      </c>
      <c r="AF1385" s="162" t="s">
        <v>2706</v>
      </c>
      <c r="AG1385" s="162">
        <v>1447</v>
      </c>
      <c r="AH1385" s="162" t="s">
        <v>2706</v>
      </c>
      <c r="AI1385" s="162">
        <v>2835</v>
      </c>
      <c r="AJ1385" s="162" t="s">
        <v>2706</v>
      </c>
      <c r="AK1385" s="162">
        <v>1967</v>
      </c>
      <c r="AL1385" s="162" t="s">
        <v>2706</v>
      </c>
      <c r="AM1385" s="162">
        <v>18375</v>
      </c>
      <c r="AN1385" s="162"/>
    </row>
    <row r="1386" spans="1:40" s="100" customFormat="1" ht="46.8" x14ac:dyDescent="0.3">
      <c r="A1386" s="161"/>
      <c r="B1386" s="167"/>
      <c r="C1386" s="98" t="s">
        <v>2708</v>
      </c>
      <c r="D1386" s="163"/>
      <c r="E1386" s="26" t="s">
        <v>48</v>
      </c>
      <c r="F1386" s="30" t="s">
        <v>49</v>
      </c>
      <c r="G1386" s="163"/>
      <c r="H1386" s="163"/>
      <c r="I1386" s="163"/>
      <c r="J1386" s="165"/>
      <c r="K1386" s="165"/>
      <c r="L1386" s="165"/>
      <c r="M1386" s="165"/>
      <c r="N1386" s="165"/>
      <c r="O1386" s="163"/>
      <c r="P1386" s="163"/>
      <c r="Q1386" s="163"/>
      <c r="R1386" s="163"/>
      <c r="S1386" s="163"/>
      <c r="T1386" s="163"/>
      <c r="U1386" s="163"/>
      <c r="V1386" s="163"/>
      <c r="W1386" s="163"/>
      <c r="X1386" s="163"/>
      <c r="Y1386" s="163"/>
      <c r="Z1386" s="163"/>
      <c r="AA1386" s="163"/>
      <c r="AB1386" s="163"/>
      <c r="AC1386" s="163"/>
      <c r="AD1386" s="163"/>
      <c r="AE1386" s="163"/>
      <c r="AF1386" s="163"/>
      <c r="AG1386" s="163"/>
      <c r="AH1386" s="163"/>
      <c r="AI1386" s="163"/>
      <c r="AJ1386" s="163"/>
      <c r="AK1386" s="163"/>
      <c r="AL1386" s="163"/>
      <c r="AM1386" s="163"/>
      <c r="AN1386" s="163"/>
    </row>
    <row r="1387" spans="1:40" s="100" customFormat="1" ht="46.8" x14ac:dyDescent="0.3">
      <c r="A1387" s="160">
        <v>913</v>
      </c>
      <c r="B1387" s="166" t="s">
        <v>1782</v>
      </c>
      <c r="C1387" s="98" t="s">
        <v>2708</v>
      </c>
      <c r="D1387" s="162" t="s">
        <v>2712</v>
      </c>
      <c r="E1387" s="26" t="s">
        <v>144</v>
      </c>
      <c r="F1387" s="30" t="s">
        <v>49</v>
      </c>
      <c r="G1387" s="162" t="s">
        <v>2704</v>
      </c>
      <c r="H1387" s="162">
        <v>18</v>
      </c>
      <c r="I1387" s="162" t="str">
        <f t="shared" si="140"/>
        <v>с ЛН</v>
      </c>
      <c r="J1387" s="164">
        <v>3</v>
      </c>
      <c r="K1387" s="164" t="s">
        <v>528</v>
      </c>
      <c r="L1387" s="164" t="s">
        <v>528</v>
      </c>
      <c r="M1387" s="164" t="s">
        <v>2705</v>
      </c>
      <c r="N1387" s="164" t="s">
        <v>2705</v>
      </c>
      <c r="O1387" s="162">
        <v>0</v>
      </c>
      <c r="P1387" s="162" t="s">
        <v>2706</v>
      </c>
      <c r="Q1387" s="162">
        <v>0</v>
      </c>
      <c r="R1387" s="162" t="s">
        <v>2706</v>
      </c>
      <c r="S1387" s="162">
        <v>0</v>
      </c>
      <c r="T1387" s="162" t="s">
        <v>2706</v>
      </c>
      <c r="U1387" s="162">
        <v>0</v>
      </c>
      <c r="V1387" s="162" t="s">
        <v>2706</v>
      </c>
      <c r="W1387" s="162">
        <v>0</v>
      </c>
      <c r="X1387" s="162" t="s">
        <v>2706</v>
      </c>
      <c r="Y1387" s="162">
        <v>0</v>
      </c>
      <c r="Z1387" s="162" t="s">
        <v>2706</v>
      </c>
      <c r="AA1387" s="162">
        <v>0</v>
      </c>
      <c r="AB1387" s="162" t="s">
        <v>2706</v>
      </c>
      <c r="AC1387" s="162">
        <v>0</v>
      </c>
      <c r="AD1387" s="162" t="s">
        <v>2706</v>
      </c>
      <c r="AE1387" s="162">
        <v>0</v>
      </c>
      <c r="AF1387" s="162" t="s">
        <v>2706</v>
      </c>
      <c r="AG1387" s="162">
        <v>0</v>
      </c>
      <c r="AH1387" s="162" t="s">
        <v>2706</v>
      </c>
      <c r="AI1387" s="162">
        <v>0</v>
      </c>
      <c r="AJ1387" s="162" t="s">
        <v>2706</v>
      </c>
      <c r="AK1387" s="162">
        <v>0</v>
      </c>
      <c r="AL1387" s="162" t="s">
        <v>2706</v>
      </c>
      <c r="AM1387" s="162">
        <v>0</v>
      </c>
      <c r="AN1387" s="162"/>
    </row>
    <row r="1388" spans="1:40" s="100" customFormat="1" ht="46.8" x14ac:dyDescent="0.3">
      <c r="A1388" s="161"/>
      <c r="B1388" s="167"/>
      <c r="C1388" s="98" t="s">
        <v>2708</v>
      </c>
      <c r="D1388" s="163"/>
      <c r="E1388" s="26" t="s">
        <v>48</v>
      </c>
      <c r="F1388" s="30" t="s">
        <v>49</v>
      </c>
      <c r="G1388" s="163"/>
      <c r="H1388" s="163"/>
      <c r="I1388" s="163"/>
      <c r="J1388" s="165"/>
      <c r="K1388" s="165"/>
      <c r="L1388" s="165"/>
      <c r="M1388" s="165"/>
      <c r="N1388" s="165"/>
      <c r="O1388" s="163"/>
      <c r="P1388" s="163"/>
      <c r="Q1388" s="163"/>
      <c r="R1388" s="163"/>
      <c r="S1388" s="163"/>
      <c r="T1388" s="163"/>
      <c r="U1388" s="163"/>
      <c r="V1388" s="163"/>
      <c r="W1388" s="163"/>
      <c r="X1388" s="163"/>
      <c r="Y1388" s="163"/>
      <c r="Z1388" s="163"/>
      <c r="AA1388" s="163"/>
      <c r="AB1388" s="163"/>
      <c r="AC1388" s="163"/>
      <c r="AD1388" s="163"/>
      <c r="AE1388" s="163"/>
      <c r="AF1388" s="163"/>
      <c r="AG1388" s="163"/>
      <c r="AH1388" s="163"/>
      <c r="AI1388" s="163"/>
      <c r="AJ1388" s="163"/>
      <c r="AK1388" s="163"/>
      <c r="AL1388" s="163"/>
      <c r="AM1388" s="163"/>
      <c r="AN1388" s="163"/>
    </row>
    <row r="1389" spans="1:40" s="100" customFormat="1" ht="46.8" x14ac:dyDescent="0.3">
      <c r="A1389" s="160">
        <v>914</v>
      </c>
      <c r="B1389" s="166" t="s">
        <v>1783</v>
      </c>
      <c r="C1389" s="98" t="s">
        <v>2708</v>
      </c>
      <c r="D1389" s="162" t="s">
        <v>2712</v>
      </c>
      <c r="E1389" s="26" t="s">
        <v>144</v>
      </c>
      <c r="F1389" s="30" t="s">
        <v>49</v>
      </c>
      <c r="G1389" s="162" t="s">
        <v>2704</v>
      </c>
      <c r="H1389" s="162">
        <v>19</v>
      </c>
      <c r="I1389" s="162" t="str">
        <f t="shared" si="140"/>
        <v>с ЛН</v>
      </c>
      <c r="J1389" s="164">
        <v>3</v>
      </c>
      <c r="K1389" s="164" t="s">
        <v>528</v>
      </c>
      <c r="L1389" s="164" t="s">
        <v>528</v>
      </c>
      <c r="M1389" s="164" t="s">
        <v>2705</v>
      </c>
      <c r="N1389" s="164" t="s">
        <v>2705</v>
      </c>
      <c r="O1389" s="162">
        <v>660</v>
      </c>
      <c r="P1389" s="162" t="s">
        <v>2706</v>
      </c>
      <c r="Q1389" s="162">
        <v>638</v>
      </c>
      <c r="R1389" s="162" t="s">
        <v>2706</v>
      </c>
      <c r="S1389" s="162">
        <v>447</v>
      </c>
      <c r="T1389" s="162" t="s">
        <v>2706</v>
      </c>
      <c r="U1389" s="162">
        <v>624</v>
      </c>
      <c r="V1389" s="162" t="s">
        <v>2706</v>
      </c>
      <c r="W1389" s="162">
        <v>657</v>
      </c>
      <c r="X1389" s="162" t="s">
        <v>2706</v>
      </c>
      <c r="Y1389" s="162">
        <v>462</v>
      </c>
      <c r="Z1389" s="162" t="s">
        <v>2706</v>
      </c>
      <c r="AA1389" s="162">
        <v>416</v>
      </c>
      <c r="AB1389" s="162" t="s">
        <v>2706</v>
      </c>
      <c r="AC1389" s="162">
        <v>598</v>
      </c>
      <c r="AD1389" s="162" t="s">
        <v>2706</v>
      </c>
      <c r="AE1389" s="162">
        <v>646</v>
      </c>
      <c r="AF1389" s="162" t="s">
        <v>2706</v>
      </c>
      <c r="AG1389" s="162">
        <v>571</v>
      </c>
      <c r="AH1389" s="162" t="s">
        <v>2706</v>
      </c>
      <c r="AI1389" s="162">
        <v>646</v>
      </c>
      <c r="AJ1389" s="162" t="s">
        <v>2706</v>
      </c>
      <c r="AK1389" s="162">
        <v>766</v>
      </c>
      <c r="AL1389" s="162" t="s">
        <v>2706</v>
      </c>
      <c r="AM1389" s="162">
        <v>6533</v>
      </c>
      <c r="AN1389" s="162"/>
    </row>
    <row r="1390" spans="1:40" s="100" customFormat="1" ht="46.8" x14ac:dyDescent="0.3">
      <c r="A1390" s="161"/>
      <c r="B1390" s="167"/>
      <c r="C1390" s="98" t="s">
        <v>2708</v>
      </c>
      <c r="D1390" s="163"/>
      <c r="E1390" s="26" t="s">
        <v>48</v>
      </c>
      <c r="F1390" s="30" t="s">
        <v>49</v>
      </c>
      <c r="G1390" s="163"/>
      <c r="H1390" s="163"/>
      <c r="I1390" s="163"/>
      <c r="J1390" s="165"/>
      <c r="K1390" s="165"/>
      <c r="L1390" s="165"/>
      <c r="M1390" s="165"/>
      <c r="N1390" s="165"/>
      <c r="O1390" s="163"/>
      <c r="P1390" s="163"/>
      <c r="Q1390" s="163"/>
      <c r="R1390" s="163"/>
      <c r="S1390" s="163"/>
      <c r="T1390" s="163"/>
      <c r="U1390" s="163"/>
      <c r="V1390" s="163"/>
      <c r="W1390" s="163"/>
      <c r="X1390" s="163"/>
      <c r="Y1390" s="163"/>
      <c r="Z1390" s="163"/>
      <c r="AA1390" s="163"/>
      <c r="AB1390" s="163"/>
      <c r="AC1390" s="163"/>
      <c r="AD1390" s="163"/>
      <c r="AE1390" s="163"/>
      <c r="AF1390" s="163"/>
      <c r="AG1390" s="163"/>
      <c r="AH1390" s="163"/>
      <c r="AI1390" s="163"/>
      <c r="AJ1390" s="163"/>
      <c r="AK1390" s="163"/>
      <c r="AL1390" s="163"/>
      <c r="AM1390" s="163"/>
      <c r="AN1390" s="163"/>
    </row>
    <row r="1391" spans="1:40" s="100" customFormat="1" ht="46.8" x14ac:dyDescent="0.3">
      <c r="A1391" s="160">
        <v>915</v>
      </c>
      <c r="B1391" s="166" t="s">
        <v>1784</v>
      </c>
      <c r="C1391" s="98" t="s">
        <v>2708</v>
      </c>
      <c r="D1391" s="162" t="s">
        <v>2712</v>
      </c>
      <c r="E1391" s="26" t="s">
        <v>144</v>
      </c>
      <c r="F1391" s="30" t="s">
        <v>49</v>
      </c>
      <c r="G1391" s="162" t="s">
        <v>2704</v>
      </c>
      <c r="H1391" s="162">
        <v>33</v>
      </c>
      <c r="I1391" s="162" t="str">
        <f t="shared" si="140"/>
        <v>с ЛН</v>
      </c>
      <c r="J1391" s="164">
        <v>5</v>
      </c>
      <c r="K1391" s="164" t="s">
        <v>528</v>
      </c>
      <c r="L1391" s="164" t="s">
        <v>528</v>
      </c>
      <c r="M1391" s="164" t="s">
        <v>2705</v>
      </c>
      <c r="N1391" s="164" t="s">
        <v>2705</v>
      </c>
      <c r="O1391" s="162">
        <v>2809</v>
      </c>
      <c r="P1391" s="162" t="s">
        <v>2706</v>
      </c>
      <c r="Q1391" s="162">
        <v>2884</v>
      </c>
      <c r="R1391" s="162" t="s">
        <v>2706</v>
      </c>
      <c r="S1391" s="162">
        <v>2015</v>
      </c>
      <c r="T1391" s="162" t="s">
        <v>2706</v>
      </c>
      <c r="U1391" s="162">
        <v>2824</v>
      </c>
      <c r="V1391" s="162" t="s">
        <v>2706</v>
      </c>
      <c r="W1391" s="162">
        <v>2476</v>
      </c>
      <c r="X1391" s="162" t="s">
        <v>2706</v>
      </c>
      <c r="Y1391" s="162">
        <v>2475</v>
      </c>
      <c r="Z1391" s="162" t="s">
        <v>2706</v>
      </c>
      <c r="AA1391" s="162">
        <v>2147</v>
      </c>
      <c r="AB1391" s="162" t="s">
        <v>2706</v>
      </c>
      <c r="AC1391" s="162">
        <v>2900</v>
      </c>
      <c r="AD1391" s="162" t="s">
        <v>2706</v>
      </c>
      <c r="AE1391" s="162">
        <v>2539</v>
      </c>
      <c r="AF1391" s="162" t="s">
        <v>2706</v>
      </c>
      <c r="AG1391" s="162">
        <v>2318</v>
      </c>
      <c r="AH1391" s="162" t="s">
        <v>2706</v>
      </c>
      <c r="AI1391" s="162">
        <v>1638</v>
      </c>
      <c r="AJ1391" s="162" t="s">
        <v>2706</v>
      </c>
      <c r="AK1391" s="162">
        <v>2925</v>
      </c>
      <c r="AL1391" s="162" t="s">
        <v>2706</v>
      </c>
      <c r="AM1391" s="162">
        <v>27050</v>
      </c>
      <c r="AN1391" s="162"/>
    </row>
    <row r="1392" spans="1:40" s="100" customFormat="1" ht="46.8" x14ac:dyDescent="0.3">
      <c r="A1392" s="161"/>
      <c r="B1392" s="167"/>
      <c r="C1392" s="98" t="s">
        <v>2708</v>
      </c>
      <c r="D1392" s="163"/>
      <c r="E1392" s="26" t="s">
        <v>48</v>
      </c>
      <c r="F1392" s="30" t="s">
        <v>49</v>
      </c>
      <c r="G1392" s="163"/>
      <c r="H1392" s="163"/>
      <c r="I1392" s="163"/>
      <c r="J1392" s="165"/>
      <c r="K1392" s="165"/>
      <c r="L1392" s="165"/>
      <c r="M1392" s="165"/>
      <c r="N1392" s="165"/>
      <c r="O1392" s="163"/>
      <c r="P1392" s="163"/>
      <c r="Q1392" s="163"/>
      <c r="R1392" s="163"/>
      <c r="S1392" s="163"/>
      <c r="T1392" s="163"/>
      <c r="U1392" s="163"/>
      <c r="V1392" s="163"/>
      <c r="W1392" s="163"/>
      <c r="X1392" s="163"/>
      <c r="Y1392" s="163"/>
      <c r="Z1392" s="163"/>
      <c r="AA1392" s="163"/>
      <c r="AB1392" s="163"/>
      <c r="AC1392" s="163"/>
      <c r="AD1392" s="163"/>
      <c r="AE1392" s="163"/>
      <c r="AF1392" s="163"/>
      <c r="AG1392" s="163"/>
      <c r="AH1392" s="163"/>
      <c r="AI1392" s="163"/>
      <c r="AJ1392" s="163"/>
      <c r="AK1392" s="163"/>
      <c r="AL1392" s="163"/>
      <c r="AM1392" s="163"/>
      <c r="AN1392" s="163"/>
    </row>
    <row r="1393" spans="1:40" s="100" customFormat="1" ht="46.8" x14ac:dyDescent="0.3">
      <c r="A1393" s="160">
        <v>916</v>
      </c>
      <c r="B1393" s="166" t="s">
        <v>1785</v>
      </c>
      <c r="C1393" s="98" t="s">
        <v>2708</v>
      </c>
      <c r="D1393" s="162" t="s">
        <v>2712</v>
      </c>
      <c r="E1393" s="26" t="s">
        <v>144</v>
      </c>
      <c r="F1393" s="30" t="s">
        <v>49</v>
      </c>
      <c r="G1393" s="162"/>
      <c r="H1393" s="162"/>
      <c r="I1393" s="162"/>
      <c r="J1393" s="164"/>
      <c r="K1393" s="164" t="s">
        <v>528</v>
      </c>
      <c r="L1393" s="164" t="s">
        <v>528</v>
      </c>
      <c r="M1393" s="164" t="s">
        <v>2705</v>
      </c>
      <c r="N1393" s="164" t="s">
        <v>2705</v>
      </c>
      <c r="O1393" s="162">
        <v>1417</v>
      </c>
      <c r="P1393" s="162" t="s">
        <v>2706</v>
      </c>
      <c r="Q1393" s="162">
        <v>1610</v>
      </c>
      <c r="R1393" s="162" t="s">
        <v>2706</v>
      </c>
      <c r="S1393" s="162">
        <v>1219</v>
      </c>
      <c r="T1393" s="162" t="s">
        <v>2706</v>
      </c>
      <c r="U1393" s="162">
        <v>1579</v>
      </c>
      <c r="V1393" s="162" t="s">
        <v>2706</v>
      </c>
      <c r="W1393" s="162">
        <v>1739</v>
      </c>
      <c r="X1393" s="162" t="s">
        <v>2706</v>
      </c>
      <c r="Y1393" s="162">
        <v>1306</v>
      </c>
      <c r="Z1393" s="162" t="s">
        <v>2706</v>
      </c>
      <c r="AA1393" s="162">
        <v>1089</v>
      </c>
      <c r="AB1393" s="162" t="s">
        <v>2706</v>
      </c>
      <c r="AC1393" s="162">
        <v>1370</v>
      </c>
      <c r="AD1393" s="162" t="s">
        <v>2706</v>
      </c>
      <c r="AE1393" s="162">
        <v>1305</v>
      </c>
      <c r="AF1393" s="162" t="s">
        <v>2706</v>
      </c>
      <c r="AG1393" s="162">
        <v>1336</v>
      </c>
      <c r="AH1393" s="162" t="s">
        <v>2706</v>
      </c>
      <c r="AI1393" s="162">
        <v>1673</v>
      </c>
      <c r="AJ1393" s="162" t="s">
        <v>2706</v>
      </c>
      <c r="AK1393" s="162">
        <v>1961</v>
      </c>
      <c r="AL1393" s="162" t="s">
        <v>2706</v>
      </c>
      <c r="AM1393" s="162">
        <v>16234</v>
      </c>
      <c r="AN1393" s="162"/>
    </row>
    <row r="1394" spans="1:40" s="100" customFormat="1" ht="46.8" x14ac:dyDescent="0.3">
      <c r="A1394" s="161"/>
      <c r="B1394" s="167"/>
      <c r="C1394" s="98" t="s">
        <v>2708</v>
      </c>
      <c r="D1394" s="163"/>
      <c r="E1394" s="26" t="s">
        <v>48</v>
      </c>
      <c r="F1394" s="30" t="s">
        <v>49</v>
      </c>
      <c r="G1394" s="163"/>
      <c r="H1394" s="163"/>
      <c r="I1394" s="163"/>
      <c r="J1394" s="165"/>
      <c r="K1394" s="165"/>
      <c r="L1394" s="165"/>
      <c r="M1394" s="165"/>
      <c r="N1394" s="165"/>
      <c r="O1394" s="163"/>
      <c r="P1394" s="163"/>
      <c r="Q1394" s="163"/>
      <c r="R1394" s="163"/>
      <c r="S1394" s="163"/>
      <c r="T1394" s="163"/>
      <c r="U1394" s="163"/>
      <c r="V1394" s="163"/>
      <c r="W1394" s="163"/>
      <c r="X1394" s="163"/>
      <c r="Y1394" s="163"/>
      <c r="Z1394" s="163"/>
      <c r="AA1394" s="163"/>
      <c r="AB1394" s="163"/>
      <c r="AC1394" s="163"/>
      <c r="AD1394" s="163"/>
      <c r="AE1394" s="163"/>
      <c r="AF1394" s="163"/>
      <c r="AG1394" s="163"/>
      <c r="AH1394" s="163"/>
      <c r="AI1394" s="163"/>
      <c r="AJ1394" s="163"/>
      <c r="AK1394" s="163"/>
      <c r="AL1394" s="163"/>
      <c r="AM1394" s="163"/>
      <c r="AN1394" s="163"/>
    </row>
    <row r="1395" spans="1:40" s="100" customFormat="1" ht="46.8" x14ac:dyDescent="0.3">
      <c r="A1395" s="160">
        <v>917</v>
      </c>
      <c r="B1395" s="166" t="s">
        <v>1786</v>
      </c>
      <c r="C1395" s="98" t="s">
        <v>2708</v>
      </c>
      <c r="D1395" s="162" t="s">
        <v>2712</v>
      </c>
      <c r="E1395" s="26" t="s">
        <v>144</v>
      </c>
      <c r="F1395" s="30" t="s">
        <v>49</v>
      </c>
      <c r="G1395" s="162" t="s">
        <v>2704</v>
      </c>
      <c r="H1395" s="162">
        <v>32</v>
      </c>
      <c r="I1395" s="162" t="str">
        <f t="shared" si="140"/>
        <v>с ЛН</v>
      </c>
      <c r="J1395" s="164">
        <v>6</v>
      </c>
      <c r="K1395" s="164" t="s">
        <v>528</v>
      </c>
      <c r="L1395" s="164" t="s">
        <v>528</v>
      </c>
      <c r="M1395" s="164" t="s">
        <v>2705</v>
      </c>
      <c r="N1395" s="164" t="s">
        <v>2705</v>
      </c>
      <c r="O1395" s="162">
        <v>376</v>
      </c>
      <c r="P1395" s="162" t="s">
        <v>2706</v>
      </c>
      <c r="Q1395" s="162">
        <v>588</v>
      </c>
      <c r="R1395" s="162" t="s">
        <v>2706</v>
      </c>
      <c r="S1395" s="162">
        <v>390</v>
      </c>
      <c r="T1395" s="162" t="s">
        <v>2706</v>
      </c>
      <c r="U1395" s="162">
        <v>375</v>
      </c>
      <c r="V1395" s="162" t="s">
        <v>2706</v>
      </c>
      <c r="W1395" s="162">
        <v>368</v>
      </c>
      <c r="X1395" s="162" t="s">
        <v>2706</v>
      </c>
      <c r="Y1395" s="162">
        <v>325</v>
      </c>
      <c r="Z1395" s="162" t="s">
        <v>2706</v>
      </c>
      <c r="AA1395" s="162">
        <v>297</v>
      </c>
      <c r="AB1395" s="162" t="s">
        <v>2706</v>
      </c>
      <c r="AC1395" s="162">
        <v>356</v>
      </c>
      <c r="AD1395" s="162" t="s">
        <v>2706</v>
      </c>
      <c r="AE1395" s="162">
        <v>172</v>
      </c>
      <c r="AF1395" s="162" t="s">
        <v>2706</v>
      </c>
      <c r="AG1395" s="162">
        <v>198</v>
      </c>
      <c r="AH1395" s="162" t="s">
        <v>2706</v>
      </c>
      <c r="AI1395" s="162">
        <v>271</v>
      </c>
      <c r="AJ1395" s="162" t="s">
        <v>2706</v>
      </c>
      <c r="AK1395" s="162">
        <v>306</v>
      </c>
      <c r="AL1395" s="162" t="s">
        <v>2706</v>
      </c>
      <c r="AM1395" s="162">
        <v>3666</v>
      </c>
      <c r="AN1395" s="162"/>
    </row>
    <row r="1396" spans="1:40" s="100" customFormat="1" ht="46.8" x14ac:dyDescent="0.3">
      <c r="A1396" s="161"/>
      <c r="B1396" s="167"/>
      <c r="C1396" s="98" t="s">
        <v>2708</v>
      </c>
      <c r="D1396" s="163"/>
      <c r="E1396" s="26" t="s">
        <v>48</v>
      </c>
      <c r="F1396" s="30" t="s">
        <v>49</v>
      </c>
      <c r="G1396" s="163"/>
      <c r="H1396" s="163"/>
      <c r="I1396" s="163"/>
      <c r="J1396" s="165"/>
      <c r="K1396" s="165"/>
      <c r="L1396" s="165"/>
      <c r="M1396" s="165"/>
      <c r="N1396" s="165"/>
      <c r="O1396" s="163"/>
      <c r="P1396" s="163"/>
      <c r="Q1396" s="163"/>
      <c r="R1396" s="163"/>
      <c r="S1396" s="163"/>
      <c r="T1396" s="163"/>
      <c r="U1396" s="163"/>
      <c r="V1396" s="163"/>
      <c r="W1396" s="163"/>
      <c r="X1396" s="163"/>
      <c r="Y1396" s="163"/>
      <c r="Z1396" s="163"/>
      <c r="AA1396" s="163"/>
      <c r="AB1396" s="163"/>
      <c r="AC1396" s="163"/>
      <c r="AD1396" s="163"/>
      <c r="AE1396" s="163"/>
      <c r="AF1396" s="163"/>
      <c r="AG1396" s="163"/>
      <c r="AH1396" s="163"/>
      <c r="AI1396" s="163"/>
      <c r="AJ1396" s="163"/>
      <c r="AK1396" s="163"/>
      <c r="AL1396" s="163"/>
      <c r="AM1396" s="163"/>
      <c r="AN1396" s="163"/>
    </row>
    <row r="1397" spans="1:40" s="100" customFormat="1" ht="46.8" x14ac:dyDescent="0.3">
      <c r="A1397" s="160">
        <v>918</v>
      </c>
      <c r="B1397" s="166" t="s">
        <v>1788</v>
      </c>
      <c r="C1397" s="98" t="s">
        <v>2708</v>
      </c>
      <c r="D1397" s="162" t="s">
        <v>2712</v>
      </c>
      <c r="E1397" s="26" t="s">
        <v>144</v>
      </c>
      <c r="F1397" s="30" t="s">
        <v>49</v>
      </c>
      <c r="G1397" s="162"/>
      <c r="H1397" s="162"/>
      <c r="I1397" s="162"/>
      <c r="J1397" s="164"/>
      <c r="K1397" s="164" t="s">
        <v>528</v>
      </c>
      <c r="L1397" s="164" t="s">
        <v>528</v>
      </c>
      <c r="M1397" s="164" t="s">
        <v>2705</v>
      </c>
      <c r="N1397" s="164" t="s">
        <v>2705</v>
      </c>
      <c r="O1397" s="162">
        <v>1</v>
      </c>
      <c r="P1397" s="162" t="s">
        <v>2706</v>
      </c>
      <c r="Q1397" s="162">
        <v>1</v>
      </c>
      <c r="R1397" s="162" t="s">
        <v>2706</v>
      </c>
      <c r="S1397" s="162">
        <v>1</v>
      </c>
      <c r="T1397" s="162" t="s">
        <v>2706</v>
      </c>
      <c r="U1397" s="162">
        <v>4</v>
      </c>
      <c r="V1397" s="162" t="s">
        <v>2706</v>
      </c>
      <c r="W1397" s="162">
        <v>4</v>
      </c>
      <c r="X1397" s="162" t="s">
        <v>2706</v>
      </c>
      <c r="Y1397" s="162">
        <v>4</v>
      </c>
      <c r="Z1397" s="162" t="s">
        <v>2706</v>
      </c>
      <c r="AA1397" s="162">
        <v>0</v>
      </c>
      <c r="AB1397" s="162" t="s">
        <v>2706</v>
      </c>
      <c r="AC1397" s="162">
        <v>4</v>
      </c>
      <c r="AD1397" s="162" t="s">
        <v>2706</v>
      </c>
      <c r="AE1397" s="162">
        <v>0</v>
      </c>
      <c r="AF1397" s="162" t="s">
        <v>2706</v>
      </c>
      <c r="AG1397" s="162">
        <v>0</v>
      </c>
      <c r="AH1397" s="162" t="s">
        <v>2706</v>
      </c>
      <c r="AI1397" s="162">
        <v>1305</v>
      </c>
      <c r="AJ1397" s="162" t="s">
        <v>2706</v>
      </c>
      <c r="AK1397" s="162">
        <v>0</v>
      </c>
      <c r="AL1397" s="162" t="s">
        <v>2706</v>
      </c>
      <c r="AM1397" s="162">
        <v>1320</v>
      </c>
      <c r="AN1397" s="162"/>
    </row>
    <row r="1398" spans="1:40" s="100" customFormat="1" ht="46.8" x14ac:dyDescent="0.3">
      <c r="A1398" s="161"/>
      <c r="B1398" s="167"/>
      <c r="C1398" s="98" t="s">
        <v>2708</v>
      </c>
      <c r="D1398" s="163"/>
      <c r="E1398" s="26" t="s">
        <v>48</v>
      </c>
      <c r="F1398" s="30" t="s">
        <v>49</v>
      </c>
      <c r="G1398" s="163"/>
      <c r="H1398" s="163"/>
      <c r="I1398" s="163"/>
      <c r="J1398" s="165"/>
      <c r="K1398" s="165"/>
      <c r="L1398" s="165"/>
      <c r="M1398" s="165"/>
      <c r="N1398" s="165"/>
      <c r="O1398" s="163"/>
      <c r="P1398" s="163"/>
      <c r="Q1398" s="163"/>
      <c r="R1398" s="163"/>
      <c r="S1398" s="163"/>
      <c r="T1398" s="163"/>
      <c r="U1398" s="163"/>
      <c r="V1398" s="163"/>
      <c r="W1398" s="163"/>
      <c r="X1398" s="163"/>
      <c r="Y1398" s="163"/>
      <c r="Z1398" s="163"/>
      <c r="AA1398" s="163"/>
      <c r="AB1398" s="163"/>
      <c r="AC1398" s="163"/>
      <c r="AD1398" s="163"/>
      <c r="AE1398" s="163"/>
      <c r="AF1398" s="163"/>
      <c r="AG1398" s="163"/>
      <c r="AH1398" s="163"/>
      <c r="AI1398" s="163"/>
      <c r="AJ1398" s="163"/>
      <c r="AK1398" s="163"/>
      <c r="AL1398" s="163"/>
      <c r="AM1398" s="163"/>
      <c r="AN1398" s="163"/>
    </row>
    <row r="1399" spans="1:40" s="100" customFormat="1" ht="46.8" x14ac:dyDescent="0.3">
      <c r="A1399" s="160">
        <v>919</v>
      </c>
      <c r="B1399" s="166" t="s">
        <v>1789</v>
      </c>
      <c r="C1399" s="98" t="s">
        <v>2708</v>
      </c>
      <c r="D1399" s="162" t="s">
        <v>2712</v>
      </c>
      <c r="E1399" s="26" t="s">
        <v>144</v>
      </c>
      <c r="F1399" s="30" t="s">
        <v>49</v>
      </c>
      <c r="G1399" s="162" t="s">
        <v>2704</v>
      </c>
      <c r="H1399" s="162">
        <v>62</v>
      </c>
      <c r="I1399" s="162" t="str">
        <f t="shared" ref="I1399" si="141">G1399</f>
        <v>с ЛН</v>
      </c>
      <c r="J1399" s="164">
        <v>12</v>
      </c>
      <c r="K1399" s="164" t="s">
        <v>528</v>
      </c>
      <c r="L1399" s="164" t="s">
        <v>528</v>
      </c>
      <c r="M1399" s="164" t="s">
        <v>2705</v>
      </c>
      <c r="N1399" s="164" t="s">
        <v>2705</v>
      </c>
      <c r="O1399" s="162">
        <v>1632</v>
      </c>
      <c r="P1399" s="162" t="s">
        <v>2706</v>
      </c>
      <c r="Q1399" s="162">
        <v>1643</v>
      </c>
      <c r="R1399" s="162" t="s">
        <v>2706</v>
      </c>
      <c r="S1399" s="162">
        <v>1243</v>
      </c>
      <c r="T1399" s="162" t="s">
        <v>2706</v>
      </c>
      <c r="U1399" s="162">
        <v>2032</v>
      </c>
      <c r="V1399" s="162" t="s">
        <v>2706</v>
      </c>
      <c r="W1399" s="162">
        <v>1789</v>
      </c>
      <c r="X1399" s="162" t="s">
        <v>2706</v>
      </c>
      <c r="Y1399" s="162">
        <v>1175</v>
      </c>
      <c r="Z1399" s="162" t="s">
        <v>2706</v>
      </c>
      <c r="AA1399" s="162">
        <v>1557</v>
      </c>
      <c r="AB1399" s="162" t="s">
        <v>2706</v>
      </c>
      <c r="AC1399" s="162">
        <v>1662</v>
      </c>
      <c r="AD1399" s="162" t="s">
        <v>2706</v>
      </c>
      <c r="AE1399" s="162">
        <v>1461</v>
      </c>
      <c r="AF1399" s="162" t="s">
        <v>2706</v>
      </c>
      <c r="AG1399" s="162">
        <v>1535</v>
      </c>
      <c r="AH1399" s="162" t="s">
        <v>2706</v>
      </c>
      <c r="AI1399" s="162">
        <v>1929</v>
      </c>
      <c r="AJ1399" s="162" t="s">
        <v>2706</v>
      </c>
      <c r="AK1399" s="162">
        <v>1912</v>
      </c>
      <c r="AL1399" s="162" t="s">
        <v>2706</v>
      </c>
      <c r="AM1399" s="162">
        <v>17908</v>
      </c>
      <c r="AN1399" s="162"/>
    </row>
    <row r="1400" spans="1:40" s="100" customFormat="1" ht="46.8" x14ac:dyDescent="0.3">
      <c r="A1400" s="161"/>
      <c r="B1400" s="167"/>
      <c r="C1400" s="98" t="s">
        <v>2708</v>
      </c>
      <c r="D1400" s="163"/>
      <c r="E1400" s="26" t="s">
        <v>48</v>
      </c>
      <c r="F1400" s="30" t="s">
        <v>49</v>
      </c>
      <c r="G1400" s="163"/>
      <c r="H1400" s="163"/>
      <c r="I1400" s="163"/>
      <c r="J1400" s="165"/>
      <c r="K1400" s="165"/>
      <c r="L1400" s="165"/>
      <c r="M1400" s="165"/>
      <c r="N1400" s="165"/>
      <c r="O1400" s="163"/>
      <c r="P1400" s="163"/>
      <c r="Q1400" s="163"/>
      <c r="R1400" s="163"/>
      <c r="S1400" s="163"/>
      <c r="T1400" s="163"/>
      <c r="U1400" s="163"/>
      <c r="V1400" s="163"/>
      <c r="W1400" s="163"/>
      <c r="X1400" s="163"/>
      <c r="Y1400" s="163"/>
      <c r="Z1400" s="163"/>
      <c r="AA1400" s="163"/>
      <c r="AB1400" s="163"/>
      <c r="AC1400" s="163"/>
      <c r="AD1400" s="163"/>
      <c r="AE1400" s="163"/>
      <c r="AF1400" s="163"/>
      <c r="AG1400" s="163"/>
      <c r="AH1400" s="163"/>
      <c r="AI1400" s="163"/>
      <c r="AJ1400" s="163"/>
      <c r="AK1400" s="163"/>
      <c r="AL1400" s="163"/>
      <c r="AM1400" s="163"/>
      <c r="AN1400" s="163"/>
    </row>
    <row r="1401" spans="1:40" s="100" customFormat="1" ht="46.8" x14ac:dyDescent="0.3">
      <c r="A1401" s="160">
        <v>920</v>
      </c>
      <c r="B1401" s="166" t="s">
        <v>1791</v>
      </c>
      <c r="C1401" s="98" t="s">
        <v>2708</v>
      </c>
      <c r="D1401" s="162" t="s">
        <v>2712</v>
      </c>
      <c r="E1401" s="26" t="s">
        <v>144</v>
      </c>
      <c r="F1401" s="30" t="s">
        <v>49</v>
      </c>
      <c r="G1401" s="162" t="s">
        <v>2704</v>
      </c>
      <c r="H1401" s="162">
        <v>27</v>
      </c>
      <c r="I1401" s="162" t="str">
        <f t="shared" ref="I1401" si="142">G1401</f>
        <v>с ЛН</v>
      </c>
      <c r="J1401" s="164">
        <v>5</v>
      </c>
      <c r="K1401" s="164" t="s">
        <v>528</v>
      </c>
      <c r="L1401" s="164" t="s">
        <v>528</v>
      </c>
      <c r="M1401" s="164" t="s">
        <v>2705</v>
      </c>
      <c r="N1401" s="164" t="s">
        <v>2705</v>
      </c>
      <c r="O1401" s="162">
        <v>1319</v>
      </c>
      <c r="P1401" s="162" t="s">
        <v>2706</v>
      </c>
      <c r="Q1401" s="162">
        <v>1043</v>
      </c>
      <c r="R1401" s="162" t="s">
        <v>2706</v>
      </c>
      <c r="S1401" s="162">
        <v>758</v>
      </c>
      <c r="T1401" s="162" t="s">
        <v>2706</v>
      </c>
      <c r="U1401" s="162">
        <v>1011</v>
      </c>
      <c r="V1401" s="162" t="s">
        <v>2706</v>
      </c>
      <c r="W1401" s="162">
        <v>714</v>
      </c>
      <c r="X1401" s="162" t="s">
        <v>2706</v>
      </c>
      <c r="Y1401" s="162">
        <v>633</v>
      </c>
      <c r="Z1401" s="162" t="s">
        <v>2706</v>
      </c>
      <c r="AA1401" s="162">
        <v>487</v>
      </c>
      <c r="AB1401" s="162" t="s">
        <v>2706</v>
      </c>
      <c r="AC1401" s="162">
        <v>640</v>
      </c>
      <c r="AD1401" s="162" t="s">
        <v>2706</v>
      </c>
      <c r="AE1401" s="162">
        <v>626</v>
      </c>
      <c r="AF1401" s="162" t="s">
        <v>2706</v>
      </c>
      <c r="AG1401" s="162">
        <v>854</v>
      </c>
      <c r="AH1401" s="162" t="s">
        <v>2706</v>
      </c>
      <c r="AI1401" s="162">
        <v>1035</v>
      </c>
      <c r="AJ1401" s="162" t="s">
        <v>2706</v>
      </c>
      <c r="AK1401" s="162">
        <v>1230</v>
      </c>
      <c r="AL1401" s="162" t="s">
        <v>2706</v>
      </c>
      <c r="AM1401" s="162">
        <v>9710</v>
      </c>
      <c r="AN1401" s="162"/>
    </row>
    <row r="1402" spans="1:40" s="100" customFormat="1" ht="46.8" x14ac:dyDescent="0.3">
      <c r="A1402" s="161"/>
      <c r="B1402" s="167"/>
      <c r="C1402" s="98" t="s">
        <v>2708</v>
      </c>
      <c r="D1402" s="163"/>
      <c r="E1402" s="26" t="s">
        <v>48</v>
      </c>
      <c r="F1402" s="30" t="s">
        <v>49</v>
      </c>
      <c r="G1402" s="163"/>
      <c r="H1402" s="163"/>
      <c r="I1402" s="163"/>
      <c r="J1402" s="165"/>
      <c r="K1402" s="165"/>
      <c r="L1402" s="165"/>
      <c r="M1402" s="165"/>
      <c r="N1402" s="165"/>
      <c r="O1402" s="163"/>
      <c r="P1402" s="163"/>
      <c r="Q1402" s="163"/>
      <c r="R1402" s="163"/>
      <c r="S1402" s="163"/>
      <c r="T1402" s="163"/>
      <c r="U1402" s="163"/>
      <c r="V1402" s="163"/>
      <c r="W1402" s="163"/>
      <c r="X1402" s="163"/>
      <c r="Y1402" s="163"/>
      <c r="Z1402" s="163"/>
      <c r="AA1402" s="163"/>
      <c r="AB1402" s="163"/>
      <c r="AC1402" s="163"/>
      <c r="AD1402" s="163"/>
      <c r="AE1402" s="163"/>
      <c r="AF1402" s="163"/>
      <c r="AG1402" s="163"/>
      <c r="AH1402" s="163"/>
      <c r="AI1402" s="163"/>
      <c r="AJ1402" s="163"/>
      <c r="AK1402" s="163"/>
      <c r="AL1402" s="163"/>
      <c r="AM1402" s="163"/>
      <c r="AN1402" s="163"/>
    </row>
    <row r="1403" spans="1:40" s="100" customFormat="1" ht="46.8" x14ac:dyDescent="0.3">
      <c r="A1403" s="160">
        <v>921</v>
      </c>
      <c r="B1403" s="166" t="s">
        <v>1794</v>
      </c>
      <c r="C1403" s="98" t="s">
        <v>2708</v>
      </c>
      <c r="D1403" s="162" t="s">
        <v>2712</v>
      </c>
      <c r="E1403" s="26" t="s">
        <v>144</v>
      </c>
      <c r="F1403" s="30" t="s">
        <v>49</v>
      </c>
      <c r="G1403" s="162"/>
      <c r="H1403" s="162"/>
      <c r="I1403" s="162"/>
      <c r="J1403" s="164"/>
      <c r="K1403" s="164" t="s">
        <v>528</v>
      </c>
      <c r="L1403" s="164" t="s">
        <v>528</v>
      </c>
      <c r="M1403" s="164" t="s">
        <v>2705</v>
      </c>
      <c r="N1403" s="164" t="s">
        <v>2705</v>
      </c>
      <c r="O1403" s="162">
        <v>1958</v>
      </c>
      <c r="P1403" s="162" t="s">
        <v>2706</v>
      </c>
      <c r="Q1403" s="162">
        <v>1608</v>
      </c>
      <c r="R1403" s="162" t="s">
        <v>2706</v>
      </c>
      <c r="S1403" s="162">
        <v>1090</v>
      </c>
      <c r="T1403" s="162" t="s">
        <v>2706</v>
      </c>
      <c r="U1403" s="162">
        <v>1236</v>
      </c>
      <c r="V1403" s="162" t="s">
        <v>2706</v>
      </c>
      <c r="W1403" s="162">
        <v>1203</v>
      </c>
      <c r="X1403" s="162" t="s">
        <v>2706</v>
      </c>
      <c r="Y1403" s="162">
        <v>1904</v>
      </c>
      <c r="Z1403" s="162" t="s">
        <v>2706</v>
      </c>
      <c r="AA1403" s="162">
        <v>2100</v>
      </c>
      <c r="AB1403" s="162" t="s">
        <v>2706</v>
      </c>
      <c r="AC1403" s="162">
        <v>2238</v>
      </c>
      <c r="AD1403" s="162" t="s">
        <v>2706</v>
      </c>
      <c r="AE1403" s="162">
        <v>2219</v>
      </c>
      <c r="AF1403" s="162" t="s">
        <v>2706</v>
      </c>
      <c r="AG1403" s="162">
        <v>2148</v>
      </c>
      <c r="AH1403" s="162" t="s">
        <v>2706</v>
      </c>
      <c r="AI1403" s="162">
        <v>1677</v>
      </c>
      <c r="AJ1403" s="162" t="s">
        <v>2706</v>
      </c>
      <c r="AK1403" s="162">
        <v>2713</v>
      </c>
      <c r="AL1403" s="162" t="s">
        <v>2706</v>
      </c>
      <c r="AM1403" s="162">
        <v>19856</v>
      </c>
      <c r="AN1403" s="162"/>
    </row>
    <row r="1404" spans="1:40" s="100" customFormat="1" ht="46.8" x14ac:dyDescent="0.3">
      <c r="A1404" s="161"/>
      <c r="B1404" s="167"/>
      <c r="C1404" s="98" t="s">
        <v>2708</v>
      </c>
      <c r="D1404" s="163"/>
      <c r="E1404" s="26" t="s">
        <v>48</v>
      </c>
      <c r="F1404" s="30" t="s">
        <v>49</v>
      </c>
      <c r="G1404" s="163"/>
      <c r="H1404" s="163"/>
      <c r="I1404" s="163"/>
      <c r="J1404" s="165"/>
      <c r="K1404" s="165"/>
      <c r="L1404" s="165"/>
      <c r="M1404" s="165"/>
      <c r="N1404" s="165"/>
      <c r="O1404" s="163"/>
      <c r="P1404" s="163"/>
      <c r="Q1404" s="163"/>
      <c r="R1404" s="163"/>
      <c r="S1404" s="163"/>
      <c r="T1404" s="163"/>
      <c r="U1404" s="163"/>
      <c r="V1404" s="163"/>
      <c r="W1404" s="163"/>
      <c r="X1404" s="163"/>
      <c r="Y1404" s="163"/>
      <c r="Z1404" s="163"/>
      <c r="AA1404" s="163"/>
      <c r="AB1404" s="163"/>
      <c r="AC1404" s="163"/>
      <c r="AD1404" s="163"/>
      <c r="AE1404" s="163"/>
      <c r="AF1404" s="163"/>
      <c r="AG1404" s="163"/>
      <c r="AH1404" s="163"/>
      <c r="AI1404" s="163"/>
      <c r="AJ1404" s="163"/>
      <c r="AK1404" s="163"/>
      <c r="AL1404" s="163"/>
      <c r="AM1404" s="163"/>
      <c r="AN1404" s="163"/>
    </row>
    <row r="1405" spans="1:40" s="100" customFormat="1" ht="46.8" x14ac:dyDescent="0.3">
      <c r="A1405" s="160">
        <v>922</v>
      </c>
      <c r="B1405" s="166" t="s">
        <v>1795</v>
      </c>
      <c r="C1405" s="98" t="s">
        <v>2708</v>
      </c>
      <c r="D1405" s="162" t="s">
        <v>2712</v>
      </c>
      <c r="E1405" s="26" t="s">
        <v>144</v>
      </c>
      <c r="F1405" s="30" t="s">
        <v>49</v>
      </c>
      <c r="G1405" s="162"/>
      <c r="H1405" s="162"/>
      <c r="I1405" s="162"/>
      <c r="J1405" s="164"/>
      <c r="K1405" s="164" t="s">
        <v>528</v>
      </c>
      <c r="L1405" s="164" t="s">
        <v>528</v>
      </c>
      <c r="M1405" s="164" t="s">
        <v>2705</v>
      </c>
      <c r="N1405" s="164" t="s">
        <v>2705</v>
      </c>
      <c r="O1405" s="162">
        <v>0</v>
      </c>
      <c r="P1405" s="162" t="s">
        <v>2706</v>
      </c>
      <c r="Q1405" s="162">
        <v>0</v>
      </c>
      <c r="R1405" s="162" t="s">
        <v>2706</v>
      </c>
      <c r="S1405" s="162">
        <v>0</v>
      </c>
      <c r="T1405" s="162" t="s">
        <v>2706</v>
      </c>
      <c r="U1405" s="162">
        <v>0</v>
      </c>
      <c r="V1405" s="162" t="s">
        <v>2706</v>
      </c>
      <c r="W1405" s="162">
        <v>0</v>
      </c>
      <c r="X1405" s="162" t="s">
        <v>2706</v>
      </c>
      <c r="Y1405" s="162">
        <v>0</v>
      </c>
      <c r="Z1405" s="162" t="s">
        <v>2706</v>
      </c>
      <c r="AA1405" s="162">
        <v>0</v>
      </c>
      <c r="AB1405" s="162" t="s">
        <v>2706</v>
      </c>
      <c r="AC1405" s="162">
        <v>0</v>
      </c>
      <c r="AD1405" s="162" t="s">
        <v>2706</v>
      </c>
      <c r="AE1405" s="162">
        <v>0</v>
      </c>
      <c r="AF1405" s="162" t="s">
        <v>2706</v>
      </c>
      <c r="AG1405" s="162">
        <v>0</v>
      </c>
      <c r="AH1405" s="162" t="s">
        <v>2706</v>
      </c>
      <c r="AI1405" s="162">
        <v>0</v>
      </c>
      <c r="AJ1405" s="162" t="s">
        <v>2706</v>
      </c>
      <c r="AK1405" s="162">
        <v>0</v>
      </c>
      <c r="AL1405" s="162" t="s">
        <v>2706</v>
      </c>
      <c r="AM1405" s="162">
        <v>0</v>
      </c>
      <c r="AN1405" s="162"/>
    </row>
    <row r="1406" spans="1:40" s="100" customFormat="1" ht="46.8" x14ac:dyDescent="0.3">
      <c r="A1406" s="161"/>
      <c r="B1406" s="167"/>
      <c r="C1406" s="98" t="s">
        <v>2708</v>
      </c>
      <c r="D1406" s="163"/>
      <c r="E1406" s="26" t="s">
        <v>48</v>
      </c>
      <c r="F1406" s="30" t="s">
        <v>49</v>
      </c>
      <c r="G1406" s="163"/>
      <c r="H1406" s="163"/>
      <c r="I1406" s="163"/>
      <c r="J1406" s="165"/>
      <c r="K1406" s="165"/>
      <c r="L1406" s="165"/>
      <c r="M1406" s="165"/>
      <c r="N1406" s="165"/>
      <c r="O1406" s="163"/>
      <c r="P1406" s="163"/>
      <c r="Q1406" s="163"/>
      <c r="R1406" s="163"/>
      <c r="S1406" s="163"/>
      <c r="T1406" s="163"/>
      <c r="U1406" s="163"/>
      <c r="V1406" s="163"/>
      <c r="W1406" s="163"/>
      <c r="X1406" s="163"/>
      <c r="Y1406" s="163"/>
      <c r="Z1406" s="163"/>
      <c r="AA1406" s="163"/>
      <c r="AB1406" s="163"/>
      <c r="AC1406" s="163"/>
      <c r="AD1406" s="163"/>
      <c r="AE1406" s="163"/>
      <c r="AF1406" s="163"/>
      <c r="AG1406" s="163"/>
      <c r="AH1406" s="163"/>
      <c r="AI1406" s="163"/>
      <c r="AJ1406" s="163"/>
      <c r="AK1406" s="163"/>
      <c r="AL1406" s="163"/>
      <c r="AM1406" s="163"/>
      <c r="AN1406" s="163"/>
    </row>
    <row r="1407" spans="1:40" s="100" customFormat="1" ht="46.8" x14ac:dyDescent="0.3">
      <c r="A1407" s="160">
        <v>923</v>
      </c>
      <c r="B1407" s="166" t="s">
        <v>1796</v>
      </c>
      <c r="C1407" s="98" t="s">
        <v>2708</v>
      </c>
      <c r="D1407" s="162" t="s">
        <v>2712</v>
      </c>
      <c r="E1407" s="26" t="s">
        <v>144</v>
      </c>
      <c r="F1407" s="30" t="s">
        <v>49</v>
      </c>
      <c r="G1407" s="162" t="s">
        <v>2704</v>
      </c>
      <c r="H1407" s="162">
        <v>30</v>
      </c>
      <c r="I1407" s="162" t="str">
        <f t="shared" ref="I1407:I1413" si="143">G1407</f>
        <v>с ЛН</v>
      </c>
      <c r="J1407" s="164">
        <v>5</v>
      </c>
      <c r="K1407" s="164" t="s">
        <v>528</v>
      </c>
      <c r="L1407" s="164" t="s">
        <v>528</v>
      </c>
      <c r="M1407" s="164" t="s">
        <v>2705</v>
      </c>
      <c r="N1407" s="164" t="s">
        <v>2705</v>
      </c>
      <c r="O1407" s="162">
        <v>2149</v>
      </c>
      <c r="P1407" s="162" t="s">
        <v>2706</v>
      </c>
      <c r="Q1407" s="162">
        <v>1771</v>
      </c>
      <c r="R1407" s="162" t="s">
        <v>2706</v>
      </c>
      <c r="S1407" s="162">
        <v>1438</v>
      </c>
      <c r="T1407" s="162" t="s">
        <v>2706</v>
      </c>
      <c r="U1407" s="162">
        <v>2069</v>
      </c>
      <c r="V1407" s="162" t="s">
        <v>2706</v>
      </c>
      <c r="W1407" s="162">
        <v>1673</v>
      </c>
      <c r="X1407" s="162" t="s">
        <v>2706</v>
      </c>
      <c r="Y1407" s="162">
        <v>1516</v>
      </c>
      <c r="Z1407" s="162" t="s">
        <v>2706</v>
      </c>
      <c r="AA1407" s="162">
        <v>1277</v>
      </c>
      <c r="AB1407" s="162" t="s">
        <v>2706</v>
      </c>
      <c r="AC1407" s="162">
        <v>1642</v>
      </c>
      <c r="AD1407" s="162" t="s">
        <v>2706</v>
      </c>
      <c r="AE1407" s="162">
        <v>1251</v>
      </c>
      <c r="AF1407" s="162" t="s">
        <v>2706</v>
      </c>
      <c r="AG1407" s="162">
        <v>1425</v>
      </c>
      <c r="AH1407" s="162" t="s">
        <v>2706</v>
      </c>
      <c r="AI1407" s="162">
        <v>210</v>
      </c>
      <c r="AJ1407" s="162" t="s">
        <v>2706</v>
      </c>
      <c r="AK1407" s="162">
        <v>2071</v>
      </c>
      <c r="AL1407" s="162" t="s">
        <v>2706</v>
      </c>
      <c r="AM1407" s="162">
        <v>16850</v>
      </c>
      <c r="AN1407" s="162"/>
    </row>
    <row r="1408" spans="1:40" s="100" customFormat="1" ht="46.8" x14ac:dyDescent="0.3">
      <c r="A1408" s="161"/>
      <c r="B1408" s="167"/>
      <c r="C1408" s="98" t="s">
        <v>2708</v>
      </c>
      <c r="D1408" s="163"/>
      <c r="E1408" s="26" t="s">
        <v>48</v>
      </c>
      <c r="F1408" s="30" t="s">
        <v>49</v>
      </c>
      <c r="G1408" s="163"/>
      <c r="H1408" s="163"/>
      <c r="I1408" s="163"/>
      <c r="J1408" s="165"/>
      <c r="K1408" s="165"/>
      <c r="L1408" s="165"/>
      <c r="M1408" s="165"/>
      <c r="N1408" s="165"/>
      <c r="O1408" s="163"/>
      <c r="P1408" s="163"/>
      <c r="Q1408" s="163"/>
      <c r="R1408" s="163"/>
      <c r="S1408" s="163"/>
      <c r="T1408" s="163"/>
      <c r="U1408" s="163"/>
      <c r="V1408" s="163"/>
      <c r="W1408" s="163"/>
      <c r="X1408" s="163"/>
      <c r="Y1408" s="163"/>
      <c r="Z1408" s="163"/>
      <c r="AA1408" s="163"/>
      <c r="AB1408" s="163"/>
      <c r="AC1408" s="163"/>
      <c r="AD1408" s="163"/>
      <c r="AE1408" s="163"/>
      <c r="AF1408" s="163"/>
      <c r="AG1408" s="163"/>
      <c r="AH1408" s="163"/>
      <c r="AI1408" s="163"/>
      <c r="AJ1408" s="163"/>
      <c r="AK1408" s="163"/>
      <c r="AL1408" s="163"/>
      <c r="AM1408" s="163"/>
      <c r="AN1408" s="163"/>
    </row>
    <row r="1409" spans="1:40" s="100" customFormat="1" ht="46.8" x14ac:dyDescent="0.3">
      <c r="A1409" s="160">
        <v>924</v>
      </c>
      <c r="B1409" s="166" t="s">
        <v>1799</v>
      </c>
      <c r="C1409" s="98" t="s">
        <v>2708</v>
      </c>
      <c r="D1409" s="162" t="s">
        <v>2712</v>
      </c>
      <c r="E1409" s="26" t="s">
        <v>144</v>
      </c>
      <c r="F1409" s="30" t="s">
        <v>49</v>
      </c>
      <c r="G1409" s="162" t="s">
        <v>2704</v>
      </c>
      <c r="H1409" s="162">
        <v>54</v>
      </c>
      <c r="I1409" s="162" t="str">
        <f t="shared" si="143"/>
        <v>с ЛН</v>
      </c>
      <c r="J1409" s="164">
        <v>9</v>
      </c>
      <c r="K1409" s="164" t="s">
        <v>528</v>
      </c>
      <c r="L1409" s="164" t="s">
        <v>528</v>
      </c>
      <c r="M1409" s="164" t="s">
        <v>2705</v>
      </c>
      <c r="N1409" s="164" t="s">
        <v>2705</v>
      </c>
      <c r="O1409" s="162">
        <v>1004</v>
      </c>
      <c r="P1409" s="162" t="s">
        <v>2706</v>
      </c>
      <c r="Q1409" s="162">
        <v>691</v>
      </c>
      <c r="R1409" s="162" t="s">
        <v>2706</v>
      </c>
      <c r="S1409" s="162">
        <v>448</v>
      </c>
      <c r="T1409" s="162" t="s">
        <v>2706</v>
      </c>
      <c r="U1409" s="162">
        <v>662</v>
      </c>
      <c r="V1409" s="162" t="s">
        <v>2706</v>
      </c>
      <c r="W1409" s="162">
        <v>617</v>
      </c>
      <c r="X1409" s="162" t="s">
        <v>2706</v>
      </c>
      <c r="Y1409" s="162">
        <v>580</v>
      </c>
      <c r="Z1409" s="162" t="s">
        <v>2706</v>
      </c>
      <c r="AA1409" s="162">
        <v>535</v>
      </c>
      <c r="AB1409" s="162" t="s">
        <v>2706</v>
      </c>
      <c r="AC1409" s="162">
        <v>869</v>
      </c>
      <c r="AD1409" s="162" t="s">
        <v>2706</v>
      </c>
      <c r="AE1409" s="162">
        <v>718</v>
      </c>
      <c r="AF1409" s="162" t="s">
        <v>2706</v>
      </c>
      <c r="AG1409" s="162">
        <v>814</v>
      </c>
      <c r="AH1409" s="162" t="s">
        <v>2706</v>
      </c>
      <c r="AI1409" s="162">
        <v>958</v>
      </c>
      <c r="AJ1409" s="162" t="s">
        <v>2706</v>
      </c>
      <c r="AK1409" s="162">
        <v>1186</v>
      </c>
      <c r="AL1409" s="162" t="s">
        <v>2706</v>
      </c>
      <c r="AM1409" s="162">
        <v>8213</v>
      </c>
      <c r="AN1409" s="162"/>
    </row>
    <row r="1410" spans="1:40" s="100" customFormat="1" ht="46.8" x14ac:dyDescent="0.3">
      <c r="A1410" s="161"/>
      <c r="B1410" s="167"/>
      <c r="C1410" s="98" t="s">
        <v>2708</v>
      </c>
      <c r="D1410" s="163"/>
      <c r="E1410" s="26" t="s">
        <v>48</v>
      </c>
      <c r="F1410" s="30" t="s">
        <v>49</v>
      </c>
      <c r="G1410" s="163"/>
      <c r="H1410" s="163"/>
      <c r="I1410" s="163"/>
      <c r="J1410" s="165"/>
      <c r="K1410" s="165"/>
      <c r="L1410" s="165"/>
      <c r="M1410" s="165"/>
      <c r="N1410" s="165"/>
      <c r="O1410" s="163"/>
      <c r="P1410" s="163"/>
      <c r="Q1410" s="163"/>
      <c r="R1410" s="163"/>
      <c r="S1410" s="163"/>
      <c r="T1410" s="163"/>
      <c r="U1410" s="163"/>
      <c r="V1410" s="163"/>
      <c r="W1410" s="163"/>
      <c r="X1410" s="163"/>
      <c r="Y1410" s="163"/>
      <c r="Z1410" s="163"/>
      <c r="AA1410" s="163"/>
      <c r="AB1410" s="163"/>
      <c r="AC1410" s="163"/>
      <c r="AD1410" s="163"/>
      <c r="AE1410" s="163"/>
      <c r="AF1410" s="163"/>
      <c r="AG1410" s="163"/>
      <c r="AH1410" s="163"/>
      <c r="AI1410" s="163"/>
      <c r="AJ1410" s="163"/>
      <c r="AK1410" s="163"/>
      <c r="AL1410" s="163"/>
      <c r="AM1410" s="163"/>
      <c r="AN1410" s="163"/>
    </row>
    <row r="1411" spans="1:40" s="100" customFormat="1" ht="46.8" x14ac:dyDescent="0.3">
      <c r="A1411" s="160">
        <v>925</v>
      </c>
      <c r="B1411" s="166" t="s">
        <v>1800</v>
      </c>
      <c r="C1411" s="98" t="s">
        <v>2708</v>
      </c>
      <c r="D1411" s="162" t="s">
        <v>2712</v>
      </c>
      <c r="E1411" s="26" t="s">
        <v>144</v>
      </c>
      <c r="F1411" s="30" t="s">
        <v>49</v>
      </c>
      <c r="G1411" s="162" t="s">
        <v>2704</v>
      </c>
      <c r="H1411" s="162">
        <v>48</v>
      </c>
      <c r="I1411" s="162" t="str">
        <f t="shared" si="143"/>
        <v>с ЛН</v>
      </c>
      <c r="J1411" s="164">
        <v>11</v>
      </c>
      <c r="K1411" s="164" t="s">
        <v>528</v>
      </c>
      <c r="L1411" s="164" t="s">
        <v>528</v>
      </c>
      <c r="M1411" s="164" t="s">
        <v>2705</v>
      </c>
      <c r="N1411" s="164" t="s">
        <v>2705</v>
      </c>
      <c r="O1411" s="162">
        <v>935</v>
      </c>
      <c r="P1411" s="162" t="s">
        <v>2706</v>
      </c>
      <c r="Q1411" s="162">
        <v>804</v>
      </c>
      <c r="R1411" s="162" t="s">
        <v>2706</v>
      </c>
      <c r="S1411" s="162">
        <v>746</v>
      </c>
      <c r="T1411" s="162" t="s">
        <v>2706</v>
      </c>
      <c r="U1411" s="162">
        <v>777</v>
      </c>
      <c r="V1411" s="162" t="s">
        <v>2706</v>
      </c>
      <c r="W1411" s="162">
        <v>679</v>
      </c>
      <c r="X1411" s="162" t="s">
        <v>2706</v>
      </c>
      <c r="Y1411" s="162">
        <v>586</v>
      </c>
      <c r="Z1411" s="162" t="s">
        <v>2706</v>
      </c>
      <c r="AA1411" s="162">
        <v>460</v>
      </c>
      <c r="AB1411" s="162" t="s">
        <v>2706</v>
      </c>
      <c r="AC1411" s="162">
        <v>636</v>
      </c>
      <c r="AD1411" s="162" t="s">
        <v>2706</v>
      </c>
      <c r="AE1411" s="162">
        <v>649</v>
      </c>
      <c r="AF1411" s="162" t="s">
        <v>2706</v>
      </c>
      <c r="AG1411" s="162">
        <v>567</v>
      </c>
      <c r="AH1411" s="162" t="s">
        <v>2706</v>
      </c>
      <c r="AI1411" s="162">
        <v>527</v>
      </c>
      <c r="AJ1411" s="162" t="s">
        <v>2706</v>
      </c>
      <c r="AK1411" s="162">
        <v>1074</v>
      </c>
      <c r="AL1411" s="162" t="s">
        <v>2706</v>
      </c>
      <c r="AM1411" s="162">
        <v>7804</v>
      </c>
      <c r="AN1411" s="162"/>
    </row>
    <row r="1412" spans="1:40" s="100" customFormat="1" ht="46.8" x14ac:dyDescent="0.3">
      <c r="A1412" s="161"/>
      <c r="B1412" s="167"/>
      <c r="C1412" s="98" t="s">
        <v>2708</v>
      </c>
      <c r="D1412" s="163"/>
      <c r="E1412" s="26" t="s">
        <v>48</v>
      </c>
      <c r="F1412" s="30" t="s">
        <v>49</v>
      </c>
      <c r="G1412" s="163"/>
      <c r="H1412" s="163"/>
      <c r="I1412" s="163"/>
      <c r="J1412" s="165"/>
      <c r="K1412" s="165"/>
      <c r="L1412" s="165"/>
      <c r="M1412" s="165"/>
      <c r="N1412" s="165"/>
      <c r="O1412" s="163"/>
      <c r="P1412" s="163"/>
      <c r="Q1412" s="163"/>
      <c r="R1412" s="163"/>
      <c r="S1412" s="163"/>
      <c r="T1412" s="163"/>
      <c r="U1412" s="163"/>
      <c r="V1412" s="163"/>
      <c r="W1412" s="163"/>
      <c r="X1412" s="163"/>
      <c r="Y1412" s="163"/>
      <c r="Z1412" s="163"/>
      <c r="AA1412" s="163"/>
      <c r="AB1412" s="163"/>
      <c r="AC1412" s="163"/>
      <c r="AD1412" s="163"/>
      <c r="AE1412" s="163"/>
      <c r="AF1412" s="163"/>
      <c r="AG1412" s="163"/>
      <c r="AH1412" s="163"/>
      <c r="AI1412" s="163"/>
      <c r="AJ1412" s="163"/>
      <c r="AK1412" s="163"/>
      <c r="AL1412" s="163"/>
      <c r="AM1412" s="163"/>
      <c r="AN1412" s="163"/>
    </row>
    <row r="1413" spans="1:40" s="100" customFormat="1" ht="46.8" x14ac:dyDescent="0.3">
      <c r="A1413" s="160">
        <v>926</v>
      </c>
      <c r="B1413" s="166" t="s">
        <v>1801</v>
      </c>
      <c r="C1413" s="98" t="s">
        <v>2708</v>
      </c>
      <c r="D1413" s="162" t="s">
        <v>2712</v>
      </c>
      <c r="E1413" s="26" t="s">
        <v>144</v>
      </c>
      <c r="F1413" s="30" t="s">
        <v>49</v>
      </c>
      <c r="G1413" s="162" t="s">
        <v>2704</v>
      </c>
      <c r="H1413" s="162">
        <v>33</v>
      </c>
      <c r="I1413" s="162" t="str">
        <f t="shared" si="143"/>
        <v>с ЛН</v>
      </c>
      <c r="J1413" s="164">
        <v>5</v>
      </c>
      <c r="K1413" s="164" t="s">
        <v>528</v>
      </c>
      <c r="L1413" s="164" t="s">
        <v>528</v>
      </c>
      <c r="M1413" s="164" t="s">
        <v>2705</v>
      </c>
      <c r="N1413" s="164" t="s">
        <v>2705</v>
      </c>
      <c r="O1413" s="162">
        <v>813</v>
      </c>
      <c r="P1413" s="162" t="s">
        <v>2706</v>
      </c>
      <c r="Q1413" s="162">
        <v>867</v>
      </c>
      <c r="R1413" s="162" t="s">
        <v>2706</v>
      </c>
      <c r="S1413" s="162">
        <v>636</v>
      </c>
      <c r="T1413" s="162" t="s">
        <v>2706</v>
      </c>
      <c r="U1413" s="162">
        <v>734</v>
      </c>
      <c r="V1413" s="162" t="s">
        <v>2706</v>
      </c>
      <c r="W1413" s="162">
        <v>636</v>
      </c>
      <c r="X1413" s="162" t="s">
        <v>2706</v>
      </c>
      <c r="Y1413" s="162">
        <v>560</v>
      </c>
      <c r="Z1413" s="162" t="s">
        <v>2706</v>
      </c>
      <c r="AA1413" s="162">
        <v>517</v>
      </c>
      <c r="AB1413" s="162" t="s">
        <v>2706</v>
      </c>
      <c r="AC1413" s="162">
        <v>650</v>
      </c>
      <c r="AD1413" s="162" t="s">
        <v>2706</v>
      </c>
      <c r="AE1413" s="162">
        <v>593</v>
      </c>
      <c r="AF1413" s="162" t="s">
        <v>2706</v>
      </c>
      <c r="AG1413" s="162">
        <v>705</v>
      </c>
      <c r="AH1413" s="162" t="s">
        <v>2706</v>
      </c>
      <c r="AI1413" s="162">
        <v>6381</v>
      </c>
      <c r="AJ1413" s="162" t="s">
        <v>2706</v>
      </c>
      <c r="AK1413" s="162">
        <v>925</v>
      </c>
      <c r="AL1413" s="162" t="s">
        <v>2706</v>
      </c>
      <c r="AM1413" s="162">
        <v>13367</v>
      </c>
      <c r="AN1413" s="162"/>
    </row>
    <row r="1414" spans="1:40" s="100" customFormat="1" ht="46.8" x14ac:dyDescent="0.3">
      <c r="A1414" s="161"/>
      <c r="B1414" s="167"/>
      <c r="C1414" s="98" t="s">
        <v>2708</v>
      </c>
      <c r="D1414" s="163"/>
      <c r="E1414" s="26" t="s">
        <v>48</v>
      </c>
      <c r="F1414" s="30" t="s">
        <v>49</v>
      </c>
      <c r="G1414" s="163"/>
      <c r="H1414" s="163"/>
      <c r="I1414" s="163"/>
      <c r="J1414" s="165"/>
      <c r="K1414" s="165"/>
      <c r="L1414" s="165"/>
      <c r="M1414" s="165"/>
      <c r="N1414" s="165"/>
      <c r="O1414" s="163"/>
      <c r="P1414" s="163"/>
      <c r="Q1414" s="163"/>
      <c r="R1414" s="163"/>
      <c r="S1414" s="163"/>
      <c r="T1414" s="163"/>
      <c r="U1414" s="163"/>
      <c r="V1414" s="163"/>
      <c r="W1414" s="163"/>
      <c r="X1414" s="163"/>
      <c r="Y1414" s="163"/>
      <c r="Z1414" s="163"/>
      <c r="AA1414" s="163"/>
      <c r="AB1414" s="163"/>
      <c r="AC1414" s="163"/>
      <c r="AD1414" s="163"/>
      <c r="AE1414" s="163"/>
      <c r="AF1414" s="163"/>
      <c r="AG1414" s="163"/>
      <c r="AH1414" s="163"/>
      <c r="AI1414" s="163"/>
      <c r="AJ1414" s="163"/>
      <c r="AK1414" s="163"/>
      <c r="AL1414" s="163"/>
      <c r="AM1414" s="163"/>
      <c r="AN1414" s="163"/>
    </row>
    <row r="1415" spans="1:40" s="100" customFormat="1" ht="46.8" x14ac:dyDescent="0.3">
      <c r="A1415" s="160">
        <v>927</v>
      </c>
      <c r="B1415" s="166" t="s">
        <v>1802</v>
      </c>
      <c r="C1415" s="98" t="s">
        <v>2708</v>
      </c>
      <c r="D1415" s="162" t="s">
        <v>2712</v>
      </c>
      <c r="E1415" s="26" t="s">
        <v>144</v>
      </c>
      <c r="F1415" s="30" t="s">
        <v>49</v>
      </c>
      <c r="G1415" s="162"/>
      <c r="H1415" s="162"/>
      <c r="I1415" s="162"/>
      <c r="J1415" s="164"/>
      <c r="K1415" s="164" t="s">
        <v>528</v>
      </c>
      <c r="L1415" s="164" t="s">
        <v>528</v>
      </c>
      <c r="M1415" s="164" t="s">
        <v>2705</v>
      </c>
      <c r="N1415" s="164" t="s">
        <v>2705</v>
      </c>
      <c r="O1415" s="162">
        <v>325</v>
      </c>
      <c r="P1415" s="162" t="s">
        <v>2706</v>
      </c>
      <c r="Q1415" s="162">
        <v>325</v>
      </c>
      <c r="R1415" s="162" t="s">
        <v>2706</v>
      </c>
      <c r="S1415" s="162">
        <v>325</v>
      </c>
      <c r="T1415" s="162" t="s">
        <v>2706</v>
      </c>
      <c r="U1415" s="162">
        <v>325</v>
      </c>
      <c r="V1415" s="162" t="s">
        <v>2706</v>
      </c>
      <c r="W1415" s="162">
        <v>325</v>
      </c>
      <c r="X1415" s="162" t="s">
        <v>2706</v>
      </c>
      <c r="Y1415" s="162">
        <v>6381</v>
      </c>
      <c r="Z1415" s="162" t="s">
        <v>2706</v>
      </c>
      <c r="AA1415" s="162">
        <v>6381</v>
      </c>
      <c r="AB1415" s="162" t="s">
        <v>2706</v>
      </c>
      <c r="AC1415" s="162">
        <v>6381</v>
      </c>
      <c r="AD1415" s="162" t="s">
        <v>2706</v>
      </c>
      <c r="AE1415" s="162">
        <v>6381</v>
      </c>
      <c r="AF1415" s="162" t="s">
        <v>2706</v>
      </c>
      <c r="AG1415" s="162">
        <v>6381</v>
      </c>
      <c r="AH1415" s="162" t="s">
        <v>2706</v>
      </c>
      <c r="AI1415" s="162">
        <v>210</v>
      </c>
      <c r="AJ1415" s="162" t="s">
        <v>2706</v>
      </c>
      <c r="AK1415" s="162">
        <v>6381</v>
      </c>
      <c r="AL1415" s="162" t="s">
        <v>2706</v>
      </c>
      <c r="AM1415" s="162">
        <v>33740</v>
      </c>
      <c r="AN1415" s="162"/>
    </row>
    <row r="1416" spans="1:40" s="100" customFormat="1" ht="46.8" x14ac:dyDescent="0.3">
      <c r="A1416" s="161"/>
      <c r="B1416" s="167"/>
      <c r="C1416" s="98" t="s">
        <v>2708</v>
      </c>
      <c r="D1416" s="163"/>
      <c r="E1416" s="26" t="s">
        <v>48</v>
      </c>
      <c r="F1416" s="30" t="s">
        <v>49</v>
      </c>
      <c r="G1416" s="163"/>
      <c r="H1416" s="163"/>
      <c r="I1416" s="163"/>
      <c r="J1416" s="165"/>
      <c r="K1416" s="165"/>
      <c r="L1416" s="165"/>
      <c r="M1416" s="165"/>
      <c r="N1416" s="165"/>
      <c r="O1416" s="163"/>
      <c r="P1416" s="163"/>
      <c r="Q1416" s="163"/>
      <c r="R1416" s="163"/>
      <c r="S1416" s="163"/>
      <c r="T1416" s="163"/>
      <c r="U1416" s="163"/>
      <c r="V1416" s="163"/>
      <c r="W1416" s="163"/>
      <c r="X1416" s="163"/>
      <c r="Y1416" s="163"/>
      <c r="Z1416" s="163"/>
      <c r="AA1416" s="163"/>
      <c r="AB1416" s="163"/>
      <c r="AC1416" s="163"/>
      <c r="AD1416" s="163"/>
      <c r="AE1416" s="163"/>
      <c r="AF1416" s="163"/>
      <c r="AG1416" s="163"/>
      <c r="AH1416" s="163"/>
      <c r="AI1416" s="163"/>
      <c r="AJ1416" s="163"/>
      <c r="AK1416" s="163"/>
      <c r="AL1416" s="163"/>
      <c r="AM1416" s="163"/>
      <c r="AN1416" s="163"/>
    </row>
    <row r="1417" spans="1:40" s="100" customFormat="1" ht="46.8" x14ac:dyDescent="0.3">
      <c r="A1417" s="160">
        <v>928</v>
      </c>
      <c r="B1417" s="166" t="s">
        <v>1803</v>
      </c>
      <c r="C1417" s="98" t="s">
        <v>2708</v>
      </c>
      <c r="D1417" s="162" t="s">
        <v>2712</v>
      </c>
      <c r="E1417" s="26" t="s">
        <v>144</v>
      </c>
      <c r="F1417" s="30" t="s">
        <v>49</v>
      </c>
      <c r="G1417" s="162" t="s">
        <v>2704</v>
      </c>
      <c r="H1417" s="162">
        <v>16</v>
      </c>
      <c r="I1417" s="162" t="str">
        <f t="shared" ref="I1417:I1435" si="144">G1417</f>
        <v>с ЛН</v>
      </c>
      <c r="J1417" s="164">
        <v>3</v>
      </c>
      <c r="K1417" s="164" t="s">
        <v>528</v>
      </c>
      <c r="L1417" s="164" t="s">
        <v>528</v>
      </c>
      <c r="M1417" s="164" t="s">
        <v>2705</v>
      </c>
      <c r="N1417" s="164" t="s">
        <v>2705</v>
      </c>
      <c r="O1417" s="162">
        <v>249</v>
      </c>
      <c r="P1417" s="162" t="s">
        <v>2706</v>
      </c>
      <c r="Q1417" s="162">
        <v>233</v>
      </c>
      <c r="R1417" s="162" t="s">
        <v>2706</v>
      </c>
      <c r="S1417" s="162">
        <v>157</v>
      </c>
      <c r="T1417" s="162" t="s">
        <v>2706</v>
      </c>
      <c r="U1417" s="162">
        <v>188</v>
      </c>
      <c r="V1417" s="162" t="s">
        <v>2706</v>
      </c>
      <c r="W1417" s="162">
        <v>107</v>
      </c>
      <c r="X1417" s="162" t="s">
        <v>2706</v>
      </c>
      <c r="Y1417" s="162">
        <v>79</v>
      </c>
      <c r="Z1417" s="162" t="s">
        <v>2706</v>
      </c>
      <c r="AA1417" s="162">
        <v>73</v>
      </c>
      <c r="AB1417" s="162" t="s">
        <v>2706</v>
      </c>
      <c r="AC1417" s="162">
        <v>146</v>
      </c>
      <c r="AD1417" s="162" t="s">
        <v>2706</v>
      </c>
      <c r="AE1417" s="162">
        <v>130</v>
      </c>
      <c r="AF1417" s="162" t="s">
        <v>2706</v>
      </c>
      <c r="AG1417" s="162">
        <v>154</v>
      </c>
      <c r="AH1417" s="162" t="s">
        <v>2706</v>
      </c>
      <c r="AI1417" s="162">
        <v>356</v>
      </c>
      <c r="AJ1417" s="162" t="s">
        <v>2706</v>
      </c>
      <c r="AK1417" s="162">
        <v>296</v>
      </c>
      <c r="AL1417" s="162" t="s">
        <v>2706</v>
      </c>
      <c r="AM1417" s="162">
        <v>2022</v>
      </c>
      <c r="AN1417" s="162"/>
    </row>
    <row r="1418" spans="1:40" s="100" customFormat="1" ht="46.8" x14ac:dyDescent="0.3">
      <c r="A1418" s="161"/>
      <c r="B1418" s="167"/>
      <c r="C1418" s="98" t="s">
        <v>2708</v>
      </c>
      <c r="D1418" s="163"/>
      <c r="E1418" s="26" t="s">
        <v>48</v>
      </c>
      <c r="F1418" s="30" t="s">
        <v>49</v>
      </c>
      <c r="G1418" s="163"/>
      <c r="H1418" s="163"/>
      <c r="I1418" s="163"/>
      <c r="J1418" s="165"/>
      <c r="K1418" s="165"/>
      <c r="L1418" s="165"/>
      <c r="M1418" s="165"/>
      <c r="N1418" s="165"/>
      <c r="O1418" s="163"/>
      <c r="P1418" s="163"/>
      <c r="Q1418" s="163"/>
      <c r="R1418" s="163"/>
      <c r="S1418" s="163"/>
      <c r="T1418" s="163"/>
      <c r="U1418" s="163"/>
      <c r="V1418" s="163"/>
      <c r="W1418" s="163"/>
      <c r="X1418" s="163"/>
      <c r="Y1418" s="163"/>
      <c r="Z1418" s="163"/>
      <c r="AA1418" s="163"/>
      <c r="AB1418" s="163"/>
      <c r="AC1418" s="163"/>
      <c r="AD1418" s="163"/>
      <c r="AE1418" s="163"/>
      <c r="AF1418" s="163"/>
      <c r="AG1418" s="163"/>
      <c r="AH1418" s="163"/>
      <c r="AI1418" s="163"/>
      <c r="AJ1418" s="163"/>
      <c r="AK1418" s="163"/>
      <c r="AL1418" s="163"/>
      <c r="AM1418" s="163"/>
      <c r="AN1418" s="163"/>
    </row>
    <row r="1419" spans="1:40" s="100" customFormat="1" ht="46.8" x14ac:dyDescent="0.3">
      <c r="A1419" s="160">
        <v>929</v>
      </c>
      <c r="B1419" s="166" t="s">
        <v>1804</v>
      </c>
      <c r="C1419" s="98" t="s">
        <v>2708</v>
      </c>
      <c r="D1419" s="162" t="s">
        <v>2712</v>
      </c>
      <c r="E1419" s="26" t="s">
        <v>144</v>
      </c>
      <c r="F1419" s="30" t="s">
        <v>49</v>
      </c>
      <c r="G1419" s="162" t="s">
        <v>2704</v>
      </c>
      <c r="H1419" s="162">
        <v>32</v>
      </c>
      <c r="I1419" s="162" t="str">
        <f t="shared" si="144"/>
        <v>с ЛН</v>
      </c>
      <c r="J1419" s="164">
        <v>7</v>
      </c>
      <c r="K1419" s="164" t="s">
        <v>528</v>
      </c>
      <c r="L1419" s="164" t="s">
        <v>528</v>
      </c>
      <c r="M1419" s="164" t="s">
        <v>2705</v>
      </c>
      <c r="N1419" s="164" t="s">
        <v>2705</v>
      </c>
      <c r="O1419" s="162">
        <v>340</v>
      </c>
      <c r="P1419" s="162" t="s">
        <v>2706</v>
      </c>
      <c r="Q1419" s="162">
        <v>266</v>
      </c>
      <c r="R1419" s="162" t="s">
        <v>2706</v>
      </c>
      <c r="S1419" s="162">
        <v>185</v>
      </c>
      <c r="T1419" s="162" t="s">
        <v>2706</v>
      </c>
      <c r="U1419" s="162">
        <v>190</v>
      </c>
      <c r="V1419" s="162" t="s">
        <v>2706</v>
      </c>
      <c r="W1419" s="162">
        <v>156</v>
      </c>
      <c r="X1419" s="162" t="s">
        <v>2706</v>
      </c>
      <c r="Y1419" s="162">
        <v>112</v>
      </c>
      <c r="Z1419" s="162" t="s">
        <v>2706</v>
      </c>
      <c r="AA1419" s="162">
        <v>90</v>
      </c>
      <c r="AB1419" s="162" t="s">
        <v>2706</v>
      </c>
      <c r="AC1419" s="162">
        <v>218</v>
      </c>
      <c r="AD1419" s="162" t="s">
        <v>2706</v>
      </c>
      <c r="AE1419" s="162">
        <v>254</v>
      </c>
      <c r="AF1419" s="162" t="s">
        <v>2706</v>
      </c>
      <c r="AG1419" s="162">
        <v>304</v>
      </c>
      <c r="AH1419" s="162" t="s">
        <v>2706</v>
      </c>
      <c r="AI1419" s="162">
        <v>475</v>
      </c>
      <c r="AJ1419" s="162" t="s">
        <v>2706</v>
      </c>
      <c r="AK1419" s="162">
        <v>374</v>
      </c>
      <c r="AL1419" s="162" t="s">
        <v>2706</v>
      </c>
      <c r="AM1419" s="162">
        <v>2746</v>
      </c>
      <c r="AN1419" s="162"/>
    </row>
    <row r="1420" spans="1:40" s="100" customFormat="1" ht="46.8" x14ac:dyDescent="0.3">
      <c r="A1420" s="161"/>
      <c r="B1420" s="167"/>
      <c r="C1420" s="98" t="s">
        <v>2708</v>
      </c>
      <c r="D1420" s="163"/>
      <c r="E1420" s="26" t="s">
        <v>48</v>
      </c>
      <c r="F1420" s="30" t="s">
        <v>49</v>
      </c>
      <c r="G1420" s="163"/>
      <c r="H1420" s="163"/>
      <c r="I1420" s="163"/>
      <c r="J1420" s="165"/>
      <c r="K1420" s="165"/>
      <c r="L1420" s="165"/>
      <c r="M1420" s="165"/>
      <c r="N1420" s="165"/>
      <c r="O1420" s="163"/>
      <c r="P1420" s="163"/>
      <c r="Q1420" s="163"/>
      <c r="R1420" s="163"/>
      <c r="S1420" s="163"/>
      <c r="T1420" s="163"/>
      <c r="U1420" s="163"/>
      <c r="V1420" s="163"/>
      <c r="W1420" s="163"/>
      <c r="X1420" s="163"/>
      <c r="Y1420" s="163"/>
      <c r="Z1420" s="163"/>
      <c r="AA1420" s="163"/>
      <c r="AB1420" s="163"/>
      <c r="AC1420" s="163"/>
      <c r="AD1420" s="163"/>
      <c r="AE1420" s="163"/>
      <c r="AF1420" s="163"/>
      <c r="AG1420" s="163"/>
      <c r="AH1420" s="163"/>
      <c r="AI1420" s="163"/>
      <c r="AJ1420" s="163"/>
      <c r="AK1420" s="163"/>
      <c r="AL1420" s="163"/>
      <c r="AM1420" s="163"/>
      <c r="AN1420" s="163"/>
    </row>
    <row r="1421" spans="1:40" s="100" customFormat="1" ht="46.8" x14ac:dyDescent="0.3">
      <c r="A1421" s="160">
        <v>930</v>
      </c>
      <c r="B1421" s="166" t="s">
        <v>1806</v>
      </c>
      <c r="C1421" s="98" t="s">
        <v>2708</v>
      </c>
      <c r="D1421" s="162" t="s">
        <v>2712</v>
      </c>
      <c r="E1421" s="26" t="s">
        <v>144</v>
      </c>
      <c r="F1421" s="30" t="s">
        <v>49</v>
      </c>
      <c r="G1421" s="162" t="s">
        <v>2704</v>
      </c>
      <c r="H1421" s="162">
        <v>22</v>
      </c>
      <c r="I1421" s="162" t="str">
        <f t="shared" si="144"/>
        <v>с ЛН</v>
      </c>
      <c r="J1421" s="164">
        <v>4</v>
      </c>
      <c r="K1421" s="164" t="s">
        <v>528</v>
      </c>
      <c r="L1421" s="164" t="s">
        <v>528</v>
      </c>
      <c r="M1421" s="164" t="s">
        <v>2705</v>
      </c>
      <c r="N1421" s="164" t="s">
        <v>2705</v>
      </c>
      <c r="O1421" s="162">
        <v>0</v>
      </c>
      <c r="P1421" s="162" t="s">
        <v>2706</v>
      </c>
      <c r="Q1421" s="162">
        <v>0</v>
      </c>
      <c r="R1421" s="162" t="s">
        <v>2706</v>
      </c>
      <c r="S1421" s="162">
        <v>0</v>
      </c>
      <c r="T1421" s="162" t="s">
        <v>2706</v>
      </c>
      <c r="U1421" s="162">
        <v>0</v>
      </c>
      <c r="V1421" s="162" t="s">
        <v>2706</v>
      </c>
      <c r="W1421" s="162">
        <v>0</v>
      </c>
      <c r="X1421" s="162" t="s">
        <v>2706</v>
      </c>
      <c r="Y1421" s="162">
        <v>0</v>
      </c>
      <c r="Z1421" s="162" t="s">
        <v>2706</v>
      </c>
      <c r="AA1421" s="162">
        <v>0</v>
      </c>
      <c r="AB1421" s="162" t="s">
        <v>2706</v>
      </c>
      <c r="AC1421" s="162">
        <v>0</v>
      </c>
      <c r="AD1421" s="162" t="s">
        <v>2706</v>
      </c>
      <c r="AE1421" s="162">
        <v>0</v>
      </c>
      <c r="AF1421" s="162" t="s">
        <v>2706</v>
      </c>
      <c r="AG1421" s="162">
        <v>0</v>
      </c>
      <c r="AH1421" s="162" t="s">
        <v>2706</v>
      </c>
      <c r="AI1421" s="162">
        <v>0</v>
      </c>
      <c r="AJ1421" s="162" t="s">
        <v>2706</v>
      </c>
      <c r="AK1421" s="162">
        <v>0</v>
      </c>
      <c r="AL1421" s="162" t="s">
        <v>2706</v>
      </c>
      <c r="AM1421" s="162">
        <v>0</v>
      </c>
      <c r="AN1421" s="162"/>
    </row>
    <row r="1422" spans="1:40" s="100" customFormat="1" ht="46.8" x14ac:dyDescent="0.3">
      <c r="A1422" s="161"/>
      <c r="B1422" s="167"/>
      <c r="C1422" s="98" t="s">
        <v>2708</v>
      </c>
      <c r="D1422" s="163"/>
      <c r="E1422" s="26" t="s">
        <v>48</v>
      </c>
      <c r="F1422" s="30" t="s">
        <v>49</v>
      </c>
      <c r="G1422" s="163"/>
      <c r="H1422" s="163"/>
      <c r="I1422" s="163"/>
      <c r="J1422" s="165"/>
      <c r="K1422" s="165"/>
      <c r="L1422" s="165"/>
      <c r="M1422" s="165"/>
      <c r="N1422" s="165"/>
      <c r="O1422" s="163"/>
      <c r="P1422" s="163"/>
      <c r="Q1422" s="163"/>
      <c r="R1422" s="163"/>
      <c r="S1422" s="163"/>
      <c r="T1422" s="163"/>
      <c r="U1422" s="163"/>
      <c r="V1422" s="163"/>
      <c r="W1422" s="163"/>
      <c r="X1422" s="163"/>
      <c r="Y1422" s="163"/>
      <c r="Z1422" s="163"/>
      <c r="AA1422" s="163"/>
      <c r="AB1422" s="163"/>
      <c r="AC1422" s="163"/>
      <c r="AD1422" s="163"/>
      <c r="AE1422" s="163"/>
      <c r="AF1422" s="163"/>
      <c r="AG1422" s="163"/>
      <c r="AH1422" s="163"/>
      <c r="AI1422" s="163"/>
      <c r="AJ1422" s="163"/>
      <c r="AK1422" s="163"/>
      <c r="AL1422" s="163"/>
      <c r="AM1422" s="163"/>
      <c r="AN1422" s="163"/>
    </row>
    <row r="1423" spans="1:40" s="100" customFormat="1" ht="46.8" x14ac:dyDescent="0.3">
      <c r="A1423" s="160">
        <v>931</v>
      </c>
      <c r="B1423" s="166" t="s">
        <v>1807</v>
      </c>
      <c r="C1423" s="98" t="s">
        <v>2708</v>
      </c>
      <c r="D1423" s="162" t="s">
        <v>2712</v>
      </c>
      <c r="E1423" s="26" t="s">
        <v>144</v>
      </c>
      <c r="F1423" s="30" t="s">
        <v>49</v>
      </c>
      <c r="G1423" s="162" t="s">
        <v>2704</v>
      </c>
      <c r="H1423" s="162">
        <v>22</v>
      </c>
      <c r="I1423" s="162" t="str">
        <f t="shared" si="144"/>
        <v>с ЛН</v>
      </c>
      <c r="J1423" s="164">
        <v>4</v>
      </c>
      <c r="K1423" s="164" t="s">
        <v>528</v>
      </c>
      <c r="L1423" s="164" t="s">
        <v>528</v>
      </c>
      <c r="M1423" s="164" t="s">
        <v>2705</v>
      </c>
      <c r="N1423" s="164" t="s">
        <v>2705</v>
      </c>
      <c r="O1423" s="162">
        <v>781</v>
      </c>
      <c r="P1423" s="162" t="s">
        <v>2706</v>
      </c>
      <c r="Q1423" s="162">
        <v>635</v>
      </c>
      <c r="R1423" s="162" t="s">
        <v>2706</v>
      </c>
      <c r="S1423" s="162">
        <v>472</v>
      </c>
      <c r="T1423" s="162" t="s">
        <v>2706</v>
      </c>
      <c r="U1423" s="162">
        <v>586</v>
      </c>
      <c r="V1423" s="162" t="s">
        <v>2706</v>
      </c>
      <c r="W1423" s="162">
        <v>615</v>
      </c>
      <c r="X1423" s="162" t="s">
        <v>2706</v>
      </c>
      <c r="Y1423" s="162">
        <v>408</v>
      </c>
      <c r="Z1423" s="162" t="s">
        <v>2706</v>
      </c>
      <c r="AA1423" s="162">
        <v>318</v>
      </c>
      <c r="AB1423" s="162" t="s">
        <v>2706</v>
      </c>
      <c r="AC1423" s="162">
        <v>505</v>
      </c>
      <c r="AD1423" s="162" t="s">
        <v>2706</v>
      </c>
      <c r="AE1423" s="162">
        <v>541</v>
      </c>
      <c r="AF1423" s="162" t="s">
        <v>2706</v>
      </c>
      <c r="AG1423" s="162">
        <v>460</v>
      </c>
      <c r="AH1423" s="162" t="s">
        <v>2706</v>
      </c>
      <c r="AI1423" s="162">
        <v>2142</v>
      </c>
      <c r="AJ1423" s="162" t="s">
        <v>2706</v>
      </c>
      <c r="AK1423" s="162">
        <v>571</v>
      </c>
      <c r="AL1423" s="162" t="s">
        <v>2706</v>
      </c>
      <c r="AM1423" s="162">
        <v>7529</v>
      </c>
      <c r="AN1423" s="162"/>
    </row>
    <row r="1424" spans="1:40" s="100" customFormat="1" ht="46.8" x14ac:dyDescent="0.3">
      <c r="A1424" s="161"/>
      <c r="B1424" s="167"/>
      <c r="C1424" s="98" t="s">
        <v>2708</v>
      </c>
      <c r="D1424" s="163"/>
      <c r="E1424" s="26" t="s">
        <v>48</v>
      </c>
      <c r="F1424" s="30" t="s">
        <v>49</v>
      </c>
      <c r="G1424" s="163"/>
      <c r="H1424" s="163"/>
      <c r="I1424" s="163"/>
      <c r="J1424" s="165"/>
      <c r="K1424" s="165"/>
      <c r="L1424" s="165"/>
      <c r="M1424" s="165"/>
      <c r="N1424" s="165"/>
      <c r="O1424" s="163"/>
      <c r="P1424" s="163"/>
      <c r="Q1424" s="163"/>
      <c r="R1424" s="163"/>
      <c r="S1424" s="163"/>
      <c r="T1424" s="163"/>
      <c r="U1424" s="163"/>
      <c r="V1424" s="163"/>
      <c r="W1424" s="163"/>
      <c r="X1424" s="163"/>
      <c r="Y1424" s="163"/>
      <c r="Z1424" s="163"/>
      <c r="AA1424" s="163"/>
      <c r="AB1424" s="163"/>
      <c r="AC1424" s="163"/>
      <c r="AD1424" s="163"/>
      <c r="AE1424" s="163"/>
      <c r="AF1424" s="163"/>
      <c r="AG1424" s="163"/>
      <c r="AH1424" s="163"/>
      <c r="AI1424" s="163"/>
      <c r="AJ1424" s="163"/>
      <c r="AK1424" s="163"/>
      <c r="AL1424" s="163"/>
      <c r="AM1424" s="163"/>
      <c r="AN1424" s="163"/>
    </row>
    <row r="1425" spans="1:40" s="100" customFormat="1" ht="46.8" x14ac:dyDescent="0.3">
      <c r="A1425" s="160">
        <v>932</v>
      </c>
      <c r="B1425" s="166" t="s">
        <v>1809</v>
      </c>
      <c r="C1425" s="98" t="s">
        <v>2708</v>
      </c>
      <c r="D1425" s="162" t="s">
        <v>2712</v>
      </c>
      <c r="E1425" s="26" t="s">
        <v>144</v>
      </c>
      <c r="F1425" s="30" t="s">
        <v>49</v>
      </c>
      <c r="G1425" s="162" t="s">
        <v>2704</v>
      </c>
      <c r="H1425" s="162">
        <v>22</v>
      </c>
      <c r="I1425" s="162" t="str">
        <f t="shared" si="144"/>
        <v>с ЛН</v>
      </c>
      <c r="J1425" s="164">
        <v>4</v>
      </c>
      <c r="K1425" s="164" t="s">
        <v>528</v>
      </c>
      <c r="L1425" s="164" t="s">
        <v>528</v>
      </c>
      <c r="M1425" s="164" t="s">
        <v>2705</v>
      </c>
      <c r="N1425" s="164" t="s">
        <v>2705</v>
      </c>
      <c r="O1425" s="162">
        <v>7122</v>
      </c>
      <c r="P1425" s="162" t="s">
        <v>2706</v>
      </c>
      <c r="Q1425" s="162">
        <v>6221</v>
      </c>
      <c r="R1425" s="162" t="s">
        <v>2706</v>
      </c>
      <c r="S1425" s="162">
        <v>4211</v>
      </c>
      <c r="T1425" s="162" t="s">
        <v>2706</v>
      </c>
      <c r="U1425" s="162">
        <v>5550</v>
      </c>
      <c r="V1425" s="162" t="s">
        <v>2706</v>
      </c>
      <c r="W1425" s="162">
        <v>4108</v>
      </c>
      <c r="X1425" s="162" t="s">
        <v>2706</v>
      </c>
      <c r="Y1425" s="162">
        <v>4283</v>
      </c>
      <c r="Z1425" s="162" t="s">
        <v>2706</v>
      </c>
      <c r="AA1425" s="162">
        <v>3638</v>
      </c>
      <c r="AB1425" s="162" t="s">
        <v>2706</v>
      </c>
      <c r="AC1425" s="162">
        <v>3768</v>
      </c>
      <c r="AD1425" s="162" t="s">
        <v>2706</v>
      </c>
      <c r="AE1425" s="162">
        <v>3659</v>
      </c>
      <c r="AF1425" s="162" t="s">
        <v>2706</v>
      </c>
      <c r="AG1425" s="162">
        <v>4128</v>
      </c>
      <c r="AH1425" s="162" t="s">
        <v>2706</v>
      </c>
      <c r="AI1425" s="162">
        <v>851</v>
      </c>
      <c r="AJ1425" s="162" t="s">
        <v>2706</v>
      </c>
      <c r="AK1425" s="162">
        <v>6383</v>
      </c>
      <c r="AL1425" s="162" t="s">
        <v>2706</v>
      </c>
      <c r="AM1425" s="162">
        <v>50154</v>
      </c>
      <c r="AN1425" s="162"/>
    </row>
    <row r="1426" spans="1:40" s="100" customFormat="1" ht="46.8" x14ac:dyDescent="0.3">
      <c r="A1426" s="161"/>
      <c r="B1426" s="167"/>
      <c r="C1426" s="98" t="s">
        <v>2708</v>
      </c>
      <c r="D1426" s="163"/>
      <c r="E1426" s="26" t="s">
        <v>48</v>
      </c>
      <c r="F1426" s="30" t="s">
        <v>49</v>
      </c>
      <c r="G1426" s="163"/>
      <c r="H1426" s="163"/>
      <c r="I1426" s="163"/>
      <c r="J1426" s="165"/>
      <c r="K1426" s="165"/>
      <c r="L1426" s="165"/>
      <c r="M1426" s="165"/>
      <c r="N1426" s="165"/>
      <c r="O1426" s="163"/>
      <c r="P1426" s="163"/>
      <c r="Q1426" s="163"/>
      <c r="R1426" s="163"/>
      <c r="S1426" s="163"/>
      <c r="T1426" s="163"/>
      <c r="U1426" s="163"/>
      <c r="V1426" s="163"/>
      <c r="W1426" s="163"/>
      <c r="X1426" s="163"/>
      <c r="Y1426" s="163"/>
      <c r="Z1426" s="163"/>
      <c r="AA1426" s="163"/>
      <c r="AB1426" s="163"/>
      <c r="AC1426" s="163"/>
      <c r="AD1426" s="163"/>
      <c r="AE1426" s="163"/>
      <c r="AF1426" s="163"/>
      <c r="AG1426" s="163"/>
      <c r="AH1426" s="163"/>
      <c r="AI1426" s="163"/>
      <c r="AJ1426" s="163"/>
      <c r="AK1426" s="163"/>
      <c r="AL1426" s="163"/>
      <c r="AM1426" s="163"/>
      <c r="AN1426" s="163"/>
    </row>
    <row r="1427" spans="1:40" s="100" customFormat="1" ht="46.8" x14ac:dyDescent="0.3">
      <c r="A1427" s="160">
        <v>933</v>
      </c>
      <c r="B1427" s="166" t="s">
        <v>1812</v>
      </c>
      <c r="C1427" s="98" t="s">
        <v>2708</v>
      </c>
      <c r="D1427" s="162" t="s">
        <v>2712</v>
      </c>
      <c r="E1427" s="26" t="s">
        <v>144</v>
      </c>
      <c r="F1427" s="30" t="s">
        <v>49</v>
      </c>
      <c r="G1427" s="162" t="s">
        <v>2704</v>
      </c>
      <c r="H1427" s="162">
        <v>27</v>
      </c>
      <c r="I1427" s="162" t="str">
        <f t="shared" si="144"/>
        <v>с ЛН</v>
      </c>
      <c r="J1427" s="164">
        <v>5</v>
      </c>
      <c r="K1427" s="164" t="s">
        <v>528</v>
      </c>
      <c r="L1427" s="164" t="s">
        <v>528</v>
      </c>
      <c r="M1427" s="164" t="s">
        <v>2705</v>
      </c>
      <c r="N1427" s="164" t="s">
        <v>2705</v>
      </c>
      <c r="O1427" s="162">
        <v>0</v>
      </c>
      <c r="P1427" s="162" t="s">
        <v>2706</v>
      </c>
      <c r="Q1427" s="162">
        <v>0</v>
      </c>
      <c r="R1427" s="162" t="s">
        <v>2706</v>
      </c>
      <c r="S1427" s="162">
        <v>0</v>
      </c>
      <c r="T1427" s="162" t="s">
        <v>2706</v>
      </c>
      <c r="U1427" s="162">
        <v>0</v>
      </c>
      <c r="V1427" s="162" t="s">
        <v>2706</v>
      </c>
      <c r="W1427" s="162">
        <v>0</v>
      </c>
      <c r="X1427" s="162" t="s">
        <v>2706</v>
      </c>
      <c r="Y1427" s="162">
        <v>0</v>
      </c>
      <c r="Z1427" s="162" t="s">
        <v>2706</v>
      </c>
      <c r="AA1427" s="162">
        <v>0</v>
      </c>
      <c r="AB1427" s="162" t="s">
        <v>2706</v>
      </c>
      <c r="AC1427" s="162">
        <v>0</v>
      </c>
      <c r="AD1427" s="162" t="s">
        <v>2706</v>
      </c>
      <c r="AE1427" s="162">
        <v>0</v>
      </c>
      <c r="AF1427" s="162" t="s">
        <v>2706</v>
      </c>
      <c r="AG1427" s="162">
        <v>0</v>
      </c>
      <c r="AH1427" s="162" t="s">
        <v>2706</v>
      </c>
      <c r="AI1427" s="162">
        <v>0</v>
      </c>
      <c r="AJ1427" s="162" t="s">
        <v>2706</v>
      </c>
      <c r="AK1427" s="162">
        <v>0</v>
      </c>
      <c r="AL1427" s="162" t="s">
        <v>2706</v>
      </c>
      <c r="AM1427" s="162">
        <v>0</v>
      </c>
      <c r="AN1427" s="162"/>
    </row>
    <row r="1428" spans="1:40" s="100" customFormat="1" ht="46.8" x14ac:dyDescent="0.3">
      <c r="A1428" s="161"/>
      <c r="B1428" s="167"/>
      <c r="C1428" s="98" t="s">
        <v>2708</v>
      </c>
      <c r="D1428" s="163"/>
      <c r="E1428" s="26" t="s">
        <v>48</v>
      </c>
      <c r="F1428" s="30" t="s">
        <v>49</v>
      </c>
      <c r="G1428" s="163"/>
      <c r="H1428" s="163"/>
      <c r="I1428" s="163"/>
      <c r="J1428" s="165"/>
      <c r="K1428" s="165"/>
      <c r="L1428" s="165"/>
      <c r="M1428" s="165"/>
      <c r="N1428" s="165"/>
      <c r="O1428" s="163"/>
      <c r="P1428" s="163"/>
      <c r="Q1428" s="163"/>
      <c r="R1428" s="163"/>
      <c r="S1428" s="163"/>
      <c r="T1428" s="163"/>
      <c r="U1428" s="163"/>
      <c r="V1428" s="163"/>
      <c r="W1428" s="163"/>
      <c r="X1428" s="163"/>
      <c r="Y1428" s="163"/>
      <c r="Z1428" s="163"/>
      <c r="AA1428" s="163"/>
      <c r="AB1428" s="163"/>
      <c r="AC1428" s="163"/>
      <c r="AD1428" s="163"/>
      <c r="AE1428" s="163"/>
      <c r="AF1428" s="163"/>
      <c r="AG1428" s="163"/>
      <c r="AH1428" s="163"/>
      <c r="AI1428" s="163"/>
      <c r="AJ1428" s="163"/>
      <c r="AK1428" s="163"/>
      <c r="AL1428" s="163"/>
      <c r="AM1428" s="163"/>
      <c r="AN1428" s="163"/>
    </row>
    <row r="1429" spans="1:40" s="100" customFormat="1" ht="46.8" x14ac:dyDescent="0.3">
      <c r="A1429" s="160">
        <v>934</v>
      </c>
      <c r="B1429" s="166" t="s">
        <v>1814</v>
      </c>
      <c r="C1429" s="98" t="s">
        <v>2708</v>
      </c>
      <c r="D1429" s="162" t="s">
        <v>2712</v>
      </c>
      <c r="E1429" s="26" t="s">
        <v>144</v>
      </c>
      <c r="F1429" s="30" t="s">
        <v>49</v>
      </c>
      <c r="G1429" s="162" t="s">
        <v>2704</v>
      </c>
      <c r="H1429" s="162">
        <v>47</v>
      </c>
      <c r="I1429" s="162" t="str">
        <f t="shared" si="144"/>
        <v>с ЛН</v>
      </c>
      <c r="J1429" s="164">
        <v>9</v>
      </c>
      <c r="K1429" s="164" t="s">
        <v>528</v>
      </c>
      <c r="L1429" s="164" t="s">
        <v>528</v>
      </c>
      <c r="M1429" s="164" t="s">
        <v>2705</v>
      </c>
      <c r="N1429" s="164" t="s">
        <v>2705</v>
      </c>
      <c r="O1429" s="162">
        <v>0</v>
      </c>
      <c r="P1429" s="162" t="s">
        <v>2706</v>
      </c>
      <c r="Q1429" s="162">
        <v>0</v>
      </c>
      <c r="R1429" s="162" t="s">
        <v>2706</v>
      </c>
      <c r="S1429" s="162">
        <v>0</v>
      </c>
      <c r="T1429" s="162" t="s">
        <v>2706</v>
      </c>
      <c r="U1429" s="162">
        <v>0</v>
      </c>
      <c r="V1429" s="162" t="s">
        <v>2706</v>
      </c>
      <c r="W1429" s="162">
        <v>0</v>
      </c>
      <c r="X1429" s="162" t="s">
        <v>2706</v>
      </c>
      <c r="Y1429" s="162">
        <v>0</v>
      </c>
      <c r="Z1429" s="162" t="s">
        <v>2706</v>
      </c>
      <c r="AA1429" s="162">
        <v>0</v>
      </c>
      <c r="AB1429" s="162" t="s">
        <v>2706</v>
      </c>
      <c r="AC1429" s="162">
        <v>0</v>
      </c>
      <c r="AD1429" s="162" t="s">
        <v>2706</v>
      </c>
      <c r="AE1429" s="162">
        <v>0</v>
      </c>
      <c r="AF1429" s="162" t="s">
        <v>2706</v>
      </c>
      <c r="AG1429" s="162">
        <v>0</v>
      </c>
      <c r="AH1429" s="162" t="s">
        <v>2706</v>
      </c>
      <c r="AI1429" s="162">
        <v>0</v>
      </c>
      <c r="AJ1429" s="162" t="s">
        <v>2706</v>
      </c>
      <c r="AK1429" s="162">
        <v>0</v>
      </c>
      <c r="AL1429" s="162" t="s">
        <v>2706</v>
      </c>
      <c r="AM1429" s="162">
        <v>0</v>
      </c>
      <c r="AN1429" s="162"/>
    </row>
    <row r="1430" spans="1:40" s="100" customFormat="1" ht="46.8" x14ac:dyDescent="0.3">
      <c r="A1430" s="161"/>
      <c r="B1430" s="167"/>
      <c r="C1430" s="98" t="s">
        <v>2708</v>
      </c>
      <c r="D1430" s="163"/>
      <c r="E1430" s="26" t="s">
        <v>48</v>
      </c>
      <c r="F1430" s="30" t="s">
        <v>49</v>
      </c>
      <c r="G1430" s="163"/>
      <c r="H1430" s="163"/>
      <c r="I1430" s="163"/>
      <c r="J1430" s="165"/>
      <c r="K1430" s="165"/>
      <c r="L1430" s="165"/>
      <c r="M1430" s="165"/>
      <c r="N1430" s="165"/>
      <c r="O1430" s="163"/>
      <c r="P1430" s="163"/>
      <c r="Q1430" s="163"/>
      <c r="R1430" s="163"/>
      <c r="S1430" s="163"/>
      <c r="T1430" s="163"/>
      <c r="U1430" s="163"/>
      <c r="V1430" s="163"/>
      <c r="W1430" s="163"/>
      <c r="X1430" s="163"/>
      <c r="Y1430" s="163"/>
      <c r="Z1430" s="163"/>
      <c r="AA1430" s="163"/>
      <c r="AB1430" s="163"/>
      <c r="AC1430" s="163"/>
      <c r="AD1430" s="163"/>
      <c r="AE1430" s="163"/>
      <c r="AF1430" s="163"/>
      <c r="AG1430" s="163"/>
      <c r="AH1430" s="163"/>
      <c r="AI1430" s="163"/>
      <c r="AJ1430" s="163"/>
      <c r="AK1430" s="163"/>
      <c r="AL1430" s="163"/>
      <c r="AM1430" s="163"/>
      <c r="AN1430" s="163"/>
    </row>
    <row r="1431" spans="1:40" s="100" customFormat="1" ht="46.8" x14ac:dyDescent="0.3">
      <c r="A1431" s="160">
        <v>935</v>
      </c>
      <c r="B1431" s="166" t="s">
        <v>1816</v>
      </c>
      <c r="C1431" s="98" t="s">
        <v>2708</v>
      </c>
      <c r="D1431" s="162" t="s">
        <v>2712</v>
      </c>
      <c r="E1431" s="26" t="s">
        <v>144</v>
      </c>
      <c r="F1431" s="30" t="s">
        <v>49</v>
      </c>
      <c r="G1431" s="162" t="s">
        <v>2704</v>
      </c>
      <c r="H1431" s="162">
        <v>62</v>
      </c>
      <c r="I1431" s="162" t="str">
        <f t="shared" si="144"/>
        <v>с ЛН</v>
      </c>
      <c r="J1431" s="164">
        <v>12</v>
      </c>
      <c r="K1431" s="164" t="s">
        <v>528</v>
      </c>
      <c r="L1431" s="164" t="s">
        <v>528</v>
      </c>
      <c r="M1431" s="164" t="s">
        <v>2705</v>
      </c>
      <c r="N1431" s="164" t="s">
        <v>2705</v>
      </c>
      <c r="O1431" s="162">
        <v>0</v>
      </c>
      <c r="P1431" s="162" t="s">
        <v>2706</v>
      </c>
      <c r="Q1431" s="162">
        <v>0</v>
      </c>
      <c r="R1431" s="162" t="s">
        <v>2706</v>
      </c>
      <c r="S1431" s="162">
        <v>0</v>
      </c>
      <c r="T1431" s="162" t="s">
        <v>2706</v>
      </c>
      <c r="U1431" s="162">
        <v>0</v>
      </c>
      <c r="V1431" s="162" t="s">
        <v>2706</v>
      </c>
      <c r="W1431" s="162">
        <v>0</v>
      </c>
      <c r="X1431" s="162" t="s">
        <v>2706</v>
      </c>
      <c r="Y1431" s="162">
        <v>0</v>
      </c>
      <c r="Z1431" s="162" t="s">
        <v>2706</v>
      </c>
      <c r="AA1431" s="162">
        <v>0</v>
      </c>
      <c r="AB1431" s="162" t="s">
        <v>2706</v>
      </c>
      <c r="AC1431" s="162">
        <v>0</v>
      </c>
      <c r="AD1431" s="162" t="s">
        <v>2706</v>
      </c>
      <c r="AE1431" s="162">
        <v>0</v>
      </c>
      <c r="AF1431" s="162" t="s">
        <v>2706</v>
      </c>
      <c r="AG1431" s="162">
        <v>0</v>
      </c>
      <c r="AH1431" s="162" t="s">
        <v>2706</v>
      </c>
      <c r="AI1431" s="162">
        <v>0</v>
      </c>
      <c r="AJ1431" s="162" t="s">
        <v>2706</v>
      </c>
      <c r="AK1431" s="162">
        <v>0</v>
      </c>
      <c r="AL1431" s="162" t="s">
        <v>2706</v>
      </c>
      <c r="AM1431" s="162">
        <v>0</v>
      </c>
      <c r="AN1431" s="162"/>
    </row>
    <row r="1432" spans="1:40" s="100" customFormat="1" ht="46.8" x14ac:dyDescent="0.3">
      <c r="A1432" s="161"/>
      <c r="B1432" s="167"/>
      <c r="C1432" s="98" t="s">
        <v>2708</v>
      </c>
      <c r="D1432" s="163"/>
      <c r="E1432" s="26" t="s">
        <v>48</v>
      </c>
      <c r="F1432" s="30" t="s">
        <v>49</v>
      </c>
      <c r="G1432" s="163"/>
      <c r="H1432" s="163"/>
      <c r="I1432" s="163"/>
      <c r="J1432" s="165"/>
      <c r="K1432" s="165"/>
      <c r="L1432" s="165"/>
      <c r="M1432" s="165"/>
      <c r="N1432" s="165"/>
      <c r="O1432" s="163"/>
      <c r="P1432" s="163"/>
      <c r="Q1432" s="163"/>
      <c r="R1432" s="163"/>
      <c r="S1432" s="163"/>
      <c r="T1432" s="163"/>
      <c r="U1432" s="163"/>
      <c r="V1432" s="163"/>
      <c r="W1432" s="163"/>
      <c r="X1432" s="163"/>
      <c r="Y1432" s="163"/>
      <c r="Z1432" s="163"/>
      <c r="AA1432" s="163"/>
      <c r="AB1432" s="163"/>
      <c r="AC1432" s="163"/>
      <c r="AD1432" s="163"/>
      <c r="AE1432" s="163"/>
      <c r="AF1432" s="163"/>
      <c r="AG1432" s="163"/>
      <c r="AH1432" s="163"/>
      <c r="AI1432" s="163"/>
      <c r="AJ1432" s="163"/>
      <c r="AK1432" s="163"/>
      <c r="AL1432" s="163"/>
      <c r="AM1432" s="163"/>
      <c r="AN1432" s="163"/>
    </row>
    <row r="1433" spans="1:40" s="100" customFormat="1" ht="46.8" x14ac:dyDescent="0.3">
      <c r="A1433" s="160">
        <v>936</v>
      </c>
      <c r="B1433" s="166" t="s">
        <v>1819</v>
      </c>
      <c r="C1433" s="98" t="s">
        <v>2708</v>
      </c>
      <c r="D1433" s="162" t="s">
        <v>2712</v>
      </c>
      <c r="E1433" s="26" t="s">
        <v>144</v>
      </c>
      <c r="F1433" s="30" t="s">
        <v>49</v>
      </c>
      <c r="G1433" s="162" t="s">
        <v>2704</v>
      </c>
      <c r="H1433" s="162">
        <v>37</v>
      </c>
      <c r="I1433" s="162" t="str">
        <f t="shared" si="144"/>
        <v>с ЛН</v>
      </c>
      <c r="J1433" s="164">
        <v>7</v>
      </c>
      <c r="K1433" s="164" t="s">
        <v>528</v>
      </c>
      <c r="L1433" s="164" t="s">
        <v>528</v>
      </c>
      <c r="M1433" s="164" t="s">
        <v>2705</v>
      </c>
      <c r="N1433" s="164" t="s">
        <v>2705</v>
      </c>
      <c r="O1433" s="162">
        <v>0</v>
      </c>
      <c r="P1433" s="162" t="s">
        <v>2706</v>
      </c>
      <c r="Q1433" s="162">
        <v>0</v>
      </c>
      <c r="R1433" s="162" t="s">
        <v>2706</v>
      </c>
      <c r="S1433" s="162">
        <v>0</v>
      </c>
      <c r="T1433" s="162" t="s">
        <v>2706</v>
      </c>
      <c r="U1433" s="162">
        <v>0</v>
      </c>
      <c r="V1433" s="162" t="s">
        <v>2706</v>
      </c>
      <c r="W1433" s="162">
        <v>0</v>
      </c>
      <c r="X1433" s="162" t="s">
        <v>2706</v>
      </c>
      <c r="Y1433" s="162">
        <v>0</v>
      </c>
      <c r="Z1433" s="162" t="s">
        <v>2706</v>
      </c>
      <c r="AA1433" s="162">
        <v>0</v>
      </c>
      <c r="AB1433" s="162" t="s">
        <v>2706</v>
      </c>
      <c r="AC1433" s="162">
        <v>0</v>
      </c>
      <c r="AD1433" s="162" t="s">
        <v>2706</v>
      </c>
      <c r="AE1433" s="162">
        <v>0</v>
      </c>
      <c r="AF1433" s="162" t="s">
        <v>2706</v>
      </c>
      <c r="AG1433" s="162">
        <v>0</v>
      </c>
      <c r="AH1433" s="162" t="s">
        <v>2706</v>
      </c>
      <c r="AI1433" s="162">
        <v>0</v>
      </c>
      <c r="AJ1433" s="162" t="s">
        <v>2706</v>
      </c>
      <c r="AK1433" s="162">
        <v>0</v>
      </c>
      <c r="AL1433" s="162" t="s">
        <v>2706</v>
      </c>
      <c r="AM1433" s="162">
        <v>0</v>
      </c>
      <c r="AN1433" s="162"/>
    </row>
    <row r="1434" spans="1:40" s="100" customFormat="1" ht="46.8" x14ac:dyDescent="0.3">
      <c r="A1434" s="161"/>
      <c r="B1434" s="167"/>
      <c r="C1434" s="98" t="s">
        <v>2708</v>
      </c>
      <c r="D1434" s="163"/>
      <c r="E1434" s="26" t="s">
        <v>48</v>
      </c>
      <c r="F1434" s="30" t="s">
        <v>49</v>
      </c>
      <c r="G1434" s="163"/>
      <c r="H1434" s="163"/>
      <c r="I1434" s="163"/>
      <c r="J1434" s="165"/>
      <c r="K1434" s="165"/>
      <c r="L1434" s="165"/>
      <c r="M1434" s="165"/>
      <c r="N1434" s="165"/>
      <c r="O1434" s="163"/>
      <c r="P1434" s="163"/>
      <c r="Q1434" s="163"/>
      <c r="R1434" s="163"/>
      <c r="S1434" s="163"/>
      <c r="T1434" s="163"/>
      <c r="U1434" s="163"/>
      <c r="V1434" s="163"/>
      <c r="W1434" s="163"/>
      <c r="X1434" s="163"/>
      <c r="Y1434" s="163"/>
      <c r="Z1434" s="163"/>
      <c r="AA1434" s="163"/>
      <c r="AB1434" s="163"/>
      <c r="AC1434" s="163"/>
      <c r="AD1434" s="163"/>
      <c r="AE1434" s="163"/>
      <c r="AF1434" s="163"/>
      <c r="AG1434" s="163"/>
      <c r="AH1434" s="163"/>
      <c r="AI1434" s="163"/>
      <c r="AJ1434" s="163"/>
      <c r="AK1434" s="163"/>
      <c r="AL1434" s="163"/>
      <c r="AM1434" s="163"/>
      <c r="AN1434" s="163"/>
    </row>
    <row r="1435" spans="1:40" s="100" customFormat="1" ht="46.8" x14ac:dyDescent="0.3">
      <c r="A1435" s="160">
        <v>937</v>
      </c>
      <c r="B1435" s="166" t="s">
        <v>1822</v>
      </c>
      <c r="C1435" s="98" t="s">
        <v>2708</v>
      </c>
      <c r="D1435" s="162" t="s">
        <v>2712</v>
      </c>
      <c r="E1435" s="26" t="s">
        <v>144</v>
      </c>
      <c r="F1435" s="30" t="s">
        <v>49</v>
      </c>
      <c r="G1435" s="162" t="s">
        <v>2704</v>
      </c>
      <c r="H1435" s="162">
        <v>37</v>
      </c>
      <c r="I1435" s="162" t="str">
        <f t="shared" si="144"/>
        <v>с ЛН</v>
      </c>
      <c r="J1435" s="164">
        <v>7</v>
      </c>
      <c r="K1435" s="164" t="s">
        <v>528</v>
      </c>
      <c r="L1435" s="164" t="s">
        <v>528</v>
      </c>
      <c r="M1435" s="164" t="s">
        <v>2705</v>
      </c>
      <c r="N1435" s="164" t="s">
        <v>2705</v>
      </c>
      <c r="O1435" s="162">
        <v>0</v>
      </c>
      <c r="P1435" s="162" t="s">
        <v>2706</v>
      </c>
      <c r="Q1435" s="162">
        <v>0</v>
      </c>
      <c r="R1435" s="162" t="s">
        <v>2706</v>
      </c>
      <c r="S1435" s="162">
        <v>0</v>
      </c>
      <c r="T1435" s="162" t="s">
        <v>2706</v>
      </c>
      <c r="U1435" s="162">
        <v>0</v>
      </c>
      <c r="V1435" s="162" t="s">
        <v>2706</v>
      </c>
      <c r="W1435" s="162">
        <v>0</v>
      </c>
      <c r="X1435" s="162" t="s">
        <v>2706</v>
      </c>
      <c r="Y1435" s="162">
        <v>0</v>
      </c>
      <c r="Z1435" s="162" t="s">
        <v>2706</v>
      </c>
      <c r="AA1435" s="162">
        <v>0</v>
      </c>
      <c r="AB1435" s="162" t="s">
        <v>2706</v>
      </c>
      <c r="AC1435" s="162">
        <v>0</v>
      </c>
      <c r="AD1435" s="162" t="s">
        <v>2706</v>
      </c>
      <c r="AE1435" s="162">
        <v>0</v>
      </c>
      <c r="AF1435" s="162" t="s">
        <v>2706</v>
      </c>
      <c r="AG1435" s="162">
        <v>0</v>
      </c>
      <c r="AH1435" s="162" t="s">
        <v>2706</v>
      </c>
      <c r="AI1435" s="162">
        <v>0</v>
      </c>
      <c r="AJ1435" s="162" t="s">
        <v>2706</v>
      </c>
      <c r="AK1435" s="162">
        <v>0</v>
      </c>
      <c r="AL1435" s="162" t="s">
        <v>2706</v>
      </c>
      <c r="AM1435" s="162">
        <v>0</v>
      </c>
      <c r="AN1435" s="162"/>
    </row>
    <row r="1436" spans="1:40" s="100" customFormat="1" ht="46.8" x14ac:dyDescent="0.3">
      <c r="A1436" s="161"/>
      <c r="B1436" s="167"/>
      <c r="C1436" s="98" t="s">
        <v>2708</v>
      </c>
      <c r="D1436" s="163"/>
      <c r="E1436" s="26" t="s">
        <v>48</v>
      </c>
      <c r="F1436" s="30" t="s">
        <v>49</v>
      </c>
      <c r="G1436" s="163"/>
      <c r="H1436" s="163"/>
      <c r="I1436" s="163"/>
      <c r="J1436" s="165"/>
      <c r="K1436" s="165"/>
      <c r="L1436" s="165"/>
      <c r="M1436" s="165"/>
      <c r="N1436" s="165"/>
      <c r="O1436" s="163"/>
      <c r="P1436" s="163"/>
      <c r="Q1436" s="163"/>
      <c r="R1436" s="163"/>
      <c r="S1436" s="163"/>
      <c r="T1436" s="163"/>
      <c r="U1436" s="163"/>
      <c r="V1436" s="163"/>
      <c r="W1436" s="163"/>
      <c r="X1436" s="163"/>
      <c r="Y1436" s="163"/>
      <c r="Z1436" s="163"/>
      <c r="AA1436" s="163"/>
      <c r="AB1436" s="163"/>
      <c r="AC1436" s="163"/>
      <c r="AD1436" s="163"/>
      <c r="AE1436" s="163"/>
      <c r="AF1436" s="163"/>
      <c r="AG1436" s="163"/>
      <c r="AH1436" s="163"/>
      <c r="AI1436" s="163"/>
      <c r="AJ1436" s="163"/>
      <c r="AK1436" s="163"/>
      <c r="AL1436" s="163"/>
      <c r="AM1436" s="163"/>
      <c r="AN1436" s="163"/>
    </row>
    <row r="1437" spans="1:40" s="100" customFormat="1" ht="46.8" x14ac:dyDescent="0.3">
      <c r="A1437" s="160">
        <v>938</v>
      </c>
      <c r="B1437" s="166" t="s">
        <v>1824</v>
      </c>
      <c r="C1437" s="98" t="s">
        <v>2708</v>
      </c>
      <c r="D1437" s="162" t="s">
        <v>2712</v>
      </c>
      <c r="E1437" s="26" t="s">
        <v>144</v>
      </c>
      <c r="F1437" s="30" t="s">
        <v>49</v>
      </c>
      <c r="G1437" s="162"/>
      <c r="H1437" s="162"/>
      <c r="I1437" s="162"/>
      <c r="J1437" s="164"/>
      <c r="K1437" s="164" t="s">
        <v>528</v>
      </c>
      <c r="L1437" s="164" t="s">
        <v>528</v>
      </c>
      <c r="M1437" s="164" t="s">
        <v>2705</v>
      </c>
      <c r="N1437" s="164" t="s">
        <v>2705</v>
      </c>
      <c r="O1437" s="162">
        <v>3068</v>
      </c>
      <c r="P1437" s="162" t="s">
        <v>2706</v>
      </c>
      <c r="Q1437" s="162">
        <v>2607</v>
      </c>
      <c r="R1437" s="162" t="s">
        <v>2706</v>
      </c>
      <c r="S1437" s="162">
        <v>2223</v>
      </c>
      <c r="T1437" s="162" t="s">
        <v>2706</v>
      </c>
      <c r="U1437" s="162">
        <v>3049</v>
      </c>
      <c r="V1437" s="162" t="s">
        <v>2706</v>
      </c>
      <c r="W1437" s="162">
        <v>2604</v>
      </c>
      <c r="X1437" s="162" t="s">
        <v>2706</v>
      </c>
      <c r="Y1437" s="162">
        <v>2427</v>
      </c>
      <c r="Z1437" s="162" t="s">
        <v>2706</v>
      </c>
      <c r="AA1437" s="162">
        <v>2259</v>
      </c>
      <c r="AB1437" s="162" t="s">
        <v>2706</v>
      </c>
      <c r="AC1437" s="162">
        <v>2481</v>
      </c>
      <c r="AD1437" s="162" t="s">
        <v>2706</v>
      </c>
      <c r="AE1437" s="162">
        <v>2212</v>
      </c>
      <c r="AF1437" s="162" t="s">
        <v>2706</v>
      </c>
      <c r="AG1437" s="162">
        <v>2298</v>
      </c>
      <c r="AH1437" s="162" t="s">
        <v>2706</v>
      </c>
      <c r="AI1437" s="162">
        <v>5278</v>
      </c>
      <c r="AJ1437" s="162" t="s">
        <v>2706</v>
      </c>
      <c r="AK1437" s="162">
        <v>2852</v>
      </c>
      <c r="AL1437" s="162" t="s">
        <v>2706</v>
      </c>
      <c r="AM1437" s="162">
        <v>30877</v>
      </c>
      <c r="AN1437" s="162"/>
    </row>
    <row r="1438" spans="1:40" s="100" customFormat="1" ht="46.8" x14ac:dyDescent="0.3">
      <c r="A1438" s="161"/>
      <c r="B1438" s="167"/>
      <c r="C1438" s="98" t="s">
        <v>2708</v>
      </c>
      <c r="D1438" s="163"/>
      <c r="E1438" s="26" t="s">
        <v>48</v>
      </c>
      <c r="F1438" s="30" t="s">
        <v>49</v>
      </c>
      <c r="G1438" s="163"/>
      <c r="H1438" s="163"/>
      <c r="I1438" s="163"/>
      <c r="J1438" s="165"/>
      <c r="K1438" s="165"/>
      <c r="L1438" s="165"/>
      <c r="M1438" s="165"/>
      <c r="N1438" s="165"/>
      <c r="O1438" s="163"/>
      <c r="P1438" s="163"/>
      <c r="Q1438" s="163"/>
      <c r="R1438" s="163"/>
      <c r="S1438" s="163"/>
      <c r="T1438" s="163"/>
      <c r="U1438" s="163"/>
      <c r="V1438" s="163"/>
      <c r="W1438" s="163"/>
      <c r="X1438" s="163"/>
      <c r="Y1438" s="163"/>
      <c r="Z1438" s="163"/>
      <c r="AA1438" s="163"/>
      <c r="AB1438" s="163"/>
      <c r="AC1438" s="163"/>
      <c r="AD1438" s="163"/>
      <c r="AE1438" s="163"/>
      <c r="AF1438" s="163"/>
      <c r="AG1438" s="163"/>
      <c r="AH1438" s="163"/>
      <c r="AI1438" s="163"/>
      <c r="AJ1438" s="163"/>
      <c r="AK1438" s="163"/>
      <c r="AL1438" s="163"/>
      <c r="AM1438" s="163"/>
      <c r="AN1438" s="163"/>
    </row>
    <row r="1439" spans="1:40" s="100" customFormat="1" ht="46.8" x14ac:dyDescent="0.3">
      <c r="A1439" s="160">
        <v>939</v>
      </c>
      <c r="B1439" s="166" t="s">
        <v>1825</v>
      </c>
      <c r="C1439" s="98" t="s">
        <v>2708</v>
      </c>
      <c r="D1439" s="162" t="s">
        <v>2712</v>
      </c>
      <c r="E1439" s="26" t="s">
        <v>144</v>
      </c>
      <c r="F1439" s="30" t="s">
        <v>49</v>
      </c>
      <c r="G1439" s="162"/>
      <c r="H1439" s="162"/>
      <c r="I1439" s="162"/>
      <c r="J1439" s="164"/>
      <c r="K1439" s="164" t="s">
        <v>528</v>
      </c>
      <c r="L1439" s="164" t="s">
        <v>528</v>
      </c>
      <c r="M1439" s="164" t="s">
        <v>2705</v>
      </c>
      <c r="N1439" s="164" t="s">
        <v>2705</v>
      </c>
      <c r="O1439" s="162">
        <v>787</v>
      </c>
      <c r="P1439" s="162" t="s">
        <v>2706</v>
      </c>
      <c r="Q1439" s="162">
        <v>771</v>
      </c>
      <c r="R1439" s="162" t="s">
        <v>2706</v>
      </c>
      <c r="S1439" s="162">
        <v>479</v>
      </c>
      <c r="T1439" s="162" t="s">
        <v>2706</v>
      </c>
      <c r="U1439" s="162">
        <v>601</v>
      </c>
      <c r="V1439" s="162" t="s">
        <v>2706</v>
      </c>
      <c r="W1439" s="162">
        <v>489</v>
      </c>
      <c r="X1439" s="162" t="s">
        <v>2706</v>
      </c>
      <c r="Y1439" s="162">
        <v>224</v>
      </c>
      <c r="Z1439" s="162" t="s">
        <v>2706</v>
      </c>
      <c r="AA1439" s="162">
        <v>219</v>
      </c>
      <c r="AB1439" s="162" t="s">
        <v>2706</v>
      </c>
      <c r="AC1439" s="162">
        <v>338</v>
      </c>
      <c r="AD1439" s="162" t="s">
        <v>2706</v>
      </c>
      <c r="AE1439" s="162">
        <v>408</v>
      </c>
      <c r="AF1439" s="162" t="s">
        <v>2706</v>
      </c>
      <c r="AG1439" s="162">
        <v>483</v>
      </c>
      <c r="AH1439" s="162" t="s">
        <v>2706</v>
      </c>
      <c r="AI1439" s="162">
        <v>2226</v>
      </c>
      <c r="AJ1439" s="162" t="s">
        <v>2706</v>
      </c>
      <c r="AK1439" s="162">
        <v>681</v>
      </c>
      <c r="AL1439" s="162" t="s">
        <v>2706</v>
      </c>
      <c r="AM1439" s="162">
        <v>7368</v>
      </c>
      <c r="AN1439" s="162"/>
    </row>
    <row r="1440" spans="1:40" s="100" customFormat="1" ht="46.8" x14ac:dyDescent="0.3">
      <c r="A1440" s="161"/>
      <c r="B1440" s="167"/>
      <c r="C1440" s="98" t="s">
        <v>2708</v>
      </c>
      <c r="D1440" s="163"/>
      <c r="E1440" s="26" t="s">
        <v>48</v>
      </c>
      <c r="F1440" s="30" t="s">
        <v>49</v>
      </c>
      <c r="G1440" s="163"/>
      <c r="H1440" s="163"/>
      <c r="I1440" s="163"/>
      <c r="J1440" s="165"/>
      <c r="K1440" s="165"/>
      <c r="L1440" s="165"/>
      <c r="M1440" s="165"/>
      <c r="N1440" s="165"/>
      <c r="O1440" s="163"/>
      <c r="P1440" s="163"/>
      <c r="Q1440" s="163"/>
      <c r="R1440" s="163"/>
      <c r="S1440" s="163"/>
      <c r="T1440" s="163"/>
      <c r="U1440" s="163"/>
      <c r="V1440" s="163"/>
      <c r="W1440" s="163"/>
      <c r="X1440" s="163"/>
      <c r="Y1440" s="163"/>
      <c r="Z1440" s="163"/>
      <c r="AA1440" s="163"/>
      <c r="AB1440" s="163"/>
      <c r="AC1440" s="163"/>
      <c r="AD1440" s="163"/>
      <c r="AE1440" s="163"/>
      <c r="AF1440" s="163"/>
      <c r="AG1440" s="163"/>
      <c r="AH1440" s="163"/>
      <c r="AI1440" s="163"/>
      <c r="AJ1440" s="163"/>
      <c r="AK1440" s="163"/>
      <c r="AL1440" s="163"/>
      <c r="AM1440" s="163"/>
      <c r="AN1440" s="163"/>
    </row>
    <row r="1441" spans="1:40" s="100" customFormat="1" ht="46.8" x14ac:dyDescent="0.3">
      <c r="A1441" s="160">
        <v>940</v>
      </c>
      <c r="B1441" s="166" t="s">
        <v>1827</v>
      </c>
      <c r="C1441" s="98" t="s">
        <v>2708</v>
      </c>
      <c r="D1441" s="162" t="s">
        <v>2712</v>
      </c>
      <c r="E1441" s="26" t="s">
        <v>144</v>
      </c>
      <c r="F1441" s="30" t="s">
        <v>49</v>
      </c>
      <c r="G1441" s="162" t="s">
        <v>2704</v>
      </c>
      <c r="H1441" s="162">
        <v>17</v>
      </c>
      <c r="I1441" s="162" t="str">
        <f t="shared" ref="I1441:I1503" si="145">G1441</f>
        <v>с ЛН</v>
      </c>
      <c r="J1441" s="164">
        <v>3</v>
      </c>
      <c r="K1441" s="164" t="s">
        <v>528</v>
      </c>
      <c r="L1441" s="164" t="s">
        <v>528</v>
      </c>
      <c r="M1441" s="164" t="s">
        <v>2705</v>
      </c>
      <c r="N1441" s="164" t="s">
        <v>2705</v>
      </c>
      <c r="O1441" s="162">
        <v>627</v>
      </c>
      <c r="P1441" s="162" t="s">
        <v>2706</v>
      </c>
      <c r="Q1441" s="162">
        <v>682</v>
      </c>
      <c r="R1441" s="162" t="s">
        <v>2706</v>
      </c>
      <c r="S1441" s="162">
        <v>479</v>
      </c>
      <c r="T1441" s="162" t="s">
        <v>2706</v>
      </c>
      <c r="U1441" s="162">
        <v>474</v>
      </c>
      <c r="V1441" s="162" t="s">
        <v>2706</v>
      </c>
      <c r="W1441" s="162">
        <v>399</v>
      </c>
      <c r="X1441" s="162" t="s">
        <v>2706</v>
      </c>
      <c r="Y1441" s="162">
        <v>229</v>
      </c>
      <c r="Z1441" s="162" t="s">
        <v>2706</v>
      </c>
      <c r="AA1441" s="162">
        <v>144</v>
      </c>
      <c r="AB1441" s="162" t="s">
        <v>2706</v>
      </c>
      <c r="AC1441" s="162">
        <v>235</v>
      </c>
      <c r="AD1441" s="162" t="s">
        <v>2706</v>
      </c>
      <c r="AE1441" s="162">
        <v>540</v>
      </c>
      <c r="AF1441" s="162" t="s">
        <v>2706</v>
      </c>
      <c r="AG1441" s="162">
        <v>395</v>
      </c>
      <c r="AH1441" s="162" t="s">
        <v>2706</v>
      </c>
      <c r="AI1441" s="162">
        <v>1086</v>
      </c>
      <c r="AJ1441" s="162" t="s">
        <v>2706</v>
      </c>
      <c r="AK1441" s="162">
        <v>792</v>
      </c>
      <c r="AL1441" s="162" t="s">
        <v>2706</v>
      </c>
      <c r="AM1441" s="162">
        <v>5847</v>
      </c>
      <c r="AN1441" s="162"/>
    </row>
    <row r="1442" spans="1:40" s="100" customFormat="1" ht="46.8" x14ac:dyDescent="0.3">
      <c r="A1442" s="161"/>
      <c r="B1442" s="167"/>
      <c r="C1442" s="98" t="s">
        <v>2708</v>
      </c>
      <c r="D1442" s="163"/>
      <c r="E1442" s="26" t="s">
        <v>48</v>
      </c>
      <c r="F1442" s="30" t="s">
        <v>49</v>
      </c>
      <c r="G1442" s="163"/>
      <c r="H1442" s="163"/>
      <c r="I1442" s="163"/>
      <c r="J1442" s="165"/>
      <c r="K1442" s="165"/>
      <c r="L1442" s="165"/>
      <c r="M1442" s="165"/>
      <c r="N1442" s="165"/>
      <c r="O1442" s="163"/>
      <c r="P1442" s="163"/>
      <c r="Q1442" s="163"/>
      <c r="R1442" s="163"/>
      <c r="S1442" s="163"/>
      <c r="T1442" s="163"/>
      <c r="U1442" s="163"/>
      <c r="V1442" s="163"/>
      <c r="W1442" s="163"/>
      <c r="X1442" s="163"/>
      <c r="Y1442" s="163"/>
      <c r="Z1442" s="163"/>
      <c r="AA1442" s="163"/>
      <c r="AB1442" s="163"/>
      <c r="AC1442" s="163"/>
      <c r="AD1442" s="163"/>
      <c r="AE1442" s="163"/>
      <c r="AF1442" s="163"/>
      <c r="AG1442" s="163"/>
      <c r="AH1442" s="163"/>
      <c r="AI1442" s="163"/>
      <c r="AJ1442" s="163"/>
      <c r="AK1442" s="163"/>
      <c r="AL1442" s="163"/>
      <c r="AM1442" s="163"/>
      <c r="AN1442" s="163"/>
    </row>
    <row r="1443" spans="1:40" s="100" customFormat="1" ht="46.8" x14ac:dyDescent="0.3">
      <c r="A1443" s="160">
        <v>941</v>
      </c>
      <c r="B1443" s="166" t="s">
        <v>1829</v>
      </c>
      <c r="C1443" s="98" t="s">
        <v>2708</v>
      </c>
      <c r="D1443" s="162" t="s">
        <v>2712</v>
      </c>
      <c r="E1443" s="26" t="s">
        <v>144</v>
      </c>
      <c r="F1443" s="30" t="s">
        <v>49</v>
      </c>
      <c r="G1443" s="162" t="s">
        <v>2704</v>
      </c>
      <c r="H1443" s="162">
        <v>17</v>
      </c>
      <c r="I1443" s="162" t="str">
        <f t="shared" si="145"/>
        <v>с ЛН</v>
      </c>
      <c r="J1443" s="164">
        <v>3</v>
      </c>
      <c r="K1443" s="164" t="s">
        <v>528</v>
      </c>
      <c r="L1443" s="164" t="s">
        <v>528</v>
      </c>
      <c r="M1443" s="164" t="s">
        <v>2705</v>
      </c>
      <c r="N1443" s="164" t="s">
        <v>2705</v>
      </c>
      <c r="O1443" s="162">
        <v>1125</v>
      </c>
      <c r="P1443" s="162" t="s">
        <v>2706</v>
      </c>
      <c r="Q1443" s="162">
        <v>980</v>
      </c>
      <c r="R1443" s="162" t="s">
        <v>2706</v>
      </c>
      <c r="S1443" s="162">
        <v>649</v>
      </c>
      <c r="T1443" s="162" t="s">
        <v>2706</v>
      </c>
      <c r="U1443" s="162">
        <v>806</v>
      </c>
      <c r="V1443" s="162" t="s">
        <v>2706</v>
      </c>
      <c r="W1443" s="162">
        <v>670</v>
      </c>
      <c r="X1443" s="162" t="s">
        <v>2706</v>
      </c>
      <c r="Y1443" s="162">
        <v>592</v>
      </c>
      <c r="Z1443" s="162" t="s">
        <v>2706</v>
      </c>
      <c r="AA1443" s="162">
        <v>463</v>
      </c>
      <c r="AB1443" s="162" t="s">
        <v>2706</v>
      </c>
      <c r="AC1443" s="162">
        <v>663</v>
      </c>
      <c r="AD1443" s="162" t="s">
        <v>2706</v>
      </c>
      <c r="AE1443" s="162">
        <v>1009</v>
      </c>
      <c r="AF1443" s="162" t="s">
        <v>2706</v>
      </c>
      <c r="AG1443" s="162">
        <v>671</v>
      </c>
      <c r="AH1443" s="162" t="s">
        <v>2706</v>
      </c>
      <c r="AI1443" s="162">
        <v>2923</v>
      </c>
      <c r="AJ1443" s="162" t="s">
        <v>2706</v>
      </c>
      <c r="AK1443" s="162">
        <v>845</v>
      </c>
      <c r="AL1443" s="162" t="s">
        <v>2706</v>
      </c>
      <c r="AM1443" s="162">
        <v>10733</v>
      </c>
      <c r="AN1443" s="162"/>
    </row>
    <row r="1444" spans="1:40" s="100" customFormat="1" ht="46.8" x14ac:dyDescent="0.3">
      <c r="A1444" s="161"/>
      <c r="B1444" s="167"/>
      <c r="C1444" s="98" t="s">
        <v>2708</v>
      </c>
      <c r="D1444" s="163"/>
      <c r="E1444" s="26" t="s">
        <v>48</v>
      </c>
      <c r="F1444" s="30" t="s">
        <v>49</v>
      </c>
      <c r="G1444" s="163"/>
      <c r="H1444" s="163"/>
      <c r="I1444" s="163"/>
      <c r="J1444" s="165"/>
      <c r="K1444" s="165"/>
      <c r="L1444" s="165"/>
      <c r="M1444" s="165"/>
      <c r="N1444" s="165"/>
      <c r="O1444" s="163"/>
      <c r="P1444" s="163"/>
      <c r="Q1444" s="163"/>
      <c r="R1444" s="163"/>
      <c r="S1444" s="163"/>
      <c r="T1444" s="163"/>
      <c r="U1444" s="163"/>
      <c r="V1444" s="163"/>
      <c r="W1444" s="163"/>
      <c r="X1444" s="163"/>
      <c r="Y1444" s="163"/>
      <c r="Z1444" s="163"/>
      <c r="AA1444" s="163"/>
      <c r="AB1444" s="163"/>
      <c r="AC1444" s="163"/>
      <c r="AD1444" s="163"/>
      <c r="AE1444" s="163"/>
      <c r="AF1444" s="163"/>
      <c r="AG1444" s="163"/>
      <c r="AH1444" s="163"/>
      <c r="AI1444" s="163"/>
      <c r="AJ1444" s="163"/>
      <c r="AK1444" s="163"/>
      <c r="AL1444" s="163"/>
      <c r="AM1444" s="163"/>
      <c r="AN1444" s="163"/>
    </row>
    <row r="1445" spans="1:40" s="100" customFormat="1" ht="46.8" x14ac:dyDescent="0.3">
      <c r="A1445" s="160">
        <v>942</v>
      </c>
      <c r="B1445" s="166" t="s">
        <v>1831</v>
      </c>
      <c r="C1445" s="98" t="s">
        <v>2708</v>
      </c>
      <c r="D1445" s="162" t="s">
        <v>2712</v>
      </c>
      <c r="E1445" s="26" t="s">
        <v>144</v>
      </c>
      <c r="F1445" s="30" t="s">
        <v>49</v>
      </c>
      <c r="G1445" s="162" t="s">
        <v>2704</v>
      </c>
      <c r="H1445" s="162">
        <v>14</v>
      </c>
      <c r="I1445" s="162" t="str">
        <f t="shared" si="145"/>
        <v>с ЛН</v>
      </c>
      <c r="J1445" s="164">
        <v>3</v>
      </c>
      <c r="K1445" s="164" t="s">
        <v>528</v>
      </c>
      <c r="L1445" s="164" t="s">
        <v>528</v>
      </c>
      <c r="M1445" s="164" t="s">
        <v>2705</v>
      </c>
      <c r="N1445" s="164" t="s">
        <v>2705</v>
      </c>
      <c r="O1445" s="162">
        <v>217</v>
      </c>
      <c r="P1445" s="162" t="s">
        <v>2706</v>
      </c>
      <c r="Q1445" s="162">
        <v>282</v>
      </c>
      <c r="R1445" s="162" t="s">
        <v>2706</v>
      </c>
      <c r="S1445" s="162">
        <v>163</v>
      </c>
      <c r="T1445" s="162" t="s">
        <v>2706</v>
      </c>
      <c r="U1445" s="162">
        <v>160</v>
      </c>
      <c r="V1445" s="162" t="s">
        <v>2706</v>
      </c>
      <c r="W1445" s="162">
        <v>30</v>
      </c>
      <c r="X1445" s="162" t="s">
        <v>2706</v>
      </c>
      <c r="Y1445" s="162">
        <v>14</v>
      </c>
      <c r="Z1445" s="162" t="s">
        <v>2706</v>
      </c>
      <c r="AA1445" s="162">
        <v>20</v>
      </c>
      <c r="AB1445" s="162" t="s">
        <v>2706</v>
      </c>
      <c r="AC1445" s="162">
        <v>0</v>
      </c>
      <c r="AD1445" s="162" t="s">
        <v>2706</v>
      </c>
      <c r="AE1445" s="162">
        <v>21</v>
      </c>
      <c r="AF1445" s="162" t="s">
        <v>2706</v>
      </c>
      <c r="AG1445" s="162">
        <v>46</v>
      </c>
      <c r="AH1445" s="162" t="s">
        <v>2706</v>
      </c>
      <c r="AI1445" s="162">
        <v>2950</v>
      </c>
      <c r="AJ1445" s="162" t="s">
        <v>2706</v>
      </c>
      <c r="AK1445" s="162">
        <v>80</v>
      </c>
      <c r="AL1445" s="162" t="s">
        <v>2706</v>
      </c>
      <c r="AM1445" s="162">
        <v>3983</v>
      </c>
      <c r="AN1445" s="162"/>
    </row>
    <row r="1446" spans="1:40" s="100" customFormat="1" ht="46.8" x14ac:dyDescent="0.3">
      <c r="A1446" s="161"/>
      <c r="B1446" s="167"/>
      <c r="C1446" s="98" t="s">
        <v>2708</v>
      </c>
      <c r="D1446" s="163"/>
      <c r="E1446" s="26" t="s">
        <v>48</v>
      </c>
      <c r="F1446" s="30" t="s">
        <v>49</v>
      </c>
      <c r="G1446" s="163"/>
      <c r="H1446" s="163"/>
      <c r="I1446" s="163"/>
      <c r="J1446" s="165"/>
      <c r="K1446" s="165"/>
      <c r="L1446" s="165"/>
      <c r="M1446" s="165"/>
      <c r="N1446" s="165"/>
      <c r="O1446" s="163"/>
      <c r="P1446" s="163"/>
      <c r="Q1446" s="163"/>
      <c r="R1446" s="163"/>
      <c r="S1446" s="163"/>
      <c r="T1446" s="163"/>
      <c r="U1446" s="163"/>
      <c r="V1446" s="163"/>
      <c r="W1446" s="163"/>
      <c r="X1446" s="163"/>
      <c r="Y1446" s="163"/>
      <c r="Z1446" s="163"/>
      <c r="AA1446" s="163"/>
      <c r="AB1446" s="163"/>
      <c r="AC1446" s="163"/>
      <c r="AD1446" s="163"/>
      <c r="AE1446" s="163"/>
      <c r="AF1446" s="163"/>
      <c r="AG1446" s="163"/>
      <c r="AH1446" s="163"/>
      <c r="AI1446" s="163"/>
      <c r="AJ1446" s="163"/>
      <c r="AK1446" s="163"/>
      <c r="AL1446" s="163"/>
      <c r="AM1446" s="163"/>
      <c r="AN1446" s="163"/>
    </row>
    <row r="1447" spans="1:40" s="100" customFormat="1" ht="46.8" x14ac:dyDescent="0.3">
      <c r="A1447" s="160">
        <v>943</v>
      </c>
      <c r="B1447" s="166" t="s">
        <v>1833</v>
      </c>
      <c r="C1447" s="98" t="s">
        <v>2708</v>
      </c>
      <c r="D1447" s="162" t="s">
        <v>2712</v>
      </c>
      <c r="E1447" s="26" t="s">
        <v>144</v>
      </c>
      <c r="F1447" s="30" t="s">
        <v>49</v>
      </c>
      <c r="G1447" s="162" t="s">
        <v>2704</v>
      </c>
      <c r="H1447" s="162">
        <v>17</v>
      </c>
      <c r="I1447" s="162" t="str">
        <f t="shared" si="145"/>
        <v>с ЛН</v>
      </c>
      <c r="J1447" s="164">
        <v>3</v>
      </c>
      <c r="K1447" s="164" t="s">
        <v>528</v>
      </c>
      <c r="L1447" s="164" t="s">
        <v>528</v>
      </c>
      <c r="M1447" s="164" t="s">
        <v>2705</v>
      </c>
      <c r="N1447" s="164" t="s">
        <v>2705</v>
      </c>
      <c r="O1447" s="162">
        <v>483</v>
      </c>
      <c r="P1447" s="162" t="s">
        <v>2706</v>
      </c>
      <c r="Q1447" s="162">
        <v>331</v>
      </c>
      <c r="R1447" s="162" t="s">
        <v>2706</v>
      </c>
      <c r="S1447" s="162">
        <v>374</v>
      </c>
      <c r="T1447" s="162" t="s">
        <v>2706</v>
      </c>
      <c r="U1447" s="162">
        <v>383</v>
      </c>
      <c r="V1447" s="162" t="s">
        <v>2706</v>
      </c>
      <c r="W1447" s="162">
        <v>333</v>
      </c>
      <c r="X1447" s="162" t="s">
        <v>2706</v>
      </c>
      <c r="Y1447" s="162">
        <v>258</v>
      </c>
      <c r="Z1447" s="162" t="s">
        <v>2706</v>
      </c>
      <c r="AA1447" s="162">
        <v>209</v>
      </c>
      <c r="AB1447" s="162" t="s">
        <v>2706</v>
      </c>
      <c r="AC1447" s="162">
        <v>235</v>
      </c>
      <c r="AD1447" s="162" t="s">
        <v>2706</v>
      </c>
      <c r="AE1447" s="162">
        <v>243</v>
      </c>
      <c r="AF1447" s="162" t="s">
        <v>2706</v>
      </c>
      <c r="AG1447" s="162">
        <v>294</v>
      </c>
      <c r="AH1447" s="162" t="s">
        <v>2706</v>
      </c>
      <c r="AI1447" s="162">
        <v>252</v>
      </c>
      <c r="AJ1447" s="162" t="s">
        <v>2706</v>
      </c>
      <c r="AK1447" s="162">
        <v>409</v>
      </c>
      <c r="AL1447" s="162" t="s">
        <v>2706</v>
      </c>
      <c r="AM1447" s="162">
        <v>3569</v>
      </c>
      <c r="AN1447" s="162"/>
    </row>
    <row r="1448" spans="1:40" s="100" customFormat="1" ht="46.8" x14ac:dyDescent="0.3">
      <c r="A1448" s="161"/>
      <c r="B1448" s="167"/>
      <c r="C1448" s="98" t="s">
        <v>2708</v>
      </c>
      <c r="D1448" s="163"/>
      <c r="E1448" s="26" t="s">
        <v>48</v>
      </c>
      <c r="F1448" s="30" t="s">
        <v>49</v>
      </c>
      <c r="G1448" s="163"/>
      <c r="H1448" s="163"/>
      <c r="I1448" s="163"/>
      <c r="J1448" s="165"/>
      <c r="K1448" s="165"/>
      <c r="L1448" s="165"/>
      <c r="M1448" s="165"/>
      <c r="N1448" s="165"/>
      <c r="O1448" s="163"/>
      <c r="P1448" s="163"/>
      <c r="Q1448" s="163"/>
      <c r="R1448" s="163"/>
      <c r="S1448" s="163"/>
      <c r="T1448" s="163"/>
      <c r="U1448" s="163"/>
      <c r="V1448" s="163"/>
      <c r="W1448" s="163"/>
      <c r="X1448" s="163"/>
      <c r="Y1448" s="163"/>
      <c r="Z1448" s="163"/>
      <c r="AA1448" s="163"/>
      <c r="AB1448" s="163"/>
      <c r="AC1448" s="163"/>
      <c r="AD1448" s="163"/>
      <c r="AE1448" s="163"/>
      <c r="AF1448" s="163"/>
      <c r="AG1448" s="163"/>
      <c r="AH1448" s="163"/>
      <c r="AI1448" s="163"/>
      <c r="AJ1448" s="163"/>
      <c r="AK1448" s="163"/>
      <c r="AL1448" s="163"/>
      <c r="AM1448" s="163"/>
      <c r="AN1448" s="163"/>
    </row>
    <row r="1449" spans="1:40" s="100" customFormat="1" ht="46.8" x14ac:dyDescent="0.3">
      <c r="A1449" s="160">
        <v>944</v>
      </c>
      <c r="B1449" s="166" t="s">
        <v>1834</v>
      </c>
      <c r="C1449" s="98" t="s">
        <v>2708</v>
      </c>
      <c r="D1449" s="162" t="s">
        <v>2712</v>
      </c>
      <c r="E1449" s="26" t="s">
        <v>144</v>
      </c>
      <c r="F1449" s="30" t="s">
        <v>49</v>
      </c>
      <c r="G1449" s="162" t="s">
        <v>2704</v>
      </c>
      <c r="H1449" s="162">
        <v>17</v>
      </c>
      <c r="I1449" s="162" t="str">
        <f t="shared" si="145"/>
        <v>с ЛН</v>
      </c>
      <c r="J1449" s="164">
        <v>3</v>
      </c>
      <c r="K1449" s="164" t="s">
        <v>528</v>
      </c>
      <c r="L1449" s="164" t="s">
        <v>528</v>
      </c>
      <c r="M1449" s="164" t="s">
        <v>2705</v>
      </c>
      <c r="N1449" s="164" t="s">
        <v>2705</v>
      </c>
      <c r="O1449" s="162">
        <v>0</v>
      </c>
      <c r="P1449" s="162" t="s">
        <v>2706</v>
      </c>
      <c r="Q1449" s="162">
        <v>0</v>
      </c>
      <c r="R1449" s="162" t="s">
        <v>2706</v>
      </c>
      <c r="S1449" s="162">
        <v>0</v>
      </c>
      <c r="T1449" s="162" t="s">
        <v>2706</v>
      </c>
      <c r="U1449" s="162">
        <v>0</v>
      </c>
      <c r="V1449" s="162" t="s">
        <v>2706</v>
      </c>
      <c r="W1449" s="162">
        <v>0</v>
      </c>
      <c r="X1449" s="162" t="s">
        <v>2706</v>
      </c>
      <c r="Y1449" s="162">
        <v>0</v>
      </c>
      <c r="Z1449" s="162" t="s">
        <v>2706</v>
      </c>
      <c r="AA1449" s="162">
        <v>0</v>
      </c>
      <c r="AB1449" s="162" t="s">
        <v>2706</v>
      </c>
      <c r="AC1449" s="162">
        <v>0</v>
      </c>
      <c r="AD1449" s="162" t="s">
        <v>2706</v>
      </c>
      <c r="AE1449" s="162">
        <v>0</v>
      </c>
      <c r="AF1449" s="162" t="s">
        <v>2706</v>
      </c>
      <c r="AG1449" s="162">
        <v>0</v>
      </c>
      <c r="AH1449" s="162" t="s">
        <v>2706</v>
      </c>
      <c r="AI1449" s="162">
        <v>0</v>
      </c>
      <c r="AJ1449" s="162" t="s">
        <v>2706</v>
      </c>
      <c r="AK1449" s="162">
        <v>0</v>
      </c>
      <c r="AL1449" s="162" t="s">
        <v>2706</v>
      </c>
      <c r="AM1449" s="162">
        <v>0</v>
      </c>
      <c r="AN1449" s="162"/>
    </row>
    <row r="1450" spans="1:40" s="100" customFormat="1" ht="46.8" x14ac:dyDescent="0.3">
      <c r="A1450" s="161"/>
      <c r="B1450" s="167"/>
      <c r="C1450" s="98" t="s">
        <v>2708</v>
      </c>
      <c r="D1450" s="163"/>
      <c r="E1450" s="26" t="s">
        <v>48</v>
      </c>
      <c r="F1450" s="30" t="s">
        <v>49</v>
      </c>
      <c r="G1450" s="163"/>
      <c r="H1450" s="163"/>
      <c r="I1450" s="163"/>
      <c r="J1450" s="165"/>
      <c r="K1450" s="165"/>
      <c r="L1450" s="165"/>
      <c r="M1450" s="165"/>
      <c r="N1450" s="165"/>
      <c r="O1450" s="163"/>
      <c r="P1450" s="163"/>
      <c r="Q1450" s="163"/>
      <c r="R1450" s="163"/>
      <c r="S1450" s="163"/>
      <c r="T1450" s="163"/>
      <c r="U1450" s="163"/>
      <c r="V1450" s="163"/>
      <c r="W1450" s="163"/>
      <c r="X1450" s="163"/>
      <c r="Y1450" s="163"/>
      <c r="Z1450" s="163"/>
      <c r="AA1450" s="163"/>
      <c r="AB1450" s="163"/>
      <c r="AC1450" s="163"/>
      <c r="AD1450" s="163"/>
      <c r="AE1450" s="163"/>
      <c r="AF1450" s="163"/>
      <c r="AG1450" s="163"/>
      <c r="AH1450" s="163"/>
      <c r="AI1450" s="163"/>
      <c r="AJ1450" s="163"/>
      <c r="AK1450" s="163"/>
      <c r="AL1450" s="163"/>
      <c r="AM1450" s="163"/>
      <c r="AN1450" s="163"/>
    </row>
    <row r="1451" spans="1:40" s="100" customFormat="1" ht="46.8" x14ac:dyDescent="0.3">
      <c r="A1451" s="160">
        <v>945</v>
      </c>
      <c r="B1451" s="166" t="s">
        <v>1835</v>
      </c>
      <c r="C1451" s="98" t="s">
        <v>2708</v>
      </c>
      <c r="D1451" s="162" t="s">
        <v>2712</v>
      </c>
      <c r="E1451" s="26" t="s">
        <v>144</v>
      </c>
      <c r="F1451" s="30" t="s">
        <v>49</v>
      </c>
      <c r="G1451" s="162" t="s">
        <v>2704</v>
      </c>
      <c r="H1451" s="162">
        <v>20</v>
      </c>
      <c r="I1451" s="162" t="str">
        <f t="shared" si="145"/>
        <v>с ЛН</v>
      </c>
      <c r="J1451" s="164">
        <v>4</v>
      </c>
      <c r="K1451" s="164" t="s">
        <v>528</v>
      </c>
      <c r="L1451" s="164" t="s">
        <v>528</v>
      </c>
      <c r="M1451" s="164" t="s">
        <v>2705</v>
      </c>
      <c r="N1451" s="164" t="s">
        <v>2705</v>
      </c>
      <c r="O1451" s="162">
        <v>232</v>
      </c>
      <c r="P1451" s="162" t="s">
        <v>2706</v>
      </c>
      <c r="Q1451" s="162">
        <v>159</v>
      </c>
      <c r="R1451" s="162" t="s">
        <v>2706</v>
      </c>
      <c r="S1451" s="162">
        <v>123</v>
      </c>
      <c r="T1451" s="162" t="s">
        <v>2706</v>
      </c>
      <c r="U1451" s="162">
        <v>134</v>
      </c>
      <c r="V1451" s="162" t="s">
        <v>2706</v>
      </c>
      <c r="W1451" s="162">
        <v>155</v>
      </c>
      <c r="X1451" s="162" t="s">
        <v>2706</v>
      </c>
      <c r="Y1451" s="162">
        <v>154</v>
      </c>
      <c r="Z1451" s="162" t="s">
        <v>2706</v>
      </c>
      <c r="AA1451" s="162">
        <v>149</v>
      </c>
      <c r="AB1451" s="162" t="s">
        <v>2706</v>
      </c>
      <c r="AC1451" s="162">
        <v>185</v>
      </c>
      <c r="AD1451" s="162" t="s">
        <v>2706</v>
      </c>
      <c r="AE1451" s="162">
        <v>175</v>
      </c>
      <c r="AF1451" s="162" t="s">
        <v>2706</v>
      </c>
      <c r="AG1451" s="162">
        <v>185</v>
      </c>
      <c r="AH1451" s="162" t="s">
        <v>2706</v>
      </c>
      <c r="AI1451" s="162">
        <v>0</v>
      </c>
      <c r="AJ1451" s="162" t="s">
        <v>2706</v>
      </c>
      <c r="AK1451" s="162">
        <v>260</v>
      </c>
      <c r="AL1451" s="162" t="s">
        <v>2706</v>
      </c>
      <c r="AM1451" s="162">
        <v>1726</v>
      </c>
      <c r="AN1451" s="162"/>
    </row>
    <row r="1452" spans="1:40" s="100" customFormat="1" ht="46.8" x14ac:dyDescent="0.3">
      <c r="A1452" s="161"/>
      <c r="B1452" s="167"/>
      <c r="C1452" s="98" t="s">
        <v>2708</v>
      </c>
      <c r="D1452" s="163"/>
      <c r="E1452" s="26" t="s">
        <v>48</v>
      </c>
      <c r="F1452" s="30" t="s">
        <v>49</v>
      </c>
      <c r="G1452" s="163"/>
      <c r="H1452" s="163"/>
      <c r="I1452" s="163"/>
      <c r="J1452" s="165"/>
      <c r="K1452" s="165"/>
      <c r="L1452" s="165"/>
      <c r="M1452" s="165"/>
      <c r="N1452" s="165"/>
      <c r="O1452" s="163"/>
      <c r="P1452" s="163"/>
      <c r="Q1452" s="163"/>
      <c r="R1452" s="163"/>
      <c r="S1452" s="163"/>
      <c r="T1452" s="163"/>
      <c r="U1452" s="163"/>
      <c r="V1452" s="163"/>
      <c r="W1452" s="163"/>
      <c r="X1452" s="163"/>
      <c r="Y1452" s="163"/>
      <c r="Z1452" s="163"/>
      <c r="AA1452" s="163"/>
      <c r="AB1452" s="163"/>
      <c r="AC1452" s="163"/>
      <c r="AD1452" s="163"/>
      <c r="AE1452" s="163"/>
      <c r="AF1452" s="163"/>
      <c r="AG1452" s="163"/>
      <c r="AH1452" s="163"/>
      <c r="AI1452" s="163"/>
      <c r="AJ1452" s="163"/>
      <c r="AK1452" s="163"/>
      <c r="AL1452" s="163"/>
      <c r="AM1452" s="163"/>
      <c r="AN1452" s="163"/>
    </row>
    <row r="1453" spans="1:40" s="100" customFormat="1" ht="46.8" x14ac:dyDescent="0.3">
      <c r="A1453" s="160">
        <v>946</v>
      </c>
      <c r="B1453" s="166" t="s">
        <v>1836</v>
      </c>
      <c r="C1453" s="98" t="s">
        <v>2708</v>
      </c>
      <c r="D1453" s="162" t="s">
        <v>2712</v>
      </c>
      <c r="E1453" s="26" t="s">
        <v>144</v>
      </c>
      <c r="F1453" s="30" t="s">
        <v>49</v>
      </c>
      <c r="G1453" s="162" t="s">
        <v>2704</v>
      </c>
      <c r="H1453" s="162">
        <v>24</v>
      </c>
      <c r="I1453" s="162" t="str">
        <f t="shared" si="145"/>
        <v>с ЛН</v>
      </c>
      <c r="J1453" s="164">
        <v>4</v>
      </c>
      <c r="K1453" s="164" t="s">
        <v>528</v>
      </c>
      <c r="L1453" s="164" t="s">
        <v>528</v>
      </c>
      <c r="M1453" s="164" t="s">
        <v>2705</v>
      </c>
      <c r="N1453" s="164" t="s">
        <v>2705</v>
      </c>
      <c r="O1453" s="162">
        <v>716</v>
      </c>
      <c r="P1453" s="162" t="s">
        <v>2706</v>
      </c>
      <c r="Q1453" s="162">
        <v>926</v>
      </c>
      <c r="R1453" s="162" t="s">
        <v>2706</v>
      </c>
      <c r="S1453" s="162">
        <v>661</v>
      </c>
      <c r="T1453" s="162" t="s">
        <v>2706</v>
      </c>
      <c r="U1453" s="162">
        <v>788</v>
      </c>
      <c r="V1453" s="162" t="s">
        <v>2706</v>
      </c>
      <c r="W1453" s="162">
        <v>801</v>
      </c>
      <c r="X1453" s="162" t="s">
        <v>2706</v>
      </c>
      <c r="Y1453" s="162">
        <v>659</v>
      </c>
      <c r="Z1453" s="162" t="s">
        <v>2706</v>
      </c>
      <c r="AA1453" s="162">
        <v>669</v>
      </c>
      <c r="AB1453" s="162" t="s">
        <v>2706</v>
      </c>
      <c r="AC1453" s="162">
        <v>683</v>
      </c>
      <c r="AD1453" s="162" t="s">
        <v>2706</v>
      </c>
      <c r="AE1453" s="162">
        <v>905</v>
      </c>
      <c r="AF1453" s="162" t="s">
        <v>2706</v>
      </c>
      <c r="AG1453" s="162">
        <v>795</v>
      </c>
      <c r="AH1453" s="162" t="s">
        <v>2706</v>
      </c>
      <c r="AI1453" s="162">
        <v>355</v>
      </c>
      <c r="AJ1453" s="162" t="s">
        <v>2706</v>
      </c>
      <c r="AK1453" s="162">
        <v>759</v>
      </c>
      <c r="AL1453" s="162" t="s">
        <v>2706</v>
      </c>
      <c r="AM1453" s="162">
        <v>8034</v>
      </c>
      <c r="AN1453" s="162"/>
    </row>
    <row r="1454" spans="1:40" s="100" customFormat="1" ht="46.8" x14ac:dyDescent="0.3">
      <c r="A1454" s="161"/>
      <c r="B1454" s="167"/>
      <c r="C1454" s="98" t="s">
        <v>2708</v>
      </c>
      <c r="D1454" s="163"/>
      <c r="E1454" s="26" t="s">
        <v>48</v>
      </c>
      <c r="F1454" s="30" t="s">
        <v>49</v>
      </c>
      <c r="G1454" s="163"/>
      <c r="H1454" s="163"/>
      <c r="I1454" s="163"/>
      <c r="J1454" s="165"/>
      <c r="K1454" s="165"/>
      <c r="L1454" s="165"/>
      <c r="M1454" s="165"/>
      <c r="N1454" s="165"/>
      <c r="O1454" s="163"/>
      <c r="P1454" s="163"/>
      <c r="Q1454" s="163"/>
      <c r="R1454" s="163"/>
      <c r="S1454" s="163"/>
      <c r="T1454" s="163"/>
      <c r="U1454" s="163"/>
      <c r="V1454" s="163"/>
      <c r="W1454" s="163"/>
      <c r="X1454" s="163"/>
      <c r="Y1454" s="163"/>
      <c r="Z1454" s="163"/>
      <c r="AA1454" s="163"/>
      <c r="AB1454" s="163"/>
      <c r="AC1454" s="163"/>
      <c r="AD1454" s="163"/>
      <c r="AE1454" s="163"/>
      <c r="AF1454" s="163"/>
      <c r="AG1454" s="163"/>
      <c r="AH1454" s="163"/>
      <c r="AI1454" s="163"/>
      <c r="AJ1454" s="163"/>
      <c r="AK1454" s="163"/>
      <c r="AL1454" s="163"/>
      <c r="AM1454" s="163"/>
      <c r="AN1454" s="163"/>
    </row>
    <row r="1455" spans="1:40" s="100" customFormat="1" ht="46.8" x14ac:dyDescent="0.3">
      <c r="A1455" s="160">
        <v>947</v>
      </c>
      <c r="B1455" s="166" t="s">
        <v>1838</v>
      </c>
      <c r="C1455" s="98" t="s">
        <v>2708</v>
      </c>
      <c r="D1455" s="162" t="s">
        <v>2712</v>
      </c>
      <c r="E1455" s="26" t="s">
        <v>144</v>
      </c>
      <c r="F1455" s="30" t="s">
        <v>49</v>
      </c>
      <c r="G1455" s="162" t="s">
        <v>2704</v>
      </c>
      <c r="H1455" s="162">
        <v>20</v>
      </c>
      <c r="I1455" s="162" t="str">
        <f t="shared" si="145"/>
        <v>с ЛН</v>
      </c>
      <c r="J1455" s="164">
        <v>4</v>
      </c>
      <c r="K1455" s="164" t="s">
        <v>528</v>
      </c>
      <c r="L1455" s="164" t="s">
        <v>528</v>
      </c>
      <c r="M1455" s="164" t="s">
        <v>2705</v>
      </c>
      <c r="N1455" s="164" t="s">
        <v>2705</v>
      </c>
      <c r="O1455" s="162">
        <v>486</v>
      </c>
      <c r="P1455" s="162" t="s">
        <v>2706</v>
      </c>
      <c r="Q1455" s="162">
        <v>520</v>
      </c>
      <c r="R1455" s="162" t="s">
        <v>2706</v>
      </c>
      <c r="S1455" s="162">
        <v>353</v>
      </c>
      <c r="T1455" s="162" t="s">
        <v>2706</v>
      </c>
      <c r="U1455" s="162">
        <v>1042</v>
      </c>
      <c r="V1455" s="162" t="s">
        <v>2706</v>
      </c>
      <c r="W1455" s="162">
        <v>639</v>
      </c>
      <c r="X1455" s="162" t="s">
        <v>2706</v>
      </c>
      <c r="Y1455" s="162">
        <v>0</v>
      </c>
      <c r="Z1455" s="162" t="s">
        <v>2706</v>
      </c>
      <c r="AA1455" s="162">
        <v>0</v>
      </c>
      <c r="AB1455" s="162" t="s">
        <v>2706</v>
      </c>
      <c r="AC1455" s="162">
        <v>0</v>
      </c>
      <c r="AD1455" s="162" t="s">
        <v>2706</v>
      </c>
      <c r="AE1455" s="162">
        <v>168</v>
      </c>
      <c r="AF1455" s="162" t="s">
        <v>2706</v>
      </c>
      <c r="AG1455" s="162">
        <v>237</v>
      </c>
      <c r="AH1455" s="162" t="s">
        <v>2706</v>
      </c>
      <c r="AI1455" s="162">
        <v>240</v>
      </c>
      <c r="AJ1455" s="162" t="s">
        <v>2706</v>
      </c>
      <c r="AK1455" s="162">
        <v>365</v>
      </c>
      <c r="AL1455" s="162" t="s">
        <v>2706</v>
      </c>
      <c r="AM1455" s="162">
        <v>4050</v>
      </c>
      <c r="AN1455" s="162"/>
    </row>
    <row r="1456" spans="1:40" s="100" customFormat="1" ht="46.8" x14ac:dyDescent="0.3">
      <c r="A1456" s="161"/>
      <c r="B1456" s="167"/>
      <c r="C1456" s="98" t="s">
        <v>2708</v>
      </c>
      <c r="D1456" s="163"/>
      <c r="E1456" s="26" t="s">
        <v>48</v>
      </c>
      <c r="F1456" s="30" t="s">
        <v>49</v>
      </c>
      <c r="G1456" s="163"/>
      <c r="H1456" s="163"/>
      <c r="I1456" s="163"/>
      <c r="J1456" s="165"/>
      <c r="K1456" s="165"/>
      <c r="L1456" s="165"/>
      <c r="M1456" s="165"/>
      <c r="N1456" s="165"/>
      <c r="O1456" s="163"/>
      <c r="P1456" s="163"/>
      <c r="Q1456" s="163"/>
      <c r="R1456" s="163"/>
      <c r="S1456" s="163"/>
      <c r="T1456" s="163"/>
      <c r="U1456" s="163"/>
      <c r="V1456" s="163"/>
      <c r="W1456" s="163"/>
      <c r="X1456" s="163"/>
      <c r="Y1456" s="163"/>
      <c r="Z1456" s="163"/>
      <c r="AA1456" s="163"/>
      <c r="AB1456" s="163"/>
      <c r="AC1456" s="163"/>
      <c r="AD1456" s="163"/>
      <c r="AE1456" s="163"/>
      <c r="AF1456" s="163"/>
      <c r="AG1456" s="163"/>
      <c r="AH1456" s="163"/>
      <c r="AI1456" s="163"/>
      <c r="AJ1456" s="163"/>
      <c r="AK1456" s="163"/>
      <c r="AL1456" s="163"/>
      <c r="AM1456" s="163"/>
      <c r="AN1456" s="163"/>
    </row>
    <row r="1457" spans="1:40" s="100" customFormat="1" ht="46.8" x14ac:dyDescent="0.3">
      <c r="A1457" s="160">
        <v>948</v>
      </c>
      <c r="B1457" s="166" t="s">
        <v>1840</v>
      </c>
      <c r="C1457" s="98" t="s">
        <v>2708</v>
      </c>
      <c r="D1457" s="162" t="s">
        <v>2712</v>
      </c>
      <c r="E1457" s="26" t="s">
        <v>144</v>
      </c>
      <c r="F1457" s="30" t="s">
        <v>49</v>
      </c>
      <c r="G1457" s="162" t="s">
        <v>2704</v>
      </c>
      <c r="H1457" s="162">
        <v>18</v>
      </c>
      <c r="I1457" s="162" t="str">
        <f t="shared" si="145"/>
        <v>с ЛН</v>
      </c>
      <c r="J1457" s="164">
        <v>3</v>
      </c>
      <c r="K1457" s="164" t="s">
        <v>528</v>
      </c>
      <c r="L1457" s="164" t="s">
        <v>528</v>
      </c>
      <c r="M1457" s="164" t="s">
        <v>2705</v>
      </c>
      <c r="N1457" s="164" t="s">
        <v>2705</v>
      </c>
      <c r="O1457" s="162">
        <v>215</v>
      </c>
      <c r="P1457" s="162" t="s">
        <v>2706</v>
      </c>
      <c r="Q1457" s="162">
        <v>232</v>
      </c>
      <c r="R1457" s="162" t="s">
        <v>2706</v>
      </c>
      <c r="S1457" s="162">
        <v>160</v>
      </c>
      <c r="T1457" s="162" t="s">
        <v>2706</v>
      </c>
      <c r="U1457" s="162">
        <v>190</v>
      </c>
      <c r="V1457" s="162" t="s">
        <v>2706</v>
      </c>
      <c r="W1457" s="162">
        <v>193</v>
      </c>
      <c r="X1457" s="162" t="s">
        <v>2706</v>
      </c>
      <c r="Y1457" s="162">
        <v>116</v>
      </c>
      <c r="Z1457" s="162" t="s">
        <v>2706</v>
      </c>
      <c r="AA1457" s="162">
        <v>85</v>
      </c>
      <c r="AB1457" s="162" t="s">
        <v>2706</v>
      </c>
      <c r="AC1457" s="162">
        <v>117</v>
      </c>
      <c r="AD1457" s="162" t="s">
        <v>2706</v>
      </c>
      <c r="AE1457" s="162">
        <v>173</v>
      </c>
      <c r="AF1457" s="162" t="s">
        <v>2706</v>
      </c>
      <c r="AG1457" s="162">
        <v>203</v>
      </c>
      <c r="AH1457" s="162" t="s">
        <v>2706</v>
      </c>
      <c r="AI1457" s="162">
        <v>243</v>
      </c>
      <c r="AJ1457" s="162" t="s">
        <v>2706</v>
      </c>
      <c r="AK1457" s="162">
        <v>270</v>
      </c>
      <c r="AL1457" s="162" t="s">
        <v>2706</v>
      </c>
      <c r="AM1457" s="162">
        <v>2080</v>
      </c>
      <c r="AN1457" s="162"/>
    </row>
    <row r="1458" spans="1:40" s="100" customFormat="1" ht="46.8" x14ac:dyDescent="0.3">
      <c r="A1458" s="161"/>
      <c r="B1458" s="167"/>
      <c r="C1458" s="98" t="s">
        <v>2708</v>
      </c>
      <c r="D1458" s="163"/>
      <c r="E1458" s="26" t="s">
        <v>48</v>
      </c>
      <c r="F1458" s="30" t="s">
        <v>49</v>
      </c>
      <c r="G1458" s="163"/>
      <c r="H1458" s="163"/>
      <c r="I1458" s="163"/>
      <c r="J1458" s="165"/>
      <c r="K1458" s="165"/>
      <c r="L1458" s="165"/>
      <c r="M1458" s="165"/>
      <c r="N1458" s="165"/>
      <c r="O1458" s="163"/>
      <c r="P1458" s="163"/>
      <c r="Q1458" s="163"/>
      <c r="R1458" s="163"/>
      <c r="S1458" s="163"/>
      <c r="T1458" s="163"/>
      <c r="U1458" s="163"/>
      <c r="V1458" s="163"/>
      <c r="W1458" s="163"/>
      <c r="X1458" s="163"/>
      <c r="Y1458" s="163"/>
      <c r="Z1458" s="163"/>
      <c r="AA1458" s="163"/>
      <c r="AB1458" s="163"/>
      <c r="AC1458" s="163"/>
      <c r="AD1458" s="163"/>
      <c r="AE1458" s="163"/>
      <c r="AF1458" s="163"/>
      <c r="AG1458" s="163"/>
      <c r="AH1458" s="163"/>
      <c r="AI1458" s="163"/>
      <c r="AJ1458" s="163"/>
      <c r="AK1458" s="163"/>
      <c r="AL1458" s="163"/>
      <c r="AM1458" s="163"/>
      <c r="AN1458" s="163"/>
    </row>
    <row r="1459" spans="1:40" s="100" customFormat="1" ht="46.8" x14ac:dyDescent="0.3">
      <c r="A1459" s="160">
        <v>949</v>
      </c>
      <c r="B1459" s="166" t="s">
        <v>1841</v>
      </c>
      <c r="C1459" s="98" t="s">
        <v>2708</v>
      </c>
      <c r="D1459" s="162" t="s">
        <v>2712</v>
      </c>
      <c r="E1459" s="26" t="s">
        <v>144</v>
      </c>
      <c r="F1459" s="30" t="s">
        <v>49</v>
      </c>
      <c r="G1459" s="162" t="s">
        <v>2704</v>
      </c>
      <c r="H1459" s="162">
        <v>16</v>
      </c>
      <c r="I1459" s="162" t="str">
        <f t="shared" si="145"/>
        <v>с ЛН</v>
      </c>
      <c r="J1459" s="164">
        <v>3</v>
      </c>
      <c r="K1459" s="164" t="s">
        <v>528</v>
      </c>
      <c r="L1459" s="164" t="s">
        <v>528</v>
      </c>
      <c r="M1459" s="164" t="s">
        <v>2705</v>
      </c>
      <c r="N1459" s="164" t="s">
        <v>2705</v>
      </c>
      <c r="O1459" s="162">
        <v>207</v>
      </c>
      <c r="P1459" s="162" t="s">
        <v>2706</v>
      </c>
      <c r="Q1459" s="162">
        <v>243</v>
      </c>
      <c r="R1459" s="162" t="s">
        <v>2706</v>
      </c>
      <c r="S1459" s="162">
        <v>183</v>
      </c>
      <c r="T1459" s="162" t="s">
        <v>2706</v>
      </c>
      <c r="U1459" s="162">
        <v>172</v>
      </c>
      <c r="V1459" s="162" t="s">
        <v>2706</v>
      </c>
      <c r="W1459" s="162">
        <v>169</v>
      </c>
      <c r="X1459" s="162" t="s">
        <v>2706</v>
      </c>
      <c r="Y1459" s="162">
        <v>115</v>
      </c>
      <c r="Z1459" s="162" t="s">
        <v>2706</v>
      </c>
      <c r="AA1459" s="162">
        <v>91</v>
      </c>
      <c r="AB1459" s="162" t="s">
        <v>2706</v>
      </c>
      <c r="AC1459" s="162">
        <v>103</v>
      </c>
      <c r="AD1459" s="162" t="s">
        <v>2706</v>
      </c>
      <c r="AE1459" s="162">
        <v>134</v>
      </c>
      <c r="AF1459" s="162" t="s">
        <v>2706</v>
      </c>
      <c r="AG1459" s="162">
        <v>144</v>
      </c>
      <c r="AH1459" s="162" t="s">
        <v>2706</v>
      </c>
      <c r="AI1459" s="162">
        <v>327</v>
      </c>
      <c r="AJ1459" s="162" t="s">
        <v>2706</v>
      </c>
      <c r="AK1459" s="162">
        <v>224</v>
      </c>
      <c r="AL1459" s="162" t="s">
        <v>2706</v>
      </c>
      <c r="AM1459" s="162">
        <v>2009</v>
      </c>
      <c r="AN1459" s="162"/>
    </row>
    <row r="1460" spans="1:40" s="100" customFormat="1" ht="46.8" x14ac:dyDescent="0.3">
      <c r="A1460" s="161"/>
      <c r="B1460" s="167"/>
      <c r="C1460" s="98" t="s">
        <v>2708</v>
      </c>
      <c r="D1460" s="163"/>
      <c r="E1460" s="26" t="s">
        <v>48</v>
      </c>
      <c r="F1460" s="30" t="s">
        <v>49</v>
      </c>
      <c r="G1460" s="163"/>
      <c r="H1460" s="163"/>
      <c r="I1460" s="163"/>
      <c r="J1460" s="165"/>
      <c r="K1460" s="165"/>
      <c r="L1460" s="165"/>
      <c r="M1460" s="165"/>
      <c r="N1460" s="165"/>
      <c r="O1460" s="163"/>
      <c r="P1460" s="163"/>
      <c r="Q1460" s="163"/>
      <c r="R1460" s="163"/>
      <c r="S1460" s="163"/>
      <c r="T1460" s="163"/>
      <c r="U1460" s="163"/>
      <c r="V1460" s="163"/>
      <c r="W1460" s="163"/>
      <c r="X1460" s="163"/>
      <c r="Y1460" s="163"/>
      <c r="Z1460" s="163"/>
      <c r="AA1460" s="163"/>
      <c r="AB1460" s="163"/>
      <c r="AC1460" s="163"/>
      <c r="AD1460" s="163"/>
      <c r="AE1460" s="163"/>
      <c r="AF1460" s="163"/>
      <c r="AG1460" s="163"/>
      <c r="AH1460" s="163"/>
      <c r="AI1460" s="163"/>
      <c r="AJ1460" s="163"/>
      <c r="AK1460" s="163"/>
      <c r="AL1460" s="163"/>
      <c r="AM1460" s="163"/>
      <c r="AN1460" s="163"/>
    </row>
    <row r="1461" spans="1:40" s="100" customFormat="1" ht="46.8" x14ac:dyDescent="0.3">
      <c r="A1461" s="160">
        <v>950</v>
      </c>
      <c r="B1461" s="166" t="s">
        <v>1842</v>
      </c>
      <c r="C1461" s="98" t="s">
        <v>2708</v>
      </c>
      <c r="D1461" s="162" t="s">
        <v>2712</v>
      </c>
      <c r="E1461" s="26" t="s">
        <v>144</v>
      </c>
      <c r="F1461" s="30" t="s">
        <v>49</v>
      </c>
      <c r="G1461" s="162" t="s">
        <v>2704</v>
      </c>
      <c r="H1461" s="162">
        <v>20</v>
      </c>
      <c r="I1461" s="162" t="str">
        <f t="shared" si="145"/>
        <v>с ЛН</v>
      </c>
      <c r="J1461" s="164">
        <v>4</v>
      </c>
      <c r="K1461" s="164" t="s">
        <v>528</v>
      </c>
      <c r="L1461" s="164" t="s">
        <v>528</v>
      </c>
      <c r="M1461" s="164" t="s">
        <v>2705</v>
      </c>
      <c r="N1461" s="164" t="s">
        <v>2705</v>
      </c>
      <c r="O1461" s="162">
        <v>9098</v>
      </c>
      <c r="P1461" s="162" t="s">
        <v>2706</v>
      </c>
      <c r="Q1461" s="162">
        <v>7015</v>
      </c>
      <c r="R1461" s="162" t="s">
        <v>2706</v>
      </c>
      <c r="S1461" s="162">
        <v>4143</v>
      </c>
      <c r="T1461" s="162" t="s">
        <v>2706</v>
      </c>
      <c r="U1461" s="162">
        <v>6174</v>
      </c>
      <c r="V1461" s="162" t="s">
        <v>2706</v>
      </c>
      <c r="W1461" s="162">
        <v>7266</v>
      </c>
      <c r="X1461" s="162" t="s">
        <v>2706</v>
      </c>
      <c r="Y1461" s="162">
        <v>5745</v>
      </c>
      <c r="Z1461" s="162" t="s">
        <v>2706</v>
      </c>
      <c r="AA1461" s="162">
        <v>3630</v>
      </c>
      <c r="AB1461" s="162" t="s">
        <v>2706</v>
      </c>
      <c r="AC1461" s="162">
        <v>4255</v>
      </c>
      <c r="AD1461" s="162" t="s">
        <v>2706</v>
      </c>
      <c r="AE1461" s="162">
        <v>4906</v>
      </c>
      <c r="AF1461" s="162" t="s">
        <v>2706</v>
      </c>
      <c r="AG1461" s="162">
        <v>7103</v>
      </c>
      <c r="AH1461" s="162" t="s">
        <v>2706</v>
      </c>
      <c r="AI1461" s="162">
        <v>500</v>
      </c>
      <c r="AJ1461" s="162" t="s">
        <v>2706</v>
      </c>
      <c r="AK1461" s="162">
        <v>8088</v>
      </c>
      <c r="AL1461" s="162" t="s">
        <v>2706</v>
      </c>
      <c r="AM1461" s="162">
        <v>63668</v>
      </c>
      <c r="AN1461" s="162"/>
    </row>
    <row r="1462" spans="1:40" s="100" customFormat="1" ht="46.8" x14ac:dyDescent="0.3">
      <c r="A1462" s="161"/>
      <c r="B1462" s="167"/>
      <c r="C1462" s="98" t="s">
        <v>2708</v>
      </c>
      <c r="D1462" s="163"/>
      <c r="E1462" s="26" t="s">
        <v>48</v>
      </c>
      <c r="F1462" s="30" t="s">
        <v>49</v>
      </c>
      <c r="G1462" s="163"/>
      <c r="H1462" s="163"/>
      <c r="I1462" s="163"/>
      <c r="J1462" s="165"/>
      <c r="K1462" s="165"/>
      <c r="L1462" s="165"/>
      <c r="M1462" s="165"/>
      <c r="N1462" s="165"/>
      <c r="O1462" s="163"/>
      <c r="P1462" s="163"/>
      <c r="Q1462" s="163"/>
      <c r="R1462" s="163"/>
      <c r="S1462" s="163"/>
      <c r="T1462" s="163"/>
      <c r="U1462" s="163"/>
      <c r="V1462" s="163"/>
      <c r="W1462" s="163"/>
      <c r="X1462" s="163"/>
      <c r="Y1462" s="163"/>
      <c r="Z1462" s="163"/>
      <c r="AA1462" s="163"/>
      <c r="AB1462" s="163"/>
      <c r="AC1462" s="163"/>
      <c r="AD1462" s="163"/>
      <c r="AE1462" s="163"/>
      <c r="AF1462" s="163"/>
      <c r="AG1462" s="163"/>
      <c r="AH1462" s="163"/>
      <c r="AI1462" s="163"/>
      <c r="AJ1462" s="163"/>
      <c r="AK1462" s="163"/>
      <c r="AL1462" s="163"/>
      <c r="AM1462" s="163"/>
      <c r="AN1462" s="163"/>
    </row>
    <row r="1463" spans="1:40" s="100" customFormat="1" ht="46.8" x14ac:dyDescent="0.3">
      <c r="A1463" s="160">
        <v>951</v>
      </c>
      <c r="B1463" s="166" t="s">
        <v>1843</v>
      </c>
      <c r="C1463" s="98" t="s">
        <v>2708</v>
      </c>
      <c r="D1463" s="162" t="s">
        <v>2712</v>
      </c>
      <c r="E1463" s="26" t="s">
        <v>144</v>
      </c>
      <c r="F1463" s="30" t="s">
        <v>49</v>
      </c>
      <c r="G1463" s="162" t="s">
        <v>2704</v>
      </c>
      <c r="H1463" s="162">
        <v>16</v>
      </c>
      <c r="I1463" s="162" t="str">
        <f t="shared" si="145"/>
        <v>с ЛН</v>
      </c>
      <c r="J1463" s="164">
        <v>3</v>
      </c>
      <c r="K1463" s="164" t="s">
        <v>528</v>
      </c>
      <c r="L1463" s="164" t="s">
        <v>528</v>
      </c>
      <c r="M1463" s="164" t="s">
        <v>2705</v>
      </c>
      <c r="N1463" s="164" t="s">
        <v>2705</v>
      </c>
      <c r="O1463" s="162">
        <v>437</v>
      </c>
      <c r="P1463" s="162" t="s">
        <v>2706</v>
      </c>
      <c r="Q1463" s="162">
        <v>329</v>
      </c>
      <c r="R1463" s="162" t="s">
        <v>2706</v>
      </c>
      <c r="S1463" s="162">
        <v>347</v>
      </c>
      <c r="T1463" s="162" t="s">
        <v>2706</v>
      </c>
      <c r="U1463" s="162">
        <v>300</v>
      </c>
      <c r="V1463" s="162" t="s">
        <v>2706</v>
      </c>
      <c r="W1463" s="162">
        <v>323</v>
      </c>
      <c r="X1463" s="162" t="s">
        <v>2706</v>
      </c>
      <c r="Y1463" s="162">
        <v>338</v>
      </c>
      <c r="Z1463" s="162" t="s">
        <v>2706</v>
      </c>
      <c r="AA1463" s="162">
        <v>313</v>
      </c>
      <c r="AB1463" s="162" t="s">
        <v>2706</v>
      </c>
      <c r="AC1463" s="162">
        <v>331</v>
      </c>
      <c r="AD1463" s="162" t="s">
        <v>2706</v>
      </c>
      <c r="AE1463" s="162">
        <v>421</v>
      </c>
      <c r="AF1463" s="162" t="s">
        <v>2706</v>
      </c>
      <c r="AG1463" s="162">
        <v>301</v>
      </c>
      <c r="AH1463" s="162" t="s">
        <v>2706</v>
      </c>
      <c r="AI1463" s="162">
        <v>400</v>
      </c>
      <c r="AJ1463" s="162" t="s">
        <v>2706</v>
      </c>
      <c r="AK1463" s="162">
        <v>375</v>
      </c>
      <c r="AL1463" s="162" t="s">
        <v>2706</v>
      </c>
      <c r="AM1463" s="162">
        <v>3884</v>
      </c>
      <c r="AN1463" s="162"/>
    </row>
    <row r="1464" spans="1:40" s="100" customFormat="1" ht="46.8" x14ac:dyDescent="0.3">
      <c r="A1464" s="161"/>
      <c r="B1464" s="167"/>
      <c r="C1464" s="98" t="s">
        <v>2708</v>
      </c>
      <c r="D1464" s="163"/>
      <c r="E1464" s="26" t="s">
        <v>48</v>
      </c>
      <c r="F1464" s="30" t="s">
        <v>49</v>
      </c>
      <c r="G1464" s="163"/>
      <c r="H1464" s="163"/>
      <c r="I1464" s="163"/>
      <c r="J1464" s="165"/>
      <c r="K1464" s="165"/>
      <c r="L1464" s="165"/>
      <c r="M1464" s="165"/>
      <c r="N1464" s="165"/>
      <c r="O1464" s="163"/>
      <c r="P1464" s="163"/>
      <c r="Q1464" s="163"/>
      <c r="R1464" s="163"/>
      <c r="S1464" s="163"/>
      <c r="T1464" s="163"/>
      <c r="U1464" s="163"/>
      <c r="V1464" s="163"/>
      <c r="W1464" s="163"/>
      <c r="X1464" s="163"/>
      <c r="Y1464" s="163"/>
      <c r="Z1464" s="163"/>
      <c r="AA1464" s="163"/>
      <c r="AB1464" s="163"/>
      <c r="AC1464" s="163"/>
      <c r="AD1464" s="163"/>
      <c r="AE1464" s="163"/>
      <c r="AF1464" s="163"/>
      <c r="AG1464" s="163"/>
      <c r="AH1464" s="163"/>
      <c r="AI1464" s="163"/>
      <c r="AJ1464" s="163"/>
      <c r="AK1464" s="163"/>
      <c r="AL1464" s="163"/>
      <c r="AM1464" s="163"/>
      <c r="AN1464" s="163"/>
    </row>
    <row r="1465" spans="1:40" s="100" customFormat="1" ht="46.8" x14ac:dyDescent="0.3">
      <c r="A1465" s="160">
        <v>952</v>
      </c>
      <c r="B1465" s="166" t="s">
        <v>1844</v>
      </c>
      <c r="C1465" s="98" t="s">
        <v>2708</v>
      </c>
      <c r="D1465" s="162" t="s">
        <v>2712</v>
      </c>
      <c r="E1465" s="26" t="s">
        <v>144</v>
      </c>
      <c r="F1465" s="30" t="s">
        <v>49</v>
      </c>
      <c r="G1465" s="162" t="s">
        <v>2704</v>
      </c>
      <c r="H1465" s="162">
        <v>16</v>
      </c>
      <c r="I1465" s="162" t="str">
        <f t="shared" si="145"/>
        <v>с ЛН</v>
      </c>
      <c r="J1465" s="164">
        <v>3</v>
      </c>
      <c r="K1465" s="164" t="s">
        <v>528</v>
      </c>
      <c r="L1465" s="164" t="s">
        <v>528</v>
      </c>
      <c r="M1465" s="164" t="s">
        <v>2705</v>
      </c>
      <c r="N1465" s="164" t="s">
        <v>2705</v>
      </c>
      <c r="O1465" s="162">
        <v>0</v>
      </c>
      <c r="P1465" s="162" t="s">
        <v>2706</v>
      </c>
      <c r="Q1465" s="162">
        <v>329</v>
      </c>
      <c r="R1465" s="162" t="s">
        <v>2706</v>
      </c>
      <c r="S1465" s="162">
        <v>347</v>
      </c>
      <c r="T1465" s="162" t="s">
        <v>2706</v>
      </c>
      <c r="U1465" s="162">
        <v>300</v>
      </c>
      <c r="V1465" s="162" t="s">
        <v>2706</v>
      </c>
      <c r="W1465" s="162">
        <v>323</v>
      </c>
      <c r="X1465" s="162" t="s">
        <v>2706</v>
      </c>
      <c r="Y1465" s="162">
        <v>338</v>
      </c>
      <c r="Z1465" s="162" t="s">
        <v>2706</v>
      </c>
      <c r="AA1465" s="162">
        <v>313</v>
      </c>
      <c r="AB1465" s="162" t="s">
        <v>2706</v>
      </c>
      <c r="AC1465" s="162">
        <v>331</v>
      </c>
      <c r="AD1465" s="162" t="s">
        <v>2706</v>
      </c>
      <c r="AE1465" s="162">
        <v>421</v>
      </c>
      <c r="AF1465" s="162" t="s">
        <v>2706</v>
      </c>
      <c r="AG1465" s="162">
        <v>301</v>
      </c>
      <c r="AH1465" s="162" t="s">
        <v>2706</v>
      </c>
      <c r="AI1465" s="162">
        <v>400</v>
      </c>
      <c r="AJ1465" s="162" t="s">
        <v>2706</v>
      </c>
      <c r="AK1465" s="162">
        <v>375</v>
      </c>
      <c r="AL1465" s="162" t="s">
        <v>2706</v>
      </c>
      <c r="AM1465" s="162">
        <v>3447</v>
      </c>
      <c r="AN1465" s="162"/>
    </row>
    <row r="1466" spans="1:40" s="100" customFormat="1" ht="46.8" x14ac:dyDescent="0.3">
      <c r="A1466" s="161"/>
      <c r="B1466" s="167"/>
      <c r="C1466" s="98" t="s">
        <v>2708</v>
      </c>
      <c r="D1466" s="163"/>
      <c r="E1466" s="26" t="s">
        <v>48</v>
      </c>
      <c r="F1466" s="30" t="s">
        <v>49</v>
      </c>
      <c r="G1466" s="163"/>
      <c r="H1466" s="163"/>
      <c r="I1466" s="163"/>
      <c r="J1466" s="165"/>
      <c r="K1466" s="165"/>
      <c r="L1466" s="165"/>
      <c r="M1466" s="165"/>
      <c r="N1466" s="165"/>
      <c r="O1466" s="163"/>
      <c r="P1466" s="163"/>
      <c r="Q1466" s="163"/>
      <c r="R1466" s="163"/>
      <c r="S1466" s="163"/>
      <c r="T1466" s="163"/>
      <c r="U1466" s="163"/>
      <c r="V1466" s="163"/>
      <c r="W1466" s="163"/>
      <c r="X1466" s="163"/>
      <c r="Y1466" s="163"/>
      <c r="Z1466" s="163"/>
      <c r="AA1466" s="163"/>
      <c r="AB1466" s="163"/>
      <c r="AC1466" s="163"/>
      <c r="AD1466" s="163"/>
      <c r="AE1466" s="163"/>
      <c r="AF1466" s="163"/>
      <c r="AG1466" s="163"/>
      <c r="AH1466" s="163"/>
      <c r="AI1466" s="163"/>
      <c r="AJ1466" s="163"/>
      <c r="AK1466" s="163"/>
      <c r="AL1466" s="163"/>
      <c r="AM1466" s="163"/>
      <c r="AN1466" s="163"/>
    </row>
    <row r="1467" spans="1:40" s="100" customFormat="1" ht="46.8" x14ac:dyDescent="0.3">
      <c r="A1467" s="160">
        <v>953</v>
      </c>
      <c r="B1467" s="166" t="s">
        <v>1845</v>
      </c>
      <c r="C1467" s="98" t="s">
        <v>2708</v>
      </c>
      <c r="D1467" s="162" t="s">
        <v>2712</v>
      </c>
      <c r="E1467" s="26" t="s">
        <v>144</v>
      </c>
      <c r="F1467" s="30" t="s">
        <v>49</v>
      </c>
      <c r="G1467" s="162" t="s">
        <v>2704</v>
      </c>
      <c r="H1467" s="162">
        <v>17</v>
      </c>
      <c r="I1467" s="162" t="str">
        <f t="shared" si="145"/>
        <v>с ЛН</v>
      </c>
      <c r="J1467" s="164">
        <v>3</v>
      </c>
      <c r="K1467" s="164" t="s">
        <v>528</v>
      </c>
      <c r="L1467" s="164" t="s">
        <v>528</v>
      </c>
      <c r="M1467" s="164" t="s">
        <v>2705</v>
      </c>
      <c r="N1467" s="164" t="s">
        <v>2705</v>
      </c>
      <c r="O1467" s="162">
        <v>0</v>
      </c>
      <c r="P1467" s="162" t="s">
        <v>2706</v>
      </c>
      <c r="Q1467" s="162">
        <v>0</v>
      </c>
      <c r="R1467" s="162" t="s">
        <v>2706</v>
      </c>
      <c r="S1467" s="162">
        <v>0</v>
      </c>
      <c r="T1467" s="162" t="s">
        <v>2706</v>
      </c>
      <c r="U1467" s="162">
        <v>0</v>
      </c>
      <c r="V1467" s="162" t="s">
        <v>2706</v>
      </c>
      <c r="W1467" s="162">
        <v>0</v>
      </c>
      <c r="X1467" s="162" t="s">
        <v>2706</v>
      </c>
      <c r="Y1467" s="162">
        <v>0</v>
      </c>
      <c r="Z1467" s="162" t="s">
        <v>2706</v>
      </c>
      <c r="AA1467" s="162">
        <v>0</v>
      </c>
      <c r="AB1467" s="162" t="s">
        <v>2706</v>
      </c>
      <c r="AC1467" s="162">
        <v>0</v>
      </c>
      <c r="AD1467" s="162" t="s">
        <v>2706</v>
      </c>
      <c r="AE1467" s="162">
        <v>0</v>
      </c>
      <c r="AF1467" s="162" t="s">
        <v>2706</v>
      </c>
      <c r="AG1467" s="162">
        <v>0</v>
      </c>
      <c r="AH1467" s="162" t="s">
        <v>2706</v>
      </c>
      <c r="AI1467" s="162">
        <v>0</v>
      </c>
      <c r="AJ1467" s="162" t="s">
        <v>2706</v>
      </c>
      <c r="AK1467" s="162">
        <v>0</v>
      </c>
      <c r="AL1467" s="162" t="s">
        <v>2706</v>
      </c>
      <c r="AM1467" s="162">
        <v>0</v>
      </c>
      <c r="AN1467" s="162"/>
    </row>
    <row r="1468" spans="1:40" s="100" customFormat="1" ht="46.8" x14ac:dyDescent="0.3">
      <c r="A1468" s="161"/>
      <c r="B1468" s="167"/>
      <c r="C1468" s="98" t="s">
        <v>2708</v>
      </c>
      <c r="D1468" s="163"/>
      <c r="E1468" s="26" t="s">
        <v>48</v>
      </c>
      <c r="F1468" s="30" t="s">
        <v>49</v>
      </c>
      <c r="G1468" s="163"/>
      <c r="H1468" s="163"/>
      <c r="I1468" s="163"/>
      <c r="J1468" s="165"/>
      <c r="K1468" s="165"/>
      <c r="L1468" s="165"/>
      <c r="M1468" s="165"/>
      <c r="N1468" s="165"/>
      <c r="O1468" s="163"/>
      <c r="P1468" s="163"/>
      <c r="Q1468" s="163"/>
      <c r="R1468" s="163"/>
      <c r="S1468" s="163"/>
      <c r="T1468" s="163"/>
      <c r="U1468" s="163"/>
      <c r="V1468" s="163"/>
      <c r="W1468" s="163"/>
      <c r="X1468" s="163"/>
      <c r="Y1468" s="163"/>
      <c r="Z1468" s="163"/>
      <c r="AA1468" s="163"/>
      <c r="AB1468" s="163"/>
      <c r="AC1468" s="163"/>
      <c r="AD1468" s="163"/>
      <c r="AE1468" s="163"/>
      <c r="AF1468" s="163"/>
      <c r="AG1468" s="163"/>
      <c r="AH1468" s="163"/>
      <c r="AI1468" s="163"/>
      <c r="AJ1468" s="163"/>
      <c r="AK1468" s="163"/>
      <c r="AL1468" s="163"/>
      <c r="AM1468" s="163"/>
      <c r="AN1468" s="163"/>
    </row>
    <row r="1469" spans="1:40" s="100" customFormat="1" ht="46.8" x14ac:dyDescent="0.3">
      <c r="A1469" s="160">
        <v>954</v>
      </c>
      <c r="B1469" s="166" t="s">
        <v>1847</v>
      </c>
      <c r="C1469" s="98" t="s">
        <v>2708</v>
      </c>
      <c r="D1469" s="162" t="s">
        <v>2712</v>
      </c>
      <c r="E1469" s="26" t="s">
        <v>144</v>
      </c>
      <c r="F1469" s="30" t="s">
        <v>49</v>
      </c>
      <c r="G1469" s="162" t="s">
        <v>2704</v>
      </c>
      <c r="H1469" s="162">
        <v>16</v>
      </c>
      <c r="I1469" s="162" t="str">
        <f t="shared" si="145"/>
        <v>с ЛН</v>
      </c>
      <c r="J1469" s="164">
        <v>3</v>
      </c>
      <c r="K1469" s="164" t="s">
        <v>528</v>
      </c>
      <c r="L1469" s="164" t="s">
        <v>528</v>
      </c>
      <c r="M1469" s="164" t="s">
        <v>2705</v>
      </c>
      <c r="N1469" s="164" t="s">
        <v>2705</v>
      </c>
      <c r="O1469" s="162">
        <v>94</v>
      </c>
      <c r="P1469" s="162" t="s">
        <v>2706</v>
      </c>
      <c r="Q1469" s="162">
        <v>55</v>
      </c>
      <c r="R1469" s="162" t="s">
        <v>2706</v>
      </c>
      <c r="S1469" s="162">
        <v>55</v>
      </c>
      <c r="T1469" s="162" t="s">
        <v>2706</v>
      </c>
      <c r="U1469" s="162">
        <v>84</v>
      </c>
      <c r="V1469" s="162" t="s">
        <v>2706</v>
      </c>
      <c r="W1469" s="162">
        <v>51</v>
      </c>
      <c r="X1469" s="162" t="s">
        <v>2706</v>
      </c>
      <c r="Y1469" s="162">
        <v>25</v>
      </c>
      <c r="Z1469" s="162" t="s">
        <v>2706</v>
      </c>
      <c r="AA1469" s="162">
        <v>17</v>
      </c>
      <c r="AB1469" s="162" t="s">
        <v>2706</v>
      </c>
      <c r="AC1469" s="162">
        <v>26</v>
      </c>
      <c r="AD1469" s="162" t="s">
        <v>2706</v>
      </c>
      <c r="AE1469" s="162">
        <v>55</v>
      </c>
      <c r="AF1469" s="162" t="s">
        <v>2706</v>
      </c>
      <c r="AG1469" s="162">
        <v>63</v>
      </c>
      <c r="AH1469" s="162" t="s">
        <v>2706</v>
      </c>
      <c r="AI1469" s="162">
        <v>457</v>
      </c>
      <c r="AJ1469" s="162" t="s">
        <v>2706</v>
      </c>
      <c r="AK1469" s="162">
        <v>86</v>
      </c>
      <c r="AL1469" s="162" t="s">
        <v>2706</v>
      </c>
      <c r="AM1469" s="162">
        <v>1042</v>
      </c>
      <c r="AN1469" s="162"/>
    </row>
    <row r="1470" spans="1:40" s="100" customFormat="1" ht="46.8" x14ac:dyDescent="0.3">
      <c r="A1470" s="161"/>
      <c r="B1470" s="167"/>
      <c r="C1470" s="98" t="s">
        <v>2708</v>
      </c>
      <c r="D1470" s="163"/>
      <c r="E1470" s="26" t="s">
        <v>48</v>
      </c>
      <c r="F1470" s="30" t="s">
        <v>49</v>
      </c>
      <c r="G1470" s="163"/>
      <c r="H1470" s="163"/>
      <c r="I1470" s="163"/>
      <c r="J1470" s="165"/>
      <c r="K1470" s="165"/>
      <c r="L1470" s="165"/>
      <c r="M1470" s="165"/>
      <c r="N1470" s="165"/>
      <c r="O1470" s="163"/>
      <c r="P1470" s="163"/>
      <c r="Q1470" s="163"/>
      <c r="R1470" s="163"/>
      <c r="S1470" s="163"/>
      <c r="T1470" s="163"/>
      <c r="U1470" s="163"/>
      <c r="V1470" s="163"/>
      <c r="W1470" s="163"/>
      <c r="X1470" s="163"/>
      <c r="Y1470" s="163"/>
      <c r="Z1470" s="163"/>
      <c r="AA1470" s="163"/>
      <c r="AB1470" s="163"/>
      <c r="AC1470" s="163"/>
      <c r="AD1470" s="163"/>
      <c r="AE1470" s="163"/>
      <c r="AF1470" s="163"/>
      <c r="AG1470" s="163"/>
      <c r="AH1470" s="163"/>
      <c r="AI1470" s="163"/>
      <c r="AJ1470" s="163"/>
      <c r="AK1470" s="163"/>
      <c r="AL1470" s="163"/>
      <c r="AM1470" s="163"/>
      <c r="AN1470" s="163"/>
    </row>
    <row r="1471" spans="1:40" s="100" customFormat="1" ht="46.8" x14ac:dyDescent="0.3">
      <c r="A1471" s="160">
        <v>955</v>
      </c>
      <c r="B1471" s="166" t="s">
        <v>1848</v>
      </c>
      <c r="C1471" s="98" t="s">
        <v>2708</v>
      </c>
      <c r="D1471" s="162" t="s">
        <v>2712</v>
      </c>
      <c r="E1471" s="26" t="s">
        <v>144</v>
      </c>
      <c r="F1471" s="30" t="s">
        <v>49</v>
      </c>
      <c r="G1471" s="162" t="s">
        <v>2704</v>
      </c>
      <c r="H1471" s="162">
        <v>14</v>
      </c>
      <c r="I1471" s="162" t="str">
        <f t="shared" si="145"/>
        <v>с ЛН</v>
      </c>
      <c r="J1471" s="164">
        <v>3</v>
      </c>
      <c r="K1471" s="164" t="s">
        <v>528</v>
      </c>
      <c r="L1471" s="164" t="s">
        <v>528</v>
      </c>
      <c r="M1471" s="164" t="s">
        <v>2705</v>
      </c>
      <c r="N1471" s="164" t="s">
        <v>2705</v>
      </c>
      <c r="O1471" s="162">
        <v>0</v>
      </c>
      <c r="P1471" s="162" t="s">
        <v>2706</v>
      </c>
      <c r="Q1471" s="162">
        <v>0</v>
      </c>
      <c r="R1471" s="162" t="s">
        <v>2706</v>
      </c>
      <c r="S1471" s="162">
        <v>0</v>
      </c>
      <c r="T1471" s="162" t="s">
        <v>2706</v>
      </c>
      <c r="U1471" s="162">
        <v>0</v>
      </c>
      <c r="V1471" s="162" t="s">
        <v>2706</v>
      </c>
      <c r="W1471" s="162">
        <v>0</v>
      </c>
      <c r="X1471" s="162" t="s">
        <v>2706</v>
      </c>
      <c r="Y1471" s="162">
        <v>0</v>
      </c>
      <c r="Z1471" s="162" t="s">
        <v>2706</v>
      </c>
      <c r="AA1471" s="162">
        <v>0</v>
      </c>
      <c r="AB1471" s="162" t="s">
        <v>2706</v>
      </c>
      <c r="AC1471" s="162">
        <v>4516</v>
      </c>
      <c r="AD1471" s="162" t="s">
        <v>2706</v>
      </c>
      <c r="AE1471" s="162">
        <v>6478</v>
      </c>
      <c r="AF1471" s="162" t="s">
        <v>2706</v>
      </c>
      <c r="AG1471" s="162">
        <v>7700</v>
      </c>
      <c r="AH1471" s="162" t="s">
        <v>2706</v>
      </c>
      <c r="AI1471" s="162">
        <v>137</v>
      </c>
      <c r="AJ1471" s="162" t="s">
        <v>2706</v>
      </c>
      <c r="AK1471" s="162">
        <v>13006</v>
      </c>
      <c r="AL1471" s="162" t="s">
        <v>2706</v>
      </c>
      <c r="AM1471" s="162">
        <v>27321</v>
      </c>
      <c r="AN1471" s="162"/>
    </row>
    <row r="1472" spans="1:40" s="100" customFormat="1" ht="46.8" x14ac:dyDescent="0.3">
      <c r="A1472" s="161"/>
      <c r="B1472" s="167"/>
      <c r="C1472" s="98" t="s">
        <v>2708</v>
      </c>
      <c r="D1472" s="163"/>
      <c r="E1472" s="26" t="s">
        <v>48</v>
      </c>
      <c r="F1472" s="30" t="s">
        <v>49</v>
      </c>
      <c r="G1472" s="163"/>
      <c r="H1472" s="163"/>
      <c r="I1472" s="163"/>
      <c r="J1472" s="165"/>
      <c r="K1472" s="165"/>
      <c r="L1472" s="165"/>
      <c r="M1472" s="165"/>
      <c r="N1472" s="165"/>
      <c r="O1472" s="163"/>
      <c r="P1472" s="163"/>
      <c r="Q1472" s="163"/>
      <c r="R1472" s="163"/>
      <c r="S1472" s="163"/>
      <c r="T1472" s="163"/>
      <c r="U1472" s="163"/>
      <c r="V1472" s="163"/>
      <c r="W1472" s="163"/>
      <c r="X1472" s="163"/>
      <c r="Y1472" s="163"/>
      <c r="Z1472" s="163"/>
      <c r="AA1472" s="163"/>
      <c r="AB1472" s="163"/>
      <c r="AC1472" s="163"/>
      <c r="AD1472" s="163"/>
      <c r="AE1472" s="163"/>
      <c r="AF1472" s="163"/>
      <c r="AG1472" s="163"/>
      <c r="AH1472" s="163"/>
      <c r="AI1472" s="163"/>
      <c r="AJ1472" s="163"/>
      <c r="AK1472" s="163"/>
      <c r="AL1472" s="163"/>
      <c r="AM1472" s="163"/>
      <c r="AN1472" s="163"/>
    </row>
    <row r="1473" spans="1:40" s="100" customFormat="1" ht="46.8" x14ac:dyDescent="0.3">
      <c r="A1473" s="160">
        <v>956</v>
      </c>
      <c r="B1473" s="166" t="s">
        <v>1849</v>
      </c>
      <c r="C1473" s="98" t="s">
        <v>2708</v>
      </c>
      <c r="D1473" s="162" t="s">
        <v>2712</v>
      </c>
      <c r="E1473" s="26" t="s">
        <v>144</v>
      </c>
      <c r="F1473" s="30" t="s">
        <v>49</v>
      </c>
      <c r="G1473" s="162" t="s">
        <v>2704</v>
      </c>
      <c r="H1473" s="162">
        <v>20</v>
      </c>
      <c r="I1473" s="162" t="str">
        <f t="shared" si="145"/>
        <v>с ЛН</v>
      </c>
      <c r="J1473" s="164">
        <v>4</v>
      </c>
      <c r="K1473" s="164" t="s">
        <v>528</v>
      </c>
      <c r="L1473" s="164" t="s">
        <v>528</v>
      </c>
      <c r="M1473" s="164" t="s">
        <v>2705</v>
      </c>
      <c r="N1473" s="164" t="s">
        <v>2705</v>
      </c>
      <c r="O1473" s="162">
        <v>155</v>
      </c>
      <c r="P1473" s="162" t="s">
        <v>2706</v>
      </c>
      <c r="Q1473" s="162">
        <v>213</v>
      </c>
      <c r="R1473" s="162" t="s">
        <v>2706</v>
      </c>
      <c r="S1473" s="162">
        <v>61</v>
      </c>
      <c r="T1473" s="162" t="s">
        <v>2706</v>
      </c>
      <c r="U1473" s="162">
        <v>81</v>
      </c>
      <c r="V1473" s="162" t="s">
        <v>2706</v>
      </c>
      <c r="W1473" s="162">
        <v>56</v>
      </c>
      <c r="X1473" s="162" t="s">
        <v>2706</v>
      </c>
      <c r="Y1473" s="162">
        <v>26</v>
      </c>
      <c r="Z1473" s="162" t="s">
        <v>2706</v>
      </c>
      <c r="AA1473" s="162">
        <v>5</v>
      </c>
      <c r="AB1473" s="162" t="s">
        <v>2706</v>
      </c>
      <c r="AC1473" s="162">
        <v>45</v>
      </c>
      <c r="AD1473" s="162" t="s">
        <v>2706</v>
      </c>
      <c r="AE1473" s="162">
        <v>99</v>
      </c>
      <c r="AF1473" s="162" t="s">
        <v>2706</v>
      </c>
      <c r="AG1473" s="162">
        <v>79</v>
      </c>
      <c r="AH1473" s="162" t="s">
        <v>2706</v>
      </c>
      <c r="AI1473" s="162">
        <v>142</v>
      </c>
      <c r="AJ1473" s="162" t="s">
        <v>2706</v>
      </c>
      <c r="AK1473" s="162">
        <v>171</v>
      </c>
      <c r="AL1473" s="162" t="s">
        <v>2706</v>
      </c>
      <c r="AM1473" s="162">
        <v>1088</v>
      </c>
      <c r="AN1473" s="162"/>
    </row>
    <row r="1474" spans="1:40" s="100" customFormat="1" ht="46.8" x14ac:dyDescent="0.3">
      <c r="A1474" s="161"/>
      <c r="B1474" s="167"/>
      <c r="C1474" s="98" t="s">
        <v>2708</v>
      </c>
      <c r="D1474" s="163"/>
      <c r="E1474" s="26" t="s">
        <v>48</v>
      </c>
      <c r="F1474" s="30" t="s">
        <v>49</v>
      </c>
      <c r="G1474" s="163"/>
      <c r="H1474" s="163"/>
      <c r="I1474" s="163"/>
      <c r="J1474" s="165"/>
      <c r="K1474" s="165"/>
      <c r="L1474" s="165"/>
      <c r="M1474" s="165"/>
      <c r="N1474" s="165"/>
      <c r="O1474" s="163"/>
      <c r="P1474" s="163"/>
      <c r="Q1474" s="163"/>
      <c r="R1474" s="163"/>
      <c r="S1474" s="163"/>
      <c r="T1474" s="163"/>
      <c r="U1474" s="163"/>
      <c r="V1474" s="163"/>
      <c r="W1474" s="163"/>
      <c r="X1474" s="163"/>
      <c r="Y1474" s="163"/>
      <c r="Z1474" s="163"/>
      <c r="AA1474" s="163"/>
      <c r="AB1474" s="163"/>
      <c r="AC1474" s="163"/>
      <c r="AD1474" s="163"/>
      <c r="AE1474" s="163"/>
      <c r="AF1474" s="163"/>
      <c r="AG1474" s="163"/>
      <c r="AH1474" s="163"/>
      <c r="AI1474" s="163"/>
      <c r="AJ1474" s="163"/>
      <c r="AK1474" s="163"/>
      <c r="AL1474" s="163"/>
      <c r="AM1474" s="163"/>
      <c r="AN1474" s="163"/>
    </row>
    <row r="1475" spans="1:40" s="100" customFormat="1" ht="46.8" x14ac:dyDescent="0.3">
      <c r="A1475" s="160">
        <v>957</v>
      </c>
      <c r="B1475" s="166" t="s">
        <v>1851</v>
      </c>
      <c r="C1475" s="98" t="s">
        <v>2708</v>
      </c>
      <c r="D1475" s="162" t="s">
        <v>2712</v>
      </c>
      <c r="E1475" s="26" t="s">
        <v>144</v>
      </c>
      <c r="F1475" s="30" t="s">
        <v>49</v>
      </c>
      <c r="G1475" s="162"/>
      <c r="H1475" s="162"/>
      <c r="I1475" s="162"/>
      <c r="J1475" s="164"/>
      <c r="K1475" s="164" t="s">
        <v>528</v>
      </c>
      <c r="L1475" s="164" t="s">
        <v>528</v>
      </c>
      <c r="M1475" s="164" t="s">
        <v>2705</v>
      </c>
      <c r="N1475" s="164" t="s">
        <v>2705</v>
      </c>
      <c r="O1475" s="162">
        <v>3955</v>
      </c>
      <c r="P1475" s="162" t="s">
        <v>2706</v>
      </c>
      <c r="Q1475" s="162">
        <v>3955</v>
      </c>
      <c r="R1475" s="162" t="s">
        <v>2706</v>
      </c>
      <c r="S1475" s="162">
        <v>3955</v>
      </c>
      <c r="T1475" s="162" t="s">
        <v>2706</v>
      </c>
      <c r="U1475" s="162">
        <v>3955</v>
      </c>
      <c r="V1475" s="162" t="s">
        <v>2706</v>
      </c>
      <c r="W1475" s="162">
        <v>3955</v>
      </c>
      <c r="X1475" s="162" t="s">
        <v>2706</v>
      </c>
      <c r="Y1475" s="162">
        <v>3955</v>
      </c>
      <c r="Z1475" s="162" t="s">
        <v>2706</v>
      </c>
      <c r="AA1475" s="162">
        <v>3955</v>
      </c>
      <c r="AB1475" s="162" t="s">
        <v>2706</v>
      </c>
      <c r="AC1475" s="162">
        <v>2197</v>
      </c>
      <c r="AD1475" s="162" t="s">
        <v>2706</v>
      </c>
      <c r="AE1475" s="162">
        <v>6595</v>
      </c>
      <c r="AF1475" s="162" t="s">
        <v>2706</v>
      </c>
      <c r="AG1475" s="162">
        <v>1148</v>
      </c>
      <c r="AH1475" s="162" t="s">
        <v>2706</v>
      </c>
      <c r="AI1475" s="162">
        <v>0</v>
      </c>
      <c r="AJ1475" s="162" t="s">
        <v>2706</v>
      </c>
      <c r="AK1475" s="162">
        <v>0</v>
      </c>
      <c r="AL1475" s="162" t="s">
        <v>2706</v>
      </c>
      <c r="AM1475" s="162">
        <v>35428</v>
      </c>
      <c r="AN1475" s="162"/>
    </row>
    <row r="1476" spans="1:40" s="100" customFormat="1" ht="46.8" x14ac:dyDescent="0.3">
      <c r="A1476" s="161"/>
      <c r="B1476" s="167"/>
      <c r="C1476" s="98" t="s">
        <v>2708</v>
      </c>
      <c r="D1476" s="163"/>
      <c r="E1476" s="26" t="s">
        <v>48</v>
      </c>
      <c r="F1476" s="30" t="s">
        <v>49</v>
      </c>
      <c r="G1476" s="163"/>
      <c r="H1476" s="163"/>
      <c r="I1476" s="163"/>
      <c r="J1476" s="165"/>
      <c r="K1476" s="165"/>
      <c r="L1476" s="165"/>
      <c r="M1476" s="165"/>
      <c r="N1476" s="165"/>
      <c r="O1476" s="163"/>
      <c r="P1476" s="163"/>
      <c r="Q1476" s="163"/>
      <c r="R1476" s="163"/>
      <c r="S1476" s="163"/>
      <c r="T1476" s="163"/>
      <c r="U1476" s="163"/>
      <c r="V1476" s="163"/>
      <c r="W1476" s="163"/>
      <c r="X1476" s="163"/>
      <c r="Y1476" s="163"/>
      <c r="Z1476" s="163"/>
      <c r="AA1476" s="163"/>
      <c r="AB1476" s="163"/>
      <c r="AC1476" s="163"/>
      <c r="AD1476" s="163"/>
      <c r="AE1476" s="163"/>
      <c r="AF1476" s="163"/>
      <c r="AG1476" s="163"/>
      <c r="AH1476" s="163"/>
      <c r="AI1476" s="163"/>
      <c r="AJ1476" s="163"/>
      <c r="AK1476" s="163"/>
      <c r="AL1476" s="163"/>
      <c r="AM1476" s="163"/>
      <c r="AN1476" s="163"/>
    </row>
    <row r="1477" spans="1:40" s="100" customFormat="1" ht="46.8" x14ac:dyDescent="0.3">
      <c r="A1477" s="160">
        <v>958</v>
      </c>
      <c r="B1477" s="166" t="s">
        <v>1852</v>
      </c>
      <c r="C1477" s="98" t="s">
        <v>2708</v>
      </c>
      <c r="D1477" s="162" t="s">
        <v>2712</v>
      </c>
      <c r="E1477" s="26" t="s">
        <v>144</v>
      </c>
      <c r="F1477" s="30" t="s">
        <v>49</v>
      </c>
      <c r="G1477" s="162" t="s">
        <v>2704</v>
      </c>
      <c r="H1477" s="162">
        <v>16</v>
      </c>
      <c r="I1477" s="162" t="str">
        <f t="shared" si="145"/>
        <v>с ЛН</v>
      </c>
      <c r="J1477" s="164">
        <v>3</v>
      </c>
      <c r="K1477" s="164" t="s">
        <v>528</v>
      </c>
      <c r="L1477" s="164" t="s">
        <v>528</v>
      </c>
      <c r="M1477" s="164" t="s">
        <v>2705</v>
      </c>
      <c r="N1477" s="164" t="s">
        <v>2705</v>
      </c>
      <c r="O1477" s="162">
        <v>106</v>
      </c>
      <c r="P1477" s="162" t="s">
        <v>2706</v>
      </c>
      <c r="Q1477" s="162">
        <v>88</v>
      </c>
      <c r="R1477" s="162" t="s">
        <v>2706</v>
      </c>
      <c r="S1477" s="162">
        <v>68</v>
      </c>
      <c r="T1477" s="162" t="s">
        <v>2706</v>
      </c>
      <c r="U1477" s="162">
        <v>66</v>
      </c>
      <c r="V1477" s="162" t="s">
        <v>2706</v>
      </c>
      <c r="W1477" s="162">
        <v>100</v>
      </c>
      <c r="X1477" s="162" t="s">
        <v>2706</v>
      </c>
      <c r="Y1477" s="162">
        <v>89</v>
      </c>
      <c r="Z1477" s="162" t="s">
        <v>2706</v>
      </c>
      <c r="AA1477" s="162">
        <v>114</v>
      </c>
      <c r="AB1477" s="162" t="s">
        <v>2706</v>
      </c>
      <c r="AC1477" s="162">
        <v>56</v>
      </c>
      <c r="AD1477" s="162" t="s">
        <v>2706</v>
      </c>
      <c r="AE1477" s="162">
        <v>91</v>
      </c>
      <c r="AF1477" s="162" t="s">
        <v>2706</v>
      </c>
      <c r="AG1477" s="162">
        <v>129</v>
      </c>
      <c r="AH1477" s="162" t="s">
        <v>2706</v>
      </c>
      <c r="AI1477" s="162">
        <v>396</v>
      </c>
      <c r="AJ1477" s="162" t="s">
        <v>2706</v>
      </c>
      <c r="AK1477" s="162">
        <v>117</v>
      </c>
      <c r="AL1477" s="162" t="s">
        <v>2706</v>
      </c>
      <c r="AM1477" s="162">
        <v>1364</v>
      </c>
      <c r="AN1477" s="162"/>
    </row>
    <row r="1478" spans="1:40" s="100" customFormat="1" ht="46.8" x14ac:dyDescent="0.3">
      <c r="A1478" s="161"/>
      <c r="B1478" s="167"/>
      <c r="C1478" s="98" t="s">
        <v>2708</v>
      </c>
      <c r="D1478" s="163"/>
      <c r="E1478" s="26" t="s">
        <v>48</v>
      </c>
      <c r="F1478" s="30" t="s">
        <v>49</v>
      </c>
      <c r="G1478" s="163"/>
      <c r="H1478" s="163"/>
      <c r="I1478" s="163"/>
      <c r="J1478" s="165"/>
      <c r="K1478" s="165"/>
      <c r="L1478" s="165"/>
      <c r="M1478" s="165"/>
      <c r="N1478" s="165"/>
      <c r="O1478" s="163"/>
      <c r="P1478" s="163"/>
      <c r="Q1478" s="163"/>
      <c r="R1478" s="163"/>
      <c r="S1478" s="163"/>
      <c r="T1478" s="163"/>
      <c r="U1478" s="163"/>
      <c r="V1478" s="163"/>
      <c r="W1478" s="163"/>
      <c r="X1478" s="163"/>
      <c r="Y1478" s="163"/>
      <c r="Z1478" s="163"/>
      <c r="AA1478" s="163"/>
      <c r="AB1478" s="163"/>
      <c r="AC1478" s="163"/>
      <c r="AD1478" s="163"/>
      <c r="AE1478" s="163"/>
      <c r="AF1478" s="163"/>
      <c r="AG1478" s="163"/>
      <c r="AH1478" s="163"/>
      <c r="AI1478" s="163"/>
      <c r="AJ1478" s="163"/>
      <c r="AK1478" s="163"/>
      <c r="AL1478" s="163"/>
      <c r="AM1478" s="163"/>
      <c r="AN1478" s="163"/>
    </row>
    <row r="1479" spans="1:40" s="100" customFormat="1" ht="46.8" x14ac:dyDescent="0.3">
      <c r="A1479" s="160">
        <v>959</v>
      </c>
      <c r="B1479" s="166" t="s">
        <v>1853</v>
      </c>
      <c r="C1479" s="98" t="s">
        <v>2708</v>
      </c>
      <c r="D1479" s="162" t="s">
        <v>2712</v>
      </c>
      <c r="E1479" s="26" t="s">
        <v>144</v>
      </c>
      <c r="F1479" s="30" t="s">
        <v>49</v>
      </c>
      <c r="G1479" s="162" t="s">
        <v>2704</v>
      </c>
      <c r="H1479" s="162">
        <v>32</v>
      </c>
      <c r="I1479" s="162" t="str">
        <f t="shared" si="145"/>
        <v>с ЛН</v>
      </c>
      <c r="J1479" s="164">
        <v>6</v>
      </c>
      <c r="K1479" s="164" t="s">
        <v>528</v>
      </c>
      <c r="L1479" s="164" t="s">
        <v>528</v>
      </c>
      <c r="M1479" s="164" t="s">
        <v>2705</v>
      </c>
      <c r="N1479" s="164" t="s">
        <v>2705</v>
      </c>
      <c r="O1479" s="162">
        <v>482</v>
      </c>
      <c r="P1479" s="162" t="s">
        <v>2706</v>
      </c>
      <c r="Q1479" s="162">
        <v>391</v>
      </c>
      <c r="R1479" s="162" t="s">
        <v>2706</v>
      </c>
      <c r="S1479" s="162">
        <v>295</v>
      </c>
      <c r="T1479" s="162" t="s">
        <v>2706</v>
      </c>
      <c r="U1479" s="162">
        <v>503</v>
      </c>
      <c r="V1479" s="162" t="s">
        <v>2706</v>
      </c>
      <c r="W1479" s="162">
        <v>365</v>
      </c>
      <c r="X1479" s="162" t="s">
        <v>2706</v>
      </c>
      <c r="Y1479" s="162">
        <v>294</v>
      </c>
      <c r="Z1479" s="162" t="s">
        <v>2706</v>
      </c>
      <c r="AA1479" s="162">
        <v>234</v>
      </c>
      <c r="AB1479" s="162" t="s">
        <v>2706</v>
      </c>
      <c r="AC1479" s="162">
        <v>282</v>
      </c>
      <c r="AD1479" s="162" t="s">
        <v>2706</v>
      </c>
      <c r="AE1479" s="162">
        <v>281</v>
      </c>
      <c r="AF1479" s="162" t="s">
        <v>2706</v>
      </c>
      <c r="AG1479" s="162">
        <v>379</v>
      </c>
      <c r="AH1479" s="162" t="s">
        <v>2706</v>
      </c>
      <c r="AI1479" s="162">
        <v>6981</v>
      </c>
      <c r="AJ1479" s="162" t="s">
        <v>2706</v>
      </c>
      <c r="AK1479" s="162">
        <v>482</v>
      </c>
      <c r="AL1479" s="162" t="s">
        <v>2706</v>
      </c>
      <c r="AM1479" s="162">
        <v>10687</v>
      </c>
      <c r="AN1479" s="162"/>
    </row>
    <row r="1480" spans="1:40" s="100" customFormat="1" ht="46.8" x14ac:dyDescent="0.3">
      <c r="A1480" s="161"/>
      <c r="B1480" s="167"/>
      <c r="C1480" s="98" t="s">
        <v>2708</v>
      </c>
      <c r="D1480" s="163"/>
      <c r="E1480" s="26" t="s">
        <v>48</v>
      </c>
      <c r="F1480" s="30" t="s">
        <v>49</v>
      </c>
      <c r="G1480" s="163"/>
      <c r="H1480" s="163"/>
      <c r="I1480" s="163"/>
      <c r="J1480" s="165"/>
      <c r="K1480" s="165"/>
      <c r="L1480" s="165"/>
      <c r="M1480" s="165"/>
      <c r="N1480" s="165"/>
      <c r="O1480" s="163"/>
      <c r="P1480" s="163"/>
      <c r="Q1480" s="163"/>
      <c r="R1480" s="163"/>
      <c r="S1480" s="163"/>
      <c r="T1480" s="163"/>
      <c r="U1480" s="163"/>
      <c r="V1480" s="163"/>
      <c r="W1480" s="163"/>
      <c r="X1480" s="163"/>
      <c r="Y1480" s="163"/>
      <c r="Z1480" s="163"/>
      <c r="AA1480" s="163"/>
      <c r="AB1480" s="163"/>
      <c r="AC1480" s="163"/>
      <c r="AD1480" s="163"/>
      <c r="AE1480" s="163"/>
      <c r="AF1480" s="163"/>
      <c r="AG1480" s="163"/>
      <c r="AH1480" s="163"/>
      <c r="AI1480" s="163"/>
      <c r="AJ1480" s="163"/>
      <c r="AK1480" s="163"/>
      <c r="AL1480" s="163"/>
      <c r="AM1480" s="163"/>
      <c r="AN1480" s="163"/>
    </row>
    <row r="1481" spans="1:40" s="100" customFormat="1" ht="46.8" x14ac:dyDescent="0.3">
      <c r="A1481" s="160">
        <v>960</v>
      </c>
      <c r="B1481" s="166" t="s">
        <v>1854</v>
      </c>
      <c r="C1481" s="98" t="s">
        <v>2708</v>
      </c>
      <c r="D1481" s="162" t="s">
        <v>2712</v>
      </c>
      <c r="E1481" s="26" t="s">
        <v>144</v>
      </c>
      <c r="F1481" s="30" t="s">
        <v>49</v>
      </c>
      <c r="G1481" s="162" t="s">
        <v>2704</v>
      </c>
      <c r="H1481" s="162">
        <v>37</v>
      </c>
      <c r="I1481" s="162" t="str">
        <f t="shared" si="145"/>
        <v>с ЛН</v>
      </c>
      <c r="J1481" s="164">
        <v>7</v>
      </c>
      <c r="K1481" s="164" t="s">
        <v>528</v>
      </c>
      <c r="L1481" s="164" t="s">
        <v>528</v>
      </c>
      <c r="M1481" s="164" t="s">
        <v>2705</v>
      </c>
      <c r="N1481" s="164" t="s">
        <v>2705</v>
      </c>
      <c r="O1481" s="162">
        <v>0</v>
      </c>
      <c r="P1481" s="162" t="s">
        <v>2706</v>
      </c>
      <c r="Q1481" s="162">
        <v>0</v>
      </c>
      <c r="R1481" s="162" t="s">
        <v>2706</v>
      </c>
      <c r="S1481" s="162">
        <v>0</v>
      </c>
      <c r="T1481" s="162" t="s">
        <v>2706</v>
      </c>
      <c r="U1481" s="162">
        <v>0</v>
      </c>
      <c r="V1481" s="162" t="s">
        <v>2706</v>
      </c>
      <c r="W1481" s="162">
        <v>0</v>
      </c>
      <c r="X1481" s="162" t="s">
        <v>2706</v>
      </c>
      <c r="Y1481" s="162">
        <v>0</v>
      </c>
      <c r="Z1481" s="162" t="s">
        <v>2706</v>
      </c>
      <c r="AA1481" s="162">
        <v>0</v>
      </c>
      <c r="AB1481" s="162" t="s">
        <v>2706</v>
      </c>
      <c r="AC1481" s="162">
        <v>564</v>
      </c>
      <c r="AD1481" s="162" t="s">
        <v>2706</v>
      </c>
      <c r="AE1481" s="162">
        <v>493</v>
      </c>
      <c r="AF1481" s="162" t="s">
        <v>2706</v>
      </c>
      <c r="AG1481" s="162">
        <v>797</v>
      </c>
      <c r="AH1481" s="162" t="s">
        <v>2706</v>
      </c>
      <c r="AI1481" s="162">
        <v>1635</v>
      </c>
      <c r="AJ1481" s="162" t="s">
        <v>2706</v>
      </c>
      <c r="AK1481" s="162">
        <v>831</v>
      </c>
      <c r="AL1481" s="162" t="s">
        <v>2706</v>
      </c>
      <c r="AM1481" s="162">
        <v>3756</v>
      </c>
      <c r="AN1481" s="162"/>
    </row>
    <row r="1482" spans="1:40" s="100" customFormat="1" ht="46.8" x14ac:dyDescent="0.3">
      <c r="A1482" s="161"/>
      <c r="B1482" s="167"/>
      <c r="C1482" s="98" t="s">
        <v>2708</v>
      </c>
      <c r="D1482" s="163"/>
      <c r="E1482" s="26" t="s">
        <v>48</v>
      </c>
      <c r="F1482" s="30" t="s">
        <v>49</v>
      </c>
      <c r="G1482" s="163"/>
      <c r="H1482" s="163"/>
      <c r="I1482" s="163"/>
      <c r="J1482" s="165"/>
      <c r="K1482" s="165"/>
      <c r="L1482" s="165"/>
      <c r="M1482" s="165"/>
      <c r="N1482" s="165"/>
      <c r="O1482" s="163"/>
      <c r="P1482" s="163"/>
      <c r="Q1482" s="163"/>
      <c r="R1482" s="163"/>
      <c r="S1482" s="163"/>
      <c r="T1482" s="163"/>
      <c r="U1482" s="163"/>
      <c r="V1482" s="163"/>
      <c r="W1482" s="163"/>
      <c r="X1482" s="163"/>
      <c r="Y1482" s="163"/>
      <c r="Z1482" s="163"/>
      <c r="AA1482" s="163"/>
      <c r="AB1482" s="163"/>
      <c r="AC1482" s="163"/>
      <c r="AD1482" s="163"/>
      <c r="AE1482" s="163"/>
      <c r="AF1482" s="163"/>
      <c r="AG1482" s="163"/>
      <c r="AH1482" s="163"/>
      <c r="AI1482" s="163"/>
      <c r="AJ1482" s="163"/>
      <c r="AK1482" s="163"/>
      <c r="AL1482" s="163"/>
      <c r="AM1482" s="163"/>
      <c r="AN1482" s="163"/>
    </row>
    <row r="1483" spans="1:40" s="100" customFormat="1" ht="46.8" x14ac:dyDescent="0.3">
      <c r="A1483" s="160">
        <v>961</v>
      </c>
      <c r="B1483" s="166" t="s">
        <v>1856</v>
      </c>
      <c r="C1483" s="98" t="s">
        <v>2708</v>
      </c>
      <c r="D1483" s="162" t="s">
        <v>2712</v>
      </c>
      <c r="E1483" s="26" t="s">
        <v>144</v>
      </c>
      <c r="F1483" s="30" t="s">
        <v>49</v>
      </c>
      <c r="G1483" s="162" t="s">
        <v>2704</v>
      </c>
      <c r="H1483" s="162">
        <v>18</v>
      </c>
      <c r="I1483" s="162" t="str">
        <f t="shared" si="145"/>
        <v>с ЛН</v>
      </c>
      <c r="J1483" s="164">
        <v>4</v>
      </c>
      <c r="K1483" s="164" t="s">
        <v>528</v>
      </c>
      <c r="L1483" s="164" t="s">
        <v>528</v>
      </c>
      <c r="M1483" s="164" t="s">
        <v>2705</v>
      </c>
      <c r="N1483" s="164" t="s">
        <v>2705</v>
      </c>
      <c r="O1483" s="162">
        <v>0</v>
      </c>
      <c r="P1483" s="162" t="s">
        <v>2706</v>
      </c>
      <c r="Q1483" s="162">
        <v>0</v>
      </c>
      <c r="R1483" s="162" t="s">
        <v>2706</v>
      </c>
      <c r="S1483" s="162">
        <v>0</v>
      </c>
      <c r="T1483" s="162" t="s">
        <v>2706</v>
      </c>
      <c r="U1483" s="162">
        <v>0</v>
      </c>
      <c r="V1483" s="162" t="s">
        <v>2706</v>
      </c>
      <c r="W1483" s="162">
        <v>0</v>
      </c>
      <c r="X1483" s="162" t="s">
        <v>2706</v>
      </c>
      <c r="Y1483" s="162">
        <v>0</v>
      </c>
      <c r="Z1483" s="162" t="s">
        <v>2706</v>
      </c>
      <c r="AA1483" s="162">
        <v>0</v>
      </c>
      <c r="AB1483" s="162" t="s">
        <v>2706</v>
      </c>
      <c r="AC1483" s="162">
        <v>0</v>
      </c>
      <c r="AD1483" s="162" t="s">
        <v>2706</v>
      </c>
      <c r="AE1483" s="162">
        <v>0</v>
      </c>
      <c r="AF1483" s="162" t="s">
        <v>2706</v>
      </c>
      <c r="AG1483" s="162">
        <v>0</v>
      </c>
      <c r="AH1483" s="162" t="s">
        <v>2706</v>
      </c>
      <c r="AI1483" s="162">
        <v>0</v>
      </c>
      <c r="AJ1483" s="162" t="s">
        <v>2706</v>
      </c>
      <c r="AK1483" s="162">
        <v>0</v>
      </c>
      <c r="AL1483" s="162" t="s">
        <v>2706</v>
      </c>
      <c r="AM1483" s="162">
        <v>0</v>
      </c>
      <c r="AN1483" s="162"/>
    </row>
    <row r="1484" spans="1:40" s="100" customFormat="1" ht="46.8" x14ac:dyDescent="0.3">
      <c r="A1484" s="161"/>
      <c r="B1484" s="167"/>
      <c r="C1484" s="98" t="s">
        <v>2708</v>
      </c>
      <c r="D1484" s="163"/>
      <c r="E1484" s="26" t="s">
        <v>48</v>
      </c>
      <c r="F1484" s="30" t="s">
        <v>49</v>
      </c>
      <c r="G1484" s="163"/>
      <c r="H1484" s="163"/>
      <c r="I1484" s="163"/>
      <c r="J1484" s="165"/>
      <c r="K1484" s="165"/>
      <c r="L1484" s="165"/>
      <c r="M1484" s="165"/>
      <c r="N1484" s="165"/>
      <c r="O1484" s="163"/>
      <c r="P1484" s="163"/>
      <c r="Q1484" s="163"/>
      <c r="R1484" s="163"/>
      <c r="S1484" s="163"/>
      <c r="T1484" s="163"/>
      <c r="U1484" s="163"/>
      <c r="V1484" s="163"/>
      <c r="W1484" s="163"/>
      <c r="X1484" s="163"/>
      <c r="Y1484" s="163"/>
      <c r="Z1484" s="163"/>
      <c r="AA1484" s="163"/>
      <c r="AB1484" s="163"/>
      <c r="AC1484" s="163"/>
      <c r="AD1484" s="163"/>
      <c r="AE1484" s="163"/>
      <c r="AF1484" s="163"/>
      <c r="AG1484" s="163"/>
      <c r="AH1484" s="163"/>
      <c r="AI1484" s="163"/>
      <c r="AJ1484" s="163"/>
      <c r="AK1484" s="163"/>
      <c r="AL1484" s="163"/>
      <c r="AM1484" s="163"/>
      <c r="AN1484" s="163"/>
    </row>
    <row r="1485" spans="1:40" s="100" customFormat="1" ht="46.8" x14ac:dyDescent="0.3">
      <c r="A1485" s="160">
        <v>962</v>
      </c>
      <c r="B1485" s="166" t="s">
        <v>1857</v>
      </c>
      <c r="C1485" s="98" t="s">
        <v>2708</v>
      </c>
      <c r="D1485" s="162" t="s">
        <v>2712</v>
      </c>
      <c r="E1485" s="26" t="s">
        <v>144</v>
      </c>
      <c r="F1485" s="30" t="s">
        <v>49</v>
      </c>
      <c r="G1485" s="162" t="s">
        <v>2704</v>
      </c>
      <c r="H1485" s="162">
        <v>21</v>
      </c>
      <c r="I1485" s="162" t="str">
        <f t="shared" si="145"/>
        <v>с ЛН</v>
      </c>
      <c r="J1485" s="164">
        <v>5</v>
      </c>
      <c r="K1485" s="164" t="s">
        <v>528</v>
      </c>
      <c r="L1485" s="164" t="s">
        <v>528</v>
      </c>
      <c r="M1485" s="164" t="s">
        <v>2705</v>
      </c>
      <c r="N1485" s="164" t="s">
        <v>2705</v>
      </c>
      <c r="O1485" s="162">
        <v>0</v>
      </c>
      <c r="P1485" s="162" t="s">
        <v>2706</v>
      </c>
      <c r="Q1485" s="162">
        <v>0</v>
      </c>
      <c r="R1485" s="162" t="s">
        <v>2706</v>
      </c>
      <c r="S1485" s="162">
        <v>0</v>
      </c>
      <c r="T1485" s="162" t="s">
        <v>2706</v>
      </c>
      <c r="U1485" s="162">
        <v>0</v>
      </c>
      <c r="V1485" s="162" t="s">
        <v>2706</v>
      </c>
      <c r="W1485" s="162">
        <v>0</v>
      </c>
      <c r="X1485" s="162" t="s">
        <v>2706</v>
      </c>
      <c r="Y1485" s="162">
        <v>0</v>
      </c>
      <c r="Z1485" s="162" t="s">
        <v>2706</v>
      </c>
      <c r="AA1485" s="162">
        <v>0</v>
      </c>
      <c r="AB1485" s="162" t="s">
        <v>2706</v>
      </c>
      <c r="AC1485" s="162">
        <v>0</v>
      </c>
      <c r="AD1485" s="162" t="s">
        <v>2706</v>
      </c>
      <c r="AE1485" s="162">
        <v>0</v>
      </c>
      <c r="AF1485" s="162" t="s">
        <v>2706</v>
      </c>
      <c r="AG1485" s="162">
        <v>0</v>
      </c>
      <c r="AH1485" s="162" t="s">
        <v>2706</v>
      </c>
      <c r="AI1485" s="162">
        <v>0</v>
      </c>
      <c r="AJ1485" s="162" t="s">
        <v>2706</v>
      </c>
      <c r="AK1485" s="162">
        <v>0</v>
      </c>
      <c r="AL1485" s="162" t="s">
        <v>2706</v>
      </c>
      <c r="AM1485" s="162">
        <v>0</v>
      </c>
      <c r="AN1485" s="162"/>
    </row>
    <row r="1486" spans="1:40" s="100" customFormat="1" ht="46.8" x14ac:dyDescent="0.3">
      <c r="A1486" s="161"/>
      <c r="B1486" s="167"/>
      <c r="C1486" s="98" t="s">
        <v>2708</v>
      </c>
      <c r="D1486" s="163"/>
      <c r="E1486" s="26" t="s">
        <v>48</v>
      </c>
      <c r="F1486" s="30" t="s">
        <v>49</v>
      </c>
      <c r="G1486" s="163"/>
      <c r="H1486" s="163"/>
      <c r="I1486" s="163"/>
      <c r="J1486" s="165"/>
      <c r="K1486" s="165"/>
      <c r="L1486" s="165"/>
      <c r="M1486" s="165"/>
      <c r="N1486" s="165"/>
      <c r="O1486" s="163"/>
      <c r="P1486" s="163"/>
      <c r="Q1486" s="163"/>
      <c r="R1486" s="163"/>
      <c r="S1486" s="163"/>
      <c r="T1486" s="163"/>
      <c r="U1486" s="163"/>
      <c r="V1486" s="163"/>
      <c r="W1486" s="163"/>
      <c r="X1486" s="163"/>
      <c r="Y1486" s="163"/>
      <c r="Z1486" s="163"/>
      <c r="AA1486" s="163"/>
      <c r="AB1486" s="163"/>
      <c r="AC1486" s="163"/>
      <c r="AD1486" s="163"/>
      <c r="AE1486" s="163"/>
      <c r="AF1486" s="163"/>
      <c r="AG1486" s="163"/>
      <c r="AH1486" s="163"/>
      <c r="AI1486" s="163"/>
      <c r="AJ1486" s="163"/>
      <c r="AK1486" s="163"/>
      <c r="AL1486" s="163"/>
      <c r="AM1486" s="163"/>
      <c r="AN1486" s="163"/>
    </row>
    <row r="1487" spans="1:40" s="100" customFormat="1" ht="46.8" x14ac:dyDescent="0.3">
      <c r="A1487" s="160">
        <v>963</v>
      </c>
      <c r="B1487" s="166" t="s">
        <v>1858</v>
      </c>
      <c r="C1487" s="98" t="s">
        <v>2708</v>
      </c>
      <c r="D1487" s="162" t="s">
        <v>2712</v>
      </c>
      <c r="E1487" s="26" t="s">
        <v>144</v>
      </c>
      <c r="F1487" s="30" t="s">
        <v>49</v>
      </c>
      <c r="G1487" s="162" t="s">
        <v>2704</v>
      </c>
      <c r="H1487" s="162">
        <v>37</v>
      </c>
      <c r="I1487" s="162" t="str">
        <f t="shared" si="145"/>
        <v>с ЛН</v>
      </c>
      <c r="J1487" s="164">
        <v>7</v>
      </c>
      <c r="K1487" s="164" t="s">
        <v>528</v>
      </c>
      <c r="L1487" s="164" t="s">
        <v>528</v>
      </c>
      <c r="M1487" s="164" t="s">
        <v>2705</v>
      </c>
      <c r="N1487" s="164" t="s">
        <v>2705</v>
      </c>
      <c r="O1487" s="162">
        <v>1797</v>
      </c>
      <c r="P1487" s="162" t="s">
        <v>2706</v>
      </c>
      <c r="Q1487" s="162">
        <v>1623</v>
      </c>
      <c r="R1487" s="162" t="s">
        <v>2706</v>
      </c>
      <c r="S1487" s="162">
        <v>1797</v>
      </c>
      <c r="T1487" s="162" t="s">
        <v>2706</v>
      </c>
      <c r="U1487" s="162">
        <v>1739</v>
      </c>
      <c r="V1487" s="162" t="s">
        <v>2706</v>
      </c>
      <c r="W1487" s="162">
        <v>1797</v>
      </c>
      <c r="X1487" s="162" t="s">
        <v>2706</v>
      </c>
      <c r="Y1487" s="162">
        <v>1305</v>
      </c>
      <c r="Z1487" s="162" t="s">
        <v>2706</v>
      </c>
      <c r="AA1487" s="162">
        <v>1305</v>
      </c>
      <c r="AB1487" s="162" t="s">
        <v>2706</v>
      </c>
      <c r="AC1487" s="162">
        <v>1305</v>
      </c>
      <c r="AD1487" s="162" t="s">
        <v>2706</v>
      </c>
      <c r="AE1487" s="162">
        <v>1305</v>
      </c>
      <c r="AF1487" s="162" t="s">
        <v>2706</v>
      </c>
      <c r="AG1487" s="162">
        <v>1305</v>
      </c>
      <c r="AH1487" s="162" t="s">
        <v>2706</v>
      </c>
      <c r="AI1487" s="162">
        <v>12701</v>
      </c>
      <c r="AJ1487" s="162" t="s">
        <v>2706</v>
      </c>
      <c r="AK1487" s="162">
        <v>1305</v>
      </c>
      <c r="AL1487" s="162" t="s">
        <v>2706</v>
      </c>
      <c r="AM1487" s="162">
        <v>27979</v>
      </c>
      <c r="AN1487" s="162"/>
    </row>
    <row r="1488" spans="1:40" s="100" customFormat="1" ht="46.8" x14ac:dyDescent="0.3">
      <c r="A1488" s="161"/>
      <c r="B1488" s="167"/>
      <c r="C1488" s="98" t="s">
        <v>2708</v>
      </c>
      <c r="D1488" s="163"/>
      <c r="E1488" s="26" t="s">
        <v>48</v>
      </c>
      <c r="F1488" s="30" t="s">
        <v>49</v>
      </c>
      <c r="G1488" s="163"/>
      <c r="H1488" s="163"/>
      <c r="I1488" s="163"/>
      <c r="J1488" s="165"/>
      <c r="K1488" s="165"/>
      <c r="L1488" s="165"/>
      <c r="M1488" s="165"/>
      <c r="N1488" s="165"/>
      <c r="O1488" s="163"/>
      <c r="P1488" s="163"/>
      <c r="Q1488" s="163"/>
      <c r="R1488" s="163"/>
      <c r="S1488" s="163"/>
      <c r="T1488" s="163"/>
      <c r="U1488" s="163"/>
      <c r="V1488" s="163"/>
      <c r="W1488" s="163"/>
      <c r="X1488" s="163"/>
      <c r="Y1488" s="163"/>
      <c r="Z1488" s="163"/>
      <c r="AA1488" s="163"/>
      <c r="AB1488" s="163"/>
      <c r="AC1488" s="163"/>
      <c r="AD1488" s="163"/>
      <c r="AE1488" s="163"/>
      <c r="AF1488" s="163"/>
      <c r="AG1488" s="163"/>
      <c r="AH1488" s="163"/>
      <c r="AI1488" s="163"/>
      <c r="AJ1488" s="163"/>
      <c r="AK1488" s="163"/>
      <c r="AL1488" s="163"/>
      <c r="AM1488" s="163"/>
      <c r="AN1488" s="163"/>
    </row>
    <row r="1489" spans="1:40" s="100" customFormat="1" ht="46.8" x14ac:dyDescent="0.3">
      <c r="A1489" s="160">
        <v>964</v>
      </c>
      <c r="B1489" s="166" t="s">
        <v>1859</v>
      </c>
      <c r="C1489" s="98" t="s">
        <v>2708</v>
      </c>
      <c r="D1489" s="162" t="s">
        <v>2712</v>
      </c>
      <c r="E1489" s="26" t="s">
        <v>144</v>
      </c>
      <c r="F1489" s="30" t="s">
        <v>49</v>
      </c>
      <c r="G1489" s="162" t="s">
        <v>2704</v>
      </c>
      <c r="H1489" s="162">
        <v>14</v>
      </c>
      <c r="I1489" s="162" t="str">
        <f t="shared" si="145"/>
        <v>с ЛН</v>
      </c>
      <c r="J1489" s="164">
        <v>3</v>
      </c>
      <c r="K1489" s="164" t="s">
        <v>528</v>
      </c>
      <c r="L1489" s="164" t="s">
        <v>528</v>
      </c>
      <c r="M1489" s="164" t="s">
        <v>2705</v>
      </c>
      <c r="N1489" s="164" t="s">
        <v>2705</v>
      </c>
      <c r="O1489" s="162">
        <v>0</v>
      </c>
      <c r="P1489" s="162" t="s">
        <v>2706</v>
      </c>
      <c r="Q1489" s="162">
        <v>0</v>
      </c>
      <c r="R1489" s="162" t="s">
        <v>2706</v>
      </c>
      <c r="S1489" s="162">
        <v>0</v>
      </c>
      <c r="T1489" s="162" t="s">
        <v>2706</v>
      </c>
      <c r="U1489" s="162">
        <v>0</v>
      </c>
      <c r="V1489" s="162" t="s">
        <v>2706</v>
      </c>
      <c r="W1489" s="162">
        <v>0</v>
      </c>
      <c r="X1489" s="162" t="s">
        <v>2706</v>
      </c>
      <c r="Y1489" s="162">
        <v>0</v>
      </c>
      <c r="Z1489" s="162" t="s">
        <v>2706</v>
      </c>
      <c r="AA1489" s="162">
        <v>0</v>
      </c>
      <c r="AB1489" s="162" t="s">
        <v>2706</v>
      </c>
      <c r="AC1489" s="162">
        <v>0</v>
      </c>
      <c r="AD1489" s="162" t="s">
        <v>2706</v>
      </c>
      <c r="AE1489" s="162">
        <v>0</v>
      </c>
      <c r="AF1489" s="162" t="s">
        <v>2706</v>
      </c>
      <c r="AG1489" s="162">
        <v>0</v>
      </c>
      <c r="AH1489" s="162" t="s">
        <v>2706</v>
      </c>
      <c r="AI1489" s="162">
        <v>91</v>
      </c>
      <c r="AJ1489" s="162" t="s">
        <v>2706</v>
      </c>
      <c r="AK1489" s="162">
        <v>411</v>
      </c>
      <c r="AL1489" s="162" t="s">
        <v>2706</v>
      </c>
      <c r="AM1489" s="162">
        <v>502</v>
      </c>
      <c r="AN1489" s="162"/>
    </row>
    <row r="1490" spans="1:40" s="100" customFormat="1" ht="46.8" x14ac:dyDescent="0.3">
      <c r="A1490" s="161"/>
      <c r="B1490" s="167"/>
      <c r="C1490" s="98" t="s">
        <v>2708</v>
      </c>
      <c r="D1490" s="163"/>
      <c r="E1490" s="26" t="s">
        <v>48</v>
      </c>
      <c r="F1490" s="30" t="s">
        <v>49</v>
      </c>
      <c r="G1490" s="163"/>
      <c r="H1490" s="163"/>
      <c r="I1490" s="163"/>
      <c r="J1490" s="165"/>
      <c r="K1490" s="165"/>
      <c r="L1490" s="165"/>
      <c r="M1490" s="165"/>
      <c r="N1490" s="165"/>
      <c r="O1490" s="163"/>
      <c r="P1490" s="163"/>
      <c r="Q1490" s="163"/>
      <c r="R1490" s="163"/>
      <c r="S1490" s="163"/>
      <c r="T1490" s="163"/>
      <c r="U1490" s="163"/>
      <c r="V1490" s="163"/>
      <c r="W1490" s="163"/>
      <c r="X1490" s="163"/>
      <c r="Y1490" s="163"/>
      <c r="Z1490" s="163"/>
      <c r="AA1490" s="163"/>
      <c r="AB1490" s="163"/>
      <c r="AC1490" s="163"/>
      <c r="AD1490" s="163"/>
      <c r="AE1490" s="163"/>
      <c r="AF1490" s="163"/>
      <c r="AG1490" s="163"/>
      <c r="AH1490" s="163"/>
      <c r="AI1490" s="163"/>
      <c r="AJ1490" s="163"/>
      <c r="AK1490" s="163"/>
      <c r="AL1490" s="163"/>
      <c r="AM1490" s="163"/>
      <c r="AN1490" s="163"/>
    </row>
    <row r="1491" spans="1:40" s="100" customFormat="1" ht="46.8" x14ac:dyDescent="0.3">
      <c r="A1491" s="160">
        <v>965</v>
      </c>
      <c r="B1491" s="166" t="s">
        <v>1860</v>
      </c>
      <c r="C1491" s="98" t="s">
        <v>2708</v>
      </c>
      <c r="D1491" s="162" t="s">
        <v>2712</v>
      </c>
      <c r="E1491" s="26" t="s">
        <v>144</v>
      </c>
      <c r="F1491" s="30" t="s">
        <v>49</v>
      </c>
      <c r="G1491" s="162" t="s">
        <v>2704</v>
      </c>
      <c r="H1491" s="162">
        <v>15</v>
      </c>
      <c r="I1491" s="162" t="str">
        <f t="shared" si="145"/>
        <v>с ЛН</v>
      </c>
      <c r="J1491" s="164">
        <v>3</v>
      </c>
      <c r="K1491" s="164" t="s">
        <v>528</v>
      </c>
      <c r="L1491" s="164" t="s">
        <v>528</v>
      </c>
      <c r="M1491" s="164" t="s">
        <v>2705</v>
      </c>
      <c r="N1491" s="164" t="s">
        <v>2705</v>
      </c>
      <c r="O1491" s="162">
        <v>41</v>
      </c>
      <c r="P1491" s="162" t="s">
        <v>2706</v>
      </c>
      <c r="Q1491" s="162">
        <v>36</v>
      </c>
      <c r="R1491" s="162" t="s">
        <v>2706</v>
      </c>
      <c r="S1491" s="162">
        <v>27</v>
      </c>
      <c r="T1491" s="162" t="s">
        <v>2706</v>
      </c>
      <c r="U1491" s="162">
        <v>50</v>
      </c>
      <c r="V1491" s="162" t="s">
        <v>2706</v>
      </c>
      <c r="W1491" s="162">
        <v>25</v>
      </c>
      <c r="X1491" s="162" t="s">
        <v>2706</v>
      </c>
      <c r="Y1491" s="162">
        <v>17</v>
      </c>
      <c r="Z1491" s="162" t="s">
        <v>2706</v>
      </c>
      <c r="AA1491" s="162">
        <v>17</v>
      </c>
      <c r="AB1491" s="162" t="s">
        <v>2706</v>
      </c>
      <c r="AC1491" s="162">
        <v>18</v>
      </c>
      <c r="AD1491" s="162" t="s">
        <v>2706</v>
      </c>
      <c r="AE1491" s="162">
        <v>35</v>
      </c>
      <c r="AF1491" s="162" t="s">
        <v>2706</v>
      </c>
      <c r="AG1491" s="162">
        <v>27</v>
      </c>
      <c r="AH1491" s="162" t="s">
        <v>2706</v>
      </c>
      <c r="AI1491" s="162">
        <v>300</v>
      </c>
      <c r="AJ1491" s="162" t="s">
        <v>2706</v>
      </c>
      <c r="AK1491" s="162">
        <v>52</v>
      </c>
      <c r="AL1491" s="162" t="s">
        <v>2706</v>
      </c>
      <c r="AM1491" s="162">
        <v>627</v>
      </c>
      <c r="AN1491" s="162"/>
    </row>
    <row r="1492" spans="1:40" s="100" customFormat="1" ht="46.8" x14ac:dyDescent="0.3">
      <c r="A1492" s="161"/>
      <c r="B1492" s="167"/>
      <c r="C1492" s="98" t="s">
        <v>2708</v>
      </c>
      <c r="D1492" s="163"/>
      <c r="E1492" s="26" t="s">
        <v>48</v>
      </c>
      <c r="F1492" s="30" t="s">
        <v>49</v>
      </c>
      <c r="G1492" s="163"/>
      <c r="H1492" s="163"/>
      <c r="I1492" s="163"/>
      <c r="J1492" s="165"/>
      <c r="K1492" s="165"/>
      <c r="L1492" s="165"/>
      <c r="M1492" s="165"/>
      <c r="N1492" s="165"/>
      <c r="O1492" s="163"/>
      <c r="P1492" s="163"/>
      <c r="Q1492" s="163"/>
      <c r="R1492" s="163"/>
      <c r="S1492" s="163"/>
      <c r="T1492" s="163"/>
      <c r="U1492" s="163"/>
      <c r="V1492" s="163"/>
      <c r="W1492" s="163"/>
      <c r="X1492" s="163"/>
      <c r="Y1492" s="163"/>
      <c r="Z1492" s="163"/>
      <c r="AA1492" s="163"/>
      <c r="AB1492" s="163"/>
      <c r="AC1492" s="163"/>
      <c r="AD1492" s="163"/>
      <c r="AE1492" s="163"/>
      <c r="AF1492" s="163"/>
      <c r="AG1492" s="163"/>
      <c r="AH1492" s="163"/>
      <c r="AI1492" s="163"/>
      <c r="AJ1492" s="163"/>
      <c r="AK1492" s="163"/>
      <c r="AL1492" s="163"/>
      <c r="AM1492" s="163"/>
      <c r="AN1492" s="163"/>
    </row>
    <row r="1493" spans="1:40" s="100" customFormat="1" ht="46.8" x14ac:dyDescent="0.3">
      <c r="A1493" s="160">
        <v>966</v>
      </c>
      <c r="B1493" s="166" t="s">
        <v>1862</v>
      </c>
      <c r="C1493" s="98" t="s">
        <v>2708</v>
      </c>
      <c r="D1493" s="162" t="s">
        <v>2712</v>
      </c>
      <c r="E1493" s="26" t="s">
        <v>144</v>
      </c>
      <c r="F1493" s="30" t="s">
        <v>49</v>
      </c>
      <c r="G1493" s="162" t="s">
        <v>2704</v>
      </c>
      <c r="H1493" s="162">
        <v>16</v>
      </c>
      <c r="I1493" s="162" t="str">
        <f t="shared" si="145"/>
        <v>с ЛН</v>
      </c>
      <c r="J1493" s="164">
        <v>3</v>
      </c>
      <c r="K1493" s="164" t="s">
        <v>528</v>
      </c>
      <c r="L1493" s="164" t="s">
        <v>528</v>
      </c>
      <c r="M1493" s="164" t="s">
        <v>2705</v>
      </c>
      <c r="N1493" s="164" t="s">
        <v>2705</v>
      </c>
      <c r="O1493" s="162">
        <v>0</v>
      </c>
      <c r="P1493" s="162" t="s">
        <v>2706</v>
      </c>
      <c r="Q1493" s="162">
        <v>0</v>
      </c>
      <c r="R1493" s="162" t="s">
        <v>2706</v>
      </c>
      <c r="S1493" s="162">
        <v>0</v>
      </c>
      <c r="T1493" s="162" t="s">
        <v>2706</v>
      </c>
      <c r="U1493" s="162">
        <v>0</v>
      </c>
      <c r="V1493" s="162" t="s">
        <v>2706</v>
      </c>
      <c r="W1493" s="162">
        <v>0</v>
      </c>
      <c r="X1493" s="162" t="s">
        <v>2706</v>
      </c>
      <c r="Y1493" s="162">
        <v>0</v>
      </c>
      <c r="Z1493" s="162" t="s">
        <v>2706</v>
      </c>
      <c r="AA1493" s="162">
        <v>0</v>
      </c>
      <c r="AB1493" s="162" t="s">
        <v>2706</v>
      </c>
      <c r="AC1493" s="162">
        <v>0</v>
      </c>
      <c r="AD1493" s="162" t="s">
        <v>2706</v>
      </c>
      <c r="AE1493" s="162">
        <v>0</v>
      </c>
      <c r="AF1493" s="162" t="s">
        <v>2706</v>
      </c>
      <c r="AG1493" s="162">
        <v>0</v>
      </c>
      <c r="AH1493" s="162" t="s">
        <v>2706</v>
      </c>
      <c r="AI1493" s="162">
        <v>0</v>
      </c>
      <c r="AJ1493" s="162" t="s">
        <v>2706</v>
      </c>
      <c r="AK1493" s="162">
        <v>0</v>
      </c>
      <c r="AL1493" s="162" t="s">
        <v>2706</v>
      </c>
      <c r="AM1493" s="162">
        <v>0</v>
      </c>
      <c r="AN1493" s="162"/>
    </row>
    <row r="1494" spans="1:40" s="100" customFormat="1" ht="46.8" x14ac:dyDescent="0.3">
      <c r="A1494" s="161"/>
      <c r="B1494" s="167"/>
      <c r="C1494" s="98" t="s">
        <v>2708</v>
      </c>
      <c r="D1494" s="163"/>
      <c r="E1494" s="26" t="s">
        <v>48</v>
      </c>
      <c r="F1494" s="30" t="s">
        <v>49</v>
      </c>
      <c r="G1494" s="163"/>
      <c r="H1494" s="163"/>
      <c r="I1494" s="163"/>
      <c r="J1494" s="165"/>
      <c r="K1494" s="165"/>
      <c r="L1494" s="165"/>
      <c r="M1494" s="165"/>
      <c r="N1494" s="165"/>
      <c r="O1494" s="163"/>
      <c r="P1494" s="163"/>
      <c r="Q1494" s="163"/>
      <c r="R1494" s="163"/>
      <c r="S1494" s="163"/>
      <c r="T1494" s="163"/>
      <c r="U1494" s="163"/>
      <c r="V1494" s="163"/>
      <c r="W1494" s="163"/>
      <c r="X1494" s="163"/>
      <c r="Y1494" s="163"/>
      <c r="Z1494" s="163"/>
      <c r="AA1494" s="163"/>
      <c r="AB1494" s="163"/>
      <c r="AC1494" s="163"/>
      <c r="AD1494" s="163"/>
      <c r="AE1494" s="163"/>
      <c r="AF1494" s="163"/>
      <c r="AG1494" s="163"/>
      <c r="AH1494" s="163"/>
      <c r="AI1494" s="163"/>
      <c r="AJ1494" s="163"/>
      <c r="AK1494" s="163"/>
      <c r="AL1494" s="163"/>
      <c r="AM1494" s="163"/>
      <c r="AN1494" s="163"/>
    </row>
    <row r="1495" spans="1:40" s="100" customFormat="1" ht="46.8" x14ac:dyDescent="0.3">
      <c r="A1495" s="160">
        <v>967</v>
      </c>
      <c r="B1495" s="166" t="s">
        <v>1864</v>
      </c>
      <c r="C1495" s="98" t="s">
        <v>2708</v>
      </c>
      <c r="D1495" s="162" t="s">
        <v>2712</v>
      </c>
      <c r="E1495" s="26" t="s">
        <v>144</v>
      </c>
      <c r="F1495" s="30" t="s">
        <v>49</v>
      </c>
      <c r="G1495" s="162" t="s">
        <v>2704</v>
      </c>
      <c r="H1495" s="162">
        <v>14</v>
      </c>
      <c r="I1495" s="162" t="str">
        <f t="shared" si="145"/>
        <v>с ЛН</v>
      </c>
      <c r="J1495" s="164">
        <v>3</v>
      </c>
      <c r="K1495" s="164" t="s">
        <v>528</v>
      </c>
      <c r="L1495" s="164" t="s">
        <v>528</v>
      </c>
      <c r="M1495" s="164" t="s">
        <v>2705</v>
      </c>
      <c r="N1495" s="164" t="s">
        <v>2705</v>
      </c>
      <c r="O1495" s="162">
        <v>0</v>
      </c>
      <c r="P1495" s="162" t="s">
        <v>2706</v>
      </c>
      <c r="Q1495" s="162">
        <v>0</v>
      </c>
      <c r="R1495" s="162" t="s">
        <v>2706</v>
      </c>
      <c r="S1495" s="162">
        <v>0</v>
      </c>
      <c r="T1495" s="162" t="s">
        <v>2706</v>
      </c>
      <c r="U1495" s="162">
        <v>0</v>
      </c>
      <c r="V1495" s="162" t="s">
        <v>2706</v>
      </c>
      <c r="W1495" s="162">
        <v>0</v>
      </c>
      <c r="X1495" s="162" t="s">
        <v>2706</v>
      </c>
      <c r="Y1495" s="162">
        <v>0</v>
      </c>
      <c r="Z1495" s="162" t="s">
        <v>2706</v>
      </c>
      <c r="AA1495" s="162">
        <v>0</v>
      </c>
      <c r="AB1495" s="162" t="s">
        <v>2706</v>
      </c>
      <c r="AC1495" s="162">
        <v>0</v>
      </c>
      <c r="AD1495" s="162" t="s">
        <v>2706</v>
      </c>
      <c r="AE1495" s="162">
        <v>0</v>
      </c>
      <c r="AF1495" s="162" t="s">
        <v>2706</v>
      </c>
      <c r="AG1495" s="162">
        <v>0</v>
      </c>
      <c r="AH1495" s="162" t="s">
        <v>2706</v>
      </c>
      <c r="AI1495" s="162">
        <v>0</v>
      </c>
      <c r="AJ1495" s="162" t="s">
        <v>2706</v>
      </c>
      <c r="AK1495" s="162">
        <v>0</v>
      </c>
      <c r="AL1495" s="162" t="s">
        <v>2706</v>
      </c>
      <c r="AM1495" s="162">
        <v>0</v>
      </c>
      <c r="AN1495" s="162"/>
    </row>
    <row r="1496" spans="1:40" s="100" customFormat="1" ht="46.8" x14ac:dyDescent="0.3">
      <c r="A1496" s="161"/>
      <c r="B1496" s="167"/>
      <c r="C1496" s="98" t="s">
        <v>2708</v>
      </c>
      <c r="D1496" s="163"/>
      <c r="E1496" s="26" t="s">
        <v>48</v>
      </c>
      <c r="F1496" s="30" t="s">
        <v>49</v>
      </c>
      <c r="G1496" s="163"/>
      <c r="H1496" s="163"/>
      <c r="I1496" s="163"/>
      <c r="J1496" s="165"/>
      <c r="K1496" s="165"/>
      <c r="L1496" s="165"/>
      <c r="M1496" s="165"/>
      <c r="N1496" s="165"/>
      <c r="O1496" s="163"/>
      <c r="P1496" s="163"/>
      <c r="Q1496" s="163"/>
      <c r="R1496" s="163"/>
      <c r="S1496" s="163"/>
      <c r="T1496" s="163"/>
      <c r="U1496" s="163"/>
      <c r="V1496" s="163"/>
      <c r="W1496" s="163"/>
      <c r="X1496" s="163"/>
      <c r="Y1496" s="163"/>
      <c r="Z1496" s="163"/>
      <c r="AA1496" s="163"/>
      <c r="AB1496" s="163"/>
      <c r="AC1496" s="163"/>
      <c r="AD1496" s="163"/>
      <c r="AE1496" s="163"/>
      <c r="AF1496" s="163"/>
      <c r="AG1496" s="163"/>
      <c r="AH1496" s="163"/>
      <c r="AI1496" s="163"/>
      <c r="AJ1496" s="163"/>
      <c r="AK1496" s="163"/>
      <c r="AL1496" s="163"/>
      <c r="AM1496" s="163"/>
      <c r="AN1496" s="163"/>
    </row>
    <row r="1497" spans="1:40" s="100" customFormat="1" ht="46.8" x14ac:dyDescent="0.3">
      <c r="A1497" s="160">
        <v>968</v>
      </c>
      <c r="B1497" s="166" t="s">
        <v>1866</v>
      </c>
      <c r="C1497" s="98" t="s">
        <v>2708</v>
      </c>
      <c r="D1497" s="162" t="s">
        <v>2712</v>
      </c>
      <c r="E1497" s="26" t="s">
        <v>144</v>
      </c>
      <c r="F1497" s="30" t="s">
        <v>49</v>
      </c>
      <c r="G1497" s="162" t="s">
        <v>2704</v>
      </c>
      <c r="H1497" s="162">
        <v>18</v>
      </c>
      <c r="I1497" s="162" t="str">
        <f t="shared" si="145"/>
        <v>с ЛН</v>
      </c>
      <c r="J1497" s="164">
        <v>4</v>
      </c>
      <c r="K1497" s="164" t="s">
        <v>528</v>
      </c>
      <c r="L1497" s="164" t="s">
        <v>528</v>
      </c>
      <c r="M1497" s="164" t="s">
        <v>2705</v>
      </c>
      <c r="N1497" s="164" t="s">
        <v>2705</v>
      </c>
      <c r="O1497" s="162">
        <v>0</v>
      </c>
      <c r="P1497" s="162" t="s">
        <v>2706</v>
      </c>
      <c r="Q1497" s="162">
        <v>0</v>
      </c>
      <c r="R1497" s="162" t="s">
        <v>2706</v>
      </c>
      <c r="S1497" s="162">
        <v>0</v>
      </c>
      <c r="T1497" s="162" t="s">
        <v>2706</v>
      </c>
      <c r="U1497" s="162">
        <v>0</v>
      </c>
      <c r="V1497" s="162" t="s">
        <v>2706</v>
      </c>
      <c r="W1497" s="162">
        <v>0</v>
      </c>
      <c r="X1497" s="162" t="s">
        <v>2706</v>
      </c>
      <c r="Y1497" s="162">
        <v>0</v>
      </c>
      <c r="Z1497" s="162" t="s">
        <v>2706</v>
      </c>
      <c r="AA1497" s="162">
        <v>0</v>
      </c>
      <c r="AB1497" s="162" t="s">
        <v>2706</v>
      </c>
      <c r="AC1497" s="162">
        <v>0</v>
      </c>
      <c r="AD1497" s="162" t="s">
        <v>2706</v>
      </c>
      <c r="AE1497" s="162">
        <v>0</v>
      </c>
      <c r="AF1497" s="162" t="s">
        <v>2706</v>
      </c>
      <c r="AG1497" s="162">
        <v>0</v>
      </c>
      <c r="AH1497" s="162" t="s">
        <v>2706</v>
      </c>
      <c r="AI1497" s="162">
        <v>0</v>
      </c>
      <c r="AJ1497" s="162" t="s">
        <v>2706</v>
      </c>
      <c r="AK1497" s="162">
        <v>0</v>
      </c>
      <c r="AL1497" s="162" t="s">
        <v>2706</v>
      </c>
      <c r="AM1497" s="162">
        <v>0</v>
      </c>
      <c r="AN1497" s="162"/>
    </row>
    <row r="1498" spans="1:40" s="100" customFormat="1" ht="46.8" x14ac:dyDescent="0.3">
      <c r="A1498" s="161"/>
      <c r="B1498" s="167"/>
      <c r="C1498" s="98" t="s">
        <v>2708</v>
      </c>
      <c r="D1498" s="163"/>
      <c r="E1498" s="26" t="s">
        <v>48</v>
      </c>
      <c r="F1498" s="30" t="s">
        <v>49</v>
      </c>
      <c r="G1498" s="163"/>
      <c r="H1498" s="163"/>
      <c r="I1498" s="163"/>
      <c r="J1498" s="165"/>
      <c r="K1498" s="165"/>
      <c r="L1498" s="165"/>
      <c r="M1498" s="165"/>
      <c r="N1498" s="165"/>
      <c r="O1498" s="163"/>
      <c r="P1498" s="163"/>
      <c r="Q1498" s="163"/>
      <c r="R1498" s="163"/>
      <c r="S1498" s="163"/>
      <c r="T1498" s="163"/>
      <c r="U1498" s="163"/>
      <c r="V1498" s="163"/>
      <c r="W1498" s="163"/>
      <c r="X1498" s="163"/>
      <c r="Y1498" s="163"/>
      <c r="Z1498" s="163"/>
      <c r="AA1498" s="163"/>
      <c r="AB1498" s="163"/>
      <c r="AC1498" s="163"/>
      <c r="AD1498" s="163"/>
      <c r="AE1498" s="163"/>
      <c r="AF1498" s="163"/>
      <c r="AG1498" s="163"/>
      <c r="AH1498" s="163"/>
      <c r="AI1498" s="163"/>
      <c r="AJ1498" s="163"/>
      <c r="AK1498" s="163"/>
      <c r="AL1498" s="163"/>
      <c r="AM1498" s="163"/>
      <c r="AN1498" s="163"/>
    </row>
    <row r="1499" spans="1:40" s="100" customFormat="1" ht="46.8" x14ac:dyDescent="0.3">
      <c r="A1499" s="160">
        <v>969</v>
      </c>
      <c r="B1499" s="166" t="s">
        <v>1868</v>
      </c>
      <c r="C1499" s="98" t="s">
        <v>2708</v>
      </c>
      <c r="D1499" s="162" t="s">
        <v>2712</v>
      </c>
      <c r="E1499" s="26" t="s">
        <v>144</v>
      </c>
      <c r="F1499" s="30" t="s">
        <v>49</v>
      </c>
      <c r="G1499" s="162" t="s">
        <v>2704</v>
      </c>
      <c r="H1499" s="162">
        <v>13</v>
      </c>
      <c r="I1499" s="162" t="str">
        <f t="shared" si="145"/>
        <v>с ЛН</v>
      </c>
      <c r="J1499" s="164">
        <v>3</v>
      </c>
      <c r="K1499" s="164" t="s">
        <v>528</v>
      </c>
      <c r="L1499" s="164" t="s">
        <v>528</v>
      </c>
      <c r="M1499" s="164" t="s">
        <v>2705</v>
      </c>
      <c r="N1499" s="164" t="s">
        <v>2705</v>
      </c>
      <c r="O1499" s="162">
        <v>0</v>
      </c>
      <c r="P1499" s="162" t="s">
        <v>2706</v>
      </c>
      <c r="Q1499" s="162">
        <v>0</v>
      </c>
      <c r="R1499" s="162" t="s">
        <v>2706</v>
      </c>
      <c r="S1499" s="162">
        <v>0</v>
      </c>
      <c r="T1499" s="162" t="s">
        <v>2706</v>
      </c>
      <c r="U1499" s="162">
        <v>0</v>
      </c>
      <c r="V1499" s="162" t="s">
        <v>2706</v>
      </c>
      <c r="W1499" s="162">
        <v>0</v>
      </c>
      <c r="X1499" s="162" t="s">
        <v>2706</v>
      </c>
      <c r="Y1499" s="162">
        <v>0</v>
      </c>
      <c r="Z1499" s="162" t="s">
        <v>2706</v>
      </c>
      <c r="AA1499" s="162">
        <v>0</v>
      </c>
      <c r="AB1499" s="162" t="s">
        <v>2706</v>
      </c>
      <c r="AC1499" s="162">
        <v>0</v>
      </c>
      <c r="AD1499" s="162" t="s">
        <v>2706</v>
      </c>
      <c r="AE1499" s="162">
        <v>0</v>
      </c>
      <c r="AF1499" s="162" t="s">
        <v>2706</v>
      </c>
      <c r="AG1499" s="162">
        <v>0</v>
      </c>
      <c r="AH1499" s="162" t="s">
        <v>2706</v>
      </c>
      <c r="AI1499" s="162">
        <v>0</v>
      </c>
      <c r="AJ1499" s="162" t="s">
        <v>2706</v>
      </c>
      <c r="AK1499" s="162">
        <v>0</v>
      </c>
      <c r="AL1499" s="162" t="s">
        <v>2706</v>
      </c>
      <c r="AM1499" s="162">
        <v>0</v>
      </c>
      <c r="AN1499" s="162"/>
    </row>
    <row r="1500" spans="1:40" s="100" customFormat="1" ht="46.8" x14ac:dyDescent="0.3">
      <c r="A1500" s="161"/>
      <c r="B1500" s="167"/>
      <c r="C1500" s="98" t="s">
        <v>2708</v>
      </c>
      <c r="D1500" s="163"/>
      <c r="E1500" s="26" t="s">
        <v>48</v>
      </c>
      <c r="F1500" s="30" t="s">
        <v>49</v>
      </c>
      <c r="G1500" s="163"/>
      <c r="H1500" s="163"/>
      <c r="I1500" s="163"/>
      <c r="J1500" s="165"/>
      <c r="K1500" s="165"/>
      <c r="L1500" s="165"/>
      <c r="M1500" s="165"/>
      <c r="N1500" s="165"/>
      <c r="O1500" s="163"/>
      <c r="P1500" s="163"/>
      <c r="Q1500" s="163"/>
      <c r="R1500" s="163"/>
      <c r="S1500" s="163"/>
      <c r="T1500" s="163"/>
      <c r="U1500" s="163"/>
      <c r="V1500" s="163"/>
      <c r="W1500" s="163"/>
      <c r="X1500" s="163"/>
      <c r="Y1500" s="163"/>
      <c r="Z1500" s="163"/>
      <c r="AA1500" s="163"/>
      <c r="AB1500" s="163"/>
      <c r="AC1500" s="163"/>
      <c r="AD1500" s="163"/>
      <c r="AE1500" s="163"/>
      <c r="AF1500" s="163"/>
      <c r="AG1500" s="163"/>
      <c r="AH1500" s="163"/>
      <c r="AI1500" s="163"/>
      <c r="AJ1500" s="163"/>
      <c r="AK1500" s="163"/>
      <c r="AL1500" s="163"/>
      <c r="AM1500" s="163"/>
      <c r="AN1500" s="163"/>
    </row>
    <row r="1501" spans="1:40" s="100" customFormat="1" ht="46.8" x14ac:dyDescent="0.3">
      <c r="A1501" s="160">
        <v>970</v>
      </c>
      <c r="B1501" s="166" t="s">
        <v>1870</v>
      </c>
      <c r="C1501" s="98" t="s">
        <v>2708</v>
      </c>
      <c r="D1501" s="162" t="s">
        <v>2712</v>
      </c>
      <c r="E1501" s="26" t="s">
        <v>144</v>
      </c>
      <c r="F1501" s="30" t="s">
        <v>49</v>
      </c>
      <c r="G1501" s="162" t="s">
        <v>2704</v>
      </c>
      <c r="H1501" s="162">
        <v>13</v>
      </c>
      <c r="I1501" s="162" t="str">
        <f t="shared" si="145"/>
        <v>с ЛН</v>
      </c>
      <c r="J1501" s="164">
        <v>3</v>
      </c>
      <c r="K1501" s="164" t="s">
        <v>528</v>
      </c>
      <c r="L1501" s="164" t="s">
        <v>528</v>
      </c>
      <c r="M1501" s="164" t="s">
        <v>2705</v>
      </c>
      <c r="N1501" s="164" t="s">
        <v>2705</v>
      </c>
      <c r="O1501" s="162">
        <v>0</v>
      </c>
      <c r="P1501" s="162" t="s">
        <v>2706</v>
      </c>
      <c r="Q1501" s="162">
        <v>0</v>
      </c>
      <c r="R1501" s="162" t="s">
        <v>2706</v>
      </c>
      <c r="S1501" s="162">
        <v>0</v>
      </c>
      <c r="T1501" s="162" t="s">
        <v>2706</v>
      </c>
      <c r="U1501" s="162">
        <v>0</v>
      </c>
      <c r="V1501" s="162" t="s">
        <v>2706</v>
      </c>
      <c r="W1501" s="162">
        <v>0</v>
      </c>
      <c r="X1501" s="162" t="s">
        <v>2706</v>
      </c>
      <c r="Y1501" s="162">
        <v>0</v>
      </c>
      <c r="Z1501" s="162" t="s">
        <v>2706</v>
      </c>
      <c r="AA1501" s="162">
        <v>0</v>
      </c>
      <c r="AB1501" s="162" t="s">
        <v>2706</v>
      </c>
      <c r="AC1501" s="162">
        <v>0</v>
      </c>
      <c r="AD1501" s="162" t="s">
        <v>2706</v>
      </c>
      <c r="AE1501" s="162">
        <v>0</v>
      </c>
      <c r="AF1501" s="162" t="s">
        <v>2706</v>
      </c>
      <c r="AG1501" s="162">
        <v>0</v>
      </c>
      <c r="AH1501" s="162" t="s">
        <v>2706</v>
      </c>
      <c r="AI1501" s="162">
        <v>0</v>
      </c>
      <c r="AJ1501" s="162" t="s">
        <v>2706</v>
      </c>
      <c r="AK1501" s="162">
        <v>0</v>
      </c>
      <c r="AL1501" s="162" t="s">
        <v>2706</v>
      </c>
      <c r="AM1501" s="162">
        <v>0</v>
      </c>
      <c r="AN1501" s="162"/>
    </row>
    <row r="1502" spans="1:40" s="100" customFormat="1" ht="46.8" x14ac:dyDescent="0.3">
      <c r="A1502" s="161"/>
      <c r="B1502" s="167"/>
      <c r="C1502" s="98" t="s">
        <v>2708</v>
      </c>
      <c r="D1502" s="163"/>
      <c r="E1502" s="26" t="s">
        <v>48</v>
      </c>
      <c r="F1502" s="30" t="s">
        <v>49</v>
      </c>
      <c r="G1502" s="163"/>
      <c r="H1502" s="163"/>
      <c r="I1502" s="163"/>
      <c r="J1502" s="165"/>
      <c r="K1502" s="165"/>
      <c r="L1502" s="165"/>
      <c r="M1502" s="165"/>
      <c r="N1502" s="165"/>
      <c r="O1502" s="163"/>
      <c r="P1502" s="163"/>
      <c r="Q1502" s="163"/>
      <c r="R1502" s="163"/>
      <c r="S1502" s="163"/>
      <c r="T1502" s="163"/>
      <c r="U1502" s="163"/>
      <c r="V1502" s="163"/>
      <c r="W1502" s="163"/>
      <c r="X1502" s="163"/>
      <c r="Y1502" s="163"/>
      <c r="Z1502" s="163"/>
      <c r="AA1502" s="163"/>
      <c r="AB1502" s="163"/>
      <c r="AC1502" s="163"/>
      <c r="AD1502" s="163"/>
      <c r="AE1502" s="163"/>
      <c r="AF1502" s="163"/>
      <c r="AG1502" s="163"/>
      <c r="AH1502" s="163"/>
      <c r="AI1502" s="163"/>
      <c r="AJ1502" s="163"/>
      <c r="AK1502" s="163"/>
      <c r="AL1502" s="163"/>
      <c r="AM1502" s="163"/>
      <c r="AN1502" s="163"/>
    </row>
    <row r="1503" spans="1:40" s="100" customFormat="1" ht="46.8" x14ac:dyDescent="0.3">
      <c r="A1503" s="160">
        <v>972</v>
      </c>
      <c r="B1503" s="166" t="s">
        <v>1872</v>
      </c>
      <c r="C1503" s="98" t="s">
        <v>2708</v>
      </c>
      <c r="D1503" s="162" t="s">
        <v>2712</v>
      </c>
      <c r="E1503" s="26" t="s">
        <v>144</v>
      </c>
      <c r="F1503" s="30" t="s">
        <v>49</v>
      </c>
      <c r="G1503" s="162" t="s">
        <v>2704</v>
      </c>
      <c r="H1503" s="162">
        <v>16</v>
      </c>
      <c r="I1503" s="162" t="str">
        <f t="shared" si="145"/>
        <v>с ЛН</v>
      </c>
      <c r="J1503" s="164">
        <v>3</v>
      </c>
      <c r="K1503" s="164" t="s">
        <v>528</v>
      </c>
      <c r="L1503" s="164" t="s">
        <v>528</v>
      </c>
      <c r="M1503" s="164" t="s">
        <v>2705</v>
      </c>
      <c r="N1503" s="164" t="s">
        <v>2705</v>
      </c>
      <c r="O1503" s="162">
        <v>0</v>
      </c>
      <c r="P1503" s="162" t="s">
        <v>2706</v>
      </c>
      <c r="Q1503" s="162">
        <v>0</v>
      </c>
      <c r="R1503" s="162" t="s">
        <v>2706</v>
      </c>
      <c r="S1503" s="162">
        <v>0</v>
      </c>
      <c r="T1503" s="162" t="s">
        <v>2706</v>
      </c>
      <c r="U1503" s="162">
        <v>0</v>
      </c>
      <c r="V1503" s="162" t="s">
        <v>2706</v>
      </c>
      <c r="W1503" s="162">
        <v>0</v>
      </c>
      <c r="X1503" s="162" t="s">
        <v>2706</v>
      </c>
      <c r="Y1503" s="162">
        <v>0</v>
      </c>
      <c r="Z1503" s="162" t="s">
        <v>2706</v>
      </c>
      <c r="AA1503" s="162">
        <v>0</v>
      </c>
      <c r="AB1503" s="162" t="s">
        <v>2706</v>
      </c>
      <c r="AC1503" s="162">
        <v>0</v>
      </c>
      <c r="AD1503" s="162" t="s">
        <v>2706</v>
      </c>
      <c r="AE1503" s="162">
        <v>0</v>
      </c>
      <c r="AF1503" s="162" t="s">
        <v>2706</v>
      </c>
      <c r="AG1503" s="162">
        <v>0</v>
      </c>
      <c r="AH1503" s="162" t="s">
        <v>2706</v>
      </c>
      <c r="AI1503" s="162">
        <v>0</v>
      </c>
      <c r="AJ1503" s="162" t="s">
        <v>2706</v>
      </c>
      <c r="AK1503" s="162">
        <v>0</v>
      </c>
      <c r="AL1503" s="162" t="s">
        <v>2706</v>
      </c>
      <c r="AM1503" s="162">
        <v>0</v>
      </c>
      <c r="AN1503" s="162"/>
    </row>
    <row r="1504" spans="1:40" s="100" customFormat="1" ht="46.8" x14ac:dyDescent="0.3">
      <c r="A1504" s="161"/>
      <c r="B1504" s="167"/>
      <c r="C1504" s="98" t="s">
        <v>2708</v>
      </c>
      <c r="D1504" s="163"/>
      <c r="E1504" s="26" t="s">
        <v>48</v>
      </c>
      <c r="F1504" s="30" t="s">
        <v>49</v>
      </c>
      <c r="G1504" s="163"/>
      <c r="H1504" s="163"/>
      <c r="I1504" s="163"/>
      <c r="J1504" s="165"/>
      <c r="K1504" s="165"/>
      <c r="L1504" s="165"/>
      <c r="M1504" s="165"/>
      <c r="N1504" s="165"/>
      <c r="O1504" s="163"/>
      <c r="P1504" s="163"/>
      <c r="Q1504" s="163"/>
      <c r="R1504" s="163"/>
      <c r="S1504" s="163"/>
      <c r="T1504" s="163"/>
      <c r="U1504" s="163"/>
      <c r="V1504" s="163"/>
      <c r="W1504" s="163"/>
      <c r="X1504" s="163"/>
      <c r="Y1504" s="163"/>
      <c r="Z1504" s="163"/>
      <c r="AA1504" s="163"/>
      <c r="AB1504" s="163"/>
      <c r="AC1504" s="163"/>
      <c r="AD1504" s="163"/>
      <c r="AE1504" s="163"/>
      <c r="AF1504" s="163"/>
      <c r="AG1504" s="163"/>
      <c r="AH1504" s="163"/>
      <c r="AI1504" s="163"/>
      <c r="AJ1504" s="163"/>
      <c r="AK1504" s="163"/>
      <c r="AL1504" s="163"/>
      <c r="AM1504" s="163"/>
      <c r="AN1504" s="163"/>
    </row>
    <row r="1505" spans="1:40" s="100" customFormat="1" ht="46.8" x14ac:dyDescent="0.3">
      <c r="A1505" s="160">
        <v>973</v>
      </c>
      <c r="B1505" s="166" t="s">
        <v>1873</v>
      </c>
      <c r="C1505" s="98" t="s">
        <v>2708</v>
      </c>
      <c r="D1505" s="162" t="s">
        <v>2712</v>
      </c>
      <c r="E1505" s="26" t="s">
        <v>144</v>
      </c>
      <c r="F1505" s="30" t="s">
        <v>49</v>
      </c>
      <c r="G1505" s="162"/>
      <c r="H1505" s="162"/>
      <c r="I1505" s="162"/>
      <c r="J1505" s="164"/>
      <c r="K1505" s="164" t="s">
        <v>528</v>
      </c>
      <c r="L1505" s="164" t="s">
        <v>528</v>
      </c>
      <c r="M1505" s="164" t="s">
        <v>2705</v>
      </c>
      <c r="N1505" s="164" t="s">
        <v>2705</v>
      </c>
      <c r="O1505" s="162">
        <v>11696</v>
      </c>
      <c r="P1505" s="162" t="s">
        <v>2706</v>
      </c>
      <c r="Q1505" s="162">
        <v>6048</v>
      </c>
      <c r="R1505" s="162" t="s">
        <v>2706</v>
      </c>
      <c r="S1505" s="162">
        <v>11696</v>
      </c>
      <c r="T1505" s="162" t="s">
        <v>2706</v>
      </c>
      <c r="U1505" s="162">
        <v>6980</v>
      </c>
      <c r="V1505" s="162" t="s">
        <v>2706</v>
      </c>
      <c r="W1505" s="162">
        <v>7196</v>
      </c>
      <c r="X1505" s="162" t="s">
        <v>2706</v>
      </c>
      <c r="Y1505" s="162">
        <v>2112</v>
      </c>
      <c r="Z1505" s="162" t="s">
        <v>2706</v>
      </c>
      <c r="AA1505" s="162">
        <v>2112</v>
      </c>
      <c r="AB1505" s="162" t="s">
        <v>2706</v>
      </c>
      <c r="AC1505" s="162">
        <v>2112</v>
      </c>
      <c r="AD1505" s="162" t="s">
        <v>2706</v>
      </c>
      <c r="AE1505" s="162">
        <v>500</v>
      </c>
      <c r="AF1505" s="162" t="s">
        <v>2706</v>
      </c>
      <c r="AG1505" s="162">
        <v>500</v>
      </c>
      <c r="AH1505" s="162" t="s">
        <v>2706</v>
      </c>
      <c r="AI1505" s="162">
        <v>761</v>
      </c>
      <c r="AJ1505" s="162" t="s">
        <v>2706</v>
      </c>
      <c r="AK1505" s="162">
        <v>500</v>
      </c>
      <c r="AL1505" s="162" t="s">
        <v>2706</v>
      </c>
      <c r="AM1505" s="162">
        <v>50101</v>
      </c>
      <c r="AN1505" s="162"/>
    </row>
    <row r="1506" spans="1:40" s="100" customFormat="1" ht="46.8" x14ac:dyDescent="0.3">
      <c r="A1506" s="161"/>
      <c r="B1506" s="167"/>
      <c r="C1506" s="98" t="s">
        <v>2708</v>
      </c>
      <c r="D1506" s="163"/>
      <c r="E1506" s="26" t="s">
        <v>48</v>
      </c>
      <c r="F1506" s="30" t="s">
        <v>49</v>
      </c>
      <c r="G1506" s="163"/>
      <c r="H1506" s="163"/>
      <c r="I1506" s="163"/>
      <c r="J1506" s="165"/>
      <c r="K1506" s="165"/>
      <c r="L1506" s="165"/>
      <c r="M1506" s="165"/>
      <c r="N1506" s="165"/>
      <c r="O1506" s="163"/>
      <c r="P1506" s="163"/>
      <c r="Q1506" s="163"/>
      <c r="R1506" s="163"/>
      <c r="S1506" s="163"/>
      <c r="T1506" s="163"/>
      <c r="U1506" s="163"/>
      <c r="V1506" s="163"/>
      <c r="W1506" s="163"/>
      <c r="X1506" s="163"/>
      <c r="Y1506" s="163"/>
      <c r="Z1506" s="163"/>
      <c r="AA1506" s="163"/>
      <c r="AB1506" s="163"/>
      <c r="AC1506" s="163"/>
      <c r="AD1506" s="163"/>
      <c r="AE1506" s="163"/>
      <c r="AF1506" s="163"/>
      <c r="AG1506" s="163"/>
      <c r="AH1506" s="163"/>
      <c r="AI1506" s="163"/>
      <c r="AJ1506" s="163"/>
      <c r="AK1506" s="163"/>
      <c r="AL1506" s="163"/>
      <c r="AM1506" s="163"/>
      <c r="AN1506" s="163"/>
    </row>
    <row r="1507" spans="1:40" s="100" customFormat="1" ht="46.8" x14ac:dyDescent="0.3">
      <c r="A1507" s="160">
        <v>974</v>
      </c>
      <c r="B1507" s="166" t="s">
        <v>1874</v>
      </c>
      <c r="C1507" s="98" t="s">
        <v>2708</v>
      </c>
      <c r="D1507" s="162" t="s">
        <v>2712</v>
      </c>
      <c r="E1507" s="26" t="s">
        <v>144</v>
      </c>
      <c r="F1507" s="30" t="s">
        <v>49</v>
      </c>
      <c r="G1507" s="162" t="s">
        <v>2704</v>
      </c>
      <c r="H1507" s="162">
        <v>36</v>
      </c>
      <c r="I1507" s="162" t="str">
        <f t="shared" ref="I1507:I1549" si="146">G1507</f>
        <v>с ЛН</v>
      </c>
      <c r="J1507" s="164">
        <v>5</v>
      </c>
      <c r="K1507" s="164" t="s">
        <v>528</v>
      </c>
      <c r="L1507" s="164" t="s">
        <v>528</v>
      </c>
      <c r="M1507" s="164" t="s">
        <v>2705</v>
      </c>
      <c r="N1507" s="164" t="s">
        <v>2705</v>
      </c>
      <c r="O1507" s="162">
        <v>0</v>
      </c>
      <c r="P1507" s="162" t="s">
        <v>2706</v>
      </c>
      <c r="Q1507" s="162">
        <v>0</v>
      </c>
      <c r="R1507" s="162" t="s">
        <v>2706</v>
      </c>
      <c r="S1507" s="162">
        <v>0</v>
      </c>
      <c r="T1507" s="162" t="s">
        <v>2706</v>
      </c>
      <c r="U1507" s="162">
        <v>0</v>
      </c>
      <c r="V1507" s="162" t="s">
        <v>2706</v>
      </c>
      <c r="W1507" s="162">
        <v>0</v>
      </c>
      <c r="X1507" s="162" t="s">
        <v>2706</v>
      </c>
      <c r="Y1507" s="162">
        <v>844</v>
      </c>
      <c r="Z1507" s="162" t="s">
        <v>2706</v>
      </c>
      <c r="AA1507" s="162">
        <v>882</v>
      </c>
      <c r="AB1507" s="162" t="s">
        <v>2706</v>
      </c>
      <c r="AC1507" s="162">
        <v>1971</v>
      </c>
      <c r="AD1507" s="162" t="s">
        <v>2706</v>
      </c>
      <c r="AE1507" s="162">
        <v>1584</v>
      </c>
      <c r="AF1507" s="162" t="s">
        <v>2706</v>
      </c>
      <c r="AG1507" s="162">
        <v>1829</v>
      </c>
      <c r="AH1507" s="162" t="s">
        <v>2706</v>
      </c>
      <c r="AI1507" s="162">
        <v>608</v>
      </c>
      <c r="AJ1507" s="162" t="s">
        <v>2706</v>
      </c>
      <c r="AK1507" s="162">
        <v>1667</v>
      </c>
      <c r="AL1507" s="162" t="s">
        <v>2706</v>
      </c>
      <c r="AM1507" s="162">
        <v>7414</v>
      </c>
      <c r="AN1507" s="162"/>
    </row>
    <row r="1508" spans="1:40" s="100" customFormat="1" ht="46.8" x14ac:dyDescent="0.3">
      <c r="A1508" s="161"/>
      <c r="B1508" s="167"/>
      <c r="C1508" s="98" t="s">
        <v>2708</v>
      </c>
      <c r="D1508" s="163"/>
      <c r="E1508" s="26" t="s">
        <v>48</v>
      </c>
      <c r="F1508" s="30" t="s">
        <v>49</v>
      </c>
      <c r="G1508" s="163"/>
      <c r="H1508" s="163"/>
      <c r="I1508" s="163"/>
      <c r="J1508" s="165"/>
      <c r="K1508" s="165"/>
      <c r="L1508" s="165"/>
      <c r="M1508" s="165"/>
      <c r="N1508" s="165"/>
      <c r="O1508" s="163"/>
      <c r="P1508" s="163"/>
      <c r="Q1508" s="163"/>
      <c r="R1508" s="163"/>
      <c r="S1508" s="163"/>
      <c r="T1508" s="163"/>
      <c r="U1508" s="163"/>
      <c r="V1508" s="163"/>
      <c r="W1508" s="163"/>
      <c r="X1508" s="163"/>
      <c r="Y1508" s="163"/>
      <c r="Z1508" s="163"/>
      <c r="AA1508" s="163"/>
      <c r="AB1508" s="163"/>
      <c r="AC1508" s="163"/>
      <c r="AD1508" s="163"/>
      <c r="AE1508" s="163"/>
      <c r="AF1508" s="163"/>
      <c r="AG1508" s="163"/>
      <c r="AH1508" s="163"/>
      <c r="AI1508" s="163"/>
      <c r="AJ1508" s="163"/>
      <c r="AK1508" s="163"/>
      <c r="AL1508" s="163"/>
      <c r="AM1508" s="163"/>
      <c r="AN1508" s="163"/>
    </row>
    <row r="1509" spans="1:40" s="100" customFormat="1" ht="46.8" x14ac:dyDescent="0.3">
      <c r="A1509" s="160">
        <v>975</v>
      </c>
      <c r="B1509" s="166" t="s">
        <v>1875</v>
      </c>
      <c r="C1509" s="98" t="s">
        <v>2708</v>
      </c>
      <c r="D1509" s="162" t="s">
        <v>2712</v>
      </c>
      <c r="E1509" s="26" t="s">
        <v>144</v>
      </c>
      <c r="F1509" s="30" t="s">
        <v>49</v>
      </c>
      <c r="G1509" s="162" t="s">
        <v>2704</v>
      </c>
      <c r="H1509" s="162">
        <v>37</v>
      </c>
      <c r="I1509" s="162" t="str">
        <f t="shared" si="146"/>
        <v>с ЛН</v>
      </c>
      <c r="J1509" s="164">
        <v>7</v>
      </c>
      <c r="K1509" s="164" t="s">
        <v>528</v>
      </c>
      <c r="L1509" s="164" t="s">
        <v>528</v>
      </c>
      <c r="M1509" s="164" t="s">
        <v>2705</v>
      </c>
      <c r="N1509" s="164" t="s">
        <v>2705</v>
      </c>
      <c r="O1509" s="162">
        <v>0</v>
      </c>
      <c r="P1509" s="162" t="s">
        <v>2706</v>
      </c>
      <c r="Q1509" s="162">
        <v>0</v>
      </c>
      <c r="R1509" s="162" t="s">
        <v>2706</v>
      </c>
      <c r="S1509" s="162">
        <v>0</v>
      </c>
      <c r="T1509" s="162" t="s">
        <v>2706</v>
      </c>
      <c r="U1509" s="162">
        <v>200</v>
      </c>
      <c r="V1509" s="162" t="s">
        <v>2706</v>
      </c>
      <c r="W1509" s="162">
        <v>731</v>
      </c>
      <c r="X1509" s="162" t="s">
        <v>2706</v>
      </c>
      <c r="Y1509" s="162">
        <v>495</v>
      </c>
      <c r="Z1509" s="162" t="s">
        <v>2706</v>
      </c>
      <c r="AA1509" s="162">
        <v>516</v>
      </c>
      <c r="AB1509" s="162" t="s">
        <v>2706</v>
      </c>
      <c r="AC1509" s="162">
        <v>669</v>
      </c>
      <c r="AD1509" s="162" t="s">
        <v>2706</v>
      </c>
      <c r="AE1509" s="162">
        <v>624</v>
      </c>
      <c r="AF1509" s="162" t="s">
        <v>2706</v>
      </c>
      <c r="AG1509" s="162">
        <v>779</v>
      </c>
      <c r="AH1509" s="162" t="s">
        <v>2706</v>
      </c>
      <c r="AI1509" s="162">
        <v>377</v>
      </c>
      <c r="AJ1509" s="162" t="s">
        <v>2706</v>
      </c>
      <c r="AK1509" s="162">
        <v>811</v>
      </c>
      <c r="AL1509" s="162" t="s">
        <v>2706</v>
      </c>
      <c r="AM1509" s="162">
        <v>4533</v>
      </c>
      <c r="AN1509" s="162"/>
    </row>
    <row r="1510" spans="1:40" s="100" customFormat="1" ht="46.8" x14ac:dyDescent="0.3">
      <c r="A1510" s="161"/>
      <c r="B1510" s="167"/>
      <c r="C1510" s="98" t="s">
        <v>2708</v>
      </c>
      <c r="D1510" s="163"/>
      <c r="E1510" s="26" t="s">
        <v>48</v>
      </c>
      <c r="F1510" s="30" t="s">
        <v>49</v>
      </c>
      <c r="G1510" s="163"/>
      <c r="H1510" s="163"/>
      <c r="I1510" s="163"/>
      <c r="J1510" s="165"/>
      <c r="K1510" s="165"/>
      <c r="L1510" s="165"/>
      <c r="M1510" s="165"/>
      <c r="N1510" s="165"/>
      <c r="O1510" s="163"/>
      <c r="P1510" s="163"/>
      <c r="Q1510" s="163"/>
      <c r="R1510" s="163"/>
      <c r="S1510" s="163"/>
      <c r="T1510" s="163"/>
      <c r="U1510" s="163"/>
      <c r="V1510" s="163"/>
      <c r="W1510" s="163"/>
      <c r="X1510" s="163"/>
      <c r="Y1510" s="163"/>
      <c r="Z1510" s="163"/>
      <c r="AA1510" s="163"/>
      <c r="AB1510" s="163"/>
      <c r="AC1510" s="163"/>
      <c r="AD1510" s="163"/>
      <c r="AE1510" s="163"/>
      <c r="AF1510" s="163"/>
      <c r="AG1510" s="163"/>
      <c r="AH1510" s="163"/>
      <c r="AI1510" s="163"/>
      <c r="AJ1510" s="163"/>
      <c r="AK1510" s="163"/>
      <c r="AL1510" s="163"/>
      <c r="AM1510" s="163"/>
      <c r="AN1510" s="163"/>
    </row>
    <row r="1511" spans="1:40" s="100" customFormat="1" ht="46.8" x14ac:dyDescent="0.3">
      <c r="A1511" s="160">
        <v>976</v>
      </c>
      <c r="B1511" s="166" t="s">
        <v>1876</v>
      </c>
      <c r="C1511" s="98" t="s">
        <v>2708</v>
      </c>
      <c r="D1511" s="162" t="s">
        <v>2712</v>
      </c>
      <c r="E1511" s="26" t="s">
        <v>144</v>
      </c>
      <c r="F1511" s="30" t="s">
        <v>49</v>
      </c>
      <c r="G1511" s="162" t="s">
        <v>2704</v>
      </c>
      <c r="H1511" s="162">
        <v>27</v>
      </c>
      <c r="I1511" s="162" t="str">
        <f t="shared" si="146"/>
        <v>с ЛН</v>
      </c>
      <c r="J1511" s="164">
        <v>5</v>
      </c>
      <c r="K1511" s="164" t="s">
        <v>528</v>
      </c>
      <c r="L1511" s="164" t="s">
        <v>528</v>
      </c>
      <c r="M1511" s="164" t="s">
        <v>2705</v>
      </c>
      <c r="N1511" s="164" t="s">
        <v>2705</v>
      </c>
      <c r="O1511" s="162">
        <v>491</v>
      </c>
      <c r="P1511" s="162" t="s">
        <v>2706</v>
      </c>
      <c r="Q1511" s="162">
        <v>580</v>
      </c>
      <c r="R1511" s="162" t="s">
        <v>2706</v>
      </c>
      <c r="S1511" s="162">
        <v>507</v>
      </c>
      <c r="T1511" s="162" t="s">
        <v>2706</v>
      </c>
      <c r="U1511" s="162">
        <v>443</v>
      </c>
      <c r="V1511" s="162" t="s">
        <v>2706</v>
      </c>
      <c r="W1511" s="162">
        <v>321</v>
      </c>
      <c r="X1511" s="162" t="s">
        <v>2706</v>
      </c>
      <c r="Y1511" s="162">
        <v>376</v>
      </c>
      <c r="Z1511" s="162" t="s">
        <v>2706</v>
      </c>
      <c r="AA1511" s="162">
        <v>281</v>
      </c>
      <c r="AB1511" s="162" t="s">
        <v>2706</v>
      </c>
      <c r="AC1511" s="162">
        <v>312</v>
      </c>
      <c r="AD1511" s="162" t="s">
        <v>2706</v>
      </c>
      <c r="AE1511" s="162">
        <v>518</v>
      </c>
      <c r="AF1511" s="162" t="s">
        <v>2706</v>
      </c>
      <c r="AG1511" s="162">
        <v>579</v>
      </c>
      <c r="AH1511" s="162" t="s">
        <v>2706</v>
      </c>
      <c r="AI1511" s="162">
        <v>525</v>
      </c>
      <c r="AJ1511" s="162" t="s">
        <v>2706</v>
      </c>
      <c r="AK1511" s="162">
        <v>985</v>
      </c>
      <c r="AL1511" s="162" t="s">
        <v>2706</v>
      </c>
      <c r="AM1511" s="162">
        <v>5606</v>
      </c>
      <c r="AN1511" s="162"/>
    </row>
    <row r="1512" spans="1:40" s="100" customFormat="1" ht="46.8" x14ac:dyDescent="0.3">
      <c r="A1512" s="161"/>
      <c r="B1512" s="167"/>
      <c r="C1512" s="98" t="s">
        <v>2708</v>
      </c>
      <c r="D1512" s="163"/>
      <c r="E1512" s="26" t="s">
        <v>48</v>
      </c>
      <c r="F1512" s="30" t="s">
        <v>49</v>
      </c>
      <c r="G1512" s="163"/>
      <c r="H1512" s="163"/>
      <c r="I1512" s="163"/>
      <c r="J1512" s="165"/>
      <c r="K1512" s="165"/>
      <c r="L1512" s="165"/>
      <c r="M1512" s="165"/>
      <c r="N1512" s="165"/>
      <c r="O1512" s="163"/>
      <c r="P1512" s="163"/>
      <c r="Q1512" s="163"/>
      <c r="R1512" s="163"/>
      <c r="S1512" s="163"/>
      <c r="T1512" s="163"/>
      <c r="U1512" s="163"/>
      <c r="V1512" s="163"/>
      <c r="W1512" s="163"/>
      <c r="X1512" s="163"/>
      <c r="Y1512" s="163"/>
      <c r="Z1512" s="163"/>
      <c r="AA1512" s="163"/>
      <c r="AB1512" s="163"/>
      <c r="AC1512" s="163"/>
      <c r="AD1512" s="163"/>
      <c r="AE1512" s="163"/>
      <c r="AF1512" s="163"/>
      <c r="AG1512" s="163"/>
      <c r="AH1512" s="163"/>
      <c r="AI1512" s="163"/>
      <c r="AJ1512" s="163"/>
      <c r="AK1512" s="163"/>
      <c r="AL1512" s="163"/>
      <c r="AM1512" s="163"/>
      <c r="AN1512" s="163"/>
    </row>
    <row r="1513" spans="1:40" s="100" customFormat="1" ht="46.8" x14ac:dyDescent="0.3">
      <c r="A1513" s="160">
        <v>977</v>
      </c>
      <c r="B1513" s="166" t="s">
        <v>1877</v>
      </c>
      <c r="C1513" s="98" t="s">
        <v>2708</v>
      </c>
      <c r="D1513" s="162" t="s">
        <v>2712</v>
      </c>
      <c r="E1513" s="26" t="s">
        <v>144</v>
      </c>
      <c r="F1513" s="30" t="s">
        <v>49</v>
      </c>
      <c r="G1513" s="162" t="s">
        <v>2704</v>
      </c>
      <c r="H1513" s="162">
        <v>16</v>
      </c>
      <c r="I1513" s="162" t="str">
        <f t="shared" si="146"/>
        <v>с ЛН</v>
      </c>
      <c r="J1513" s="164">
        <v>3</v>
      </c>
      <c r="K1513" s="164" t="s">
        <v>528</v>
      </c>
      <c r="L1513" s="164" t="s">
        <v>528</v>
      </c>
      <c r="M1513" s="164" t="s">
        <v>2705</v>
      </c>
      <c r="N1513" s="164" t="s">
        <v>2705</v>
      </c>
      <c r="O1513" s="162">
        <v>235</v>
      </c>
      <c r="P1513" s="162" t="s">
        <v>2706</v>
      </c>
      <c r="Q1513" s="162">
        <v>243</v>
      </c>
      <c r="R1513" s="162" t="s">
        <v>2706</v>
      </c>
      <c r="S1513" s="162">
        <v>187</v>
      </c>
      <c r="T1513" s="162" t="s">
        <v>2706</v>
      </c>
      <c r="U1513" s="162">
        <v>218</v>
      </c>
      <c r="V1513" s="162" t="s">
        <v>2706</v>
      </c>
      <c r="W1513" s="162">
        <v>102</v>
      </c>
      <c r="X1513" s="162" t="s">
        <v>2706</v>
      </c>
      <c r="Y1513" s="162">
        <v>79</v>
      </c>
      <c r="Z1513" s="162" t="s">
        <v>2706</v>
      </c>
      <c r="AA1513" s="162">
        <v>42</v>
      </c>
      <c r="AB1513" s="162" t="s">
        <v>2706</v>
      </c>
      <c r="AC1513" s="162">
        <v>185</v>
      </c>
      <c r="AD1513" s="162" t="s">
        <v>2706</v>
      </c>
      <c r="AE1513" s="162">
        <v>140</v>
      </c>
      <c r="AF1513" s="162" t="s">
        <v>2706</v>
      </c>
      <c r="AG1513" s="162">
        <v>132</v>
      </c>
      <c r="AH1513" s="162" t="s">
        <v>2706</v>
      </c>
      <c r="AI1513" s="162">
        <v>134</v>
      </c>
      <c r="AJ1513" s="162" t="s">
        <v>2706</v>
      </c>
      <c r="AK1513" s="162">
        <v>181</v>
      </c>
      <c r="AL1513" s="162" t="s">
        <v>2706</v>
      </c>
      <c r="AM1513" s="162">
        <v>1693</v>
      </c>
      <c r="AN1513" s="162"/>
    </row>
    <row r="1514" spans="1:40" s="100" customFormat="1" ht="46.8" x14ac:dyDescent="0.3">
      <c r="A1514" s="161"/>
      <c r="B1514" s="167"/>
      <c r="C1514" s="98" t="s">
        <v>2708</v>
      </c>
      <c r="D1514" s="163"/>
      <c r="E1514" s="26" t="s">
        <v>48</v>
      </c>
      <c r="F1514" s="30" t="s">
        <v>49</v>
      </c>
      <c r="G1514" s="163"/>
      <c r="H1514" s="163"/>
      <c r="I1514" s="163"/>
      <c r="J1514" s="165"/>
      <c r="K1514" s="165"/>
      <c r="L1514" s="165"/>
      <c r="M1514" s="165"/>
      <c r="N1514" s="165"/>
      <c r="O1514" s="163"/>
      <c r="P1514" s="163"/>
      <c r="Q1514" s="163"/>
      <c r="R1514" s="163"/>
      <c r="S1514" s="163"/>
      <c r="T1514" s="163"/>
      <c r="U1514" s="163"/>
      <c r="V1514" s="163"/>
      <c r="W1514" s="163"/>
      <c r="X1514" s="163"/>
      <c r="Y1514" s="163"/>
      <c r="Z1514" s="163"/>
      <c r="AA1514" s="163"/>
      <c r="AB1514" s="163"/>
      <c r="AC1514" s="163"/>
      <c r="AD1514" s="163"/>
      <c r="AE1514" s="163"/>
      <c r="AF1514" s="163"/>
      <c r="AG1514" s="163"/>
      <c r="AH1514" s="163"/>
      <c r="AI1514" s="163"/>
      <c r="AJ1514" s="163"/>
      <c r="AK1514" s="163"/>
      <c r="AL1514" s="163"/>
      <c r="AM1514" s="163"/>
      <c r="AN1514" s="163"/>
    </row>
    <row r="1515" spans="1:40" s="100" customFormat="1" ht="46.8" x14ac:dyDescent="0.3">
      <c r="A1515" s="160">
        <v>978</v>
      </c>
      <c r="B1515" s="166" t="s">
        <v>1879</v>
      </c>
      <c r="C1515" s="98" t="s">
        <v>2708</v>
      </c>
      <c r="D1515" s="162" t="s">
        <v>2712</v>
      </c>
      <c r="E1515" s="26" t="s">
        <v>144</v>
      </c>
      <c r="F1515" s="30" t="s">
        <v>49</v>
      </c>
      <c r="G1515" s="162" t="s">
        <v>2704</v>
      </c>
      <c r="H1515" s="162">
        <v>16</v>
      </c>
      <c r="I1515" s="162" t="str">
        <f t="shared" si="146"/>
        <v>с ЛН</v>
      </c>
      <c r="J1515" s="164">
        <v>3</v>
      </c>
      <c r="K1515" s="164" t="s">
        <v>528</v>
      </c>
      <c r="L1515" s="164" t="s">
        <v>528</v>
      </c>
      <c r="M1515" s="164" t="s">
        <v>2705</v>
      </c>
      <c r="N1515" s="164" t="s">
        <v>2705</v>
      </c>
      <c r="O1515" s="162">
        <v>0</v>
      </c>
      <c r="P1515" s="162" t="s">
        <v>2706</v>
      </c>
      <c r="Q1515" s="162">
        <v>0</v>
      </c>
      <c r="R1515" s="162" t="s">
        <v>2706</v>
      </c>
      <c r="S1515" s="162">
        <v>0</v>
      </c>
      <c r="T1515" s="162" t="s">
        <v>2706</v>
      </c>
      <c r="U1515" s="162">
        <v>0</v>
      </c>
      <c r="V1515" s="162" t="s">
        <v>2706</v>
      </c>
      <c r="W1515" s="162">
        <v>0</v>
      </c>
      <c r="X1515" s="162" t="s">
        <v>2706</v>
      </c>
      <c r="Y1515" s="162">
        <v>0</v>
      </c>
      <c r="Z1515" s="162" t="s">
        <v>2706</v>
      </c>
      <c r="AA1515" s="162">
        <v>0</v>
      </c>
      <c r="AB1515" s="162" t="s">
        <v>2706</v>
      </c>
      <c r="AC1515" s="162">
        <v>0</v>
      </c>
      <c r="AD1515" s="162" t="s">
        <v>2706</v>
      </c>
      <c r="AE1515" s="162">
        <v>0</v>
      </c>
      <c r="AF1515" s="162" t="s">
        <v>2706</v>
      </c>
      <c r="AG1515" s="162">
        <v>0</v>
      </c>
      <c r="AH1515" s="162" t="s">
        <v>2706</v>
      </c>
      <c r="AI1515" s="162">
        <v>0</v>
      </c>
      <c r="AJ1515" s="162" t="s">
        <v>2706</v>
      </c>
      <c r="AK1515" s="162">
        <v>0</v>
      </c>
      <c r="AL1515" s="162" t="s">
        <v>2706</v>
      </c>
      <c r="AM1515" s="162">
        <v>0</v>
      </c>
      <c r="AN1515" s="162"/>
    </row>
    <row r="1516" spans="1:40" s="100" customFormat="1" ht="46.8" x14ac:dyDescent="0.3">
      <c r="A1516" s="161"/>
      <c r="B1516" s="167"/>
      <c r="C1516" s="98" t="s">
        <v>2708</v>
      </c>
      <c r="D1516" s="163"/>
      <c r="E1516" s="26" t="s">
        <v>48</v>
      </c>
      <c r="F1516" s="30" t="s">
        <v>49</v>
      </c>
      <c r="G1516" s="163"/>
      <c r="H1516" s="163"/>
      <c r="I1516" s="163"/>
      <c r="J1516" s="165"/>
      <c r="K1516" s="165"/>
      <c r="L1516" s="165"/>
      <c r="M1516" s="165"/>
      <c r="N1516" s="165"/>
      <c r="O1516" s="163"/>
      <c r="P1516" s="163"/>
      <c r="Q1516" s="163"/>
      <c r="R1516" s="163"/>
      <c r="S1516" s="163"/>
      <c r="T1516" s="163"/>
      <c r="U1516" s="163"/>
      <c r="V1516" s="163"/>
      <c r="W1516" s="163"/>
      <c r="X1516" s="163"/>
      <c r="Y1516" s="163"/>
      <c r="Z1516" s="163"/>
      <c r="AA1516" s="163"/>
      <c r="AB1516" s="163"/>
      <c r="AC1516" s="163"/>
      <c r="AD1516" s="163"/>
      <c r="AE1516" s="163"/>
      <c r="AF1516" s="163"/>
      <c r="AG1516" s="163"/>
      <c r="AH1516" s="163"/>
      <c r="AI1516" s="163"/>
      <c r="AJ1516" s="163"/>
      <c r="AK1516" s="163"/>
      <c r="AL1516" s="163"/>
      <c r="AM1516" s="163"/>
      <c r="AN1516" s="163"/>
    </row>
    <row r="1517" spans="1:40" s="100" customFormat="1" ht="46.8" x14ac:dyDescent="0.3">
      <c r="A1517" s="160">
        <v>979</v>
      </c>
      <c r="B1517" s="166" t="s">
        <v>1880</v>
      </c>
      <c r="C1517" s="98" t="s">
        <v>2708</v>
      </c>
      <c r="D1517" s="162" t="s">
        <v>2712</v>
      </c>
      <c r="E1517" s="26" t="s">
        <v>144</v>
      </c>
      <c r="F1517" s="30" t="s">
        <v>49</v>
      </c>
      <c r="G1517" s="162" t="s">
        <v>2704</v>
      </c>
      <c r="H1517" s="162">
        <v>24</v>
      </c>
      <c r="I1517" s="162" t="str">
        <f t="shared" si="146"/>
        <v>с ЛН</v>
      </c>
      <c r="J1517" s="164">
        <v>4</v>
      </c>
      <c r="K1517" s="164" t="s">
        <v>528</v>
      </c>
      <c r="L1517" s="164" t="s">
        <v>528</v>
      </c>
      <c r="M1517" s="164" t="s">
        <v>2705</v>
      </c>
      <c r="N1517" s="164" t="s">
        <v>2705</v>
      </c>
      <c r="O1517" s="162">
        <v>0</v>
      </c>
      <c r="P1517" s="162" t="s">
        <v>2706</v>
      </c>
      <c r="Q1517" s="162">
        <v>0</v>
      </c>
      <c r="R1517" s="162" t="s">
        <v>2706</v>
      </c>
      <c r="S1517" s="162">
        <v>0</v>
      </c>
      <c r="T1517" s="162" t="s">
        <v>2706</v>
      </c>
      <c r="U1517" s="162">
        <v>0</v>
      </c>
      <c r="V1517" s="162" t="s">
        <v>2706</v>
      </c>
      <c r="W1517" s="162">
        <v>0</v>
      </c>
      <c r="X1517" s="162" t="s">
        <v>2706</v>
      </c>
      <c r="Y1517" s="162">
        <v>0</v>
      </c>
      <c r="Z1517" s="162" t="s">
        <v>2706</v>
      </c>
      <c r="AA1517" s="162">
        <v>0</v>
      </c>
      <c r="AB1517" s="162" t="s">
        <v>2706</v>
      </c>
      <c r="AC1517" s="162">
        <v>0</v>
      </c>
      <c r="AD1517" s="162" t="s">
        <v>2706</v>
      </c>
      <c r="AE1517" s="162">
        <v>0</v>
      </c>
      <c r="AF1517" s="162" t="s">
        <v>2706</v>
      </c>
      <c r="AG1517" s="162">
        <v>0</v>
      </c>
      <c r="AH1517" s="162" t="s">
        <v>2706</v>
      </c>
      <c r="AI1517" s="162">
        <v>0</v>
      </c>
      <c r="AJ1517" s="162" t="s">
        <v>2706</v>
      </c>
      <c r="AK1517" s="162">
        <v>0</v>
      </c>
      <c r="AL1517" s="162" t="s">
        <v>2706</v>
      </c>
      <c r="AM1517" s="162">
        <v>0</v>
      </c>
      <c r="AN1517" s="162"/>
    </row>
    <row r="1518" spans="1:40" s="100" customFormat="1" ht="46.8" x14ac:dyDescent="0.3">
      <c r="A1518" s="161"/>
      <c r="B1518" s="167"/>
      <c r="C1518" s="98" t="s">
        <v>2708</v>
      </c>
      <c r="D1518" s="163"/>
      <c r="E1518" s="26" t="s">
        <v>48</v>
      </c>
      <c r="F1518" s="30" t="s">
        <v>49</v>
      </c>
      <c r="G1518" s="163"/>
      <c r="H1518" s="163"/>
      <c r="I1518" s="163"/>
      <c r="J1518" s="165"/>
      <c r="K1518" s="165"/>
      <c r="L1518" s="165"/>
      <c r="M1518" s="165"/>
      <c r="N1518" s="165"/>
      <c r="O1518" s="163"/>
      <c r="P1518" s="163"/>
      <c r="Q1518" s="163"/>
      <c r="R1518" s="163"/>
      <c r="S1518" s="163"/>
      <c r="T1518" s="163"/>
      <c r="U1518" s="163"/>
      <c r="V1518" s="163"/>
      <c r="W1518" s="163"/>
      <c r="X1518" s="163"/>
      <c r="Y1518" s="163"/>
      <c r="Z1518" s="163"/>
      <c r="AA1518" s="163"/>
      <c r="AB1518" s="163"/>
      <c r="AC1518" s="163"/>
      <c r="AD1518" s="163"/>
      <c r="AE1518" s="163"/>
      <c r="AF1518" s="163"/>
      <c r="AG1518" s="163"/>
      <c r="AH1518" s="163"/>
      <c r="AI1518" s="163"/>
      <c r="AJ1518" s="163"/>
      <c r="AK1518" s="163"/>
      <c r="AL1518" s="163"/>
      <c r="AM1518" s="163"/>
      <c r="AN1518" s="163"/>
    </row>
    <row r="1519" spans="1:40" s="100" customFormat="1" ht="46.8" x14ac:dyDescent="0.3">
      <c r="A1519" s="160">
        <v>980</v>
      </c>
      <c r="B1519" s="166" t="s">
        <v>1881</v>
      </c>
      <c r="C1519" s="98" t="s">
        <v>2708</v>
      </c>
      <c r="D1519" s="162" t="s">
        <v>2712</v>
      </c>
      <c r="E1519" s="26" t="s">
        <v>144</v>
      </c>
      <c r="F1519" s="30" t="s">
        <v>49</v>
      </c>
      <c r="G1519" s="162" t="s">
        <v>2704</v>
      </c>
      <c r="H1519" s="162">
        <v>18</v>
      </c>
      <c r="I1519" s="162" t="str">
        <f t="shared" si="146"/>
        <v>с ЛН</v>
      </c>
      <c r="J1519" s="164">
        <v>3</v>
      </c>
      <c r="K1519" s="164" t="s">
        <v>528</v>
      </c>
      <c r="L1519" s="164" t="s">
        <v>528</v>
      </c>
      <c r="M1519" s="164" t="s">
        <v>2705</v>
      </c>
      <c r="N1519" s="164" t="s">
        <v>2705</v>
      </c>
      <c r="O1519" s="162">
        <v>0</v>
      </c>
      <c r="P1519" s="162" t="s">
        <v>2706</v>
      </c>
      <c r="Q1519" s="162">
        <v>0</v>
      </c>
      <c r="R1519" s="162" t="s">
        <v>2706</v>
      </c>
      <c r="S1519" s="162">
        <v>0</v>
      </c>
      <c r="T1519" s="162" t="s">
        <v>2706</v>
      </c>
      <c r="U1519" s="162">
        <v>0</v>
      </c>
      <c r="V1519" s="162" t="s">
        <v>2706</v>
      </c>
      <c r="W1519" s="162">
        <v>0</v>
      </c>
      <c r="X1519" s="162" t="s">
        <v>2706</v>
      </c>
      <c r="Y1519" s="162">
        <v>0</v>
      </c>
      <c r="Z1519" s="162" t="s">
        <v>2706</v>
      </c>
      <c r="AA1519" s="162">
        <v>0</v>
      </c>
      <c r="AB1519" s="162" t="s">
        <v>2706</v>
      </c>
      <c r="AC1519" s="162">
        <v>0</v>
      </c>
      <c r="AD1519" s="162" t="s">
        <v>2706</v>
      </c>
      <c r="AE1519" s="162">
        <v>0</v>
      </c>
      <c r="AF1519" s="162" t="s">
        <v>2706</v>
      </c>
      <c r="AG1519" s="162">
        <v>0</v>
      </c>
      <c r="AH1519" s="162" t="s">
        <v>2706</v>
      </c>
      <c r="AI1519" s="162">
        <v>0</v>
      </c>
      <c r="AJ1519" s="162" t="s">
        <v>2706</v>
      </c>
      <c r="AK1519" s="162">
        <v>0</v>
      </c>
      <c r="AL1519" s="162" t="s">
        <v>2706</v>
      </c>
      <c r="AM1519" s="162">
        <v>0</v>
      </c>
      <c r="AN1519" s="162"/>
    </row>
    <row r="1520" spans="1:40" s="100" customFormat="1" ht="46.8" x14ac:dyDescent="0.3">
      <c r="A1520" s="161"/>
      <c r="B1520" s="167"/>
      <c r="C1520" s="98" t="s">
        <v>2708</v>
      </c>
      <c r="D1520" s="163"/>
      <c r="E1520" s="26" t="s">
        <v>48</v>
      </c>
      <c r="F1520" s="30" t="s">
        <v>49</v>
      </c>
      <c r="G1520" s="163"/>
      <c r="H1520" s="163"/>
      <c r="I1520" s="163"/>
      <c r="J1520" s="165"/>
      <c r="K1520" s="165"/>
      <c r="L1520" s="165"/>
      <c r="M1520" s="165"/>
      <c r="N1520" s="165"/>
      <c r="O1520" s="163"/>
      <c r="P1520" s="163"/>
      <c r="Q1520" s="163"/>
      <c r="R1520" s="163"/>
      <c r="S1520" s="163"/>
      <c r="T1520" s="163"/>
      <c r="U1520" s="163"/>
      <c r="V1520" s="163"/>
      <c r="W1520" s="163"/>
      <c r="X1520" s="163"/>
      <c r="Y1520" s="163"/>
      <c r="Z1520" s="163"/>
      <c r="AA1520" s="163"/>
      <c r="AB1520" s="163"/>
      <c r="AC1520" s="163"/>
      <c r="AD1520" s="163"/>
      <c r="AE1520" s="163"/>
      <c r="AF1520" s="163"/>
      <c r="AG1520" s="163"/>
      <c r="AH1520" s="163"/>
      <c r="AI1520" s="163"/>
      <c r="AJ1520" s="163"/>
      <c r="AK1520" s="163"/>
      <c r="AL1520" s="163"/>
      <c r="AM1520" s="163"/>
      <c r="AN1520" s="163"/>
    </row>
    <row r="1521" spans="1:40" s="100" customFormat="1" ht="46.8" x14ac:dyDescent="0.3">
      <c r="A1521" s="160">
        <v>981</v>
      </c>
      <c r="B1521" s="166" t="s">
        <v>1882</v>
      </c>
      <c r="C1521" s="98" t="s">
        <v>2708</v>
      </c>
      <c r="D1521" s="162" t="s">
        <v>2712</v>
      </c>
      <c r="E1521" s="26" t="s">
        <v>144</v>
      </c>
      <c r="F1521" s="30" t="s">
        <v>49</v>
      </c>
      <c r="G1521" s="162"/>
      <c r="H1521" s="162"/>
      <c r="I1521" s="162"/>
      <c r="J1521" s="164"/>
      <c r="K1521" s="164" t="s">
        <v>528</v>
      </c>
      <c r="L1521" s="164" t="s">
        <v>528</v>
      </c>
      <c r="M1521" s="164" t="s">
        <v>2705</v>
      </c>
      <c r="N1521" s="164" t="s">
        <v>2705</v>
      </c>
      <c r="O1521" s="162">
        <v>1171</v>
      </c>
      <c r="P1521" s="162" t="s">
        <v>2706</v>
      </c>
      <c r="Q1521" s="162">
        <v>1191</v>
      </c>
      <c r="R1521" s="162" t="s">
        <v>2706</v>
      </c>
      <c r="S1521" s="162">
        <v>1120</v>
      </c>
      <c r="T1521" s="162" t="s">
        <v>2706</v>
      </c>
      <c r="U1521" s="162">
        <v>1060</v>
      </c>
      <c r="V1521" s="162" t="s">
        <v>2706</v>
      </c>
      <c r="W1521" s="162">
        <v>1049</v>
      </c>
      <c r="X1521" s="162" t="s">
        <v>2706</v>
      </c>
      <c r="Y1521" s="162">
        <v>2140</v>
      </c>
      <c r="Z1521" s="162" t="s">
        <v>2706</v>
      </c>
      <c r="AA1521" s="162">
        <v>1966</v>
      </c>
      <c r="AB1521" s="162" t="s">
        <v>2706</v>
      </c>
      <c r="AC1521" s="162">
        <v>2057</v>
      </c>
      <c r="AD1521" s="162" t="s">
        <v>2706</v>
      </c>
      <c r="AE1521" s="162">
        <v>2139</v>
      </c>
      <c r="AF1521" s="162" t="s">
        <v>2706</v>
      </c>
      <c r="AG1521" s="162">
        <v>2524</v>
      </c>
      <c r="AH1521" s="162" t="s">
        <v>2706</v>
      </c>
      <c r="AI1521" s="162">
        <v>1488</v>
      </c>
      <c r="AJ1521" s="162" t="s">
        <v>2706</v>
      </c>
      <c r="AK1521" s="162">
        <v>1343</v>
      </c>
      <c r="AL1521" s="162" t="s">
        <v>2706</v>
      </c>
      <c r="AM1521" s="162">
        <v>17191</v>
      </c>
      <c r="AN1521" s="162"/>
    </row>
    <row r="1522" spans="1:40" s="100" customFormat="1" ht="46.8" x14ac:dyDescent="0.3">
      <c r="A1522" s="161"/>
      <c r="B1522" s="167"/>
      <c r="C1522" s="98" t="s">
        <v>2708</v>
      </c>
      <c r="D1522" s="163"/>
      <c r="E1522" s="26" t="s">
        <v>48</v>
      </c>
      <c r="F1522" s="30" t="s">
        <v>49</v>
      </c>
      <c r="G1522" s="163"/>
      <c r="H1522" s="163"/>
      <c r="I1522" s="163"/>
      <c r="J1522" s="165"/>
      <c r="K1522" s="165"/>
      <c r="L1522" s="165"/>
      <c r="M1522" s="165"/>
      <c r="N1522" s="165"/>
      <c r="O1522" s="163"/>
      <c r="P1522" s="163"/>
      <c r="Q1522" s="163"/>
      <c r="R1522" s="163"/>
      <c r="S1522" s="163"/>
      <c r="T1522" s="163"/>
      <c r="U1522" s="163"/>
      <c r="V1522" s="163"/>
      <c r="W1522" s="163"/>
      <c r="X1522" s="163"/>
      <c r="Y1522" s="163"/>
      <c r="Z1522" s="163"/>
      <c r="AA1522" s="163"/>
      <c r="AB1522" s="163"/>
      <c r="AC1522" s="163"/>
      <c r="AD1522" s="163"/>
      <c r="AE1522" s="163"/>
      <c r="AF1522" s="163"/>
      <c r="AG1522" s="163"/>
      <c r="AH1522" s="163"/>
      <c r="AI1522" s="163"/>
      <c r="AJ1522" s="163"/>
      <c r="AK1522" s="163"/>
      <c r="AL1522" s="163"/>
      <c r="AM1522" s="163"/>
      <c r="AN1522" s="163"/>
    </row>
    <row r="1523" spans="1:40" s="100" customFormat="1" ht="46.8" x14ac:dyDescent="0.3">
      <c r="A1523" s="160">
        <v>982</v>
      </c>
      <c r="B1523" s="166" t="s">
        <v>1883</v>
      </c>
      <c r="C1523" s="98" t="s">
        <v>2708</v>
      </c>
      <c r="D1523" s="162" t="s">
        <v>2712</v>
      </c>
      <c r="E1523" s="26" t="s">
        <v>144</v>
      </c>
      <c r="F1523" s="30" t="s">
        <v>49</v>
      </c>
      <c r="G1523" s="162"/>
      <c r="H1523" s="162"/>
      <c r="I1523" s="162"/>
      <c r="J1523" s="164"/>
      <c r="K1523" s="164" t="s">
        <v>528</v>
      </c>
      <c r="L1523" s="164" t="s">
        <v>528</v>
      </c>
      <c r="M1523" s="164" t="s">
        <v>2705</v>
      </c>
      <c r="N1523" s="164" t="s">
        <v>2705</v>
      </c>
      <c r="O1523" s="162">
        <v>0</v>
      </c>
      <c r="P1523" s="162" t="s">
        <v>2706</v>
      </c>
      <c r="Q1523" s="162">
        <v>0</v>
      </c>
      <c r="R1523" s="162" t="s">
        <v>2706</v>
      </c>
      <c r="S1523" s="162">
        <v>0</v>
      </c>
      <c r="T1523" s="162" t="s">
        <v>2706</v>
      </c>
      <c r="U1523" s="162">
        <v>0</v>
      </c>
      <c r="V1523" s="162" t="s">
        <v>2706</v>
      </c>
      <c r="W1523" s="162">
        <v>0</v>
      </c>
      <c r="X1523" s="162" t="s">
        <v>2706</v>
      </c>
      <c r="Y1523" s="162">
        <v>0</v>
      </c>
      <c r="Z1523" s="162" t="s">
        <v>2706</v>
      </c>
      <c r="AA1523" s="162">
        <v>0</v>
      </c>
      <c r="AB1523" s="162" t="s">
        <v>2706</v>
      </c>
      <c r="AC1523" s="162">
        <v>0</v>
      </c>
      <c r="AD1523" s="162" t="s">
        <v>2706</v>
      </c>
      <c r="AE1523" s="162">
        <v>0</v>
      </c>
      <c r="AF1523" s="162" t="s">
        <v>2706</v>
      </c>
      <c r="AG1523" s="162">
        <v>0</v>
      </c>
      <c r="AH1523" s="162" t="s">
        <v>2706</v>
      </c>
      <c r="AI1523" s="162">
        <v>0</v>
      </c>
      <c r="AJ1523" s="162" t="s">
        <v>2706</v>
      </c>
      <c r="AK1523" s="162">
        <v>0</v>
      </c>
      <c r="AL1523" s="162" t="s">
        <v>2706</v>
      </c>
      <c r="AM1523" s="162">
        <v>0</v>
      </c>
      <c r="AN1523" s="162"/>
    </row>
    <row r="1524" spans="1:40" s="100" customFormat="1" ht="46.8" x14ac:dyDescent="0.3">
      <c r="A1524" s="161"/>
      <c r="B1524" s="167"/>
      <c r="C1524" s="98" t="s">
        <v>2708</v>
      </c>
      <c r="D1524" s="163"/>
      <c r="E1524" s="26" t="s">
        <v>48</v>
      </c>
      <c r="F1524" s="30" t="s">
        <v>49</v>
      </c>
      <c r="G1524" s="163"/>
      <c r="H1524" s="163"/>
      <c r="I1524" s="163"/>
      <c r="J1524" s="165"/>
      <c r="K1524" s="165"/>
      <c r="L1524" s="165"/>
      <c r="M1524" s="165"/>
      <c r="N1524" s="165"/>
      <c r="O1524" s="163"/>
      <c r="P1524" s="163"/>
      <c r="Q1524" s="163"/>
      <c r="R1524" s="163"/>
      <c r="S1524" s="163"/>
      <c r="T1524" s="163"/>
      <c r="U1524" s="163"/>
      <c r="V1524" s="163"/>
      <c r="W1524" s="163"/>
      <c r="X1524" s="163"/>
      <c r="Y1524" s="163"/>
      <c r="Z1524" s="163"/>
      <c r="AA1524" s="163"/>
      <c r="AB1524" s="163"/>
      <c r="AC1524" s="163"/>
      <c r="AD1524" s="163"/>
      <c r="AE1524" s="163"/>
      <c r="AF1524" s="163"/>
      <c r="AG1524" s="163"/>
      <c r="AH1524" s="163"/>
      <c r="AI1524" s="163"/>
      <c r="AJ1524" s="163"/>
      <c r="AK1524" s="163"/>
      <c r="AL1524" s="163"/>
      <c r="AM1524" s="163"/>
      <c r="AN1524" s="163"/>
    </row>
    <row r="1525" spans="1:40" s="100" customFormat="1" ht="46.8" x14ac:dyDescent="0.3">
      <c r="A1525" s="160">
        <v>983</v>
      </c>
      <c r="B1525" s="166" t="s">
        <v>1884</v>
      </c>
      <c r="C1525" s="98" t="s">
        <v>2708</v>
      </c>
      <c r="D1525" s="162" t="s">
        <v>2712</v>
      </c>
      <c r="E1525" s="26" t="s">
        <v>144</v>
      </c>
      <c r="F1525" s="30" t="s">
        <v>49</v>
      </c>
      <c r="G1525" s="162"/>
      <c r="H1525" s="162"/>
      <c r="I1525" s="162"/>
      <c r="J1525" s="164"/>
      <c r="K1525" s="164" t="s">
        <v>528</v>
      </c>
      <c r="L1525" s="164" t="s">
        <v>528</v>
      </c>
      <c r="M1525" s="164" t="s">
        <v>2705</v>
      </c>
      <c r="N1525" s="164" t="s">
        <v>2705</v>
      </c>
      <c r="O1525" s="162">
        <v>1968</v>
      </c>
      <c r="P1525" s="162" t="s">
        <v>2706</v>
      </c>
      <c r="Q1525" s="162">
        <v>1626</v>
      </c>
      <c r="R1525" s="162" t="s">
        <v>2706</v>
      </c>
      <c r="S1525" s="162">
        <v>1679</v>
      </c>
      <c r="T1525" s="162" t="s">
        <v>2706</v>
      </c>
      <c r="U1525" s="162">
        <v>1777</v>
      </c>
      <c r="V1525" s="162" t="s">
        <v>2706</v>
      </c>
      <c r="W1525" s="162">
        <v>1833</v>
      </c>
      <c r="X1525" s="162" t="s">
        <v>2706</v>
      </c>
      <c r="Y1525" s="162">
        <v>1338</v>
      </c>
      <c r="Z1525" s="162" t="s">
        <v>2706</v>
      </c>
      <c r="AA1525" s="162">
        <v>1335</v>
      </c>
      <c r="AB1525" s="162" t="s">
        <v>2706</v>
      </c>
      <c r="AC1525" s="162">
        <v>1355</v>
      </c>
      <c r="AD1525" s="162" t="s">
        <v>2706</v>
      </c>
      <c r="AE1525" s="162">
        <v>1644</v>
      </c>
      <c r="AF1525" s="162" t="s">
        <v>2706</v>
      </c>
      <c r="AG1525" s="162">
        <v>1589</v>
      </c>
      <c r="AH1525" s="162" t="s">
        <v>2706</v>
      </c>
      <c r="AI1525" s="162">
        <v>1769</v>
      </c>
      <c r="AJ1525" s="162" t="s">
        <v>2706</v>
      </c>
      <c r="AK1525" s="162">
        <v>1722</v>
      </c>
      <c r="AL1525" s="162" t="s">
        <v>2706</v>
      </c>
      <c r="AM1525" s="162">
        <v>18280</v>
      </c>
      <c r="AN1525" s="162"/>
    </row>
    <row r="1526" spans="1:40" s="100" customFormat="1" ht="46.8" x14ac:dyDescent="0.3">
      <c r="A1526" s="161"/>
      <c r="B1526" s="167"/>
      <c r="C1526" s="98" t="s">
        <v>2708</v>
      </c>
      <c r="D1526" s="163"/>
      <c r="E1526" s="26" t="s">
        <v>48</v>
      </c>
      <c r="F1526" s="30" t="s">
        <v>49</v>
      </c>
      <c r="G1526" s="163"/>
      <c r="H1526" s="163"/>
      <c r="I1526" s="163"/>
      <c r="J1526" s="165"/>
      <c r="K1526" s="165"/>
      <c r="L1526" s="165"/>
      <c r="M1526" s="165"/>
      <c r="N1526" s="165"/>
      <c r="O1526" s="163"/>
      <c r="P1526" s="163"/>
      <c r="Q1526" s="163"/>
      <c r="R1526" s="163"/>
      <c r="S1526" s="163"/>
      <c r="T1526" s="163"/>
      <c r="U1526" s="163"/>
      <c r="V1526" s="163"/>
      <c r="W1526" s="163"/>
      <c r="X1526" s="163"/>
      <c r="Y1526" s="163"/>
      <c r="Z1526" s="163"/>
      <c r="AA1526" s="163"/>
      <c r="AB1526" s="163"/>
      <c r="AC1526" s="163"/>
      <c r="AD1526" s="163"/>
      <c r="AE1526" s="163"/>
      <c r="AF1526" s="163"/>
      <c r="AG1526" s="163"/>
      <c r="AH1526" s="163"/>
      <c r="AI1526" s="163"/>
      <c r="AJ1526" s="163"/>
      <c r="AK1526" s="163"/>
      <c r="AL1526" s="163"/>
      <c r="AM1526" s="163"/>
      <c r="AN1526" s="163"/>
    </row>
    <row r="1527" spans="1:40" s="100" customFormat="1" ht="46.8" x14ac:dyDescent="0.3">
      <c r="A1527" s="160">
        <v>984</v>
      </c>
      <c r="B1527" s="166" t="s">
        <v>1885</v>
      </c>
      <c r="C1527" s="98" t="s">
        <v>2708</v>
      </c>
      <c r="D1527" s="162" t="s">
        <v>2712</v>
      </c>
      <c r="E1527" s="26" t="s">
        <v>144</v>
      </c>
      <c r="F1527" s="30" t="s">
        <v>49</v>
      </c>
      <c r="G1527" s="162"/>
      <c r="H1527" s="162"/>
      <c r="I1527" s="162"/>
      <c r="J1527" s="164"/>
      <c r="K1527" s="164" t="s">
        <v>528</v>
      </c>
      <c r="L1527" s="164" t="s">
        <v>528</v>
      </c>
      <c r="M1527" s="164" t="s">
        <v>2705</v>
      </c>
      <c r="N1527" s="164" t="s">
        <v>2705</v>
      </c>
      <c r="O1527" s="162">
        <v>0</v>
      </c>
      <c r="P1527" s="162" t="s">
        <v>2706</v>
      </c>
      <c r="Q1527" s="162">
        <v>0</v>
      </c>
      <c r="R1527" s="162" t="s">
        <v>2706</v>
      </c>
      <c r="S1527" s="162">
        <v>0</v>
      </c>
      <c r="T1527" s="162" t="s">
        <v>2706</v>
      </c>
      <c r="U1527" s="162">
        <v>0</v>
      </c>
      <c r="V1527" s="162" t="s">
        <v>2706</v>
      </c>
      <c r="W1527" s="162">
        <v>0</v>
      </c>
      <c r="X1527" s="162" t="s">
        <v>2706</v>
      </c>
      <c r="Y1527" s="162">
        <v>0</v>
      </c>
      <c r="Z1527" s="162" t="s">
        <v>2706</v>
      </c>
      <c r="AA1527" s="162">
        <v>0</v>
      </c>
      <c r="AB1527" s="162" t="s">
        <v>2706</v>
      </c>
      <c r="AC1527" s="162">
        <v>0</v>
      </c>
      <c r="AD1527" s="162" t="s">
        <v>2706</v>
      </c>
      <c r="AE1527" s="162">
        <v>0</v>
      </c>
      <c r="AF1527" s="162" t="s">
        <v>2706</v>
      </c>
      <c r="AG1527" s="162">
        <v>0</v>
      </c>
      <c r="AH1527" s="162" t="s">
        <v>2706</v>
      </c>
      <c r="AI1527" s="162">
        <v>0</v>
      </c>
      <c r="AJ1527" s="162" t="s">
        <v>2706</v>
      </c>
      <c r="AK1527" s="162">
        <v>0</v>
      </c>
      <c r="AL1527" s="162" t="s">
        <v>2706</v>
      </c>
      <c r="AM1527" s="162">
        <v>0</v>
      </c>
      <c r="AN1527" s="162"/>
    </row>
    <row r="1528" spans="1:40" s="100" customFormat="1" ht="46.8" x14ac:dyDescent="0.3">
      <c r="A1528" s="161"/>
      <c r="B1528" s="167"/>
      <c r="C1528" s="98" t="s">
        <v>2708</v>
      </c>
      <c r="D1528" s="163"/>
      <c r="E1528" s="26" t="s">
        <v>48</v>
      </c>
      <c r="F1528" s="30" t="s">
        <v>49</v>
      </c>
      <c r="G1528" s="163"/>
      <c r="H1528" s="163"/>
      <c r="I1528" s="163"/>
      <c r="J1528" s="165"/>
      <c r="K1528" s="165"/>
      <c r="L1528" s="165"/>
      <c r="M1528" s="165"/>
      <c r="N1528" s="165"/>
      <c r="O1528" s="163"/>
      <c r="P1528" s="163"/>
      <c r="Q1528" s="163"/>
      <c r="R1528" s="163"/>
      <c r="S1528" s="163"/>
      <c r="T1528" s="163"/>
      <c r="U1528" s="163"/>
      <c r="V1528" s="163"/>
      <c r="W1528" s="163"/>
      <c r="X1528" s="163"/>
      <c r="Y1528" s="163"/>
      <c r="Z1528" s="163"/>
      <c r="AA1528" s="163"/>
      <c r="AB1528" s="163"/>
      <c r="AC1528" s="163"/>
      <c r="AD1528" s="163"/>
      <c r="AE1528" s="163"/>
      <c r="AF1528" s="163"/>
      <c r="AG1528" s="163"/>
      <c r="AH1528" s="163"/>
      <c r="AI1528" s="163"/>
      <c r="AJ1528" s="163"/>
      <c r="AK1528" s="163"/>
      <c r="AL1528" s="163"/>
      <c r="AM1528" s="163"/>
      <c r="AN1528" s="163"/>
    </row>
    <row r="1529" spans="1:40" s="100" customFormat="1" ht="46.8" x14ac:dyDescent="0.3">
      <c r="A1529" s="160">
        <v>985</v>
      </c>
      <c r="B1529" s="166" t="s">
        <v>1887</v>
      </c>
      <c r="C1529" s="98" t="s">
        <v>2708</v>
      </c>
      <c r="D1529" s="162" t="s">
        <v>2712</v>
      </c>
      <c r="E1529" s="26" t="s">
        <v>144</v>
      </c>
      <c r="F1529" s="30" t="s">
        <v>49</v>
      </c>
      <c r="G1529" s="162" t="s">
        <v>2704</v>
      </c>
      <c r="H1529" s="162">
        <v>30</v>
      </c>
      <c r="I1529" s="162" t="str">
        <f t="shared" si="146"/>
        <v>с ЛН</v>
      </c>
      <c r="J1529" s="164">
        <v>5</v>
      </c>
      <c r="K1529" s="164" t="s">
        <v>528</v>
      </c>
      <c r="L1529" s="164" t="s">
        <v>528</v>
      </c>
      <c r="M1529" s="164" t="s">
        <v>2705</v>
      </c>
      <c r="N1529" s="164" t="s">
        <v>2705</v>
      </c>
      <c r="O1529" s="162">
        <v>116</v>
      </c>
      <c r="P1529" s="162" t="s">
        <v>2706</v>
      </c>
      <c r="Q1529" s="162">
        <v>126</v>
      </c>
      <c r="R1529" s="162" t="s">
        <v>2706</v>
      </c>
      <c r="S1529" s="162">
        <v>75</v>
      </c>
      <c r="T1529" s="162" t="s">
        <v>2706</v>
      </c>
      <c r="U1529" s="162">
        <v>135</v>
      </c>
      <c r="V1529" s="162" t="s">
        <v>2706</v>
      </c>
      <c r="W1529" s="162">
        <v>148</v>
      </c>
      <c r="X1529" s="162" t="s">
        <v>2706</v>
      </c>
      <c r="Y1529" s="162">
        <v>120</v>
      </c>
      <c r="Z1529" s="162" t="s">
        <v>2706</v>
      </c>
      <c r="AA1529" s="162">
        <v>93</v>
      </c>
      <c r="AB1529" s="162" t="s">
        <v>2706</v>
      </c>
      <c r="AC1529" s="162">
        <v>86</v>
      </c>
      <c r="AD1529" s="162" t="s">
        <v>2706</v>
      </c>
      <c r="AE1529" s="162">
        <v>141</v>
      </c>
      <c r="AF1529" s="162" t="s">
        <v>2706</v>
      </c>
      <c r="AG1529" s="162">
        <v>145</v>
      </c>
      <c r="AH1529" s="162" t="s">
        <v>2706</v>
      </c>
      <c r="AI1529" s="162">
        <v>153</v>
      </c>
      <c r="AJ1529" s="162" t="s">
        <v>2706</v>
      </c>
      <c r="AK1529" s="162">
        <v>88</v>
      </c>
      <c r="AL1529" s="162" t="s">
        <v>2706</v>
      </c>
      <c r="AM1529" s="162">
        <v>1340</v>
      </c>
      <c r="AN1529" s="162"/>
    </row>
    <row r="1530" spans="1:40" s="100" customFormat="1" ht="46.8" x14ac:dyDescent="0.3">
      <c r="A1530" s="161"/>
      <c r="B1530" s="167"/>
      <c r="C1530" s="98" t="s">
        <v>2708</v>
      </c>
      <c r="D1530" s="163"/>
      <c r="E1530" s="26" t="s">
        <v>48</v>
      </c>
      <c r="F1530" s="30" t="s">
        <v>49</v>
      </c>
      <c r="G1530" s="163"/>
      <c r="H1530" s="163"/>
      <c r="I1530" s="163"/>
      <c r="J1530" s="165"/>
      <c r="K1530" s="165"/>
      <c r="L1530" s="165"/>
      <c r="M1530" s="165"/>
      <c r="N1530" s="165"/>
      <c r="O1530" s="163"/>
      <c r="P1530" s="163"/>
      <c r="Q1530" s="163"/>
      <c r="R1530" s="163"/>
      <c r="S1530" s="163"/>
      <c r="T1530" s="163"/>
      <c r="U1530" s="163"/>
      <c r="V1530" s="163"/>
      <c r="W1530" s="163"/>
      <c r="X1530" s="163"/>
      <c r="Y1530" s="163"/>
      <c r="Z1530" s="163"/>
      <c r="AA1530" s="163"/>
      <c r="AB1530" s="163"/>
      <c r="AC1530" s="163"/>
      <c r="AD1530" s="163"/>
      <c r="AE1530" s="163"/>
      <c r="AF1530" s="163"/>
      <c r="AG1530" s="163"/>
      <c r="AH1530" s="163"/>
      <c r="AI1530" s="163"/>
      <c r="AJ1530" s="163"/>
      <c r="AK1530" s="163"/>
      <c r="AL1530" s="163"/>
      <c r="AM1530" s="163"/>
      <c r="AN1530" s="163"/>
    </row>
    <row r="1531" spans="1:40" s="100" customFormat="1" ht="46.8" x14ac:dyDescent="0.3">
      <c r="A1531" s="160">
        <v>986</v>
      </c>
      <c r="B1531" s="166" t="s">
        <v>1888</v>
      </c>
      <c r="C1531" s="98" t="s">
        <v>2708</v>
      </c>
      <c r="D1531" s="162" t="s">
        <v>2712</v>
      </c>
      <c r="E1531" s="26" t="s">
        <v>144</v>
      </c>
      <c r="F1531" s="30" t="s">
        <v>49</v>
      </c>
      <c r="G1531" s="162" t="s">
        <v>2704</v>
      </c>
      <c r="H1531" s="162">
        <v>24</v>
      </c>
      <c r="I1531" s="162" t="str">
        <f t="shared" si="146"/>
        <v>с ЛН</v>
      </c>
      <c r="J1531" s="164">
        <v>4</v>
      </c>
      <c r="K1531" s="164" t="s">
        <v>528</v>
      </c>
      <c r="L1531" s="164" t="s">
        <v>528</v>
      </c>
      <c r="M1531" s="164" t="s">
        <v>2705</v>
      </c>
      <c r="N1531" s="164" t="s">
        <v>2705</v>
      </c>
      <c r="O1531" s="162">
        <v>247</v>
      </c>
      <c r="P1531" s="162" t="s">
        <v>2706</v>
      </c>
      <c r="Q1531" s="162">
        <v>234</v>
      </c>
      <c r="R1531" s="162" t="s">
        <v>2706</v>
      </c>
      <c r="S1531" s="162">
        <v>225</v>
      </c>
      <c r="T1531" s="162" t="s">
        <v>2706</v>
      </c>
      <c r="U1531" s="162">
        <v>182</v>
      </c>
      <c r="V1531" s="162" t="s">
        <v>2706</v>
      </c>
      <c r="W1531" s="162">
        <v>208</v>
      </c>
      <c r="X1531" s="162" t="s">
        <v>2706</v>
      </c>
      <c r="Y1531" s="162">
        <v>155</v>
      </c>
      <c r="Z1531" s="162" t="s">
        <v>2706</v>
      </c>
      <c r="AA1531" s="162">
        <v>175</v>
      </c>
      <c r="AB1531" s="162" t="s">
        <v>2706</v>
      </c>
      <c r="AC1531" s="162">
        <v>202</v>
      </c>
      <c r="AD1531" s="162" t="s">
        <v>2706</v>
      </c>
      <c r="AE1531" s="162">
        <v>201</v>
      </c>
      <c r="AF1531" s="162" t="s">
        <v>2706</v>
      </c>
      <c r="AG1531" s="162">
        <v>293</v>
      </c>
      <c r="AH1531" s="162" t="s">
        <v>2706</v>
      </c>
      <c r="AI1531" s="162">
        <v>155</v>
      </c>
      <c r="AJ1531" s="162" t="s">
        <v>2706</v>
      </c>
      <c r="AK1531" s="162">
        <v>217</v>
      </c>
      <c r="AL1531" s="162" t="s">
        <v>2706</v>
      </c>
      <c r="AM1531" s="162">
        <v>2292</v>
      </c>
      <c r="AN1531" s="162"/>
    </row>
    <row r="1532" spans="1:40" s="100" customFormat="1" ht="46.8" x14ac:dyDescent="0.3">
      <c r="A1532" s="161"/>
      <c r="B1532" s="167"/>
      <c r="C1532" s="98" t="s">
        <v>2708</v>
      </c>
      <c r="D1532" s="163"/>
      <c r="E1532" s="26" t="s">
        <v>48</v>
      </c>
      <c r="F1532" s="30" t="s">
        <v>49</v>
      </c>
      <c r="G1532" s="163"/>
      <c r="H1532" s="163"/>
      <c r="I1532" s="163"/>
      <c r="J1532" s="165"/>
      <c r="K1532" s="165"/>
      <c r="L1532" s="165"/>
      <c r="M1532" s="165"/>
      <c r="N1532" s="165"/>
      <c r="O1532" s="163"/>
      <c r="P1532" s="163"/>
      <c r="Q1532" s="163"/>
      <c r="R1532" s="163"/>
      <c r="S1532" s="163"/>
      <c r="T1532" s="163"/>
      <c r="U1532" s="163"/>
      <c r="V1532" s="163"/>
      <c r="W1532" s="163"/>
      <c r="X1532" s="163"/>
      <c r="Y1532" s="163"/>
      <c r="Z1532" s="163"/>
      <c r="AA1532" s="163"/>
      <c r="AB1532" s="163"/>
      <c r="AC1532" s="163"/>
      <c r="AD1532" s="163"/>
      <c r="AE1532" s="163"/>
      <c r="AF1532" s="163"/>
      <c r="AG1532" s="163"/>
      <c r="AH1532" s="163"/>
      <c r="AI1532" s="163"/>
      <c r="AJ1532" s="163"/>
      <c r="AK1532" s="163"/>
      <c r="AL1532" s="163"/>
      <c r="AM1532" s="163"/>
      <c r="AN1532" s="163"/>
    </row>
    <row r="1533" spans="1:40" s="100" customFormat="1" ht="46.8" x14ac:dyDescent="0.3">
      <c r="A1533" s="160">
        <v>987</v>
      </c>
      <c r="B1533" s="166" t="s">
        <v>1889</v>
      </c>
      <c r="C1533" s="98" t="s">
        <v>2708</v>
      </c>
      <c r="D1533" s="162" t="s">
        <v>2712</v>
      </c>
      <c r="E1533" s="26" t="s">
        <v>144</v>
      </c>
      <c r="F1533" s="30" t="s">
        <v>49</v>
      </c>
      <c r="G1533" s="162" t="s">
        <v>2704</v>
      </c>
      <c r="H1533" s="162">
        <v>24</v>
      </c>
      <c r="I1533" s="162" t="str">
        <f t="shared" si="146"/>
        <v>с ЛН</v>
      </c>
      <c r="J1533" s="164">
        <v>4</v>
      </c>
      <c r="K1533" s="164" t="s">
        <v>528</v>
      </c>
      <c r="L1533" s="164" t="s">
        <v>528</v>
      </c>
      <c r="M1533" s="164" t="s">
        <v>2705</v>
      </c>
      <c r="N1533" s="164" t="s">
        <v>2705</v>
      </c>
      <c r="O1533" s="162">
        <v>555</v>
      </c>
      <c r="P1533" s="162" t="s">
        <v>2706</v>
      </c>
      <c r="Q1533" s="162">
        <v>405</v>
      </c>
      <c r="R1533" s="162" t="s">
        <v>2706</v>
      </c>
      <c r="S1533" s="162">
        <v>394</v>
      </c>
      <c r="T1533" s="162" t="s">
        <v>2706</v>
      </c>
      <c r="U1533" s="162">
        <v>381</v>
      </c>
      <c r="V1533" s="162" t="s">
        <v>2706</v>
      </c>
      <c r="W1533" s="162">
        <v>277</v>
      </c>
      <c r="X1533" s="162" t="s">
        <v>2706</v>
      </c>
      <c r="Y1533" s="162">
        <v>205</v>
      </c>
      <c r="Z1533" s="162" t="s">
        <v>2706</v>
      </c>
      <c r="AA1533" s="162">
        <v>345</v>
      </c>
      <c r="AB1533" s="162" t="s">
        <v>2706</v>
      </c>
      <c r="AC1533" s="162">
        <v>475</v>
      </c>
      <c r="AD1533" s="162" t="s">
        <v>2706</v>
      </c>
      <c r="AE1533" s="162">
        <v>376</v>
      </c>
      <c r="AF1533" s="162" t="s">
        <v>2706</v>
      </c>
      <c r="AG1533" s="162">
        <v>468</v>
      </c>
      <c r="AH1533" s="162" t="s">
        <v>2706</v>
      </c>
      <c r="AI1533" s="162">
        <v>1196</v>
      </c>
      <c r="AJ1533" s="162" t="s">
        <v>2706</v>
      </c>
      <c r="AK1533" s="162">
        <v>717</v>
      </c>
      <c r="AL1533" s="162" t="s">
        <v>2706</v>
      </c>
      <c r="AM1533" s="162">
        <v>5319</v>
      </c>
      <c r="AN1533" s="162"/>
    </row>
    <row r="1534" spans="1:40" s="100" customFormat="1" ht="46.8" x14ac:dyDescent="0.3">
      <c r="A1534" s="161"/>
      <c r="B1534" s="167"/>
      <c r="C1534" s="98" t="s">
        <v>2708</v>
      </c>
      <c r="D1534" s="163"/>
      <c r="E1534" s="26" t="s">
        <v>48</v>
      </c>
      <c r="F1534" s="30" t="s">
        <v>49</v>
      </c>
      <c r="G1534" s="163"/>
      <c r="H1534" s="163"/>
      <c r="I1534" s="163"/>
      <c r="J1534" s="165"/>
      <c r="K1534" s="165"/>
      <c r="L1534" s="165"/>
      <c r="M1534" s="165"/>
      <c r="N1534" s="165"/>
      <c r="O1534" s="163"/>
      <c r="P1534" s="163"/>
      <c r="Q1534" s="163"/>
      <c r="R1534" s="163"/>
      <c r="S1534" s="163"/>
      <c r="T1534" s="163"/>
      <c r="U1534" s="163"/>
      <c r="V1534" s="163"/>
      <c r="W1534" s="163"/>
      <c r="X1534" s="163"/>
      <c r="Y1534" s="163"/>
      <c r="Z1534" s="163"/>
      <c r="AA1534" s="163"/>
      <c r="AB1534" s="163"/>
      <c r="AC1534" s="163"/>
      <c r="AD1534" s="163"/>
      <c r="AE1534" s="163"/>
      <c r="AF1534" s="163"/>
      <c r="AG1534" s="163"/>
      <c r="AH1534" s="163"/>
      <c r="AI1534" s="163"/>
      <c r="AJ1534" s="163"/>
      <c r="AK1534" s="163"/>
      <c r="AL1534" s="163"/>
      <c r="AM1534" s="163"/>
      <c r="AN1534" s="163"/>
    </row>
    <row r="1535" spans="1:40" s="100" customFormat="1" ht="46.8" x14ac:dyDescent="0.3">
      <c r="A1535" s="160">
        <v>988</v>
      </c>
      <c r="B1535" s="166" t="s">
        <v>1890</v>
      </c>
      <c r="C1535" s="98" t="s">
        <v>2708</v>
      </c>
      <c r="D1535" s="162" t="s">
        <v>2712</v>
      </c>
      <c r="E1535" s="26" t="s">
        <v>144</v>
      </c>
      <c r="F1535" s="30" t="s">
        <v>49</v>
      </c>
      <c r="G1535" s="162" t="s">
        <v>2704</v>
      </c>
      <c r="H1535" s="162">
        <v>42</v>
      </c>
      <c r="I1535" s="162" t="str">
        <f t="shared" si="146"/>
        <v>с ЛН</v>
      </c>
      <c r="J1535" s="164">
        <v>8</v>
      </c>
      <c r="K1535" s="164" t="s">
        <v>528</v>
      </c>
      <c r="L1535" s="164" t="s">
        <v>528</v>
      </c>
      <c r="M1535" s="164" t="s">
        <v>2705</v>
      </c>
      <c r="N1535" s="164" t="s">
        <v>2705</v>
      </c>
      <c r="O1535" s="162">
        <v>1107</v>
      </c>
      <c r="P1535" s="162" t="s">
        <v>2706</v>
      </c>
      <c r="Q1535" s="162">
        <v>1213</v>
      </c>
      <c r="R1535" s="162" t="s">
        <v>2706</v>
      </c>
      <c r="S1535" s="162">
        <v>1041</v>
      </c>
      <c r="T1535" s="162" t="s">
        <v>2706</v>
      </c>
      <c r="U1535" s="162">
        <v>1039</v>
      </c>
      <c r="V1535" s="162" t="s">
        <v>2706</v>
      </c>
      <c r="W1535" s="162">
        <v>992</v>
      </c>
      <c r="X1535" s="162" t="s">
        <v>2706</v>
      </c>
      <c r="Y1535" s="162">
        <v>739</v>
      </c>
      <c r="Z1535" s="162" t="s">
        <v>2706</v>
      </c>
      <c r="AA1535" s="162">
        <v>690</v>
      </c>
      <c r="AB1535" s="162" t="s">
        <v>2706</v>
      </c>
      <c r="AC1535" s="162">
        <v>997</v>
      </c>
      <c r="AD1535" s="162" t="s">
        <v>2706</v>
      </c>
      <c r="AE1535" s="162">
        <v>952</v>
      </c>
      <c r="AF1535" s="162" t="s">
        <v>2706</v>
      </c>
      <c r="AG1535" s="162">
        <v>1090</v>
      </c>
      <c r="AH1535" s="162" t="s">
        <v>2706</v>
      </c>
      <c r="AI1535" s="162">
        <v>0</v>
      </c>
      <c r="AJ1535" s="162" t="s">
        <v>2706</v>
      </c>
      <c r="AK1535" s="162">
        <v>1588</v>
      </c>
      <c r="AL1535" s="162" t="s">
        <v>2706</v>
      </c>
      <c r="AM1535" s="162">
        <v>10451</v>
      </c>
      <c r="AN1535" s="162"/>
    </row>
    <row r="1536" spans="1:40" s="100" customFormat="1" ht="46.8" x14ac:dyDescent="0.3">
      <c r="A1536" s="161"/>
      <c r="B1536" s="167"/>
      <c r="C1536" s="98" t="s">
        <v>2708</v>
      </c>
      <c r="D1536" s="163"/>
      <c r="E1536" s="26" t="s">
        <v>48</v>
      </c>
      <c r="F1536" s="30" t="s">
        <v>49</v>
      </c>
      <c r="G1536" s="163"/>
      <c r="H1536" s="163"/>
      <c r="I1536" s="163"/>
      <c r="J1536" s="165"/>
      <c r="K1536" s="165"/>
      <c r="L1536" s="165"/>
      <c r="M1536" s="165"/>
      <c r="N1536" s="165"/>
      <c r="O1536" s="163"/>
      <c r="P1536" s="163"/>
      <c r="Q1536" s="163"/>
      <c r="R1536" s="163"/>
      <c r="S1536" s="163"/>
      <c r="T1536" s="163"/>
      <c r="U1536" s="163"/>
      <c r="V1536" s="163"/>
      <c r="W1536" s="163"/>
      <c r="X1536" s="163"/>
      <c r="Y1536" s="163"/>
      <c r="Z1536" s="163"/>
      <c r="AA1536" s="163"/>
      <c r="AB1536" s="163"/>
      <c r="AC1536" s="163"/>
      <c r="AD1536" s="163"/>
      <c r="AE1536" s="163"/>
      <c r="AF1536" s="163"/>
      <c r="AG1536" s="163"/>
      <c r="AH1536" s="163"/>
      <c r="AI1536" s="163"/>
      <c r="AJ1536" s="163"/>
      <c r="AK1536" s="163"/>
      <c r="AL1536" s="163"/>
      <c r="AM1536" s="163"/>
      <c r="AN1536" s="163"/>
    </row>
    <row r="1537" spans="1:40" s="100" customFormat="1" ht="46.8" x14ac:dyDescent="0.3">
      <c r="A1537" s="160">
        <v>989</v>
      </c>
      <c r="B1537" s="166" t="s">
        <v>1891</v>
      </c>
      <c r="C1537" s="98" t="s">
        <v>2708</v>
      </c>
      <c r="D1537" s="162" t="s">
        <v>2712</v>
      </c>
      <c r="E1537" s="26" t="s">
        <v>144</v>
      </c>
      <c r="F1537" s="30" t="s">
        <v>49</v>
      </c>
      <c r="G1537" s="162" t="s">
        <v>2704</v>
      </c>
      <c r="H1537" s="162">
        <v>17</v>
      </c>
      <c r="I1537" s="162" t="str">
        <f t="shared" si="146"/>
        <v>с ЛН</v>
      </c>
      <c r="J1537" s="164">
        <v>3</v>
      </c>
      <c r="K1537" s="164" t="s">
        <v>528</v>
      </c>
      <c r="L1537" s="164" t="s">
        <v>528</v>
      </c>
      <c r="M1537" s="164" t="s">
        <v>2705</v>
      </c>
      <c r="N1537" s="164" t="s">
        <v>2705</v>
      </c>
      <c r="O1537" s="162">
        <v>1224</v>
      </c>
      <c r="P1537" s="162" t="s">
        <v>2706</v>
      </c>
      <c r="Q1537" s="162">
        <v>1583</v>
      </c>
      <c r="R1537" s="162" t="s">
        <v>2706</v>
      </c>
      <c r="S1537" s="162">
        <v>1155</v>
      </c>
      <c r="T1537" s="162" t="s">
        <v>2706</v>
      </c>
      <c r="U1537" s="162">
        <v>1288</v>
      </c>
      <c r="V1537" s="162" t="s">
        <v>2706</v>
      </c>
      <c r="W1537" s="162">
        <v>1183</v>
      </c>
      <c r="X1537" s="162" t="s">
        <v>2706</v>
      </c>
      <c r="Y1537" s="162">
        <v>924</v>
      </c>
      <c r="Z1537" s="162" t="s">
        <v>2706</v>
      </c>
      <c r="AA1537" s="162">
        <v>1102</v>
      </c>
      <c r="AB1537" s="162" t="s">
        <v>2706</v>
      </c>
      <c r="AC1537" s="162">
        <v>1371</v>
      </c>
      <c r="AD1537" s="162" t="s">
        <v>2706</v>
      </c>
      <c r="AE1537" s="162">
        <v>1273</v>
      </c>
      <c r="AF1537" s="162" t="s">
        <v>2706</v>
      </c>
      <c r="AG1537" s="162">
        <v>1328</v>
      </c>
      <c r="AH1537" s="162" t="s">
        <v>2706</v>
      </c>
      <c r="AI1537" s="162">
        <v>855</v>
      </c>
      <c r="AJ1537" s="162" t="s">
        <v>2706</v>
      </c>
      <c r="AK1537" s="162">
        <v>1307</v>
      </c>
      <c r="AL1537" s="162" t="s">
        <v>2706</v>
      </c>
      <c r="AM1537" s="162">
        <v>13222</v>
      </c>
      <c r="AN1537" s="162"/>
    </row>
    <row r="1538" spans="1:40" s="100" customFormat="1" ht="46.8" x14ac:dyDescent="0.3">
      <c r="A1538" s="161"/>
      <c r="B1538" s="167"/>
      <c r="C1538" s="98" t="s">
        <v>2708</v>
      </c>
      <c r="D1538" s="163"/>
      <c r="E1538" s="26" t="s">
        <v>48</v>
      </c>
      <c r="F1538" s="30" t="s">
        <v>49</v>
      </c>
      <c r="G1538" s="163"/>
      <c r="H1538" s="163"/>
      <c r="I1538" s="163"/>
      <c r="J1538" s="165"/>
      <c r="K1538" s="165"/>
      <c r="L1538" s="165"/>
      <c r="M1538" s="165"/>
      <c r="N1538" s="165"/>
      <c r="O1538" s="163"/>
      <c r="P1538" s="163"/>
      <c r="Q1538" s="163"/>
      <c r="R1538" s="163"/>
      <c r="S1538" s="163"/>
      <c r="T1538" s="163"/>
      <c r="U1538" s="163"/>
      <c r="V1538" s="163"/>
      <c r="W1538" s="163"/>
      <c r="X1538" s="163"/>
      <c r="Y1538" s="163"/>
      <c r="Z1538" s="163"/>
      <c r="AA1538" s="163"/>
      <c r="AB1538" s="163"/>
      <c r="AC1538" s="163"/>
      <c r="AD1538" s="163"/>
      <c r="AE1538" s="163"/>
      <c r="AF1538" s="163"/>
      <c r="AG1538" s="163"/>
      <c r="AH1538" s="163"/>
      <c r="AI1538" s="163"/>
      <c r="AJ1538" s="163"/>
      <c r="AK1538" s="163"/>
      <c r="AL1538" s="163"/>
      <c r="AM1538" s="163"/>
      <c r="AN1538" s="163"/>
    </row>
    <row r="1539" spans="1:40" s="100" customFormat="1" ht="46.8" x14ac:dyDescent="0.3">
      <c r="A1539" s="160">
        <v>990</v>
      </c>
      <c r="B1539" s="166" t="s">
        <v>1892</v>
      </c>
      <c r="C1539" s="98" t="s">
        <v>2708</v>
      </c>
      <c r="D1539" s="162" t="s">
        <v>2712</v>
      </c>
      <c r="E1539" s="26" t="s">
        <v>144</v>
      </c>
      <c r="F1539" s="30" t="s">
        <v>49</v>
      </c>
      <c r="G1539" s="162" t="s">
        <v>2704</v>
      </c>
      <c r="H1539" s="162">
        <v>17</v>
      </c>
      <c r="I1539" s="162" t="str">
        <f t="shared" si="146"/>
        <v>с ЛН</v>
      </c>
      <c r="J1539" s="164">
        <v>3</v>
      </c>
      <c r="K1539" s="164" t="s">
        <v>528</v>
      </c>
      <c r="L1539" s="164" t="s">
        <v>528</v>
      </c>
      <c r="M1539" s="164" t="s">
        <v>2705</v>
      </c>
      <c r="N1539" s="164" t="s">
        <v>2705</v>
      </c>
      <c r="O1539" s="162">
        <v>0</v>
      </c>
      <c r="P1539" s="162" t="s">
        <v>2706</v>
      </c>
      <c r="Q1539" s="162">
        <v>0</v>
      </c>
      <c r="R1539" s="162" t="s">
        <v>2706</v>
      </c>
      <c r="S1539" s="162">
        <v>0</v>
      </c>
      <c r="T1539" s="162" t="s">
        <v>2706</v>
      </c>
      <c r="U1539" s="162">
        <v>0</v>
      </c>
      <c r="V1539" s="162" t="s">
        <v>2706</v>
      </c>
      <c r="W1539" s="162">
        <v>0</v>
      </c>
      <c r="X1539" s="162" t="s">
        <v>2706</v>
      </c>
      <c r="Y1539" s="162">
        <v>0</v>
      </c>
      <c r="Z1539" s="162" t="s">
        <v>2706</v>
      </c>
      <c r="AA1539" s="162">
        <v>0</v>
      </c>
      <c r="AB1539" s="162" t="s">
        <v>2706</v>
      </c>
      <c r="AC1539" s="162">
        <v>0</v>
      </c>
      <c r="AD1539" s="162" t="s">
        <v>2706</v>
      </c>
      <c r="AE1539" s="162">
        <v>0</v>
      </c>
      <c r="AF1539" s="162" t="s">
        <v>2706</v>
      </c>
      <c r="AG1539" s="162">
        <v>0</v>
      </c>
      <c r="AH1539" s="162" t="s">
        <v>2706</v>
      </c>
      <c r="AI1539" s="162">
        <v>0</v>
      </c>
      <c r="AJ1539" s="162" t="s">
        <v>2706</v>
      </c>
      <c r="AK1539" s="162">
        <v>0</v>
      </c>
      <c r="AL1539" s="162" t="s">
        <v>2706</v>
      </c>
      <c r="AM1539" s="162">
        <v>0</v>
      </c>
      <c r="AN1539" s="162"/>
    </row>
    <row r="1540" spans="1:40" s="100" customFormat="1" ht="46.8" x14ac:dyDescent="0.3">
      <c r="A1540" s="161"/>
      <c r="B1540" s="167"/>
      <c r="C1540" s="98" t="s">
        <v>2708</v>
      </c>
      <c r="D1540" s="163"/>
      <c r="E1540" s="26" t="s">
        <v>48</v>
      </c>
      <c r="F1540" s="30" t="s">
        <v>49</v>
      </c>
      <c r="G1540" s="163"/>
      <c r="H1540" s="163"/>
      <c r="I1540" s="163"/>
      <c r="J1540" s="165"/>
      <c r="K1540" s="165"/>
      <c r="L1540" s="165"/>
      <c r="M1540" s="165"/>
      <c r="N1540" s="165"/>
      <c r="O1540" s="163"/>
      <c r="P1540" s="163"/>
      <c r="Q1540" s="163"/>
      <c r="R1540" s="163"/>
      <c r="S1540" s="163"/>
      <c r="T1540" s="163"/>
      <c r="U1540" s="163"/>
      <c r="V1540" s="163"/>
      <c r="W1540" s="163"/>
      <c r="X1540" s="163"/>
      <c r="Y1540" s="163"/>
      <c r="Z1540" s="163"/>
      <c r="AA1540" s="163"/>
      <c r="AB1540" s="163"/>
      <c r="AC1540" s="163"/>
      <c r="AD1540" s="163"/>
      <c r="AE1540" s="163"/>
      <c r="AF1540" s="163"/>
      <c r="AG1540" s="163"/>
      <c r="AH1540" s="163"/>
      <c r="AI1540" s="163"/>
      <c r="AJ1540" s="163"/>
      <c r="AK1540" s="163"/>
      <c r="AL1540" s="163"/>
      <c r="AM1540" s="163"/>
      <c r="AN1540" s="163"/>
    </row>
    <row r="1541" spans="1:40" s="100" customFormat="1" ht="46.8" x14ac:dyDescent="0.3">
      <c r="A1541" s="160">
        <v>991</v>
      </c>
      <c r="B1541" s="166" t="s">
        <v>1893</v>
      </c>
      <c r="C1541" s="98" t="s">
        <v>2708</v>
      </c>
      <c r="D1541" s="162" t="s">
        <v>2712</v>
      </c>
      <c r="E1541" s="26" t="s">
        <v>144</v>
      </c>
      <c r="F1541" s="30" t="s">
        <v>49</v>
      </c>
      <c r="G1541" s="162" t="s">
        <v>2704</v>
      </c>
      <c r="H1541" s="162">
        <v>17</v>
      </c>
      <c r="I1541" s="162" t="str">
        <f t="shared" si="146"/>
        <v>с ЛН</v>
      </c>
      <c r="J1541" s="164">
        <v>3</v>
      </c>
      <c r="K1541" s="164" t="s">
        <v>528</v>
      </c>
      <c r="L1541" s="164" t="s">
        <v>528</v>
      </c>
      <c r="M1541" s="164" t="s">
        <v>2705</v>
      </c>
      <c r="N1541" s="164" t="s">
        <v>2705</v>
      </c>
      <c r="O1541" s="162">
        <v>0</v>
      </c>
      <c r="P1541" s="162" t="s">
        <v>2706</v>
      </c>
      <c r="Q1541" s="162">
        <v>0</v>
      </c>
      <c r="R1541" s="162" t="s">
        <v>2706</v>
      </c>
      <c r="S1541" s="162">
        <v>0</v>
      </c>
      <c r="T1541" s="162" t="s">
        <v>2706</v>
      </c>
      <c r="U1541" s="162">
        <v>0</v>
      </c>
      <c r="V1541" s="162" t="s">
        <v>2706</v>
      </c>
      <c r="W1541" s="162">
        <v>0</v>
      </c>
      <c r="X1541" s="162" t="s">
        <v>2706</v>
      </c>
      <c r="Y1541" s="162">
        <v>0</v>
      </c>
      <c r="Z1541" s="162" t="s">
        <v>2706</v>
      </c>
      <c r="AA1541" s="162">
        <v>0</v>
      </c>
      <c r="AB1541" s="162" t="s">
        <v>2706</v>
      </c>
      <c r="AC1541" s="162">
        <v>0</v>
      </c>
      <c r="AD1541" s="162" t="s">
        <v>2706</v>
      </c>
      <c r="AE1541" s="162">
        <v>0</v>
      </c>
      <c r="AF1541" s="162" t="s">
        <v>2706</v>
      </c>
      <c r="AG1541" s="162">
        <v>0</v>
      </c>
      <c r="AH1541" s="162" t="s">
        <v>2706</v>
      </c>
      <c r="AI1541" s="162">
        <v>0</v>
      </c>
      <c r="AJ1541" s="162" t="s">
        <v>2706</v>
      </c>
      <c r="AK1541" s="162">
        <v>0</v>
      </c>
      <c r="AL1541" s="162" t="s">
        <v>2706</v>
      </c>
      <c r="AM1541" s="162">
        <v>0</v>
      </c>
      <c r="AN1541" s="162"/>
    </row>
    <row r="1542" spans="1:40" s="100" customFormat="1" ht="46.8" x14ac:dyDescent="0.3">
      <c r="A1542" s="161"/>
      <c r="B1542" s="167"/>
      <c r="C1542" s="98" t="s">
        <v>2708</v>
      </c>
      <c r="D1542" s="163"/>
      <c r="E1542" s="26" t="s">
        <v>48</v>
      </c>
      <c r="F1542" s="30" t="s">
        <v>49</v>
      </c>
      <c r="G1542" s="163"/>
      <c r="H1542" s="163"/>
      <c r="I1542" s="163"/>
      <c r="J1542" s="165"/>
      <c r="K1542" s="165"/>
      <c r="L1542" s="165"/>
      <c r="M1542" s="165"/>
      <c r="N1542" s="165"/>
      <c r="O1542" s="163"/>
      <c r="P1542" s="163"/>
      <c r="Q1542" s="163"/>
      <c r="R1542" s="163"/>
      <c r="S1542" s="163"/>
      <c r="T1542" s="163"/>
      <c r="U1542" s="163"/>
      <c r="V1542" s="163"/>
      <c r="W1542" s="163"/>
      <c r="X1542" s="163"/>
      <c r="Y1542" s="163"/>
      <c r="Z1542" s="163"/>
      <c r="AA1542" s="163"/>
      <c r="AB1542" s="163"/>
      <c r="AC1542" s="163"/>
      <c r="AD1542" s="163"/>
      <c r="AE1542" s="163"/>
      <c r="AF1542" s="163"/>
      <c r="AG1542" s="163"/>
      <c r="AH1542" s="163"/>
      <c r="AI1542" s="163"/>
      <c r="AJ1542" s="163"/>
      <c r="AK1542" s="163"/>
      <c r="AL1542" s="163"/>
      <c r="AM1542" s="163"/>
      <c r="AN1542" s="163"/>
    </row>
    <row r="1543" spans="1:40" s="100" customFormat="1" ht="46.8" x14ac:dyDescent="0.3">
      <c r="A1543" s="160">
        <v>992</v>
      </c>
      <c r="B1543" s="166" t="s">
        <v>1894</v>
      </c>
      <c r="C1543" s="98" t="s">
        <v>2708</v>
      </c>
      <c r="D1543" s="162" t="s">
        <v>2712</v>
      </c>
      <c r="E1543" s="26" t="s">
        <v>144</v>
      </c>
      <c r="F1543" s="30" t="s">
        <v>49</v>
      </c>
      <c r="G1543" s="162" t="s">
        <v>2704</v>
      </c>
      <c r="H1543" s="162">
        <v>19</v>
      </c>
      <c r="I1543" s="162" t="str">
        <f t="shared" si="146"/>
        <v>с ЛН</v>
      </c>
      <c r="J1543" s="164">
        <v>3</v>
      </c>
      <c r="K1543" s="164" t="s">
        <v>528</v>
      </c>
      <c r="L1543" s="164" t="s">
        <v>528</v>
      </c>
      <c r="M1543" s="164" t="s">
        <v>2705</v>
      </c>
      <c r="N1543" s="164" t="s">
        <v>2705</v>
      </c>
      <c r="O1543" s="162">
        <v>916</v>
      </c>
      <c r="P1543" s="162" t="s">
        <v>2706</v>
      </c>
      <c r="Q1543" s="162">
        <v>1149</v>
      </c>
      <c r="R1543" s="162" t="s">
        <v>2706</v>
      </c>
      <c r="S1543" s="162">
        <v>871</v>
      </c>
      <c r="T1543" s="162" t="s">
        <v>2706</v>
      </c>
      <c r="U1543" s="162">
        <v>987</v>
      </c>
      <c r="V1543" s="162" t="s">
        <v>2706</v>
      </c>
      <c r="W1543" s="162">
        <v>981</v>
      </c>
      <c r="X1543" s="162" t="s">
        <v>2706</v>
      </c>
      <c r="Y1543" s="162">
        <v>844</v>
      </c>
      <c r="Z1543" s="162" t="s">
        <v>2706</v>
      </c>
      <c r="AA1543" s="162">
        <v>715</v>
      </c>
      <c r="AB1543" s="162" t="s">
        <v>2706</v>
      </c>
      <c r="AC1543" s="162">
        <v>770</v>
      </c>
      <c r="AD1543" s="162" t="s">
        <v>2706</v>
      </c>
      <c r="AE1543" s="162">
        <v>895</v>
      </c>
      <c r="AF1543" s="162" t="s">
        <v>2706</v>
      </c>
      <c r="AG1543" s="162">
        <v>1010</v>
      </c>
      <c r="AH1543" s="162" t="s">
        <v>2706</v>
      </c>
      <c r="AI1543" s="162">
        <v>570</v>
      </c>
      <c r="AJ1543" s="162" t="s">
        <v>2706</v>
      </c>
      <c r="AK1543" s="162">
        <v>1106</v>
      </c>
      <c r="AL1543" s="162" t="s">
        <v>2706</v>
      </c>
      <c r="AM1543" s="162">
        <v>10044</v>
      </c>
      <c r="AN1543" s="162"/>
    </row>
    <row r="1544" spans="1:40" s="100" customFormat="1" ht="46.8" x14ac:dyDescent="0.3">
      <c r="A1544" s="161"/>
      <c r="B1544" s="167"/>
      <c r="C1544" s="98" t="s">
        <v>2708</v>
      </c>
      <c r="D1544" s="163"/>
      <c r="E1544" s="26" t="s">
        <v>48</v>
      </c>
      <c r="F1544" s="30" t="s">
        <v>49</v>
      </c>
      <c r="G1544" s="163"/>
      <c r="H1544" s="163"/>
      <c r="I1544" s="163"/>
      <c r="J1544" s="165"/>
      <c r="K1544" s="165"/>
      <c r="L1544" s="165"/>
      <c r="M1544" s="165"/>
      <c r="N1544" s="165"/>
      <c r="O1544" s="163"/>
      <c r="P1544" s="163"/>
      <c r="Q1544" s="163"/>
      <c r="R1544" s="163"/>
      <c r="S1544" s="163"/>
      <c r="T1544" s="163"/>
      <c r="U1544" s="163"/>
      <c r="V1544" s="163"/>
      <c r="W1544" s="163"/>
      <c r="X1544" s="163"/>
      <c r="Y1544" s="163"/>
      <c r="Z1544" s="163"/>
      <c r="AA1544" s="163"/>
      <c r="AB1544" s="163"/>
      <c r="AC1544" s="163"/>
      <c r="AD1544" s="163"/>
      <c r="AE1544" s="163"/>
      <c r="AF1544" s="163"/>
      <c r="AG1544" s="163"/>
      <c r="AH1544" s="163"/>
      <c r="AI1544" s="163"/>
      <c r="AJ1544" s="163"/>
      <c r="AK1544" s="163"/>
      <c r="AL1544" s="163"/>
      <c r="AM1544" s="163"/>
      <c r="AN1544" s="163"/>
    </row>
    <row r="1545" spans="1:40" s="100" customFormat="1" ht="46.8" x14ac:dyDescent="0.3">
      <c r="A1545" s="160">
        <v>993</v>
      </c>
      <c r="B1545" s="166" t="s">
        <v>1895</v>
      </c>
      <c r="C1545" s="98" t="s">
        <v>2708</v>
      </c>
      <c r="D1545" s="162" t="s">
        <v>2712</v>
      </c>
      <c r="E1545" s="26" t="s">
        <v>144</v>
      </c>
      <c r="F1545" s="30" t="s">
        <v>49</v>
      </c>
      <c r="G1545" s="162" t="s">
        <v>2704</v>
      </c>
      <c r="H1545" s="162">
        <v>27</v>
      </c>
      <c r="I1545" s="162" t="str">
        <f t="shared" si="146"/>
        <v>с ЛН</v>
      </c>
      <c r="J1545" s="164">
        <v>5</v>
      </c>
      <c r="K1545" s="164" t="s">
        <v>528</v>
      </c>
      <c r="L1545" s="164" t="s">
        <v>528</v>
      </c>
      <c r="M1545" s="164" t="s">
        <v>2705</v>
      </c>
      <c r="N1545" s="164" t="s">
        <v>2705</v>
      </c>
      <c r="O1545" s="162">
        <v>524</v>
      </c>
      <c r="P1545" s="162" t="s">
        <v>2706</v>
      </c>
      <c r="Q1545" s="162">
        <v>653</v>
      </c>
      <c r="R1545" s="162" t="s">
        <v>2706</v>
      </c>
      <c r="S1545" s="162">
        <v>448</v>
      </c>
      <c r="T1545" s="162" t="s">
        <v>2706</v>
      </c>
      <c r="U1545" s="162">
        <v>482</v>
      </c>
      <c r="V1545" s="162" t="s">
        <v>2706</v>
      </c>
      <c r="W1545" s="162">
        <v>418</v>
      </c>
      <c r="X1545" s="162" t="s">
        <v>2706</v>
      </c>
      <c r="Y1545" s="162">
        <v>220</v>
      </c>
      <c r="Z1545" s="162" t="s">
        <v>2706</v>
      </c>
      <c r="AA1545" s="162">
        <v>253</v>
      </c>
      <c r="AB1545" s="162" t="s">
        <v>2706</v>
      </c>
      <c r="AC1545" s="162">
        <v>348</v>
      </c>
      <c r="AD1545" s="162" t="s">
        <v>2706</v>
      </c>
      <c r="AE1545" s="162">
        <v>431</v>
      </c>
      <c r="AF1545" s="162" t="s">
        <v>2706</v>
      </c>
      <c r="AG1545" s="162">
        <v>509</v>
      </c>
      <c r="AH1545" s="162" t="s">
        <v>2706</v>
      </c>
      <c r="AI1545" s="162">
        <v>347</v>
      </c>
      <c r="AJ1545" s="162" t="s">
        <v>2706</v>
      </c>
      <c r="AK1545" s="162">
        <v>613</v>
      </c>
      <c r="AL1545" s="162" t="s">
        <v>2706</v>
      </c>
      <c r="AM1545" s="162">
        <v>4898</v>
      </c>
      <c r="AN1545" s="162"/>
    </row>
    <row r="1546" spans="1:40" s="100" customFormat="1" ht="46.8" x14ac:dyDescent="0.3">
      <c r="A1546" s="161"/>
      <c r="B1546" s="167"/>
      <c r="C1546" s="98" t="s">
        <v>2708</v>
      </c>
      <c r="D1546" s="163"/>
      <c r="E1546" s="26" t="s">
        <v>48</v>
      </c>
      <c r="F1546" s="30" t="s">
        <v>49</v>
      </c>
      <c r="G1546" s="163"/>
      <c r="H1546" s="163"/>
      <c r="I1546" s="163"/>
      <c r="J1546" s="165"/>
      <c r="K1546" s="165"/>
      <c r="L1546" s="165"/>
      <c r="M1546" s="165"/>
      <c r="N1546" s="165"/>
      <c r="O1546" s="163"/>
      <c r="P1546" s="163"/>
      <c r="Q1546" s="163"/>
      <c r="R1546" s="163"/>
      <c r="S1546" s="163"/>
      <c r="T1546" s="163"/>
      <c r="U1546" s="163"/>
      <c r="V1546" s="163"/>
      <c r="W1546" s="163"/>
      <c r="X1546" s="163"/>
      <c r="Y1546" s="163"/>
      <c r="Z1546" s="163"/>
      <c r="AA1546" s="163"/>
      <c r="AB1546" s="163"/>
      <c r="AC1546" s="163"/>
      <c r="AD1546" s="163"/>
      <c r="AE1546" s="163"/>
      <c r="AF1546" s="163"/>
      <c r="AG1546" s="163"/>
      <c r="AH1546" s="163"/>
      <c r="AI1546" s="163"/>
      <c r="AJ1546" s="163"/>
      <c r="AK1546" s="163"/>
      <c r="AL1546" s="163"/>
      <c r="AM1546" s="163"/>
      <c r="AN1546" s="163"/>
    </row>
    <row r="1547" spans="1:40" s="100" customFormat="1" ht="46.8" x14ac:dyDescent="0.3">
      <c r="A1547" s="160">
        <v>994</v>
      </c>
      <c r="B1547" s="166" t="s">
        <v>1897</v>
      </c>
      <c r="C1547" s="98" t="s">
        <v>2708</v>
      </c>
      <c r="D1547" s="162" t="s">
        <v>2712</v>
      </c>
      <c r="E1547" s="26" t="s">
        <v>144</v>
      </c>
      <c r="F1547" s="30" t="s">
        <v>49</v>
      </c>
      <c r="G1547" s="162" t="s">
        <v>2704</v>
      </c>
      <c r="H1547" s="162">
        <v>28</v>
      </c>
      <c r="I1547" s="162" t="str">
        <f t="shared" si="146"/>
        <v>с ЛН</v>
      </c>
      <c r="J1547" s="164">
        <v>6</v>
      </c>
      <c r="K1547" s="164" t="s">
        <v>528</v>
      </c>
      <c r="L1547" s="164" t="s">
        <v>528</v>
      </c>
      <c r="M1547" s="164" t="s">
        <v>2705</v>
      </c>
      <c r="N1547" s="164" t="s">
        <v>2705</v>
      </c>
      <c r="O1547" s="162">
        <v>1017</v>
      </c>
      <c r="P1547" s="162" t="s">
        <v>2706</v>
      </c>
      <c r="Q1547" s="162">
        <v>841</v>
      </c>
      <c r="R1547" s="162" t="s">
        <v>2706</v>
      </c>
      <c r="S1547" s="162">
        <v>817</v>
      </c>
      <c r="T1547" s="162" t="s">
        <v>2706</v>
      </c>
      <c r="U1547" s="162">
        <v>867</v>
      </c>
      <c r="V1547" s="162" t="s">
        <v>2706</v>
      </c>
      <c r="W1547" s="162">
        <v>823</v>
      </c>
      <c r="X1547" s="162" t="s">
        <v>2706</v>
      </c>
      <c r="Y1547" s="162">
        <v>899</v>
      </c>
      <c r="Z1547" s="162" t="s">
        <v>2706</v>
      </c>
      <c r="AA1547" s="162">
        <v>719</v>
      </c>
      <c r="AB1547" s="162" t="s">
        <v>2706</v>
      </c>
      <c r="AC1547" s="162">
        <v>871</v>
      </c>
      <c r="AD1547" s="162" t="s">
        <v>2706</v>
      </c>
      <c r="AE1547" s="162">
        <v>685</v>
      </c>
      <c r="AF1547" s="162" t="s">
        <v>2706</v>
      </c>
      <c r="AG1547" s="162">
        <v>1042</v>
      </c>
      <c r="AH1547" s="162" t="s">
        <v>2706</v>
      </c>
      <c r="AI1547" s="162">
        <v>1479</v>
      </c>
      <c r="AJ1547" s="162" t="s">
        <v>2706</v>
      </c>
      <c r="AK1547" s="162">
        <v>993</v>
      </c>
      <c r="AL1547" s="162" t="s">
        <v>2706</v>
      </c>
      <c r="AM1547" s="162">
        <v>10182</v>
      </c>
      <c r="AN1547" s="162"/>
    </row>
    <row r="1548" spans="1:40" s="100" customFormat="1" ht="46.8" x14ac:dyDescent="0.3">
      <c r="A1548" s="161"/>
      <c r="B1548" s="167"/>
      <c r="C1548" s="98" t="s">
        <v>2708</v>
      </c>
      <c r="D1548" s="163"/>
      <c r="E1548" s="26" t="s">
        <v>48</v>
      </c>
      <c r="F1548" s="30" t="s">
        <v>49</v>
      </c>
      <c r="G1548" s="163"/>
      <c r="H1548" s="163"/>
      <c r="I1548" s="163"/>
      <c r="J1548" s="165"/>
      <c r="K1548" s="165"/>
      <c r="L1548" s="165"/>
      <c r="M1548" s="165"/>
      <c r="N1548" s="165"/>
      <c r="O1548" s="163"/>
      <c r="P1548" s="163"/>
      <c r="Q1548" s="163"/>
      <c r="R1548" s="163"/>
      <c r="S1548" s="163"/>
      <c r="T1548" s="163"/>
      <c r="U1548" s="163"/>
      <c r="V1548" s="163"/>
      <c r="W1548" s="163"/>
      <c r="X1548" s="163"/>
      <c r="Y1548" s="163"/>
      <c r="Z1548" s="163"/>
      <c r="AA1548" s="163"/>
      <c r="AB1548" s="163"/>
      <c r="AC1548" s="163"/>
      <c r="AD1548" s="163"/>
      <c r="AE1548" s="163"/>
      <c r="AF1548" s="163"/>
      <c r="AG1548" s="163"/>
      <c r="AH1548" s="163"/>
      <c r="AI1548" s="163"/>
      <c r="AJ1548" s="163"/>
      <c r="AK1548" s="163"/>
      <c r="AL1548" s="163"/>
      <c r="AM1548" s="163"/>
      <c r="AN1548" s="163"/>
    </row>
    <row r="1549" spans="1:40" s="100" customFormat="1" ht="46.8" x14ac:dyDescent="0.3">
      <c r="A1549" s="160">
        <v>995</v>
      </c>
      <c r="B1549" s="166" t="s">
        <v>1898</v>
      </c>
      <c r="C1549" s="98" t="s">
        <v>2708</v>
      </c>
      <c r="D1549" s="162" t="s">
        <v>2712</v>
      </c>
      <c r="E1549" s="26" t="s">
        <v>144</v>
      </c>
      <c r="F1549" s="30" t="s">
        <v>49</v>
      </c>
      <c r="G1549" s="162" t="s">
        <v>2704</v>
      </c>
      <c r="H1549" s="162">
        <v>18</v>
      </c>
      <c r="I1549" s="162" t="str">
        <f t="shared" si="146"/>
        <v>с ЛН</v>
      </c>
      <c r="J1549" s="164">
        <v>3</v>
      </c>
      <c r="K1549" s="164" t="s">
        <v>528</v>
      </c>
      <c r="L1549" s="164" t="s">
        <v>528</v>
      </c>
      <c r="M1549" s="164" t="s">
        <v>2705</v>
      </c>
      <c r="N1549" s="164" t="s">
        <v>2705</v>
      </c>
      <c r="O1549" s="162">
        <v>0</v>
      </c>
      <c r="P1549" s="162" t="s">
        <v>2706</v>
      </c>
      <c r="Q1549" s="162">
        <v>0</v>
      </c>
      <c r="R1549" s="162" t="s">
        <v>2706</v>
      </c>
      <c r="S1549" s="162">
        <v>0</v>
      </c>
      <c r="T1549" s="162" t="s">
        <v>2706</v>
      </c>
      <c r="U1549" s="162">
        <v>0</v>
      </c>
      <c r="V1549" s="162" t="s">
        <v>2706</v>
      </c>
      <c r="W1549" s="162">
        <v>0</v>
      </c>
      <c r="X1549" s="162" t="s">
        <v>2706</v>
      </c>
      <c r="Y1549" s="162">
        <v>902</v>
      </c>
      <c r="Z1549" s="162" t="s">
        <v>2706</v>
      </c>
      <c r="AA1549" s="162">
        <v>902</v>
      </c>
      <c r="AB1549" s="162" t="s">
        <v>2706</v>
      </c>
      <c r="AC1549" s="162">
        <v>902</v>
      </c>
      <c r="AD1549" s="162" t="s">
        <v>2706</v>
      </c>
      <c r="AE1549" s="162">
        <v>902</v>
      </c>
      <c r="AF1549" s="162" t="s">
        <v>2706</v>
      </c>
      <c r="AG1549" s="162">
        <v>902</v>
      </c>
      <c r="AH1549" s="162" t="s">
        <v>2706</v>
      </c>
      <c r="AI1549" s="162">
        <v>194</v>
      </c>
      <c r="AJ1549" s="162" t="s">
        <v>2706</v>
      </c>
      <c r="AK1549" s="162">
        <v>173</v>
      </c>
      <c r="AL1549" s="162" t="s">
        <v>2706</v>
      </c>
      <c r="AM1549" s="162">
        <v>3975</v>
      </c>
      <c r="AN1549" s="162"/>
    </row>
    <row r="1550" spans="1:40" s="100" customFormat="1" ht="46.8" x14ac:dyDescent="0.3">
      <c r="A1550" s="161"/>
      <c r="B1550" s="167"/>
      <c r="C1550" s="98" t="s">
        <v>2708</v>
      </c>
      <c r="D1550" s="163"/>
      <c r="E1550" s="26" t="s">
        <v>48</v>
      </c>
      <c r="F1550" s="30" t="s">
        <v>49</v>
      </c>
      <c r="G1550" s="163"/>
      <c r="H1550" s="163"/>
      <c r="I1550" s="163"/>
      <c r="J1550" s="165"/>
      <c r="K1550" s="165"/>
      <c r="L1550" s="165"/>
      <c r="M1550" s="165"/>
      <c r="N1550" s="165"/>
      <c r="O1550" s="163"/>
      <c r="P1550" s="163"/>
      <c r="Q1550" s="163"/>
      <c r="R1550" s="163"/>
      <c r="S1550" s="163"/>
      <c r="T1550" s="163"/>
      <c r="U1550" s="163"/>
      <c r="V1550" s="163"/>
      <c r="W1550" s="163"/>
      <c r="X1550" s="163"/>
      <c r="Y1550" s="163"/>
      <c r="Z1550" s="163"/>
      <c r="AA1550" s="163"/>
      <c r="AB1550" s="163"/>
      <c r="AC1550" s="163"/>
      <c r="AD1550" s="163"/>
      <c r="AE1550" s="163"/>
      <c r="AF1550" s="163"/>
      <c r="AG1550" s="163"/>
      <c r="AH1550" s="163"/>
      <c r="AI1550" s="163"/>
      <c r="AJ1550" s="163"/>
      <c r="AK1550" s="163"/>
      <c r="AL1550" s="163"/>
      <c r="AM1550" s="163"/>
      <c r="AN1550" s="163"/>
    </row>
    <row r="1551" spans="1:40" s="100" customFormat="1" ht="15.6" x14ac:dyDescent="0.3">
      <c r="A1551" s="97"/>
      <c r="B1551" s="98"/>
      <c r="C1551" s="98"/>
      <c r="D1551" s="98"/>
      <c r="E1551" s="98"/>
      <c r="F1551" s="98"/>
      <c r="G1551" s="99"/>
      <c r="H1551" s="99"/>
      <c r="I1551" s="99"/>
      <c r="J1551" s="99"/>
      <c r="K1551" s="98"/>
      <c r="L1551" s="98"/>
      <c r="M1551" s="98"/>
      <c r="N1551" s="98"/>
      <c r="O1551" s="98"/>
      <c r="P1551" s="98"/>
      <c r="Q1551" s="98"/>
      <c r="R1551" s="98"/>
      <c r="S1551" s="98"/>
      <c r="T1551" s="98"/>
      <c r="U1551" s="98"/>
      <c r="V1551" s="98"/>
      <c r="W1551" s="98"/>
      <c r="X1551" s="98"/>
      <c r="Y1551" s="98"/>
      <c r="Z1551" s="98"/>
      <c r="AA1551" s="98"/>
      <c r="AB1551" s="98"/>
      <c r="AC1551" s="98"/>
      <c r="AD1551" s="98"/>
      <c r="AE1551" s="98"/>
      <c r="AF1551" s="98"/>
      <c r="AG1551" s="98"/>
      <c r="AH1551" s="98"/>
      <c r="AI1551" s="98"/>
      <c r="AJ1551" s="98"/>
      <c r="AK1551" s="98"/>
      <c r="AL1551" s="98"/>
      <c r="AM1551" s="98"/>
    </row>
    <row r="1552" spans="1:40" s="100" customFormat="1" ht="15.6" x14ac:dyDescent="0.3">
      <c r="A1552" s="97"/>
      <c r="B1552" s="98"/>
      <c r="C1552" s="98"/>
      <c r="D1552" s="98"/>
      <c r="E1552" s="98"/>
      <c r="F1552" s="98"/>
      <c r="G1552" s="99"/>
      <c r="H1552" s="99"/>
      <c r="I1552" s="99"/>
      <c r="J1552" s="99"/>
      <c r="K1552" s="98"/>
      <c r="L1552" s="98"/>
      <c r="M1552" s="98"/>
      <c r="N1552" s="98"/>
      <c r="O1552" s="98"/>
      <c r="P1552" s="98"/>
      <c r="Q1552" s="98"/>
      <c r="R1552" s="98"/>
      <c r="S1552" s="98"/>
      <c r="T1552" s="98"/>
      <c r="U1552" s="98"/>
      <c r="V1552" s="98"/>
      <c r="W1552" s="98"/>
      <c r="X1552" s="98"/>
      <c r="Y1552" s="98"/>
      <c r="Z1552" s="98"/>
      <c r="AA1552" s="98"/>
      <c r="AB1552" s="98"/>
      <c r="AC1552" s="98"/>
      <c r="AD1552" s="98"/>
      <c r="AE1552" s="98"/>
      <c r="AF1552" s="98"/>
      <c r="AG1552" s="98"/>
      <c r="AH1552" s="98"/>
      <c r="AI1552" s="98"/>
      <c r="AJ1552" s="98"/>
      <c r="AK1552" s="98"/>
      <c r="AL1552" s="98"/>
      <c r="AM1552" s="98"/>
    </row>
    <row r="1553" spans="1:39" s="100" customFormat="1" ht="15.6" x14ac:dyDescent="0.3">
      <c r="A1553" s="97"/>
      <c r="B1553" s="98"/>
      <c r="C1553" s="98"/>
      <c r="D1553" s="98"/>
      <c r="E1553" s="98"/>
      <c r="F1553" s="98"/>
      <c r="G1553" s="99"/>
      <c r="H1553" s="99"/>
      <c r="I1553" s="99"/>
      <c r="J1553" s="99"/>
      <c r="K1553" s="98"/>
      <c r="L1553" s="98"/>
      <c r="M1553" s="98"/>
      <c r="N1553" s="98"/>
      <c r="O1553" s="98"/>
      <c r="P1553" s="98"/>
      <c r="Q1553" s="98"/>
      <c r="R1553" s="98"/>
      <c r="S1553" s="98"/>
      <c r="T1553" s="98"/>
      <c r="U1553" s="98"/>
      <c r="V1553" s="98"/>
      <c r="W1553" s="98"/>
      <c r="X1553" s="98"/>
      <c r="Y1553" s="98"/>
      <c r="Z1553" s="98"/>
      <c r="AA1553" s="98"/>
      <c r="AB1553" s="98"/>
      <c r="AC1553" s="98"/>
      <c r="AD1553" s="98"/>
      <c r="AE1553" s="98"/>
      <c r="AF1553" s="98"/>
      <c r="AG1553" s="98"/>
      <c r="AH1553" s="98"/>
      <c r="AI1553" s="98"/>
      <c r="AJ1553" s="98"/>
      <c r="AK1553" s="98"/>
      <c r="AL1553" s="98"/>
      <c r="AM1553" s="98"/>
    </row>
    <row r="1554" spans="1:39" s="100" customFormat="1" ht="15.6" x14ac:dyDescent="0.3">
      <c r="A1554" s="97"/>
      <c r="B1554" s="98"/>
      <c r="C1554" s="98"/>
      <c r="D1554" s="98"/>
      <c r="E1554" s="98"/>
      <c r="F1554" s="98"/>
      <c r="G1554" s="99"/>
      <c r="H1554" s="99"/>
      <c r="I1554" s="99"/>
      <c r="J1554" s="99"/>
      <c r="K1554" s="98"/>
      <c r="L1554" s="98"/>
      <c r="M1554" s="98"/>
      <c r="N1554" s="98"/>
      <c r="O1554" s="98"/>
      <c r="P1554" s="98"/>
      <c r="Q1554" s="98"/>
      <c r="R1554" s="98"/>
      <c r="S1554" s="98"/>
      <c r="T1554" s="98"/>
      <c r="U1554" s="98"/>
      <c r="V1554" s="98"/>
      <c r="W1554" s="98"/>
      <c r="X1554" s="98"/>
      <c r="Y1554" s="98"/>
      <c r="Z1554" s="98"/>
      <c r="AA1554" s="98"/>
      <c r="AB1554" s="98"/>
      <c r="AC1554" s="98"/>
      <c r="AD1554" s="98"/>
      <c r="AE1554" s="98"/>
      <c r="AF1554" s="98"/>
      <c r="AG1554" s="98"/>
      <c r="AH1554" s="98"/>
      <c r="AI1554" s="98"/>
      <c r="AJ1554" s="98"/>
      <c r="AK1554" s="98"/>
      <c r="AL1554" s="98"/>
      <c r="AM1554" s="98"/>
    </row>
    <row r="1555" spans="1:39" s="100" customFormat="1" ht="15.6" x14ac:dyDescent="0.3">
      <c r="A1555" s="97"/>
      <c r="B1555" s="98"/>
      <c r="C1555" s="98"/>
      <c r="D1555" s="98"/>
      <c r="E1555" s="98"/>
      <c r="F1555" s="98"/>
      <c r="G1555" s="99"/>
      <c r="H1555" s="99"/>
      <c r="I1555" s="99"/>
      <c r="J1555" s="99"/>
      <c r="K1555" s="98"/>
      <c r="L1555" s="98"/>
      <c r="M1555" s="98"/>
      <c r="N1555" s="98"/>
      <c r="O1555" s="98"/>
      <c r="P1555" s="98"/>
      <c r="Q1555" s="98"/>
      <c r="R1555" s="98"/>
      <c r="S1555" s="98"/>
      <c r="T1555" s="98"/>
      <c r="U1555" s="98"/>
      <c r="V1555" s="98"/>
      <c r="W1555" s="98"/>
      <c r="X1555" s="98"/>
      <c r="Y1555" s="98"/>
      <c r="Z1555" s="98"/>
      <c r="AA1555" s="98"/>
      <c r="AB1555" s="98"/>
      <c r="AC1555" s="98"/>
      <c r="AD1555" s="98"/>
      <c r="AE1555" s="98"/>
      <c r="AF1555" s="98"/>
      <c r="AG1555" s="98"/>
      <c r="AH1555" s="98"/>
      <c r="AI1555" s="98"/>
      <c r="AJ1555" s="98"/>
      <c r="AK1555" s="98"/>
      <c r="AL1555" s="98"/>
      <c r="AM1555" s="98"/>
    </row>
    <row r="1556" spans="1:39" s="100" customFormat="1" ht="15.6" x14ac:dyDescent="0.3">
      <c r="A1556" s="97"/>
      <c r="B1556" s="98"/>
      <c r="C1556" s="98"/>
      <c r="D1556" s="98"/>
      <c r="E1556" s="98"/>
      <c r="F1556" s="98"/>
      <c r="G1556" s="99"/>
      <c r="H1556" s="99"/>
      <c r="I1556" s="99"/>
      <c r="J1556" s="99"/>
      <c r="K1556" s="98"/>
      <c r="L1556" s="98"/>
      <c r="M1556" s="98"/>
      <c r="N1556" s="98"/>
      <c r="O1556" s="98"/>
      <c r="P1556" s="98"/>
      <c r="Q1556" s="98"/>
      <c r="R1556" s="98"/>
      <c r="S1556" s="98"/>
      <c r="T1556" s="98"/>
      <c r="U1556" s="98"/>
      <c r="V1556" s="98"/>
      <c r="W1556" s="98"/>
      <c r="X1556" s="98"/>
      <c r="Y1556" s="98"/>
      <c r="Z1556" s="98"/>
      <c r="AA1556" s="98"/>
      <c r="AB1556" s="98"/>
      <c r="AC1556" s="98"/>
      <c r="AD1556" s="98"/>
      <c r="AE1556" s="98"/>
      <c r="AF1556" s="98"/>
      <c r="AG1556" s="98"/>
      <c r="AH1556" s="98"/>
      <c r="AI1556" s="98"/>
      <c r="AJ1556" s="98"/>
      <c r="AK1556" s="98"/>
      <c r="AL1556" s="98"/>
      <c r="AM1556" s="98"/>
    </row>
    <row r="1557" spans="1:39" s="100" customFormat="1" ht="15.6" x14ac:dyDescent="0.3">
      <c r="A1557" s="97"/>
      <c r="B1557" s="98"/>
      <c r="C1557" s="98"/>
      <c r="D1557" s="98"/>
      <c r="E1557" s="98"/>
      <c r="F1557" s="98"/>
      <c r="G1557" s="99"/>
      <c r="H1557" s="99"/>
      <c r="I1557" s="99"/>
      <c r="J1557" s="99"/>
      <c r="K1557" s="98"/>
      <c r="L1557" s="98"/>
      <c r="M1557" s="98"/>
      <c r="N1557" s="98"/>
      <c r="O1557" s="98"/>
      <c r="P1557" s="98"/>
      <c r="Q1557" s="98"/>
      <c r="R1557" s="98"/>
      <c r="S1557" s="98"/>
      <c r="T1557" s="98"/>
      <c r="U1557" s="98"/>
      <c r="V1557" s="98"/>
      <c r="W1557" s="98"/>
      <c r="X1557" s="98"/>
      <c r="Y1557" s="98"/>
      <c r="Z1557" s="98"/>
      <c r="AA1557" s="98"/>
      <c r="AB1557" s="98"/>
      <c r="AC1557" s="98"/>
      <c r="AD1557" s="98"/>
      <c r="AE1557" s="98"/>
      <c r="AF1557" s="98"/>
      <c r="AG1557" s="98"/>
      <c r="AH1557" s="98"/>
      <c r="AI1557" s="98"/>
      <c r="AJ1557" s="98"/>
      <c r="AK1557" s="98"/>
      <c r="AL1557" s="98"/>
      <c r="AM1557" s="98"/>
    </row>
    <row r="1558" spans="1:39" s="100" customFormat="1" ht="15.6" x14ac:dyDescent="0.3">
      <c r="A1558" s="97"/>
      <c r="B1558" s="98"/>
      <c r="C1558" s="98"/>
      <c r="D1558" s="98"/>
      <c r="E1558" s="98"/>
      <c r="F1558" s="98"/>
      <c r="G1558" s="99"/>
      <c r="H1558" s="99"/>
      <c r="I1558" s="99"/>
      <c r="J1558" s="99"/>
      <c r="K1558" s="98"/>
      <c r="L1558" s="98"/>
      <c r="M1558" s="98"/>
      <c r="N1558" s="98"/>
      <c r="O1558" s="98"/>
      <c r="P1558" s="98"/>
      <c r="Q1558" s="98"/>
      <c r="R1558" s="98"/>
      <c r="S1558" s="98"/>
      <c r="T1558" s="98"/>
      <c r="U1558" s="98"/>
      <c r="V1558" s="98"/>
      <c r="W1558" s="98"/>
      <c r="X1558" s="98"/>
      <c r="Y1558" s="98"/>
      <c r="Z1558" s="98"/>
      <c r="AA1558" s="98"/>
      <c r="AB1558" s="98"/>
      <c r="AC1558" s="98"/>
      <c r="AD1558" s="98"/>
      <c r="AE1558" s="98"/>
      <c r="AF1558" s="98"/>
      <c r="AG1558" s="98"/>
      <c r="AH1558" s="98"/>
      <c r="AI1558" s="98"/>
      <c r="AJ1558" s="98"/>
      <c r="AK1558" s="98"/>
      <c r="AL1558" s="98"/>
      <c r="AM1558" s="98"/>
    </row>
    <row r="1559" spans="1:39" s="100" customFormat="1" ht="15.6" x14ac:dyDescent="0.3">
      <c r="A1559" s="97"/>
      <c r="B1559" s="98"/>
      <c r="C1559" s="98"/>
      <c r="D1559" s="98"/>
      <c r="E1559" s="98"/>
      <c r="F1559" s="98"/>
      <c r="G1559" s="99"/>
      <c r="H1559" s="99"/>
      <c r="I1559" s="99"/>
      <c r="J1559" s="99"/>
      <c r="K1559" s="98"/>
      <c r="L1559" s="98"/>
      <c r="M1559" s="98"/>
      <c r="N1559" s="98"/>
      <c r="O1559" s="98"/>
      <c r="P1559" s="98"/>
      <c r="Q1559" s="98"/>
      <c r="R1559" s="98"/>
      <c r="S1559" s="98"/>
      <c r="T1559" s="98"/>
      <c r="U1559" s="98"/>
      <c r="V1559" s="98"/>
      <c r="W1559" s="98"/>
      <c r="X1559" s="98"/>
      <c r="Y1559" s="98"/>
      <c r="Z1559" s="98"/>
      <c r="AA1559" s="98"/>
      <c r="AB1559" s="98"/>
      <c r="AC1559" s="98"/>
      <c r="AD1559" s="98"/>
      <c r="AE1559" s="98"/>
      <c r="AF1559" s="98"/>
      <c r="AG1559" s="98"/>
      <c r="AH1559" s="98"/>
      <c r="AI1559" s="98"/>
      <c r="AJ1559" s="98"/>
      <c r="AK1559" s="98"/>
      <c r="AL1559" s="98"/>
      <c r="AM1559" s="98"/>
    </row>
    <row r="1560" spans="1:39" s="100" customFormat="1" ht="15.6" x14ac:dyDescent="0.3">
      <c r="A1560" s="97"/>
      <c r="B1560" s="98"/>
      <c r="C1560" s="98"/>
      <c r="D1560" s="98"/>
      <c r="E1560" s="98"/>
      <c r="F1560" s="98"/>
      <c r="G1560" s="99"/>
      <c r="H1560" s="99"/>
      <c r="I1560" s="99"/>
      <c r="J1560" s="99"/>
      <c r="K1560" s="98"/>
      <c r="L1560" s="98"/>
      <c r="M1560" s="98"/>
      <c r="N1560" s="98"/>
      <c r="O1560" s="98"/>
      <c r="P1560" s="98"/>
      <c r="Q1560" s="98"/>
      <c r="R1560" s="98"/>
      <c r="S1560" s="98"/>
      <c r="T1560" s="98"/>
      <c r="U1560" s="98"/>
      <c r="V1560" s="98"/>
      <c r="W1560" s="98"/>
      <c r="X1560" s="98"/>
      <c r="Y1560" s="98"/>
      <c r="Z1560" s="98"/>
      <c r="AA1560" s="98"/>
      <c r="AB1560" s="98"/>
      <c r="AC1560" s="98"/>
      <c r="AD1560" s="98"/>
      <c r="AE1560" s="98"/>
      <c r="AF1560" s="98"/>
      <c r="AG1560" s="98"/>
      <c r="AH1560" s="98"/>
      <c r="AI1560" s="98"/>
      <c r="AJ1560" s="98"/>
      <c r="AK1560" s="98"/>
      <c r="AL1560" s="98"/>
      <c r="AM1560" s="98"/>
    </row>
    <row r="1561" spans="1:39" s="100" customFormat="1" ht="15.6" x14ac:dyDescent="0.3">
      <c r="A1561" s="97"/>
      <c r="B1561" s="98"/>
      <c r="C1561" s="98"/>
      <c r="D1561" s="98"/>
      <c r="E1561" s="98"/>
      <c r="F1561" s="98"/>
      <c r="G1561" s="99"/>
      <c r="H1561" s="99"/>
      <c r="I1561" s="99"/>
      <c r="J1561" s="99"/>
      <c r="K1561" s="98"/>
      <c r="L1561" s="98"/>
      <c r="M1561" s="98"/>
      <c r="N1561" s="98"/>
      <c r="O1561" s="98"/>
      <c r="P1561" s="98"/>
      <c r="Q1561" s="98"/>
      <c r="R1561" s="98"/>
      <c r="S1561" s="98"/>
      <c r="T1561" s="98"/>
      <c r="U1561" s="98"/>
      <c r="V1561" s="98"/>
      <c r="W1561" s="98"/>
      <c r="X1561" s="98"/>
      <c r="Y1561" s="98"/>
      <c r="Z1561" s="98"/>
      <c r="AA1561" s="98"/>
      <c r="AB1561" s="98"/>
      <c r="AC1561" s="98"/>
      <c r="AD1561" s="98"/>
      <c r="AE1561" s="98"/>
      <c r="AF1561" s="98"/>
      <c r="AG1561" s="98"/>
      <c r="AH1561" s="98"/>
      <c r="AI1561" s="98"/>
      <c r="AJ1561" s="98"/>
      <c r="AK1561" s="98"/>
      <c r="AL1561" s="98"/>
      <c r="AM1561" s="98"/>
    </row>
    <row r="1562" spans="1:39" s="100" customFormat="1" ht="15.6" x14ac:dyDescent="0.3">
      <c r="A1562" s="97"/>
      <c r="B1562" s="98"/>
      <c r="C1562" s="98"/>
      <c r="D1562" s="98"/>
      <c r="E1562" s="98"/>
      <c r="F1562" s="98"/>
      <c r="G1562" s="99"/>
      <c r="H1562" s="99"/>
      <c r="I1562" s="99"/>
      <c r="J1562" s="99"/>
      <c r="K1562" s="98"/>
      <c r="L1562" s="98"/>
      <c r="M1562" s="98"/>
      <c r="N1562" s="98"/>
      <c r="O1562" s="98"/>
      <c r="P1562" s="98"/>
      <c r="Q1562" s="98"/>
      <c r="R1562" s="98"/>
      <c r="S1562" s="98"/>
      <c r="T1562" s="98"/>
      <c r="U1562" s="98"/>
      <c r="V1562" s="98"/>
      <c r="W1562" s="98"/>
      <c r="X1562" s="98"/>
      <c r="Y1562" s="98"/>
      <c r="Z1562" s="98"/>
      <c r="AA1562" s="98"/>
      <c r="AB1562" s="98"/>
      <c r="AC1562" s="98"/>
      <c r="AD1562" s="98"/>
      <c r="AE1562" s="98"/>
      <c r="AF1562" s="98"/>
      <c r="AG1562" s="98"/>
      <c r="AH1562" s="98"/>
      <c r="AI1562" s="98"/>
      <c r="AJ1562" s="98"/>
      <c r="AK1562" s="98"/>
      <c r="AL1562" s="98"/>
      <c r="AM1562" s="98"/>
    </row>
    <row r="1563" spans="1:39" s="100" customFormat="1" ht="15.6" x14ac:dyDescent="0.3">
      <c r="A1563" s="97"/>
      <c r="B1563" s="98"/>
      <c r="C1563" s="98"/>
      <c r="D1563" s="98"/>
      <c r="E1563" s="98"/>
      <c r="F1563" s="98"/>
      <c r="G1563" s="99"/>
      <c r="H1563" s="99"/>
      <c r="I1563" s="99"/>
      <c r="J1563" s="99"/>
      <c r="K1563" s="98"/>
      <c r="L1563" s="98"/>
      <c r="M1563" s="98"/>
      <c r="N1563" s="98"/>
      <c r="O1563" s="98"/>
      <c r="P1563" s="98"/>
      <c r="Q1563" s="98"/>
      <c r="R1563" s="98"/>
      <c r="S1563" s="98"/>
      <c r="T1563" s="98"/>
      <c r="U1563" s="98"/>
      <c r="V1563" s="98"/>
      <c r="W1563" s="98"/>
      <c r="X1563" s="98"/>
      <c r="Y1563" s="98"/>
      <c r="Z1563" s="98"/>
      <c r="AA1563" s="98"/>
      <c r="AB1563" s="98"/>
      <c r="AC1563" s="98"/>
      <c r="AD1563" s="98"/>
      <c r="AE1563" s="98"/>
      <c r="AF1563" s="98"/>
      <c r="AG1563" s="98"/>
      <c r="AH1563" s="98"/>
      <c r="AI1563" s="98"/>
      <c r="AJ1563" s="98"/>
      <c r="AK1563" s="98"/>
      <c r="AL1563" s="98"/>
      <c r="AM1563" s="98"/>
    </row>
    <row r="1564" spans="1:39" s="100" customFormat="1" ht="15.6" x14ac:dyDescent="0.3">
      <c r="A1564" s="97"/>
      <c r="B1564" s="98"/>
      <c r="C1564" s="98"/>
      <c r="D1564" s="98"/>
      <c r="E1564" s="98"/>
      <c r="F1564" s="98"/>
      <c r="G1564" s="99"/>
      <c r="H1564" s="99"/>
      <c r="I1564" s="99"/>
      <c r="J1564" s="99"/>
      <c r="K1564" s="98"/>
      <c r="L1564" s="98"/>
      <c r="M1564" s="98"/>
      <c r="N1564" s="98"/>
      <c r="O1564" s="98"/>
      <c r="P1564" s="98"/>
      <c r="Q1564" s="98"/>
      <c r="R1564" s="98"/>
      <c r="S1564" s="98"/>
      <c r="T1564" s="98"/>
      <c r="U1564" s="98"/>
      <c r="V1564" s="98"/>
      <c r="W1564" s="98"/>
      <c r="X1564" s="98"/>
      <c r="Y1564" s="98"/>
      <c r="Z1564" s="98"/>
      <c r="AA1564" s="98"/>
      <c r="AB1564" s="98"/>
      <c r="AC1564" s="98"/>
      <c r="AD1564" s="98"/>
      <c r="AE1564" s="98"/>
      <c r="AF1564" s="98"/>
      <c r="AG1564" s="98"/>
      <c r="AH1564" s="98"/>
      <c r="AI1564" s="98"/>
      <c r="AJ1564" s="98"/>
      <c r="AK1564" s="98"/>
      <c r="AL1564" s="98"/>
      <c r="AM1564" s="98"/>
    </row>
    <row r="1565" spans="1:39" s="100" customFormat="1" ht="15.6" x14ac:dyDescent="0.3">
      <c r="A1565" s="97"/>
      <c r="B1565" s="98"/>
      <c r="C1565" s="98"/>
      <c r="D1565" s="98"/>
      <c r="E1565" s="98"/>
      <c r="F1565" s="98"/>
      <c r="G1565" s="99"/>
      <c r="H1565" s="99"/>
      <c r="I1565" s="99"/>
      <c r="J1565" s="99"/>
      <c r="K1565" s="98"/>
      <c r="L1565" s="98"/>
      <c r="M1565" s="98"/>
      <c r="N1565" s="98"/>
      <c r="O1565" s="98"/>
      <c r="P1565" s="98"/>
      <c r="Q1565" s="98"/>
      <c r="R1565" s="98"/>
      <c r="S1565" s="98"/>
      <c r="T1565" s="98"/>
      <c r="U1565" s="98"/>
      <c r="V1565" s="98"/>
      <c r="W1565" s="98"/>
      <c r="X1565" s="98"/>
      <c r="Y1565" s="98"/>
      <c r="Z1565" s="98"/>
      <c r="AA1565" s="98"/>
      <c r="AB1565" s="98"/>
      <c r="AC1565" s="98"/>
      <c r="AD1565" s="98"/>
      <c r="AE1565" s="98"/>
      <c r="AF1565" s="98"/>
      <c r="AG1565" s="98"/>
      <c r="AH1565" s="98"/>
      <c r="AI1565" s="98"/>
      <c r="AJ1565" s="98"/>
      <c r="AK1565" s="98"/>
      <c r="AL1565" s="98"/>
      <c r="AM1565" s="98"/>
    </row>
    <row r="1566" spans="1:39" s="100" customFormat="1" ht="15.6" x14ac:dyDescent="0.3">
      <c r="A1566" s="97"/>
      <c r="B1566" s="98"/>
      <c r="C1566" s="98"/>
      <c r="D1566" s="98"/>
      <c r="E1566" s="98"/>
      <c r="F1566" s="98"/>
      <c r="G1566" s="99"/>
      <c r="H1566" s="99"/>
      <c r="I1566" s="99"/>
      <c r="J1566" s="99"/>
      <c r="K1566" s="98"/>
      <c r="L1566" s="98"/>
      <c r="M1566" s="98"/>
      <c r="N1566" s="98"/>
      <c r="O1566" s="98"/>
      <c r="P1566" s="98"/>
      <c r="Q1566" s="98"/>
      <c r="R1566" s="98"/>
      <c r="S1566" s="98"/>
      <c r="T1566" s="98"/>
      <c r="U1566" s="98"/>
      <c r="V1566" s="98"/>
      <c r="W1566" s="98"/>
      <c r="X1566" s="98"/>
      <c r="Y1566" s="98"/>
      <c r="Z1566" s="98"/>
      <c r="AA1566" s="98"/>
      <c r="AB1566" s="98"/>
      <c r="AC1566" s="98"/>
      <c r="AD1566" s="98"/>
      <c r="AE1566" s="98"/>
      <c r="AF1566" s="98"/>
      <c r="AG1566" s="98"/>
      <c r="AH1566" s="98"/>
      <c r="AI1566" s="98"/>
      <c r="AJ1566" s="98"/>
      <c r="AK1566" s="98"/>
      <c r="AL1566" s="98"/>
      <c r="AM1566" s="98"/>
    </row>
    <row r="1567" spans="1:39" s="100" customFormat="1" ht="15.6" x14ac:dyDescent="0.3">
      <c r="A1567" s="97"/>
      <c r="B1567" s="98"/>
      <c r="C1567" s="98"/>
      <c r="D1567" s="98"/>
      <c r="E1567" s="98"/>
      <c r="F1567" s="98"/>
      <c r="G1567" s="99"/>
      <c r="H1567" s="99"/>
      <c r="I1567" s="99"/>
      <c r="J1567" s="99"/>
      <c r="K1567" s="98"/>
      <c r="L1567" s="98"/>
      <c r="M1567" s="98"/>
      <c r="N1567" s="98"/>
      <c r="O1567" s="98"/>
      <c r="P1567" s="98"/>
      <c r="Q1567" s="98"/>
      <c r="R1567" s="98"/>
      <c r="S1567" s="98"/>
      <c r="T1567" s="98"/>
      <c r="U1567" s="98"/>
      <c r="V1567" s="98"/>
      <c r="W1567" s="98"/>
      <c r="X1567" s="98"/>
      <c r="Y1567" s="98"/>
      <c r="Z1567" s="98"/>
      <c r="AA1567" s="98"/>
      <c r="AB1567" s="98"/>
      <c r="AC1567" s="98"/>
      <c r="AD1567" s="98"/>
      <c r="AE1567" s="98"/>
      <c r="AF1567" s="98"/>
      <c r="AG1567" s="98"/>
      <c r="AH1567" s="98"/>
      <c r="AI1567" s="98"/>
      <c r="AJ1567" s="98"/>
      <c r="AK1567" s="98"/>
      <c r="AL1567" s="98"/>
      <c r="AM1567" s="98"/>
    </row>
    <row r="1568" spans="1:39" s="100" customFormat="1" ht="15.6" x14ac:dyDescent="0.3">
      <c r="A1568" s="97"/>
      <c r="B1568" s="98"/>
      <c r="C1568" s="98"/>
      <c r="D1568" s="98"/>
      <c r="E1568" s="98"/>
      <c r="F1568" s="98"/>
      <c r="G1568" s="99"/>
      <c r="H1568" s="99"/>
      <c r="I1568" s="99"/>
      <c r="J1568" s="99"/>
      <c r="K1568" s="98"/>
      <c r="L1568" s="98"/>
      <c r="M1568" s="98"/>
      <c r="N1568" s="98"/>
      <c r="O1568" s="98"/>
      <c r="P1568" s="98"/>
      <c r="Q1568" s="98"/>
      <c r="R1568" s="98"/>
      <c r="S1568" s="98"/>
      <c r="T1568" s="98"/>
      <c r="U1568" s="98"/>
      <c r="V1568" s="98"/>
      <c r="W1568" s="98"/>
      <c r="X1568" s="98"/>
      <c r="Y1568" s="98"/>
      <c r="Z1568" s="98"/>
      <c r="AA1568" s="98"/>
      <c r="AB1568" s="98"/>
      <c r="AC1568" s="98"/>
      <c r="AD1568" s="98"/>
      <c r="AE1568" s="98"/>
      <c r="AF1568" s="98"/>
      <c r="AG1568" s="98"/>
      <c r="AH1568" s="98"/>
      <c r="AI1568" s="98"/>
      <c r="AJ1568" s="98"/>
      <c r="AK1568" s="98"/>
      <c r="AL1568" s="98"/>
      <c r="AM1568" s="98"/>
    </row>
    <row r="1569" spans="1:39" s="100" customFormat="1" ht="15.6" x14ac:dyDescent="0.3">
      <c r="A1569" s="97"/>
      <c r="B1569" s="98"/>
      <c r="C1569" s="98"/>
      <c r="D1569" s="98"/>
      <c r="E1569" s="98"/>
      <c r="F1569" s="98"/>
      <c r="G1569" s="99"/>
      <c r="H1569" s="99"/>
      <c r="I1569" s="99"/>
      <c r="J1569" s="99"/>
      <c r="K1569" s="98"/>
      <c r="L1569" s="98"/>
      <c r="M1569" s="98"/>
      <c r="N1569" s="98"/>
      <c r="O1569" s="98"/>
      <c r="P1569" s="98"/>
      <c r="Q1569" s="98"/>
      <c r="R1569" s="98"/>
      <c r="S1569" s="98"/>
      <c r="T1569" s="98"/>
      <c r="U1569" s="98"/>
      <c r="V1569" s="98"/>
      <c r="W1569" s="98"/>
      <c r="X1569" s="98"/>
      <c r="Y1569" s="98"/>
      <c r="Z1569" s="98"/>
      <c r="AA1569" s="98"/>
      <c r="AB1569" s="98"/>
      <c r="AC1569" s="98"/>
      <c r="AD1569" s="98"/>
      <c r="AE1569" s="98"/>
      <c r="AF1569" s="98"/>
      <c r="AG1569" s="98"/>
      <c r="AH1569" s="98"/>
      <c r="AI1569" s="98"/>
      <c r="AJ1569" s="98"/>
      <c r="AK1569" s="98"/>
      <c r="AL1569" s="98"/>
      <c r="AM1569" s="98"/>
    </row>
    <row r="1570" spans="1:39" s="100" customFormat="1" ht="15.6" x14ac:dyDescent="0.3">
      <c r="A1570" s="97"/>
      <c r="B1570" s="98"/>
      <c r="C1570" s="98"/>
      <c r="D1570" s="98"/>
      <c r="E1570" s="98"/>
      <c r="F1570" s="98"/>
      <c r="G1570" s="99"/>
      <c r="H1570" s="99"/>
      <c r="I1570" s="99"/>
      <c r="J1570" s="99"/>
      <c r="K1570" s="98"/>
      <c r="L1570" s="98"/>
      <c r="M1570" s="98"/>
      <c r="N1570" s="98"/>
      <c r="O1570" s="98"/>
      <c r="P1570" s="98"/>
      <c r="Q1570" s="98"/>
      <c r="R1570" s="98"/>
      <c r="S1570" s="98"/>
      <c r="T1570" s="98"/>
      <c r="U1570" s="98"/>
      <c r="V1570" s="98"/>
      <c r="W1570" s="98"/>
      <c r="X1570" s="98"/>
      <c r="Y1570" s="98"/>
      <c r="Z1570" s="98"/>
      <c r="AA1570" s="98"/>
      <c r="AB1570" s="98"/>
      <c r="AC1570" s="98"/>
      <c r="AD1570" s="98"/>
      <c r="AE1570" s="98"/>
      <c r="AF1570" s="98"/>
      <c r="AG1570" s="98"/>
      <c r="AH1570" s="98"/>
      <c r="AI1570" s="98"/>
      <c r="AJ1570" s="98"/>
      <c r="AK1570" s="98"/>
      <c r="AL1570" s="98"/>
      <c r="AM1570" s="98"/>
    </row>
    <row r="1571" spans="1:39" s="100" customFormat="1" ht="15.6" x14ac:dyDescent="0.3">
      <c r="A1571" s="97"/>
      <c r="B1571" s="98"/>
      <c r="C1571" s="98"/>
      <c r="D1571" s="98"/>
      <c r="E1571" s="98"/>
      <c r="F1571" s="98"/>
      <c r="G1571" s="99"/>
      <c r="H1571" s="99"/>
      <c r="I1571" s="99"/>
      <c r="J1571" s="99"/>
      <c r="K1571" s="98"/>
      <c r="L1571" s="98"/>
      <c r="M1571" s="98"/>
      <c r="N1571" s="98"/>
      <c r="O1571" s="98"/>
      <c r="P1571" s="98"/>
      <c r="Q1571" s="98"/>
      <c r="R1571" s="98"/>
      <c r="S1571" s="98"/>
      <c r="T1571" s="98"/>
      <c r="U1571" s="98"/>
      <c r="V1571" s="98"/>
      <c r="W1571" s="98"/>
      <c r="X1571" s="98"/>
      <c r="Y1571" s="98"/>
      <c r="Z1571" s="98"/>
      <c r="AA1571" s="98"/>
      <c r="AB1571" s="98"/>
      <c r="AC1571" s="98"/>
      <c r="AD1571" s="98"/>
      <c r="AE1571" s="98"/>
      <c r="AF1571" s="98"/>
      <c r="AG1571" s="98"/>
      <c r="AH1571" s="98"/>
      <c r="AI1571" s="98"/>
      <c r="AJ1571" s="98"/>
      <c r="AK1571" s="98"/>
      <c r="AL1571" s="98"/>
      <c r="AM1571" s="98"/>
    </row>
    <row r="1572" spans="1:39" s="100" customFormat="1" ht="15.6" x14ac:dyDescent="0.3">
      <c r="A1572" s="97"/>
      <c r="B1572" s="98"/>
      <c r="C1572" s="98"/>
      <c r="D1572" s="98"/>
      <c r="E1572" s="98"/>
      <c r="F1572" s="98"/>
      <c r="G1572" s="99"/>
      <c r="H1572" s="99"/>
      <c r="I1572" s="99"/>
      <c r="J1572" s="99"/>
      <c r="K1572" s="98"/>
      <c r="L1572" s="98"/>
      <c r="M1572" s="98"/>
      <c r="N1572" s="98"/>
      <c r="O1572" s="98"/>
      <c r="P1572" s="98"/>
      <c r="Q1572" s="98"/>
      <c r="R1572" s="98"/>
      <c r="S1572" s="98"/>
      <c r="T1572" s="98"/>
      <c r="U1572" s="98"/>
      <c r="V1572" s="98"/>
      <c r="W1572" s="98"/>
      <c r="X1572" s="98"/>
      <c r="Y1572" s="98"/>
      <c r="Z1572" s="98"/>
      <c r="AA1572" s="98"/>
      <c r="AB1572" s="98"/>
      <c r="AC1572" s="98"/>
      <c r="AD1572" s="98"/>
      <c r="AE1572" s="98"/>
      <c r="AF1572" s="98"/>
      <c r="AG1572" s="98"/>
      <c r="AH1572" s="98"/>
      <c r="AI1572" s="98"/>
      <c r="AJ1572" s="98"/>
      <c r="AK1572" s="98"/>
      <c r="AL1572" s="98"/>
      <c r="AM1572" s="98"/>
    </row>
    <row r="1573" spans="1:39" s="100" customFormat="1" ht="15.6" x14ac:dyDescent="0.3">
      <c r="A1573" s="97"/>
      <c r="B1573" s="98"/>
      <c r="C1573" s="98"/>
      <c r="D1573" s="98"/>
      <c r="E1573" s="98"/>
      <c r="F1573" s="98"/>
      <c r="G1573" s="99"/>
      <c r="H1573" s="99"/>
      <c r="I1573" s="99"/>
      <c r="J1573" s="99"/>
      <c r="K1573" s="98"/>
      <c r="L1573" s="98"/>
      <c r="M1573" s="98"/>
      <c r="N1573" s="98"/>
      <c r="O1573" s="98"/>
      <c r="P1573" s="98"/>
      <c r="Q1573" s="98"/>
      <c r="R1573" s="98"/>
      <c r="S1573" s="98"/>
      <c r="T1573" s="98"/>
      <c r="U1573" s="98"/>
      <c r="V1573" s="98"/>
      <c r="W1573" s="98"/>
      <c r="X1573" s="98"/>
      <c r="Y1573" s="98"/>
      <c r="Z1573" s="98"/>
      <c r="AA1573" s="98"/>
      <c r="AB1573" s="98"/>
      <c r="AC1573" s="98"/>
      <c r="AD1573" s="98"/>
      <c r="AE1573" s="98"/>
      <c r="AF1573" s="98"/>
      <c r="AG1573" s="98"/>
      <c r="AH1573" s="98"/>
      <c r="AI1573" s="98"/>
      <c r="AJ1573" s="98"/>
      <c r="AK1573" s="98"/>
      <c r="AL1573" s="98"/>
      <c r="AM1573" s="98"/>
    </row>
    <row r="1574" spans="1:39" s="100" customFormat="1" ht="15.6" x14ac:dyDescent="0.3">
      <c r="A1574" s="97"/>
      <c r="B1574" s="98"/>
      <c r="C1574" s="98"/>
      <c r="D1574" s="98"/>
      <c r="E1574" s="98"/>
      <c r="F1574" s="98"/>
      <c r="G1574" s="99"/>
      <c r="H1574" s="99"/>
      <c r="I1574" s="99"/>
      <c r="J1574" s="99"/>
      <c r="K1574" s="98"/>
      <c r="L1574" s="98"/>
      <c r="M1574" s="98"/>
      <c r="N1574" s="98"/>
      <c r="O1574" s="98"/>
      <c r="P1574" s="98"/>
      <c r="Q1574" s="98"/>
      <c r="R1574" s="98"/>
      <c r="S1574" s="98"/>
      <c r="T1574" s="98"/>
      <c r="U1574" s="98"/>
      <c r="V1574" s="98"/>
      <c r="W1574" s="98"/>
      <c r="X1574" s="98"/>
      <c r="Y1574" s="98"/>
      <c r="Z1574" s="98"/>
      <c r="AA1574" s="98"/>
      <c r="AB1574" s="98"/>
      <c r="AC1574" s="98"/>
      <c r="AD1574" s="98"/>
      <c r="AE1574" s="98"/>
      <c r="AF1574" s="98"/>
      <c r="AG1574" s="98"/>
      <c r="AH1574" s="98"/>
      <c r="AI1574" s="98"/>
      <c r="AJ1574" s="98"/>
      <c r="AK1574" s="98"/>
      <c r="AL1574" s="98"/>
      <c r="AM1574" s="98"/>
    </row>
    <row r="1575" spans="1:39" s="100" customFormat="1" ht="15.6" x14ac:dyDescent="0.3">
      <c r="A1575" s="97"/>
      <c r="B1575" s="98"/>
      <c r="C1575" s="98"/>
      <c r="D1575" s="98"/>
      <c r="E1575" s="98"/>
      <c r="F1575" s="98"/>
      <c r="G1575" s="99"/>
      <c r="H1575" s="99"/>
      <c r="I1575" s="99"/>
      <c r="J1575" s="99"/>
      <c r="K1575" s="98"/>
      <c r="L1575" s="98"/>
      <c r="M1575" s="98"/>
      <c r="N1575" s="98"/>
      <c r="O1575" s="98"/>
      <c r="P1575" s="98"/>
      <c r="Q1575" s="98"/>
      <c r="R1575" s="98"/>
      <c r="S1575" s="98"/>
      <c r="T1575" s="98"/>
      <c r="U1575" s="98"/>
      <c r="V1575" s="98"/>
      <c r="W1575" s="98"/>
      <c r="X1575" s="98"/>
      <c r="Y1575" s="98"/>
      <c r="Z1575" s="98"/>
      <c r="AA1575" s="98"/>
      <c r="AB1575" s="98"/>
      <c r="AC1575" s="98"/>
      <c r="AD1575" s="98"/>
      <c r="AE1575" s="98"/>
      <c r="AF1575" s="98"/>
      <c r="AG1575" s="98"/>
      <c r="AH1575" s="98"/>
      <c r="AI1575" s="98"/>
      <c r="AJ1575" s="98"/>
      <c r="AK1575" s="98"/>
      <c r="AL1575" s="98"/>
      <c r="AM1575" s="98"/>
    </row>
    <row r="1576" spans="1:39" s="100" customFormat="1" ht="15.6" x14ac:dyDescent="0.3">
      <c r="A1576" s="97"/>
      <c r="B1576" s="98"/>
      <c r="C1576" s="98"/>
      <c r="D1576" s="98"/>
      <c r="E1576" s="98"/>
      <c r="F1576" s="98"/>
      <c r="G1576" s="99"/>
      <c r="H1576" s="99"/>
      <c r="I1576" s="99"/>
      <c r="J1576" s="99"/>
      <c r="K1576" s="98"/>
      <c r="L1576" s="98"/>
      <c r="M1576" s="98"/>
      <c r="N1576" s="98"/>
      <c r="O1576" s="98"/>
      <c r="P1576" s="98"/>
      <c r="Q1576" s="98"/>
      <c r="R1576" s="98"/>
      <c r="S1576" s="98"/>
      <c r="T1576" s="98"/>
      <c r="U1576" s="98"/>
      <c r="V1576" s="98"/>
      <c r="W1576" s="98"/>
      <c r="X1576" s="98"/>
      <c r="Y1576" s="98"/>
      <c r="Z1576" s="98"/>
      <c r="AA1576" s="98"/>
      <c r="AB1576" s="98"/>
      <c r="AC1576" s="98"/>
      <c r="AD1576" s="98"/>
      <c r="AE1576" s="98"/>
      <c r="AF1576" s="98"/>
      <c r="AG1576" s="98"/>
      <c r="AH1576" s="98"/>
      <c r="AI1576" s="98"/>
      <c r="AJ1576" s="98"/>
      <c r="AK1576" s="98"/>
      <c r="AL1576" s="98"/>
      <c r="AM1576" s="98"/>
    </row>
    <row r="1577" spans="1:39" s="100" customFormat="1" ht="15.6" x14ac:dyDescent="0.3">
      <c r="A1577" s="97"/>
      <c r="B1577" s="98"/>
      <c r="C1577" s="98"/>
      <c r="D1577" s="98"/>
      <c r="E1577" s="98"/>
      <c r="F1577" s="98"/>
      <c r="G1577" s="99"/>
      <c r="H1577" s="99"/>
      <c r="I1577" s="99"/>
      <c r="J1577" s="99"/>
      <c r="K1577" s="98"/>
      <c r="L1577" s="98"/>
      <c r="M1577" s="98"/>
      <c r="N1577" s="98"/>
      <c r="O1577" s="98"/>
      <c r="P1577" s="98"/>
      <c r="Q1577" s="98"/>
      <c r="R1577" s="98"/>
      <c r="S1577" s="98"/>
      <c r="T1577" s="98"/>
      <c r="U1577" s="98"/>
      <c r="V1577" s="98"/>
      <c r="W1577" s="98"/>
      <c r="X1577" s="98"/>
      <c r="Y1577" s="98"/>
      <c r="Z1577" s="98"/>
      <c r="AA1577" s="98"/>
      <c r="AB1577" s="98"/>
      <c r="AC1577" s="98"/>
      <c r="AD1577" s="98"/>
      <c r="AE1577" s="98"/>
      <c r="AF1577" s="98"/>
      <c r="AG1577" s="98"/>
      <c r="AH1577" s="98"/>
      <c r="AI1577" s="98"/>
      <c r="AJ1577" s="98"/>
      <c r="AK1577" s="98"/>
      <c r="AL1577" s="98"/>
      <c r="AM1577" s="98"/>
    </row>
    <row r="1578" spans="1:39" s="100" customFormat="1" ht="15.6" x14ac:dyDescent="0.3">
      <c r="A1578" s="97"/>
      <c r="B1578" s="98"/>
      <c r="C1578" s="98"/>
      <c r="D1578" s="98"/>
      <c r="E1578" s="98"/>
      <c r="F1578" s="98"/>
      <c r="G1578" s="99"/>
      <c r="H1578" s="99"/>
      <c r="I1578" s="99"/>
      <c r="J1578" s="99"/>
      <c r="K1578" s="98"/>
      <c r="L1578" s="98"/>
      <c r="M1578" s="98"/>
      <c r="N1578" s="98"/>
      <c r="O1578" s="98"/>
      <c r="P1578" s="98"/>
      <c r="Q1578" s="98"/>
      <c r="R1578" s="98"/>
      <c r="S1578" s="98"/>
      <c r="T1578" s="98"/>
      <c r="U1578" s="98"/>
      <c r="V1578" s="98"/>
      <c r="W1578" s="98"/>
      <c r="X1578" s="98"/>
      <c r="Y1578" s="98"/>
      <c r="Z1578" s="98"/>
      <c r="AA1578" s="98"/>
      <c r="AB1578" s="98"/>
      <c r="AC1578" s="98"/>
      <c r="AD1578" s="98"/>
      <c r="AE1578" s="98"/>
      <c r="AF1578" s="98"/>
      <c r="AG1578" s="98"/>
      <c r="AH1578" s="98"/>
      <c r="AI1578" s="98"/>
      <c r="AJ1578" s="98"/>
      <c r="AK1578" s="98"/>
      <c r="AL1578" s="98"/>
      <c r="AM1578" s="98"/>
    </row>
    <row r="1579" spans="1:39" s="100" customFormat="1" ht="15.6" x14ac:dyDescent="0.3">
      <c r="A1579" s="97"/>
      <c r="B1579" s="98"/>
      <c r="C1579" s="98"/>
      <c r="D1579" s="98"/>
      <c r="E1579" s="98"/>
      <c r="F1579" s="98"/>
      <c r="G1579" s="99"/>
      <c r="H1579" s="99"/>
      <c r="I1579" s="99"/>
      <c r="J1579" s="99"/>
      <c r="K1579" s="98"/>
      <c r="L1579" s="98"/>
      <c r="M1579" s="98"/>
      <c r="N1579" s="98"/>
      <c r="O1579" s="98"/>
      <c r="P1579" s="98"/>
      <c r="Q1579" s="98"/>
      <c r="R1579" s="98"/>
      <c r="S1579" s="98"/>
      <c r="T1579" s="98"/>
      <c r="U1579" s="98"/>
      <c r="V1579" s="98"/>
      <c r="W1579" s="98"/>
      <c r="X1579" s="98"/>
      <c r="Y1579" s="98"/>
      <c r="Z1579" s="98"/>
      <c r="AA1579" s="98"/>
      <c r="AB1579" s="98"/>
      <c r="AC1579" s="98"/>
      <c r="AD1579" s="98"/>
      <c r="AE1579" s="98"/>
      <c r="AF1579" s="98"/>
      <c r="AG1579" s="98"/>
      <c r="AH1579" s="98"/>
      <c r="AI1579" s="98"/>
      <c r="AJ1579" s="98"/>
      <c r="AK1579" s="98"/>
      <c r="AL1579" s="98"/>
      <c r="AM1579" s="98"/>
    </row>
    <row r="1580" spans="1:39" s="100" customFormat="1" ht="15.6" x14ac:dyDescent="0.3">
      <c r="A1580" s="97"/>
      <c r="B1580" s="98"/>
      <c r="C1580" s="98"/>
      <c r="D1580" s="98"/>
      <c r="E1580" s="98"/>
      <c r="F1580" s="98"/>
      <c r="G1580" s="99"/>
      <c r="H1580" s="99"/>
      <c r="I1580" s="99"/>
      <c r="J1580" s="99"/>
      <c r="K1580" s="98"/>
      <c r="L1580" s="98"/>
      <c r="M1580" s="98"/>
      <c r="N1580" s="98"/>
      <c r="O1580" s="98"/>
      <c r="P1580" s="98"/>
      <c r="Q1580" s="98"/>
      <c r="R1580" s="98"/>
      <c r="S1580" s="98"/>
      <c r="T1580" s="98"/>
      <c r="U1580" s="98"/>
      <c r="V1580" s="98"/>
      <c r="W1580" s="98"/>
      <c r="X1580" s="98"/>
      <c r="Y1580" s="98"/>
      <c r="Z1580" s="98"/>
      <c r="AA1580" s="98"/>
      <c r="AB1580" s="98"/>
      <c r="AC1580" s="98"/>
      <c r="AD1580" s="98"/>
      <c r="AE1580" s="98"/>
      <c r="AF1580" s="98"/>
      <c r="AG1580" s="98"/>
      <c r="AH1580" s="98"/>
      <c r="AI1580" s="98"/>
      <c r="AJ1580" s="98"/>
      <c r="AK1580" s="98"/>
      <c r="AL1580" s="98"/>
      <c r="AM1580" s="98"/>
    </row>
    <row r="1581" spans="1:39" s="100" customFormat="1" ht="15.6" x14ac:dyDescent="0.3">
      <c r="A1581" s="97"/>
      <c r="B1581" s="98"/>
      <c r="C1581" s="98"/>
      <c r="D1581" s="98"/>
      <c r="E1581" s="98"/>
      <c r="F1581" s="98"/>
      <c r="G1581" s="99"/>
      <c r="H1581" s="99"/>
      <c r="I1581" s="99"/>
      <c r="J1581" s="99"/>
      <c r="K1581" s="98"/>
      <c r="L1581" s="98"/>
      <c r="M1581" s="98"/>
      <c r="N1581" s="98"/>
      <c r="O1581" s="98"/>
      <c r="P1581" s="98"/>
      <c r="Q1581" s="98"/>
      <c r="R1581" s="98"/>
      <c r="S1581" s="98"/>
      <c r="T1581" s="98"/>
      <c r="U1581" s="98"/>
      <c r="V1581" s="98"/>
      <c r="W1581" s="98"/>
      <c r="X1581" s="98"/>
      <c r="Y1581" s="98"/>
      <c r="Z1581" s="98"/>
      <c r="AA1581" s="98"/>
      <c r="AB1581" s="98"/>
      <c r="AC1581" s="98"/>
      <c r="AD1581" s="98"/>
      <c r="AE1581" s="98"/>
      <c r="AF1581" s="98"/>
      <c r="AG1581" s="98"/>
      <c r="AH1581" s="98"/>
      <c r="AI1581" s="98"/>
      <c r="AJ1581" s="98"/>
      <c r="AK1581" s="98"/>
      <c r="AL1581" s="98"/>
      <c r="AM1581" s="98"/>
    </row>
    <row r="1582" spans="1:39" s="100" customFormat="1" ht="15.6" x14ac:dyDescent="0.3">
      <c r="A1582" s="97"/>
      <c r="B1582" s="98"/>
      <c r="C1582" s="98"/>
      <c r="D1582" s="98"/>
      <c r="E1582" s="98"/>
      <c r="F1582" s="98"/>
      <c r="G1582" s="99"/>
      <c r="H1582" s="99"/>
      <c r="I1582" s="99"/>
      <c r="J1582" s="99"/>
      <c r="K1582" s="98"/>
      <c r="L1582" s="98"/>
      <c r="M1582" s="98"/>
      <c r="N1582" s="98"/>
      <c r="O1582" s="98"/>
      <c r="P1582" s="98"/>
      <c r="Q1582" s="98"/>
      <c r="R1582" s="98"/>
      <c r="S1582" s="98"/>
      <c r="T1582" s="98"/>
      <c r="U1582" s="98"/>
      <c r="V1582" s="98"/>
      <c r="W1582" s="98"/>
      <c r="X1582" s="98"/>
      <c r="Y1582" s="98"/>
      <c r="Z1582" s="98"/>
      <c r="AA1582" s="98"/>
      <c r="AB1582" s="98"/>
      <c r="AC1582" s="98"/>
      <c r="AD1582" s="98"/>
      <c r="AE1582" s="98"/>
      <c r="AF1582" s="98"/>
      <c r="AG1582" s="98"/>
      <c r="AH1582" s="98"/>
      <c r="AI1582" s="98"/>
      <c r="AJ1582" s="98"/>
      <c r="AK1582" s="98"/>
      <c r="AL1582" s="98"/>
      <c r="AM1582" s="98"/>
    </row>
    <row r="1583" spans="1:39" s="100" customFormat="1" ht="15.6" x14ac:dyDescent="0.3">
      <c r="A1583" s="97"/>
      <c r="B1583" s="98"/>
      <c r="C1583" s="98"/>
      <c r="D1583" s="98"/>
      <c r="E1583" s="98"/>
      <c r="F1583" s="98"/>
      <c r="G1583" s="99"/>
      <c r="H1583" s="99"/>
      <c r="I1583" s="99"/>
      <c r="J1583" s="99"/>
      <c r="K1583" s="98"/>
      <c r="L1583" s="98"/>
      <c r="M1583" s="98"/>
      <c r="N1583" s="98"/>
      <c r="O1583" s="98"/>
      <c r="P1583" s="98"/>
      <c r="Q1583" s="98"/>
      <c r="R1583" s="98"/>
      <c r="S1583" s="98"/>
      <c r="T1583" s="98"/>
      <c r="U1583" s="98"/>
      <c r="V1583" s="98"/>
      <c r="W1583" s="98"/>
      <c r="X1583" s="98"/>
      <c r="Y1583" s="98"/>
      <c r="Z1583" s="98"/>
      <c r="AA1583" s="98"/>
      <c r="AB1583" s="98"/>
      <c r="AC1583" s="98"/>
      <c r="AD1583" s="98"/>
      <c r="AE1583" s="98"/>
      <c r="AF1583" s="98"/>
      <c r="AG1583" s="98"/>
      <c r="AH1583" s="98"/>
      <c r="AI1583" s="98"/>
      <c r="AJ1583" s="98"/>
      <c r="AK1583" s="98"/>
      <c r="AL1583" s="98"/>
      <c r="AM1583" s="98"/>
    </row>
    <row r="1584" spans="1:39" s="100" customFormat="1" ht="15.6" x14ac:dyDescent="0.3">
      <c r="A1584" s="97"/>
      <c r="B1584" s="98"/>
      <c r="C1584" s="98"/>
      <c r="D1584" s="98"/>
      <c r="E1584" s="98"/>
      <c r="F1584" s="98"/>
      <c r="G1584" s="99"/>
      <c r="H1584" s="99"/>
      <c r="I1584" s="99"/>
      <c r="J1584" s="99"/>
      <c r="K1584" s="98"/>
      <c r="L1584" s="98"/>
      <c r="M1584" s="98"/>
      <c r="N1584" s="98"/>
      <c r="O1584" s="98"/>
      <c r="P1584" s="98"/>
      <c r="Q1584" s="98"/>
      <c r="R1584" s="98"/>
      <c r="S1584" s="98"/>
      <c r="T1584" s="98"/>
      <c r="U1584" s="98"/>
      <c r="V1584" s="98"/>
      <c r="W1584" s="98"/>
      <c r="X1584" s="98"/>
      <c r="Y1584" s="98"/>
      <c r="Z1584" s="98"/>
      <c r="AA1584" s="98"/>
      <c r="AB1584" s="98"/>
      <c r="AC1584" s="98"/>
      <c r="AD1584" s="98"/>
      <c r="AE1584" s="98"/>
      <c r="AF1584" s="98"/>
      <c r="AG1584" s="98"/>
      <c r="AH1584" s="98"/>
      <c r="AI1584" s="98"/>
      <c r="AJ1584" s="98"/>
      <c r="AK1584" s="98"/>
      <c r="AL1584" s="98"/>
      <c r="AM1584" s="98"/>
    </row>
    <row r="1585" spans="1:39" s="100" customFormat="1" ht="15.6" x14ac:dyDescent="0.3">
      <c r="A1585" s="97"/>
      <c r="B1585" s="98"/>
      <c r="C1585" s="98"/>
      <c r="D1585" s="98"/>
      <c r="E1585" s="98"/>
      <c r="F1585" s="98"/>
      <c r="G1585" s="99"/>
      <c r="H1585" s="99"/>
      <c r="I1585" s="99"/>
      <c r="J1585" s="99"/>
      <c r="K1585" s="98"/>
      <c r="L1585" s="98"/>
      <c r="M1585" s="98"/>
      <c r="N1585" s="98"/>
      <c r="O1585" s="98"/>
      <c r="P1585" s="98"/>
      <c r="Q1585" s="98"/>
      <c r="R1585" s="98"/>
      <c r="S1585" s="98"/>
      <c r="T1585" s="98"/>
      <c r="U1585" s="98"/>
      <c r="V1585" s="98"/>
      <c r="W1585" s="98"/>
      <c r="X1585" s="98"/>
      <c r="Y1585" s="98"/>
      <c r="Z1585" s="98"/>
      <c r="AA1585" s="98"/>
      <c r="AB1585" s="98"/>
      <c r="AC1585" s="98"/>
      <c r="AD1585" s="98"/>
      <c r="AE1585" s="98"/>
      <c r="AF1585" s="98"/>
      <c r="AG1585" s="98"/>
      <c r="AH1585" s="98"/>
      <c r="AI1585" s="98"/>
      <c r="AJ1585" s="98"/>
      <c r="AK1585" s="98"/>
      <c r="AL1585" s="98"/>
      <c r="AM1585" s="98"/>
    </row>
    <row r="1586" spans="1:39" s="100" customFormat="1" ht="15.6" x14ac:dyDescent="0.3">
      <c r="A1586" s="97"/>
      <c r="B1586" s="98"/>
      <c r="C1586" s="98"/>
      <c r="D1586" s="98"/>
      <c r="E1586" s="98"/>
      <c r="F1586" s="98"/>
      <c r="G1586" s="99"/>
      <c r="H1586" s="99"/>
      <c r="I1586" s="99"/>
      <c r="J1586" s="99"/>
      <c r="K1586" s="98"/>
      <c r="L1586" s="98"/>
      <c r="M1586" s="98"/>
      <c r="N1586" s="98"/>
      <c r="O1586" s="98"/>
      <c r="P1586" s="98"/>
      <c r="Q1586" s="98"/>
      <c r="R1586" s="98"/>
      <c r="S1586" s="98"/>
      <c r="T1586" s="98"/>
      <c r="U1586" s="98"/>
      <c r="V1586" s="98"/>
      <c r="W1586" s="98"/>
      <c r="X1586" s="98"/>
      <c r="Y1586" s="98"/>
      <c r="Z1586" s="98"/>
      <c r="AA1586" s="98"/>
      <c r="AB1586" s="98"/>
      <c r="AC1586" s="98"/>
      <c r="AD1586" s="98"/>
      <c r="AE1586" s="98"/>
      <c r="AF1586" s="98"/>
      <c r="AG1586" s="98"/>
      <c r="AH1586" s="98"/>
      <c r="AI1586" s="98"/>
      <c r="AJ1586" s="98"/>
      <c r="AK1586" s="98"/>
      <c r="AL1586" s="98"/>
      <c r="AM1586" s="98"/>
    </row>
    <row r="1587" spans="1:39" s="100" customFormat="1" ht="15.6" x14ac:dyDescent="0.3">
      <c r="A1587" s="97"/>
      <c r="B1587" s="98"/>
      <c r="C1587" s="98"/>
      <c r="D1587" s="98"/>
      <c r="E1587" s="98"/>
      <c r="F1587" s="98"/>
      <c r="G1587" s="99"/>
      <c r="H1587" s="99"/>
      <c r="I1587" s="99"/>
      <c r="J1587" s="99"/>
      <c r="K1587" s="98"/>
      <c r="L1587" s="98"/>
      <c r="M1587" s="98"/>
      <c r="N1587" s="98"/>
      <c r="O1587" s="98"/>
      <c r="P1587" s="98"/>
      <c r="Q1587" s="98"/>
      <c r="R1587" s="98"/>
      <c r="S1587" s="98"/>
      <c r="T1587" s="98"/>
      <c r="U1587" s="98"/>
      <c r="V1587" s="98"/>
      <c r="W1587" s="98"/>
      <c r="X1587" s="98"/>
      <c r="Y1587" s="98"/>
      <c r="Z1587" s="98"/>
      <c r="AA1587" s="98"/>
      <c r="AB1587" s="98"/>
      <c r="AC1587" s="98"/>
      <c r="AD1587" s="98"/>
      <c r="AE1587" s="98"/>
      <c r="AF1587" s="98"/>
      <c r="AG1587" s="98"/>
      <c r="AH1587" s="98"/>
      <c r="AI1587" s="98"/>
      <c r="AJ1587" s="98"/>
      <c r="AK1587" s="98"/>
      <c r="AL1587" s="98"/>
      <c r="AM1587" s="98"/>
    </row>
    <row r="1588" spans="1:39" s="100" customFormat="1" ht="15.6" x14ac:dyDescent="0.3">
      <c r="A1588" s="97"/>
      <c r="B1588" s="98"/>
      <c r="C1588" s="98"/>
      <c r="D1588" s="98"/>
      <c r="E1588" s="98"/>
      <c r="F1588" s="98"/>
      <c r="G1588" s="99"/>
      <c r="H1588" s="99"/>
      <c r="I1588" s="99"/>
      <c r="J1588" s="99"/>
      <c r="K1588" s="98"/>
      <c r="L1588" s="98"/>
      <c r="M1588" s="98"/>
      <c r="N1588" s="98"/>
      <c r="O1588" s="98"/>
      <c r="P1588" s="98"/>
      <c r="Q1588" s="98"/>
      <c r="R1588" s="98"/>
      <c r="S1588" s="98"/>
      <c r="T1588" s="98"/>
      <c r="U1588" s="98"/>
      <c r="V1588" s="98"/>
      <c r="W1588" s="98"/>
      <c r="X1588" s="98"/>
      <c r="Y1588" s="98"/>
      <c r="Z1588" s="98"/>
      <c r="AA1588" s="98"/>
      <c r="AB1588" s="98"/>
      <c r="AC1588" s="98"/>
      <c r="AD1588" s="98"/>
      <c r="AE1588" s="98"/>
      <c r="AF1588" s="98"/>
      <c r="AG1588" s="98"/>
      <c r="AH1588" s="98"/>
      <c r="AI1588" s="98"/>
      <c r="AJ1588" s="98"/>
      <c r="AK1588" s="98"/>
      <c r="AL1588" s="98"/>
      <c r="AM1588" s="98"/>
    </row>
    <row r="1589" spans="1:39" s="100" customFormat="1" ht="15.6" x14ac:dyDescent="0.3">
      <c r="A1589" s="97"/>
      <c r="B1589" s="98"/>
      <c r="C1589" s="98"/>
      <c r="D1589" s="98"/>
      <c r="E1589" s="98"/>
      <c r="F1589" s="98"/>
      <c r="G1589" s="99"/>
      <c r="H1589" s="99"/>
      <c r="I1589" s="99"/>
      <c r="J1589" s="99"/>
      <c r="K1589" s="98"/>
      <c r="L1589" s="98"/>
      <c r="M1589" s="98"/>
      <c r="N1589" s="98"/>
      <c r="O1589" s="98"/>
      <c r="P1589" s="98"/>
      <c r="Q1589" s="98"/>
      <c r="R1589" s="98"/>
      <c r="S1589" s="98"/>
      <c r="T1589" s="98"/>
      <c r="U1589" s="98"/>
      <c r="V1589" s="98"/>
      <c r="W1589" s="98"/>
      <c r="X1589" s="98"/>
      <c r="Y1589" s="98"/>
      <c r="Z1589" s="98"/>
      <c r="AA1589" s="98"/>
      <c r="AB1589" s="98"/>
      <c r="AC1589" s="98"/>
      <c r="AD1589" s="98"/>
      <c r="AE1589" s="98"/>
      <c r="AF1589" s="98"/>
      <c r="AG1589" s="98"/>
      <c r="AH1589" s="98"/>
      <c r="AI1589" s="98"/>
      <c r="AJ1589" s="98"/>
      <c r="AK1589" s="98"/>
      <c r="AL1589" s="98"/>
      <c r="AM1589" s="98"/>
    </row>
    <row r="1590" spans="1:39" s="100" customFormat="1" ht="15.6" x14ac:dyDescent="0.3">
      <c r="A1590" s="97"/>
      <c r="B1590" s="98"/>
      <c r="C1590" s="98"/>
      <c r="D1590" s="98"/>
      <c r="E1590" s="98"/>
      <c r="F1590" s="98"/>
      <c r="G1590" s="99"/>
      <c r="H1590" s="99"/>
      <c r="I1590" s="99"/>
      <c r="J1590" s="99"/>
      <c r="K1590" s="98"/>
      <c r="L1590" s="98"/>
      <c r="M1590" s="98"/>
      <c r="N1590" s="98"/>
      <c r="O1590" s="98"/>
      <c r="P1590" s="98"/>
      <c r="Q1590" s="98"/>
      <c r="R1590" s="98"/>
      <c r="S1590" s="98"/>
      <c r="T1590" s="98"/>
      <c r="U1590" s="98"/>
      <c r="V1590" s="98"/>
      <c r="W1590" s="98"/>
      <c r="X1590" s="98"/>
      <c r="Y1590" s="98"/>
      <c r="Z1590" s="98"/>
      <c r="AA1590" s="98"/>
      <c r="AB1590" s="98"/>
      <c r="AC1590" s="98"/>
      <c r="AD1590" s="98"/>
      <c r="AE1590" s="98"/>
      <c r="AF1590" s="98"/>
      <c r="AG1590" s="98"/>
      <c r="AH1590" s="98"/>
      <c r="AI1590" s="98"/>
      <c r="AJ1590" s="98"/>
      <c r="AK1590" s="98"/>
      <c r="AL1590" s="98"/>
      <c r="AM1590" s="98"/>
    </row>
    <row r="1591" spans="1:39" s="100" customFormat="1" ht="15.6" x14ac:dyDescent="0.3">
      <c r="A1591" s="97"/>
      <c r="B1591" s="98"/>
      <c r="C1591" s="98"/>
      <c r="D1591" s="98"/>
      <c r="E1591" s="98"/>
      <c r="F1591" s="98"/>
      <c r="G1591" s="99"/>
      <c r="H1591" s="99"/>
      <c r="I1591" s="99"/>
      <c r="J1591" s="99"/>
      <c r="K1591" s="98"/>
      <c r="L1591" s="98"/>
      <c r="M1591" s="98"/>
      <c r="N1591" s="98"/>
      <c r="O1591" s="98"/>
      <c r="P1591" s="98"/>
      <c r="Q1591" s="98"/>
      <c r="R1591" s="98"/>
      <c r="S1591" s="98"/>
      <c r="T1591" s="98"/>
      <c r="U1591" s="98"/>
      <c r="V1591" s="98"/>
      <c r="W1591" s="98"/>
      <c r="X1591" s="98"/>
      <c r="Y1591" s="98"/>
      <c r="Z1591" s="98"/>
      <c r="AA1591" s="98"/>
      <c r="AB1591" s="98"/>
      <c r="AC1591" s="98"/>
      <c r="AD1591" s="98"/>
      <c r="AE1591" s="98"/>
      <c r="AF1591" s="98"/>
      <c r="AG1591" s="98"/>
      <c r="AH1591" s="98"/>
      <c r="AI1591" s="98"/>
      <c r="AJ1591" s="98"/>
      <c r="AK1591" s="98"/>
      <c r="AL1591" s="98"/>
      <c r="AM1591" s="98"/>
    </row>
    <row r="1592" spans="1:39" s="100" customFormat="1" ht="15.6" x14ac:dyDescent="0.3">
      <c r="A1592" s="97"/>
      <c r="B1592" s="98"/>
      <c r="C1592" s="98"/>
      <c r="D1592" s="98"/>
      <c r="E1592" s="98"/>
      <c r="F1592" s="98"/>
      <c r="G1592" s="99"/>
      <c r="H1592" s="99"/>
      <c r="I1592" s="99"/>
      <c r="J1592" s="99"/>
      <c r="K1592" s="98"/>
      <c r="L1592" s="98"/>
      <c r="M1592" s="98"/>
      <c r="N1592" s="98"/>
      <c r="O1592" s="98"/>
      <c r="P1592" s="98"/>
      <c r="Q1592" s="98"/>
      <c r="R1592" s="98"/>
      <c r="S1592" s="98"/>
      <c r="T1592" s="98"/>
      <c r="U1592" s="98"/>
      <c r="V1592" s="98"/>
      <c r="W1592" s="98"/>
      <c r="X1592" s="98"/>
      <c r="Y1592" s="98"/>
      <c r="Z1592" s="98"/>
      <c r="AA1592" s="98"/>
      <c r="AB1592" s="98"/>
      <c r="AC1592" s="98"/>
      <c r="AD1592" s="98"/>
      <c r="AE1592" s="98"/>
      <c r="AF1592" s="98"/>
      <c r="AG1592" s="98"/>
      <c r="AH1592" s="98"/>
      <c r="AI1592" s="98"/>
      <c r="AJ1592" s="98"/>
      <c r="AK1592" s="98"/>
      <c r="AL1592" s="98"/>
      <c r="AM1592" s="98"/>
    </row>
    <row r="1593" spans="1:39" s="100" customFormat="1" ht="15.6" x14ac:dyDescent="0.3">
      <c r="A1593" s="97"/>
      <c r="B1593" s="98"/>
      <c r="C1593" s="98"/>
      <c r="D1593" s="98"/>
      <c r="E1593" s="98"/>
      <c r="F1593" s="98"/>
      <c r="G1593" s="99"/>
      <c r="H1593" s="99"/>
      <c r="I1593" s="99"/>
      <c r="J1593" s="99"/>
      <c r="K1593" s="98"/>
      <c r="L1593" s="98"/>
      <c r="M1593" s="98"/>
      <c r="N1593" s="98"/>
      <c r="O1593" s="98"/>
      <c r="P1593" s="98"/>
      <c r="Q1593" s="98"/>
      <c r="R1593" s="98"/>
      <c r="S1593" s="98"/>
      <c r="T1593" s="98"/>
      <c r="U1593" s="98"/>
      <c r="V1593" s="98"/>
      <c r="W1593" s="98"/>
      <c r="X1593" s="98"/>
      <c r="Y1593" s="98"/>
      <c r="Z1593" s="98"/>
      <c r="AA1593" s="98"/>
      <c r="AB1593" s="98"/>
      <c r="AC1593" s="98"/>
      <c r="AD1593" s="98"/>
      <c r="AE1593" s="98"/>
      <c r="AF1593" s="98"/>
      <c r="AG1593" s="98"/>
      <c r="AH1593" s="98"/>
      <c r="AI1593" s="98"/>
      <c r="AJ1593" s="98"/>
      <c r="AK1593" s="98"/>
      <c r="AL1593" s="98"/>
      <c r="AM1593" s="98"/>
    </row>
    <row r="1594" spans="1:39" s="100" customFormat="1" ht="15.6" x14ac:dyDescent="0.3">
      <c r="A1594" s="97"/>
      <c r="B1594" s="98"/>
      <c r="C1594" s="98"/>
      <c r="D1594" s="98"/>
      <c r="E1594" s="98"/>
      <c r="F1594" s="98"/>
      <c r="G1594" s="99"/>
      <c r="H1594" s="99"/>
      <c r="I1594" s="99"/>
      <c r="J1594" s="99"/>
      <c r="K1594" s="98"/>
      <c r="L1594" s="98"/>
      <c r="M1594" s="98"/>
      <c r="N1594" s="98"/>
      <c r="O1594" s="98"/>
      <c r="P1594" s="98"/>
      <c r="Q1594" s="98"/>
      <c r="R1594" s="98"/>
      <c r="S1594" s="98"/>
      <c r="T1594" s="98"/>
      <c r="U1594" s="98"/>
      <c r="V1594" s="98"/>
      <c r="W1594" s="98"/>
      <c r="X1594" s="98"/>
      <c r="Y1594" s="98"/>
      <c r="Z1594" s="98"/>
      <c r="AA1594" s="98"/>
      <c r="AB1594" s="98"/>
      <c r="AC1594" s="98"/>
      <c r="AD1594" s="98"/>
      <c r="AE1594" s="98"/>
      <c r="AF1594" s="98"/>
      <c r="AG1594" s="98"/>
      <c r="AH1594" s="98"/>
      <c r="AI1594" s="98"/>
      <c r="AJ1594" s="98"/>
      <c r="AK1594" s="98"/>
      <c r="AL1594" s="98"/>
      <c r="AM1594" s="98"/>
    </row>
    <row r="1595" spans="1:39" s="100" customFormat="1" ht="15.6" x14ac:dyDescent="0.3">
      <c r="A1595" s="97"/>
      <c r="B1595" s="98"/>
      <c r="C1595" s="98"/>
      <c r="D1595" s="98"/>
      <c r="E1595" s="98"/>
      <c r="F1595" s="98"/>
      <c r="G1595" s="99"/>
      <c r="H1595" s="99"/>
      <c r="I1595" s="99"/>
      <c r="J1595" s="99"/>
      <c r="K1595" s="98"/>
      <c r="L1595" s="98"/>
      <c r="M1595" s="98"/>
      <c r="N1595" s="98"/>
      <c r="O1595" s="98"/>
      <c r="P1595" s="98"/>
      <c r="Q1595" s="98"/>
      <c r="R1595" s="98"/>
      <c r="S1595" s="98"/>
      <c r="T1595" s="98"/>
      <c r="U1595" s="98"/>
      <c r="V1595" s="98"/>
      <c r="W1595" s="98"/>
      <c r="X1595" s="98"/>
      <c r="Y1595" s="98"/>
      <c r="Z1595" s="98"/>
      <c r="AA1595" s="98"/>
      <c r="AB1595" s="98"/>
      <c r="AC1595" s="98"/>
      <c r="AD1595" s="98"/>
      <c r="AE1595" s="98"/>
      <c r="AF1595" s="98"/>
      <c r="AG1595" s="98"/>
      <c r="AH1595" s="98"/>
      <c r="AI1595" s="98"/>
      <c r="AJ1595" s="98"/>
      <c r="AK1595" s="98"/>
      <c r="AL1595" s="98"/>
      <c r="AM1595" s="98"/>
    </row>
    <row r="1596" spans="1:39" s="100" customFormat="1" ht="15.6" x14ac:dyDescent="0.3">
      <c r="A1596" s="97"/>
      <c r="B1596" s="98"/>
      <c r="C1596" s="98"/>
      <c r="D1596" s="98"/>
      <c r="E1596" s="98"/>
      <c r="F1596" s="98"/>
      <c r="G1596" s="99"/>
      <c r="H1596" s="99"/>
      <c r="I1596" s="99"/>
      <c r="J1596" s="99"/>
      <c r="K1596" s="98"/>
      <c r="L1596" s="98"/>
      <c r="M1596" s="98"/>
      <c r="N1596" s="98"/>
      <c r="O1596" s="98"/>
      <c r="P1596" s="98"/>
      <c r="Q1596" s="98"/>
      <c r="R1596" s="98"/>
      <c r="S1596" s="98"/>
      <c r="T1596" s="98"/>
      <c r="U1596" s="98"/>
      <c r="V1596" s="98"/>
      <c r="W1596" s="98"/>
      <c r="X1596" s="98"/>
      <c r="Y1596" s="98"/>
      <c r="Z1596" s="98"/>
      <c r="AA1596" s="98"/>
      <c r="AB1596" s="98"/>
      <c r="AC1596" s="98"/>
      <c r="AD1596" s="98"/>
      <c r="AE1596" s="98"/>
      <c r="AF1596" s="98"/>
      <c r="AG1596" s="98"/>
      <c r="AH1596" s="98"/>
      <c r="AI1596" s="98"/>
      <c r="AJ1596" s="98"/>
      <c r="AK1596" s="98"/>
      <c r="AL1596" s="98"/>
      <c r="AM1596" s="98"/>
    </row>
    <row r="1597" spans="1:39" s="100" customFormat="1" ht="15.6" x14ac:dyDescent="0.3">
      <c r="A1597" s="97"/>
      <c r="B1597" s="98"/>
      <c r="C1597" s="98"/>
      <c r="D1597" s="98"/>
      <c r="E1597" s="98"/>
      <c r="F1597" s="98"/>
      <c r="G1597" s="99"/>
      <c r="H1597" s="99"/>
      <c r="I1597" s="99"/>
      <c r="J1597" s="99"/>
      <c r="K1597" s="98"/>
      <c r="L1597" s="98"/>
      <c r="M1597" s="98"/>
      <c r="N1597" s="98"/>
      <c r="O1597" s="98"/>
      <c r="P1597" s="98"/>
      <c r="Q1597" s="98"/>
      <c r="R1597" s="98"/>
      <c r="S1597" s="98"/>
      <c r="T1597" s="98"/>
      <c r="U1597" s="98"/>
      <c r="V1597" s="98"/>
      <c r="W1597" s="98"/>
      <c r="X1597" s="98"/>
      <c r="Y1597" s="98"/>
      <c r="Z1597" s="98"/>
      <c r="AA1597" s="98"/>
      <c r="AB1597" s="98"/>
      <c r="AC1597" s="98"/>
      <c r="AD1597" s="98"/>
      <c r="AE1597" s="98"/>
      <c r="AF1597" s="98"/>
      <c r="AG1597" s="98"/>
      <c r="AH1597" s="98"/>
      <c r="AI1597" s="98"/>
      <c r="AJ1597" s="98"/>
      <c r="AK1597" s="98"/>
      <c r="AL1597" s="98"/>
      <c r="AM1597" s="98"/>
    </row>
    <row r="1598" spans="1:39" s="100" customFormat="1" ht="15.6" x14ac:dyDescent="0.3">
      <c r="A1598" s="97"/>
      <c r="B1598" s="98"/>
      <c r="C1598" s="98"/>
      <c r="D1598" s="98"/>
      <c r="E1598" s="98"/>
      <c r="F1598" s="98"/>
      <c r="G1598" s="99"/>
      <c r="H1598" s="99"/>
      <c r="I1598" s="99"/>
      <c r="J1598" s="99"/>
      <c r="K1598" s="98"/>
      <c r="L1598" s="98"/>
      <c r="M1598" s="98"/>
      <c r="N1598" s="98"/>
      <c r="O1598" s="98"/>
      <c r="P1598" s="98"/>
      <c r="Q1598" s="98"/>
      <c r="R1598" s="98"/>
      <c r="S1598" s="98"/>
      <c r="T1598" s="98"/>
      <c r="U1598" s="98"/>
      <c r="V1598" s="98"/>
      <c r="W1598" s="98"/>
      <c r="X1598" s="98"/>
      <c r="Y1598" s="98"/>
      <c r="Z1598" s="98"/>
      <c r="AA1598" s="98"/>
      <c r="AB1598" s="98"/>
      <c r="AC1598" s="98"/>
      <c r="AD1598" s="98"/>
      <c r="AE1598" s="98"/>
      <c r="AF1598" s="98"/>
      <c r="AG1598" s="98"/>
      <c r="AH1598" s="98"/>
      <c r="AI1598" s="98"/>
      <c r="AJ1598" s="98"/>
      <c r="AK1598" s="98"/>
      <c r="AL1598" s="98"/>
      <c r="AM1598" s="98"/>
    </row>
    <row r="1599" spans="1:39" s="100" customFormat="1" ht="15.6" x14ac:dyDescent="0.3">
      <c r="A1599" s="97"/>
      <c r="B1599" s="98"/>
      <c r="C1599" s="98"/>
      <c r="D1599" s="98"/>
      <c r="E1599" s="98"/>
      <c r="F1599" s="98"/>
      <c r="G1599" s="99"/>
      <c r="H1599" s="99"/>
      <c r="I1599" s="99"/>
      <c r="J1599" s="99"/>
      <c r="K1599" s="98"/>
      <c r="L1599" s="98"/>
      <c r="M1599" s="98"/>
      <c r="N1599" s="98"/>
      <c r="O1599" s="98"/>
      <c r="P1599" s="98"/>
      <c r="Q1599" s="98"/>
      <c r="R1599" s="98"/>
      <c r="S1599" s="98"/>
      <c r="T1599" s="98"/>
      <c r="U1599" s="98"/>
      <c r="V1599" s="98"/>
      <c r="W1599" s="98"/>
      <c r="X1599" s="98"/>
      <c r="Y1599" s="98"/>
      <c r="Z1599" s="98"/>
      <c r="AA1599" s="98"/>
      <c r="AB1599" s="98"/>
      <c r="AC1599" s="98"/>
      <c r="AD1599" s="98"/>
      <c r="AE1599" s="98"/>
      <c r="AF1599" s="98"/>
      <c r="AG1599" s="98"/>
      <c r="AH1599" s="98"/>
      <c r="AI1599" s="98"/>
      <c r="AJ1599" s="98"/>
      <c r="AK1599" s="98"/>
      <c r="AL1599" s="98"/>
      <c r="AM1599" s="98"/>
    </row>
    <row r="1600" spans="1:39" s="100" customFormat="1" ht="15.6" x14ac:dyDescent="0.3">
      <c r="A1600" s="97"/>
      <c r="B1600" s="98"/>
      <c r="C1600" s="98"/>
      <c r="D1600" s="98"/>
      <c r="E1600" s="98"/>
      <c r="F1600" s="98"/>
      <c r="G1600" s="99"/>
      <c r="H1600" s="99"/>
      <c r="I1600" s="99"/>
      <c r="J1600" s="99"/>
      <c r="K1600" s="98"/>
      <c r="L1600" s="98"/>
      <c r="M1600" s="98"/>
      <c r="N1600" s="98"/>
      <c r="O1600" s="98"/>
      <c r="P1600" s="98"/>
      <c r="Q1600" s="98"/>
      <c r="R1600" s="98"/>
      <c r="S1600" s="98"/>
      <c r="T1600" s="98"/>
      <c r="U1600" s="98"/>
      <c r="V1600" s="98"/>
      <c r="W1600" s="98"/>
      <c r="X1600" s="98"/>
      <c r="Y1600" s="98"/>
      <c r="Z1600" s="98"/>
      <c r="AA1600" s="98"/>
      <c r="AB1600" s="98"/>
      <c r="AC1600" s="98"/>
      <c r="AD1600" s="98"/>
      <c r="AE1600" s="98"/>
      <c r="AF1600" s="98"/>
      <c r="AG1600" s="98"/>
      <c r="AH1600" s="98"/>
      <c r="AI1600" s="98"/>
      <c r="AJ1600" s="98"/>
      <c r="AK1600" s="98"/>
      <c r="AL1600" s="98"/>
      <c r="AM1600" s="98"/>
    </row>
    <row r="1601" spans="1:39" s="100" customFormat="1" ht="15.6" x14ac:dyDescent="0.3">
      <c r="A1601" s="97"/>
      <c r="B1601" s="98"/>
      <c r="C1601" s="98"/>
      <c r="D1601" s="98"/>
      <c r="E1601" s="98"/>
      <c r="F1601" s="98"/>
      <c r="G1601" s="99"/>
      <c r="H1601" s="99"/>
      <c r="I1601" s="99"/>
      <c r="J1601" s="99"/>
      <c r="K1601" s="98"/>
      <c r="L1601" s="98"/>
      <c r="M1601" s="98"/>
      <c r="N1601" s="98"/>
      <c r="O1601" s="98"/>
      <c r="P1601" s="98"/>
      <c r="Q1601" s="98"/>
      <c r="R1601" s="98"/>
      <c r="S1601" s="98"/>
      <c r="T1601" s="98"/>
      <c r="U1601" s="98"/>
      <c r="V1601" s="98"/>
      <c r="W1601" s="98"/>
      <c r="X1601" s="98"/>
      <c r="Y1601" s="98"/>
      <c r="Z1601" s="98"/>
      <c r="AA1601" s="98"/>
      <c r="AB1601" s="98"/>
      <c r="AC1601" s="98"/>
      <c r="AD1601" s="98"/>
      <c r="AE1601" s="98"/>
      <c r="AF1601" s="98"/>
      <c r="AG1601" s="98"/>
      <c r="AH1601" s="98"/>
      <c r="AI1601" s="98"/>
      <c r="AJ1601" s="98"/>
      <c r="AK1601" s="98"/>
      <c r="AL1601" s="98"/>
      <c r="AM1601" s="98"/>
    </row>
    <row r="1602" spans="1:39" s="100" customFormat="1" ht="15.6" x14ac:dyDescent="0.3">
      <c r="A1602" s="97"/>
      <c r="B1602" s="98"/>
      <c r="C1602" s="98"/>
      <c r="D1602" s="98"/>
      <c r="E1602" s="98"/>
      <c r="F1602" s="98"/>
      <c r="G1602" s="99"/>
      <c r="H1602" s="99"/>
      <c r="I1602" s="99"/>
      <c r="J1602" s="99"/>
      <c r="K1602" s="98"/>
      <c r="L1602" s="98"/>
      <c r="M1602" s="98"/>
      <c r="N1602" s="98"/>
      <c r="O1602" s="98"/>
      <c r="P1602" s="98"/>
      <c r="Q1602" s="98"/>
      <c r="R1602" s="98"/>
      <c r="S1602" s="98"/>
      <c r="T1602" s="98"/>
      <c r="U1602" s="98"/>
      <c r="V1602" s="98"/>
      <c r="W1602" s="98"/>
      <c r="X1602" s="98"/>
      <c r="Y1602" s="98"/>
      <c r="Z1602" s="98"/>
      <c r="AA1602" s="98"/>
      <c r="AB1602" s="98"/>
      <c r="AC1602" s="98"/>
      <c r="AD1602" s="98"/>
      <c r="AE1602" s="98"/>
      <c r="AF1602" s="98"/>
      <c r="AG1602" s="98"/>
      <c r="AH1602" s="98"/>
      <c r="AI1602" s="98"/>
      <c r="AJ1602" s="98"/>
      <c r="AK1602" s="98"/>
      <c r="AL1602" s="98"/>
      <c r="AM1602" s="98"/>
    </row>
    <row r="1603" spans="1:39" s="100" customFormat="1" ht="15.6" x14ac:dyDescent="0.3">
      <c r="A1603" s="97"/>
      <c r="B1603" s="98"/>
      <c r="C1603" s="98"/>
      <c r="D1603" s="98"/>
      <c r="E1603" s="98"/>
      <c r="F1603" s="98"/>
      <c r="G1603" s="99"/>
      <c r="H1603" s="99"/>
      <c r="I1603" s="99"/>
      <c r="J1603" s="99"/>
      <c r="K1603" s="98"/>
      <c r="L1603" s="98"/>
      <c r="M1603" s="98"/>
      <c r="N1603" s="98"/>
      <c r="O1603" s="98"/>
      <c r="P1603" s="98"/>
      <c r="Q1603" s="98"/>
      <c r="R1603" s="98"/>
      <c r="S1603" s="98"/>
      <c r="T1603" s="98"/>
      <c r="U1603" s="98"/>
      <c r="V1603" s="98"/>
      <c r="W1603" s="98"/>
      <c r="X1603" s="98"/>
      <c r="Y1603" s="98"/>
      <c r="Z1603" s="98"/>
      <c r="AA1603" s="98"/>
      <c r="AB1603" s="98"/>
      <c r="AC1603" s="98"/>
      <c r="AD1603" s="98"/>
      <c r="AE1603" s="98"/>
      <c r="AF1603" s="98"/>
      <c r="AG1603" s="98"/>
      <c r="AH1603" s="98"/>
      <c r="AI1603" s="98"/>
      <c r="AJ1603" s="98"/>
      <c r="AK1603" s="98"/>
      <c r="AL1603" s="98"/>
      <c r="AM1603" s="98"/>
    </row>
    <row r="1604" spans="1:39" s="100" customFormat="1" ht="15.6" x14ac:dyDescent="0.3">
      <c r="A1604" s="97"/>
      <c r="B1604" s="98"/>
      <c r="C1604" s="98"/>
      <c r="D1604" s="98"/>
      <c r="E1604" s="98"/>
      <c r="F1604" s="98"/>
      <c r="G1604" s="99"/>
      <c r="H1604" s="99"/>
      <c r="I1604" s="99"/>
      <c r="J1604" s="99"/>
      <c r="K1604" s="98"/>
      <c r="L1604" s="98"/>
      <c r="M1604" s="98"/>
      <c r="N1604" s="98"/>
      <c r="O1604" s="98"/>
      <c r="P1604" s="98"/>
      <c r="Q1604" s="98"/>
      <c r="R1604" s="98"/>
      <c r="S1604" s="98"/>
      <c r="T1604" s="98"/>
      <c r="U1604" s="98"/>
      <c r="V1604" s="98"/>
      <c r="W1604" s="98"/>
      <c r="X1604" s="98"/>
      <c r="Y1604" s="98"/>
      <c r="Z1604" s="98"/>
      <c r="AA1604" s="98"/>
      <c r="AB1604" s="98"/>
      <c r="AC1604" s="98"/>
      <c r="AD1604" s="98"/>
      <c r="AE1604" s="98"/>
      <c r="AF1604" s="98"/>
      <c r="AG1604" s="98"/>
      <c r="AH1604" s="98"/>
      <c r="AI1604" s="98"/>
      <c r="AJ1604" s="98"/>
      <c r="AK1604" s="98"/>
      <c r="AL1604" s="98"/>
      <c r="AM1604" s="98"/>
    </row>
    <row r="1605" spans="1:39" s="100" customFormat="1" ht="15.6" x14ac:dyDescent="0.3">
      <c r="A1605" s="97"/>
      <c r="B1605" s="98"/>
      <c r="C1605" s="98"/>
      <c r="D1605" s="98"/>
      <c r="E1605" s="98"/>
      <c r="F1605" s="98"/>
      <c r="G1605" s="99"/>
      <c r="H1605" s="99"/>
      <c r="I1605" s="99"/>
      <c r="J1605" s="99"/>
      <c r="K1605" s="98"/>
      <c r="L1605" s="98"/>
      <c r="M1605" s="98"/>
      <c r="N1605" s="98"/>
      <c r="O1605" s="98"/>
      <c r="P1605" s="98"/>
      <c r="Q1605" s="98"/>
      <c r="R1605" s="98"/>
      <c r="S1605" s="98"/>
      <c r="T1605" s="98"/>
      <c r="U1605" s="98"/>
      <c r="V1605" s="98"/>
      <c r="W1605" s="98"/>
      <c r="X1605" s="98"/>
      <c r="Y1605" s="98"/>
      <c r="Z1605" s="98"/>
      <c r="AA1605" s="98"/>
      <c r="AB1605" s="98"/>
      <c r="AC1605" s="98"/>
      <c r="AD1605" s="98"/>
      <c r="AE1605" s="98"/>
      <c r="AF1605" s="98"/>
      <c r="AG1605" s="98"/>
      <c r="AH1605" s="98"/>
      <c r="AI1605" s="98"/>
      <c r="AJ1605" s="98"/>
      <c r="AK1605" s="98"/>
      <c r="AL1605" s="98"/>
      <c r="AM1605" s="98"/>
    </row>
    <row r="1606" spans="1:39" s="100" customFormat="1" ht="15.6" x14ac:dyDescent="0.3">
      <c r="A1606" s="97"/>
      <c r="B1606" s="98"/>
      <c r="C1606" s="98"/>
      <c r="D1606" s="98"/>
      <c r="E1606" s="98"/>
      <c r="F1606" s="98"/>
      <c r="G1606" s="99"/>
      <c r="H1606" s="99"/>
      <c r="I1606" s="99"/>
      <c r="J1606" s="99"/>
      <c r="K1606" s="98"/>
      <c r="L1606" s="98"/>
      <c r="M1606" s="98"/>
      <c r="N1606" s="98"/>
      <c r="O1606" s="98"/>
      <c r="P1606" s="98"/>
      <c r="Q1606" s="98"/>
      <c r="R1606" s="98"/>
      <c r="S1606" s="98"/>
      <c r="T1606" s="98"/>
      <c r="U1606" s="98"/>
      <c r="V1606" s="98"/>
      <c r="W1606" s="98"/>
      <c r="X1606" s="98"/>
      <c r="Y1606" s="98"/>
      <c r="Z1606" s="98"/>
      <c r="AA1606" s="98"/>
      <c r="AB1606" s="98"/>
      <c r="AC1606" s="98"/>
      <c r="AD1606" s="98"/>
      <c r="AE1606" s="98"/>
      <c r="AF1606" s="98"/>
      <c r="AG1606" s="98"/>
      <c r="AH1606" s="98"/>
      <c r="AI1606" s="98"/>
      <c r="AJ1606" s="98"/>
      <c r="AK1606" s="98"/>
      <c r="AL1606" s="98"/>
      <c r="AM1606" s="98"/>
    </row>
    <row r="1607" spans="1:39" s="100" customFormat="1" ht="15.6" x14ac:dyDescent="0.3">
      <c r="A1607" s="97"/>
      <c r="B1607" s="98"/>
      <c r="C1607" s="98"/>
      <c r="D1607" s="98"/>
      <c r="E1607" s="98"/>
      <c r="F1607" s="98"/>
      <c r="G1607" s="99"/>
      <c r="H1607" s="99"/>
      <c r="I1607" s="99"/>
      <c r="J1607" s="99"/>
      <c r="K1607" s="98"/>
      <c r="L1607" s="98"/>
      <c r="M1607" s="98"/>
      <c r="N1607" s="98"/>
      <c r="O1607" s="98"/>
      <c r="P1607" s="98"/>
      <c r="Q1607" s="98"/>
      <c r="R1607" s="98"/>
      <c r="S1607" s="98"/>
      <c r="T1607" s="98"/>
      <c r="U1607" s="98"/>
      <c r="V1607" s="98"/>
      <c r="W1607" s="98"/>
      <c r="X1607" s="98"/>
      <c r="Y1607" s="98"/>
      <c r="Z1607" s="98"/>
      <c r="AA1607" s="98"/>
      <c r="AB1607" s="98"/>
      <c r="AC1607" s="98"/>
      <c r="AD1607" s="98"/>
      <c r="AE1607" s="98"/>
      <c r="AF1607" s="98"/>
      <c r="AG1607" s="98"/>
      <c r="AH1607" s="98"/>
      <c r="AI1607" s="98"/>
      <c r="AJ1607" s="98"/>
      <c r="AK1607" s="98"/>
      <c r="AL1607" s="98"/>
      <c r="AM1607" s="98"/>
    </row>
    <row r="1608" spans="1:39" s="100" customFormat="1" ht="15.6" x14ac:dyDescent="0.3">
      <c r="A1608" s="97"/>
      <c r="B1608" s="98"/>
      <c r="C1608" s="98"/>
      <c r="D1608" s="98"/>
      <c r="E1608" s="98"/>
      <c r="F1608" s="98"/>
      <c r="G1608" s="99"/>
      <c r="H1608" s="99"/>
      <c r="I1608" s="99"/>
      <c r="J1608" s="99"/>
      <c r="K1608" s="98"/>
      <c r="L1608" s="98"/>
      <c r="M1608" s="98"/>
      <c r="N1608" s="98"/>
      <c r="O1608" s="98"/>
      <c r="P1608" s="98"/>
      <c r="Q1608" s="98"/>
      <c r="R1608" s="98"/>
      <c r="S1608" s="98"/>
      <c r="T1608" s="98"/>
      <c r="U1608" s="98"/>
      <c r="V1608" s="98"/>
      <c r="W1608" s="98"/>
      <c r="X1608" s="98"/>
      <c r="Y1608" s="98"/>
      <c r="Z1608" s="98"/>
      <c r="AA1608" s="98"/>
      <c r="AB1608" s="98"/>
      <c r="AC1608" s="98"/>
      <c r="AD1608" s="98"/>
      <c r="AE1608" s="98"/>
      <c r="AF1608" s="98"/>
      <c r="AG1608" s="98"/>
      <c r="AH1608" s="98"/>
      <c r="AI1608" s="98"/>
      <c r="AJ1608" s="98"/>
      <c r="AK1608" s="98"/>
      <c r="AL1608" s="98"/>
      <c r="AM1608" s="98"/>
    </row>
    <row r="1609" spans="1:39" s="100" customFormat="1" ht="15.6" x14ac:dyDescent="0.3">
      <c r="A1609" s="97"/>
      <c r="B1609" s="98"/>
      <c r="C1609" s="98"/>
      <c r="D1609" s="98"/>
      <c r="E1609" s="98"/>
      <c r="F1609" s="98"/>
      <c r="G1609" s="99"/>
      <c r="H1609" s="99"/>
      <c r="I1609" s="99"/>
      <c r="J1609" s="99"/>
      <c r="K1609" s="98"/>
      <c r="L1609" s="98"/>
      <c r="M1609" s="98"/>
      <c r="N1609" s="98"/>
      <c r="O1609" s="98"/>
      <c r="P1609" s="98"/>
      <c r="Q1609" s="98"/>
      <c r="R1609" s="98"/>
      <c r="S1609" s="98"/>
      <c r="T1609" s="98"/>
      <c r="U1609" s="98"/>
      <c r="V1609" s="98"/>
      <c r="W1609" s="98"/>
      <c r="X1609" s="98"/>
      <c r="Y1609" s="98"/>
      <c r="Z1609" s="98"/>
      <c r="AA1609" s="98"/>
      <c r="AB1609" s="98"/>
      <c r="AC1609" s="98"/>
      <c r="AD1609" s="98"/>
      <c r="AE1609" s="98"/>
      <c r="AF1609" s="98"/>
      <c r="AG1609" s="98"/>
      <c r="AH1609" s="98"/>
      <c r="AI1609" s="98"/>
      <c r="AJ1609" s="98"/>
      <c r="AK1609" s="98"/>
      <c r="AL1609" s="98"/>
      <c r="AM1609" s="98"/>
    </row>
    <row r="1610" spans="1:39" s="100" customFormat="1" ht="15.6" x14ac:dyDescent="0.3">
      <c r="A1610" s="97"/>
      <c r="B1610" s="98"/>
      <c r="C1610" s="98"/>
      <c r="D1610" s="98"/>
      <c r="E1610" s="98"/>
      <c r="F1610" s="98"/>
      <c r="G1610" s="99"/>
      <c r="H1610" s="99"/>
      <c r="I1610" s="99"/>
      <c r="J1610" s="99"/>
      <c r="K1610" s="98"/>
      <c r="L1610" s="98"/>
      <c r="M1610" s="98"/>
      <c r="N1610" s="98"/>
      <c r="O1610" s="98"/>
      <c r="P1610" s="98"/>
      <c r="Q1610" s="98"/>
      <c r="R1610" s="98"/>
      <c r="S1610" s="98"/>
      <c r="T1610" s="98"/>
      <c r="U1610" s="98"/>
      <c r="V1610" s="98"/>
      <c r="W1610" s="98"/>
      <c r="X1610" s="98"/>
      <c r="Y1610" s="98"/>
      <c r="Z1610" s="98"/>
      <c r="AA1610" s="98"/>
      <c r="AB1610" s="98"/>
      <c r="AC1610" s="98"/>
      <c r="AD1610" s="98"/>
      <c r="AE1610" s="98"/>
      <c r="AF1610" s="98"/>
      <c r="AG1610" s="98"/>
      <c r="AH1610" s="98"/>
      <c r="AI1610" s="98"/>
      <c r="AJ1610" s="98"/>
      <c r="AK1610" s="98"/>
      <c r="AL1610" s="98"/>
      <c r="AM1610" s="98"/>
    </row>
    <row r="1611" spans="1:39" s="100" customFormat="1" ht="15.6" x14ac:dyDescent="0.3">
      <c r="A1611" s="97"/>
      <c r="B1611" s="98"/>
      <c r="C1611" s="98"/>
      <c r="D1611" s="98"/>
      <c r="E1611" s="98"/>
      <c r="F1611" s="98"/>
      <c r="G1611" s="99"/>
      <c r="H1611" s="99"/>
      <c r="I1611" s="99"/>
      <c r="J1611" s="99"/>
      <c r="K1611" s="98"/>
      <c r="L1611" s="98"/>
      <c r="M1611" s="98"/>
      <c r="N1611" s="98"/>
      <c r="O1611" s="98"/>
      <c r="P1611" s="98"/>
      <c r="Q1611" s="98"/>
      <c r="R1611" s="98"/>
      <c r="S1611" s="98"/>
      <c r="T1611" s="98"/>
      <c r="U1611" s="98"/>
      <c r="V1611" s="98"/>
      <c r="W1611" s="98"/>
      <c r="X1611" s="98"/>
      <c r="Y1611" s="98"/>
      <c r="Z1611" s="98"/>
      <c r="AA1611" s="98"/>
      <c r="AB1611" s="98"/>
      <c r="AC1611" s="98"/>
      <c r="AD1611" s="98"/>
      <c r="AE1611" s="98"/>
      <c r="AF1611" s="98"/>
      <c r="AG1611" s="98"/>
      <c r="AH1611" s="98"/>
      <c r="AI1611" s="98"/>
      <c r="AJ1611" s="98"/>
      <c r="AK1611" s="98"/>
      <c r="AL1611" s="98"/>
      <c r="AM1611" s="98"/>
    </row>
    <row r="1612" spans="1:39" s="100" customFormat="1" ht="15.6" x14ac:dyDescent="0.3">
      <c r="A1612" s="97"/>
      <c r="B1612" s="98"/>
      <c r="C1612" s="98"/>
      <c r="D1612" s="98"/>
      <c r="E1612" s="98"/>
      <c r="F1612" s="98"/>
      <c r="G1612" s="99"/>
      <c r="H1612" s="99"/>
      <c r="I1612" s="99"/>
      <c r="J1612" s="99"/>
      <c r="K1612" s="98"/>
      <c r="L1612" s="98"/>
      <c r="M1612" s="98"/>
      <c r="N1612" s="98"/>
      <c r="O1612" s="98"/>
      <c r="P1612" s="98"/>
      <c r="Q1612" s="98"/>
      <c r="R1612" s="98"/>
      <c r="S1612" s="98"/>
      <c r="T1612" s="98"/>
      <c r="U1612" s="98"/>
      <c r="V1612" s="98"/>
      <c r="W1612" s="98"/>
      <c r="X1612" s="98"/>
      <c r="Y1612" s="98"/>
      <c r="Z1612" s="98"/>
      <c r="AA1612" s="98"/>
      <c r="AB1612" s="98"/>
      <c r="AC1612" s="98"/>
      <c r="AD1612" s="98"/>
      <c r="AE1612" s="98"/>
      <c r="AF1612" s="98"/>
      <c r="AG1612" s="98"/>
      <c r="AH1612" s="98"/>
      <c r="AI1612" s="98"/>
      <c r="AJ1612" s="98"/>
      <c r="AK1612" s="98"/>
      <c r="AL1612" s="98"/>
      <c r="AM1612" s="98"/>
    </row>
    <row r="1613" spans="1:39" s="100" customFormat="1" ht="15.6" x14ac:dyDescent="0.3">
      <c r="A1613" s="97"/>
      <c r="B1613" s="98"/>
      <c r="C1613" s="98"/>
      <c r="D1613" s="98"/>
      <c r="E1613" s="98"/>
      <c r="F1613" s="98"/>
      <c r="G1613" s="99"/>
      <c r="H1613" s="99"/>
      <c r="I1613" s="99"/>
      <c r="J1613" s="99"/>
      <c r="K1613" s="98"/>
      <c r="L1613" s="98"/>
      <c r="M1613" s="98"/>
      <c r="N1613" s="98"/>
      <c r="O1613" s="98"/>
      <c r="P1613" s="98"/>
      <c r="Q1613" s="98"/>
      <c r="R1613" s="98"/>
      <c r="S1613" s="98"/>
      <c r="T1613" s="98"/>
      <c r="U1613" s="98"/>
      <c r="V1613" s="98"/>
      <c r="W1613" s="98"/>
      <c r="X1613" s="98"/>
      <c r="Y1613" s="98"/>
      <c r="Z1613" s="98"/>
      <c r="AA1613" s="98"/>
      <c r="AB1613" s="98"/>
      <c r="AC1613" s="98"/>
      <c r="AD1613" s="98"/>
      <c r="AE1613" s="98"/>
      <c r="AF1613" s="98"/>
      <c r="AG1613" s="98"/>
      <c r="AH1613" s="98"/>
      <c r="AI1613" s="98"/>
      <c r="AJ1613" s="98"/>
      <c r="AK1613" s="98"/>
      <c r="AL1613" s="98"/>
      <c r="AM1613" s="98"/>
    </row>
    <row r="1614" spans="1:39" s="100" customFormat="1" ht="15.6" x14ac:dyDescent="0.3">
      <c r="A1614" s="97"/>
      <c r="B1614" s="98"/>
      <c r="C1614" s="98"/>
      <c r="D1614" s="98"/>
      <c r="E1614" s="98"/>
      <c r="F1614" s="98"/>
      <c r="G1614" s="99"/>
      <c r="H1614" s="99"/>
      <c r="I1614" s="99"/>
      <c r="J1614" s="99"/>
      <c r="K1614" s="98"/>
      <c r="L1614" s="98"/>
      <c r="M1614" s="98"/>
      <c r="N1614" s="98"/>
      <c r="O1614" s="98"/>
      <c r="P1614" s="98"/>
      <c r="Q1614" s="98"/>
      <c r="R1614" s="98"/>
      <c r="S1614" s="98"/>
      <c r="T1614" s="98"/>
      <c r="U1614" s="98"/>
      <c r="V1614" s="98"/>
      <c r="W1614" s="98"/>
      <c r="X1614" s="98"/>
      <c r="Y1614" s="98"/>
      <c r="Z1614" s="98"/>
      <c r="AA1614" s="98"/>
      <c r="AB1614" s="98"/>
      <c r="AC1614" s="98"/>
      <c r="AD1614" s="98"/>
      <c r="AE1614" s="98"/>
      <c r="AF1614" s="98"/>
      <c r="AG1614" s="98"/>
      <c r="AH1614" s="98"/>
      <c r="AI1614" s="98"/>
      <c r="AJ1614" s="98"/>
      <c r="AK1614" s="98"/>
      <c r="AL1614" s="98"/>
      <c r="AM1614" s="98"/>
    </row>
    <row r="1615" spans="1:39" s="100" customFormat="1" ht="15.6" x14ac:dyDescent="0.3">
      <c r="A1615" s="97"/>
      <c r="B1615" s="98"/>
      <c r="C1615" s="98"/>
      <c r="D1615" s="98"/>
      <c r="E1615" s="98"/>
      <c r="F1615" s="98"/>
      <c r="G1615" s="99"/>
      <c r="H1615" s="99"/>
      <c r="I1615" s="99"/>
      <c r="J1615" s="99"/>
      <c r="K1615" s="98"/>
      <c r="L1615" s="98"/>
      <c r="M1615" s="98"/>
      <c r="N1615" s="98"/>
      <c r="O1615" s="98"/>
      <c r="P1615" s="98"/>
      <c r="Q1615" s="98"/>
      <c r="R1615" s="98"/>
      <c r="S1615" s="98"/>
      <c r="T1615" s="98"/>
      <c r="U1615" s="98"/>
      <c r="V1615" s="98"/>
      <c r="W1615" s="98"/>
      <c r="X1615" s="98"/>
      <c r="Y1615" s="98"/>
      <c r="Z1615" s="98"/>
      <c r="AA1615" s="98"/>
      <c r="AB1615" s="98"/>
      <c r="AC1615" s="98"/>
      <c r="AD1615" s="98"/>
      <c r="AE1615" s="98"/>
      <c r="AF1615" s="98"/>
      <c r="AG1615" s="98"/>
      <c r="AH1615" s="98"/>
      <c r="AI1615" s="98"/>
      <c r="AJ1615" s="98"/>
      <c r="AK1615" s="98"/>
      <c r="AL1615" s="98"/>
      <c r="AM1615" s="98"/>
    </row>
    <row r="1616" spans="1:39" s="100" customFormat="1" ht="15.6" x14ac:dyDescent="0.3">
      <c r="A1616" s="97"/>
      <c r="B1616" s="98"/>
      <c r="C1616" s="98"/>
      <c r="D1616" s="98"/>
      <c r="E1616" s="98"/>
      <c r="F1616" s="98"/>
      <c r="G1616" s="99"/>
      <c r="H1616" s="99"/>
      <c r="I1616" s="99"/>
      <c r="J1616" s="99"/>
      <c r="K1616" s="98"/>
      <c r="L1616" s="98"/>
      <c r="M1616" s="98"/>
      <c r="N1616" s="98"/>
      <c r="O1616" s="98"/>
      <c r="P1616" s="98"/>
      <c r="Q1616" s="98"/>
      <c r="R1616" s="98"/>
      <c r="S1616" s="98"/>
      <c r="T1616" s="98"/>
      <c r="U1616" s="98"/>
      <c r="V1616" s="98"/>
      <c r="W1616" s="98"/>
      <c r="X1616" s="98"/>
      <c r="Y1616" s="98"/>
      <c r="Z1616" s="98"/>
      <c r="AA1616" s="98"/>
      <c r="AB1616" s="98"/>
      <c r="AC1616" s="98"/>
      <c r="AD1616" s="98"/>
      <c r="AE1616" s="98"/>
      <c r="AF1616" s="98"/>
      <c r="AG1616" s="98"/>
      <c r="AH1616" s="98"/>
      <c r="AI1616" s="98"/>
      <c r="AJ1616" s="98"/>
      <c r="AK1616" s="98"/>
      <c r="AL1616" s="98"/>
      <c r="AM1616" s="98"/>
    </row>
    <row r="1617" spans="1:39" s="100" customFormat="1" ht="15.6" x14ac:dyDescent="0.3">
      <c r="A1617" s="97"/>
      <c r="B1617" s="98"/>
      <c r="C1617" s="98"/>
      <c r="D1617" s="98"/>
      <c r="E1617" s="98"/>
      <c r="F1617" s="98"/>
      <c r="G1617" s="99"/>
      <c r="H1617" s="99"/>
      <c r="I1617" s="99"/>
      <c r="J1617" s="99"/>
      <c r="K1617" s="98"/>
      <c r="L1617" s="98"/>
      <c r="M1617" s="98"/>
      <c r="N1617" s="98"/>
      <c r="O1617" s="98"/>
      <c r="P1617" s="98"/>
      <c r="Q1617" s="98"/>
      <c r="R1617" s="98"/>
      <c r="S1617" s="98"/>
      <c r="T1617" s="98"/>
      <c r="U1617" s="98"/>
      <c r="V1617" s="98"/>
      <c r="W1617" s="98"/>
      <c r="X1617" s="98"/>
      <c r="Y1617" s="98"/>
      <c r="Z1617" s="98"/>
      <c r="AA1617" s="98"/>
      <c r="AB1617" s="98"/>
      <c r="AC1617" s="98"/>
      <c r="AD1617" s="98"/>
      <c r="AE1617" s="98"/>
      <c r="AF1617" s="98"/>
      <c r="AG1617" s="98"/>
      <c r="AH1617" s="98"/>
      <c r="AI1617" s="98"/>
      <c r="AJ1617" s="98"/>
      <c r="AK1617" s="98"/>
      <c r="AL1617" s="98"/>
      <c r="AM1617" s="98"/>
    </row>
    <row r="1618" spans="1:39" s="100" customFormat="1" ht="15.6" x14ac:dyDescent="0.3">
      <c r="A1618" s="97"/>
      <c r="B1618" s="98"/>
      <c r="C1618" s="98"/>
      <c r="D1618" s="98"/>
      <c r="E1618" s="98"/>
      <c r="F1618" s="98"/>
      <c r="G1618" s="99"/>
      <c r="H1618" s="99"/>
      <c r="I1618" s="99"/>
      <c r="J1618" s="99"/>
      <c r="K1618" s="98"/>
      <c r="L1618" s="98"/>
      <c r="M1618" s="98"/>
      <c r="N1618" s="98"/>
      <c r="O1618" s="98"/>
      <c r="P1618" s="98"/>
      <c r="Q1618" s="98"/>
      <c r="R1618" s="98"/>
      <c r="S1618" s="98"/>
      <c r="T1618" s="98"/>
      <c r="U1618" s="98"/>
      <c r="V1618" s="98"/>
      <c r="W1618" s="98"/>
      <c r="X1618" s="98"/>
      <c r="Y1618" s="98"/>
      <c r="Z1618" s="98"/>
      <c r="AA1618" s="98"/>
      <c r="AB1618" s="98"/>
      <c r="AC1618" s="98"/>
      <c r="AD1618" s="98"/>
      <c r="AE1618" s="98"/>
      <c r="AF1618" s="98"/>
      <c r="AG1618" s="98"/>
      <c r="AH1618" s="98"/>
      <c r="AI1618" s="98"/>
      <c r="AJ1618" s="98"/>
      <c r="AK1618" s="98"/>
      <c r="AL1618" s="98"/>
      <c r="AM1618" s="98"/>
    </row>
    <row r="1619" spans="1:39" s="100" customFormat="1" ht="15.6" x14ac:dyDescent="0.3">
      <c r="A1619" s="97"/>
      <c r="B1619" s="98"/>
      <c r="C1619" s="98"/>
      <c r="D1619" s="98"/>
      <c r="E1619" s="98"/>
      <c r="F1619" s="98"/>
      <c r="G1619" s="99"/>
      <c r="H1619" s="99"/>
      <c r="I1619" s="99"/>
      <c r="J1619" s="99"/>
      <c r="K1619" s="98"/>
      <c r="L1619" s="98"/>
      <c r="M1619" s="98"/>
      <c r="N1619" s="98"/>
      <c r="O1619" s="98"/>
      <c r="P1619" s="98"/>
      <c r="Q1619" s="98"/>
      <c r="R1619" s="98"/>
      <c r="S1619" s="98"/>
      <c r="T1619" s="98"/>
      <c r="U1619" s="98"/>
      <c r="V1619" s="98"/>
      <c r="W1619" s="98"/>
      <c r="X1619" s="98"/>
      <c r="Y1619" s="98"/>
      <c r="Z1619" s="98"/>
      <c r="AA1619" s="98"/>
      <c r="AB1619" s="98"/>
      <c r="AC1619" s="98"/>
      <c r="AD1619" s="98"/>
      <c r="AE1619" s="98"/>
      <c r="AF1619" s="98"/>
      <c r="AG1619" s="98"/>
      <c r="AH1619" s="98"/>
      <c r="AI1619" s="98"/>
      <c r="AJ1619" s="98"/>
      <c r="AK1619" s="98"/>
      <c r="AL1619" s="98"/>
      <c r="AM1619" s="98"/>
    </row>
    <row r="1620" spans="1:39" s="100" customFormat="1" ht="15.6" x14ac:dyDescent="0.3">
      <c r="A1620" s="97"/>
      <c r="B1620" s="98"/>
      <c r="C1620" s="98"/>
      <c r="D1620" s="98"/>
      <c r="E1620" s="98"/>
      <c r="F1620" s="98"/>
      <c r="G1620" s="99"/>
      <c r="H1620" s="99"/>
      <c r="I1620" s="99"/>
      <c r="J1620" s="99"/>
      <c r="K1620" s="98"/>
      <c r="L1620" s="98"/>
      <c r="M1620" s="98"/>
      <c r="N1620" s="98"/>
      <c r="O1620" s="98"/>
      <c r="P1620" s="98"/>
      <c r="Q1620" s="98"/>
      <c r="R1620" s="98"/>
      <c r="S1620" s="98"/>
      <c r="T1620" s="98"/>
      <c r="U1620" s="98"/>
      <c r="V1620" s="98"/>
      <c r="W1620" s="98"/>
      <c r="X1620" s="98"/>
      <c r="Y1620" s="98"/>
      <c r="Z1620" s="98"/>
      <c r="AA1620" s="98"/>
      <c r="AB1620" s="98"/>
      <c r="AC1620" s="98"/>
      <c r="AD1620" s="98"/>
      <c r="AE1620" s="98"/>
      <c r="AF1620" s="98"/>
      <c r="AG1620" s="98"/>
      <c r="AH1620" s="98"/>
      <c r="AI1620" s="98"/>
      <c r="AJ1620" s="98"/>
      <c r="AK1620" s="98"/>
      <c r="AL1620" s="98"/>
      <c r="AM1620" s="98"/>
    </row>
    <row r="1621" spans="1:39" s="100" customFormat="1" ht="15.6" x14ac:dyDescent="0.3">
      <c r="A1621" s="97"/>
      <c r="B1621" s="98"/>
      <c r="C1621" s="98"/>
      <c r="D1621" s="98"/>
      <c r="E1621" s="98"/>
      <c r="F1621" s="98"/>
      <c r="G1621" s="99"/>
      <c r="H1621" s="99"/>
      <c r="I1621" s="99"/>
      <c r="J1621" s="99"/>
      <c r="K1621" s="98"/>
      <c r="L1621" s="98"/>
      <c r="M1621" s="98"/>
      <c r="N1621" s="98"/>
      <c r="O1621" s="98"/>
      <c r="P1621" s="98"/>
      <c r="Q1621" s="98"/>
      <c r="R1621" s="98"/>
      <c r="S1621" s="98"/>
      <c r="T1621" s="98"/>
      <c r="U1621" s="98"/>
      <c r="V1621" s="98"/>
      <c r="W1621" s="98"/>
      <c r="X1621" s="98"/>
      <c r="Y1621" s="98"/>
      <c r="Z1621" s="98"/>
      <c r="AA1621" s="98"/>
      <c r="AB1621" s="98"/>
      <c r="AC1621" s="98"/>
      <c r="AD1621" s="98"/>
      <c r="AE1621" s="98"/>
      <c r="AF1621" s="98"/>
      <c r="AG1621" s="98"/>
      <c r="AH1621" s="98"/>
      <c r="AI1621" s="98"/>
      <c r="AJ1621" s="98"/>
      <c r="AK1621" s="98"/>
      <c r="AL1621" s="98"/>
      <c r="AM1621" s="98"/>
    </row>
    <row r="1622" spans="1:39" s="100" customFormat="1" ht="15.6" x14ac:dyDescent="0.3">
      <c r="A1622" s="97"/>
      <c r="B1622" s="98"/>
      <c r="C1622" s="98"/>
      <c r="D1622" s="98"/>
      <c r="E1622" s="98"/>
      <c r="F1622" s="98"/>
      <c r="G1622" s="99"/>
      <c r="H1622" s="99"/>
      <c r="I1622" s="99"/>
      <c r="J1622" s="99"/>
      <c r="K1622" s="98"/>
      <c r="L1622" s="98"/>
      <c r="M1622" s="98"/>
      <c r="N1622" s="98"/>
      <c r="O1622" s="98"/>
      <c r="P1622" s="98"/>
      <c r="Q1622" s="98"/>
      <c r="R1622" s="98"/>
      <c r="S1622" s="98"/>
      <c r="T1622" s="98"/>
      <c r="U1622" s="98"/>
      <c r="V1622" s="98"/>
      <c r="W1622" s="98"/>
      <c r="X1622" s="98"/>
      <c r="Y1622" s="98"/>
      <c r="Z1622" s="98"/>
      <c r="AA1622" s="98"/>
      <c r="AB1622" s="98"/>
      <c r="AC1622" s="98"/>
      <c r="AD1622" s="98"/>
      <c r="AE1622" s="98"/>
      <c r="AF1622" s="98"/>
      <c r="AG1622" s="98"/>
      <c r="AH1622" s="98"/>
      <c r="AI1622" s="98"/>
      <c r="AJ1622" s="98"/>
      <c r="AK1622" s="98"/>
      <c r="AL1622" s="98"/>
      <c r="AM1622" s="98"/>
    </row>
    <row r="1623" spans="1:39" s="100" customFormat="1" ht="15.6" x14ac:dyDescent="0.3">
      <c r="A1623" s="97"/>
      <c r="B1623" s="98"/>
      <c r="C1623" s="98"/>
      <c r="D1623" s="98"/>
      <c r="E1623" s="98"/>
      <c r="F1623" s="98"/>
      <c r="G1623" s="99"/>
      <c r="H1623" s="99"/>
      <c r="I1623" s="99"/>
      <c r="J1623" s="99"/>
      <c r="K1623" s="98"/>
      <c r="L1623" s="98"/>
      <c r="M1623" s="98"/>
      <c r="N1623" s="98"/>
      <c r="O1623" s="98"/>
      <c r="P1623" s="98"/>
      <c r="Q1623" s="98"/>
      <c r="R1623" s="98"/>
      <c r="S1623" s="98"/>
      <c r="T1623" s="98"/>
      <c r="U1623" s="98"/>
      <c r="V1623" s="98"/>
      <c r="W1623" s="98"/>
      <c r="X1623" s="98"/>
      <c r="Y1623" s="98"/>
      <c r="Z1623" s="98"/>
      <c r="AA1623" s="98"/>
      <c r="AB1623" s="98"/>
      <c r="AC1623" s="98"/>
      <c r="AD1623" s="98"/>
      <c r="AE1623" s="98"/>
      <c r="AF1623" s="98"/>
      <c r="AG1623" s="98"/>
      <c r="AH1623" s="98"/>
      <c r="AI1623" s="98"/>
      <c r="AJ1623" s="98"/>
      <c r="AK1623" s="98"/>
      <c r="AL1623" s="98"/>
      <c r="AM1623" s="98"/>
    </row>
    <row r="1624" spans="1:39" s="100" customFormat="1" ht="15.6" x14ac:dyDescent="0.3">
      <c r="A1624" s="97"/>
      <c r="B1624" s="98"/>
      <c r="C1624" s="98"/>
      <c r="D1624" s="98"/>
      <c r="E1624" s="98"/>
      <c r="F1624" s="98"/>
      <c r="G1624" s="99"/>
      <c r="H1624" s="99"/>
      <c r="I1624" s="99"/>
      <c r="J1624" s="99"/>
      <c r="K1624" s="98"/>
      <c r="L1624" s="98"/>
      <c r="M1624" s="98"/>
      <c r="N1624" s="98"/>
      <c r="O1624" s="98"/>
      <c r="P1624" s="98"/>
      <c r="Q1624" s="98"/>
      <c r="R1624" s="98"/>
      <c r="S1624" s="98"/>
      <c r="T1624" s="98"/>
      <c r="U1624" s="98"/>
      <c r="V1624" s="98"/>
      <c r="W1624" s="98"/>
      <c r="X1624" s="98"/>
      <c r="Y1624" s="98"/>
      <c r="Z1624" s="98"/>
      <c r="AA1624" s="98"/>
      <c r="AB1624" s="98"/>
      <c r="AC1624" s="98"/>
      <c r="AD1624" s="98"/>
      <c r="AE1624" s="98"/>
      <c r="AF1624" s="98"/>
      <c r="AG1624" s="98"/>
      <c r="AH1624" s="98"/>
      <c r="AI1624" s="98"/>
      <c r="AJ1624" s="98"/>
      <c r="AK1624" s="98"/>
      <c r="AL1624" s="98"/>
      <c r="AM1624" s="98"/>
    </row>
    <row r="1625" spans="1:39" s="100" customFormat="1" ht="15.6" x14ac:dyDescent="0.3">
      <c r="A1625" s="97"/>
      <c r="B1625" s="98"/>
      <c r="C1625" s="98"/>
      <c r="D1625" s="98"/>
      <c r="E1625" s="98"/>
      <c r="F1625" s="98"/>
      <c r="G1625" s="99"/>
      <c r="H1625" s="99"/>
      <c r="I1625" s="99"/>
      <c r="J1625" s="99"/>
      <c r="K1625" s="98"/>
      <c r="L1625" s="98"/>
      <c r="M1625" s="98"/>
      <c r="N1625" s="98"/>
      <c r="O1625" s="98"/>
      <c r="P1625" s="98"/>
      <c r="Q1625" s="98"/>
      <c r="R1625" s="98"/>
      <c r="S1625" s="98"/>
      <c r="T1625" s="98"/>
      <c r="U1625" s="98"/>
      <c r="V1625" s="98"/>
      <c r="W1625" s="98"/>
      <c r="X1625" s="98"/>
      <c r="Y1625" s="98"/>
      <c r="Z1625" s="98"/>
      <c r="AA1625" s="98"/>
      <c r="AB1625" s="98"/>
      <c r="AC1625" s="98"/>
      <c r="AD1625" s="98"/>
      <c r="AE1625" s="98"/>
      <c r="AF1625" s="98"/>
      <c r="AG1625" s="98"/>
      <c r="AH1625" s="98"/>
      <c r="AI1625" s="98"/>
      <c r="AJ1625" s="98"/>
      <c r="AK1625" s="98"/>
      <c r="AL1625" s="98"/>
      <c r="AM1625" s="98"/>
    </row>
    <row r="1626" spans="1:39" s="100" customFormat="1" ht="15.6" x14ac:dyDescent="0.3">
      <c r="A1626" s="97"/>
      <c r="B1626" s="98"/>
      <c r="C1626" s="98"/>
      <c r="D1626" s="98"/>
      <c r="E1626" s="98"/>
      <c r="F1626" s="98"/>
      <c r="G1626" s="99"/>
      <c r="H1626" s="99"/>
      <c r="I1626" s="99"/>
      <c r="J1626" s="99"/>
      <c r="K1626" s="98"/>
      <c r="L1626" s="98"/>
      <c r="M1626" s="98"/>
      <c r="N1626" s="98"/>
      <c r="O1626" s="98"/>
      <c r="P1626" s="98"/>
      <c r="Q1626" s="98"/>
      <c r="R1626" s="98"/>
      <c r="S1626" s="98"/>
      <c r="T1626" s="98"/>
      <c r="U1626" s="98"/>
      <c r="V1626" s="98"/>
      <c r="W1626" s="98"/>
      <c r="X1626" s="98"/>
      <c r="Y1626" s="98"/>
      <c r="Z1626" s="98"/>
      <c r="AA1626" s="98"/>
      <c r="AB1626" s="98"/>
      <c r="AC1626" s="98"/>
      <c r="AD1626" s="98"/>
      <c r="AE1626" s="98"/>
      <c r="AF1626" s="98"/>
      <c r="AG1626" s="98"/>
      <c r="AH1626" s="98"/>
      <c r="AI1626" s="98"/>
      <c r="AJ1626" s="98"/>
      <c r="AK1626" s="98"/>
      <c r="AL1626" s="98"/>
      <c r="AM1626" s="98"/>
    </row>
    <row r="1627" spans="1:39" s="100" customFormat="1" ht="15.6" x14ac:dyDescent="0.3">
      <c r="A1627" s="97"/>
      <c r="B1627" s="98"/>
      <c r="C1627" s="98"/>
      <c r="D1627" s="98"/>
      <c r="E1627" s="98"/>
      <c r="F1627" s="98"/>
      <c r="G1627" s="99"/>
      <c r="H1627" s="99"/>
      <c r="I1627" s="99"/>
      <c r="J1627" s="99"/>
      <c r="K1627" s="98"/>
      <c r="L1627" s="98"/>
      <c r="M1627" s="98"/>
      <c r="N1627" s="98"/>
      <c r="O1627" s="98"/>
      <c r="P1627" s="98"/>
      <c r="Q1627" s="98"/>
      <c r="R1627" s="98"/>
      <c r="S1627" s="98"/>
      <c r="T1627" s="98"/>
      <c r="U1627" s="98"/>
      <c r="V1627" s="98"/>
      <c r="W1627" s="98"/>
      <c r="X1627" s="98"/>
      <c r="Y1627" s="98"/>
      <c r="Z1627" s="98"/>
      <c r="AA1627" s="98"/>
      <c r="AB1627" s="98"/>
      <c r="AC1627" s="98"/>
      <c r="AD1627" s="98"/>
      <c r="AE1627" s="98"/>
      <c r="AF1627" s="98"/>
      <c r="AG1627" s="98"/>
      <c r="AH1627" s="98"/>
      <c r="AI1627" s="98"/>
      <c r="AJ1627" s="98"/>
      <c r="AK1627" s="98"/>
      <c r="AL1627" s="98"/>
      <c r="AM1627" s="98"/>
    </row>
    <row r="1628" spans="1:39" s="100" customFormat="1" ht="15.6" x14ac:dyDescent="0.3">
      <c r="A1628" s="97"/>
      <c r="B1628" s="98"/>
      <c r="C1628" s="98"/>
      <c r="D1628" s="98"/>
      <c r="E1628" s="98"/>
      <c r="F1628" s="98"/>
      <c r="G1628" s="99"/>
      <c r="H1628" s="99"/>
      <c r="I1628" s="99"/>
      <c r="J1628" s="99"/>
      <c r="K1628" s="98"/>
      <c r="L1628" s="98"/>
      <c r="M1628" s="98"/>
      <c r="N1628" s="98"/>
      <c r="O1628" s="98"/>
      <c r="P1628" s="98"/>
      <c r="Q1628" s="98"/>
      <c r="R1628" s="98"/>
      <c r="S1628" s="98"/>
      <c r="T1628" s="98"/>
      <c r="U1628" s="98"/>
      <c r="V1628" s="98"/>
      <c r="W1628" s="98"/>
      <c r="X1628" s="98"/>
      <c r="Y1628" s="98"/>
      <c r="Z1628" s="98"/>
      <c r="AA1628" s="98"/>
      <c r="AB1628" s="98"/>
      <c r="AC1628" s="98"/>
      <c r="AD1628" s="98"/>
      <c r="AE1628" s="98"/>
      <c r="AF1628" s="98"/>
      <c r="AG1628" s="98"/>
      <c r="AH1628" s="98"/>
      <c r="AI1628" s="98"/>
      <c r="AJ1628" s="98"/>
      <c r="AK1628" s="98"/>
      <c r="AL1628" s="98"/>
      <c r="AM1628" s="98"/>
    </row>
    <row r="1629" spans="1:39" s="100" customFormat="1" ht="15.6" x14ac:dyDescent="0.3">
      <c r="A1629" s="97"/>
      <c r="B1629" s="98"/>
      <c r="C1629" s="98"/>
      <c r="D1629" s="98"/>
      <c r="E1629" s="98"/>
      <c r="F1629" s="98"/>
      <c r="G1629" s="99"/>
      <c r="H1629" s="99"/>
      <c r="I1629" s="99"/>
      <c r="J1629" s="99"/>
      <c r="K1629" s="98"/>
      <c r="L1629" s="98"/>
      <c r="M1629" s="98"/>
      <c r="N1629" s="98"/>
      <c r="O1629" s="98"/>
      <c r="P1629" s="98"/>
      <c r="Q1629" s="98"/>
      <c r="R1629" s="98"/>
      <c r="S1629" s="98"/>
      <c r="T1629" s="98"/>
      <c r="U1629" s="98"/>
      <c r="V1629" s="98"/>
      <c r="W1629" s="98"/>
      <c r="X1629" s="98"/>
      <c r="Y1629" s="98"/>
      <c r="Z1629" s="98"/>
      <c r="AA1629" s="98"/>
      <c r="AB1629" s="98"/>
      <c r="AC1629" s="98"/>
      <c r="AD1629" s="98"/>
      <c r="AE1629" s="98"/>
      <c r="AF1629" s="98"/>
      <c r="AG1629" s="98"/>
      <c r="AH1629" s="98"/>
      <c r="AI1629" s="98"/>
      <c r="AJ1629" s="98"/>
      <c r="AK1629" s="98"/>
      <c r="AL1629" s="98"/>
      <c r="AM1629" s="98"/>
    </row>
    <row r="1630" spans="1:39" s="100" customFormat="1" ht="15.6" x14ac:dyDescent="0.3">
      <c r="A1630" s="97"/>
      <c r="B1630" s="98"/>
      <c r="C1630" s="98"/>
      <c r="D1630" s="98"/>
      <c r="E1630" s="98"/>
      <c r="F1630" s="98"/>
      <c r="G1630" s="99"/>
      <c r="H1630" s="99"/>
      <c r="I1630" s="99"/>
      <c r="J1630" s="99"/>
      <c r="K1630" s="98"/>
      <c r="L1630" s="98"/>
      <c r="M1630" s="98"/>
      <c r="N1630" s="98"/>
      <c r="O1630" s="98"/>
      <c r="P1630" s="98"/>
      <c r="Q1630" s="98"/>
      <c r="R1630" s="98"/>
      <c r="S1630" s="98"/>
      <c r="T1630" s="98"/>
      <c r="U1630" s="98"/>
      <c r="V1630" s="98"/>
      <c r="W1630" s="98"/>
      <c r="X1630" s="98"/>
      <c r="Y1630" s="98"/>
      <c r="Z1630" s="98"/>
      <c r="AA1630" s="98"/>
      <c r="AB1630" s="98"/>
      <c r="AC1630" s="98"/>
      <c r="AD1630" s="98"/>
      <c r="AE1630" s="98"/>
      <c r="AF1630" s="98"/>
      <c r="AG1630" s="98"/>
      <c r="AH1630" s="98"/>
      <c r="AI1630" s="98"/>
      <c r="AJ1630" s="98"/>
      <c r="AK1630" s="98"/>
      <c r="AL1630" s="98"/>
      <c r="AM1630" s="98"/>
    </row>
    <row r="1631" spans="1:39" s="100" customFormat="1" ht="15.6" x14ac:dyDescent="0.3">
      <c r="A1631" s="97"/>
      <c r="B1631" s="98"/>
      <c r="C1631" s="98"/>
      <c r="D1631" s="98"/>
      <c r="E1631" s="98"/>
      <c r="F1631" s="98"/>
      <c r="G1631" s="99"/>
      <c r="H1631" s="99"/>
      <c r="I1631" s="99"/>
      <c r="J1631" s="99"/>
      <c r="K1631" s="98"/>
      <c r="L1631" s="98"/>
      <c r="M1631" s="98"/>
      <c r="N1631" s="98"/>
      <c r="O1631" s="98"/>
      <c r="P1631" s="98"/>
      <c r="Q1631" s="98"/>
      <c r="R1631" s="98"/>
      <c r="S1631" s="98"/>
      <c r="T1631" s="98"/>
      <c r="U1631" s="98"/>
      <c r="V1631" s="98"/>
      <c r="W1631" s="98"/>
      <c r="X1631" s="98"/>
      <c r="Y1631" s="98"/>
      <c r="Z1631" s="98"/>
      <c r="AA1631" s="98"/>
      <c r="AB1631" s="98"/>
      <c r="AC1631" s="98"/>
      <c r="AD1631" s="98"/>
      <c r="AE1631" s="98"/>
      <c r="AF1631" s="98"/>
      <c r="AG1631" s="98"/>
      <c r="AH1631" s="98"/>
      <c r="AI1631" s="98"/>
      <c r="AJ1631" s="98"/>
      <c r="AK1631" s="98"/>
      <c r="AL1631" s="98"/>
      <c r="AM1631" s="98"/>
    </row>
    <row r="1632" spans="1:39" s="100" customFormat="1" ht="15.6" x14ac:dyDescent="0.3">
      <c r="A1632" s="97"/>
      <c r="B1632" s="98"/>
      <c r="C1632" s="98"/>
      <c r="D1632" s="98"/>
      <c r="E1632" s="98"/>
      <c r="F1632" s="98"/>
      <c r="G1632" s="99"/>
      <c r="H1632" s="99"/>
      <c r="I1632" s="99"/>
      <c r="J1632" s="99"/>
      <c r="K1632" s="98"/>
      <c r="L1632" s="98"/>
      <c r="M1632" s="98"/>
      <c r="N1632" s="98"/>
      <c r="O1632" s="98"/>
      <c r="P1632" s="98"/>
      <c r="Q1632" s="98"/>
      <c r="R1632" s="98"/>
      <c r="S1632" s="98"/>
      <c r="T1632" s="98"/>
      <c r="U1632" s="98"/>
      <c r="V1632" s="98"/>
      <c r="W1632" s="98"/>
      <c r="X1632" s="98"/>
      <c r="Y1632" s="98"/>
      <c r="Z1632" s="98"/>
      <c r="AA1632" s="98"/>
      <c r="AB1632" s="98"/>
      <c r="AC1632" s="98"/>
      <c r="AD1632" s="98"/>
      <c r="AE1632" s="98"/>
      <c r="AF1632" s="98"/>
      <c r="AG1632" s="98"/>
      <c r="AH1632" s="98"/>
      <c r="AI1632" s="98"/>
      <c r="AJ1632" s="98"/>
      <c r="AK1632" s="98"/>
      <c r="AL1632" s="98"/>
      <c r="AM1632" s="98"/>
    </row>
    <row r="1633" spans="1:39" s="100" customFormat="1" ht="15.6" x14ac:dyDescent="0.3">
      <c r="A1633" s="97"/>
      <c r="B1633" s="98"/>
      <c r="C1633" s="98"/>
      <c r="D1633" s="98"/>
      <c r="E1633" s="98"/>
      <c r="F1633" s="98"/>
      <c r="G1633" s="99"/>
      <c r="H1633" s="99"/>
      <c r="I1633" s="99"/>
      <c r="J1633" s="99"/>
      <c r="K1633" s="98"/>
      <c r="L1633" s="98"/>
      <c r="M1633" s="98"/>
      <c r="N1633" s="98"/>
      <c r="O1633" s="98"/>
      <c r="P1633" s="98"/>
      <c r="Q1633" s="98"/>
      <c r="R1633" s="98"/>
      <c r="S1633" s="98"/>
      <c r="T1633" s="98"/>
      <c r="U1633" s="98"/>
      <c r="V1633" s="98"/>
      <c r="W1633" s="98"/>
      <c r="X1633" s="98"/>
      <c r="Y1633" s="98"/>
      <c r="Z1633" s="98"/>
      <c r="AA1633" s="98"/>
      <c r="AB1633" s="98"/>
      <c r="AC1633" s="98"/>
      <c r="AD1633" s="98"/>
      <c r="AE1633" s="98"/>
      <c r="AF1633" s="98"/>
      <c r="AG1633" s="98"/>
      <c r="AH1633" s="98"/>
      <c r="AI1633" s="98"/>
      <c r="AJ1633" s="98"/>
      <c r="AK1633" s="98"/>
      <c r="AL1633" s="98"/>
      <c r="AM1633" s="98"/>
    </row>
    <row r="1634" spans="1:39" s="100" customFormat="1" ht="15.6" x14ac:dyDescent="0.3">
      <c r="A1634" s="97"/>
      <c r="B1634" s="98"/>
      <c r="C1634" s="98"/>
      <c r="D1634" s="98"/>
      <c r="E1634" s="98"/>
      <c r="F1634" s="98"/>
      <c r="G1634" s="99"/>
      <c r="H1634" s="99"/>
      <c r="I1634" s="99"/>
      <c r="J1634" s="99"/>
      <c r="K1634" s="98"/>
      <c r="L1634" s="98"/>
      <c r="M1634" s="98"/>
      <c r="N1634" s="98"/>
      <c r="O1634" s="98"/>
      <c r="P1634" s="98"/>
      <c r="Q1634" s="98"/>
      <c r="R1634" s="98"/>
      <c r="S1634" s="98"/>
      <c r="T1634" s="98"/>
      <c r="U1634" s="98"/>
      <c r="V1634" s="98"/>
      <c r="W1634" s="98"/>
      <c r="X1634" s="98"/>
      <c r="Y1634" s="98"/>
      <c r="Z1634" s="98"/>
      <c r="AA1634" s="98"/>
      <c r="AB1634" s="98"/>
      <c r="AC1634" s="98"/>
      <c r="AD1634" s="98"/>
      <c r="AE1634" s="98"/>
      <c r="AF1634" s="98"/>
      <c r="AG1634" s="98"/>
      <c r="AH1634" s="98"/>
      <c r="AI1634" s="98"/>
      <c r="AJ1634" s="98"/>
      <c r="AK1634" s="98"/>
      <c r="AL1634" s="98"/>
      <c r="AM1634" s="98"/>
    </row>
    <row r="1635" spans="1:39" s="100" customFormat="1" ht="15.6" x14ac:dyDescent="0.3">
      <c r="A1635" s="97"/>
      <c r="B1635" s="98"/>
      <c r="C1635" s="98"/>
      <c r="D1635" s="98"/>
      <c r="E1635" s="98"/>
      <c r="F1635" s="98"/>
      <c r="G1635" s="99"/>
      <c r="H1635" s="99"/>
      <c r="I1635" s="99"/>
      <c r="J1635" s="99"/>
      <c r="K1635" s="98"/>
      <c r="L1635" s="98"/>
      <c r="M1635" s="98"/>
      <c r="N1635" s="98"/>
      <c r="O1635" s="98"/>
      <c r="P1635" s="98"/>
      <c r="Q1635" s="98"/>
      <c r="R1635" s="98"/>
      <c r="S1635" s="98"/>
      <c r="T1635" s="98"/>
      <c r="U1635" s="98"/>
      <c r="V1635" s="98"/>
      <c r="W1635" s="98"/>
      <c r="X1635" s="98"/>
      <c r="Y1635" s="98"/>
      <c r="Z1635" s="98"/>
      <c r="AA1635" s="98"/>
      <c r="AB1635" s="98"/>
      <c r="AC1635" s="98"/>
      <c r="AD1635" s="98"/>
      <c r="AE1635" s="98"/>
      <c r="AF1635" s="98"/>
      <c r="AG1635" s="98"/>
      <c r="AH1635" s="98"/>
      <c r="AI1635" s="98"/>
      <c r="AJ1635" s="98"/>
      <c r="AK1635" s="98"/>
      <c r="AL1635" s="98"/>
      <c r="AM1635" s="98"/>
    </row>
    <row r="1636" spans="1:39" s="100" customFormat="1" ht="15.6" x14ac:dyDescent="0.3">
      <c r="A1636" s="97"/>
      <c r="B1636" s="98"/>
      <c r="C1636" s="98"/>
      <c r="D1636" s="98"/>
      <c r="E1636" s="98"/>
      <c r="F1636" s="98"/>
      <c r="G1636" s="99"/>
      <c r="H1636" s="99"/>
      <c r="I1636" s="99"/>
      <c r="J1636" s="99"/>
      <c r="K1636" s="98"/>
      <c r="L1636" s="98"/>
      <c r="M1636" s="98"/>
      <c r="N1636" s="98"/>
      <c r="O1636" s="98"/>
      <c r="P1636" s="98"/>
      <c r="Q1636" s="98"/>
      <c r="R1636" s="98"/>
      <c r="S1636" s="98"/>
      <c r="T1636" s="98"/>
      <c r="U1636" s="98"/>
      <c r="V1636" s="98"/>
      <c r="W1636" s="98"/>
      <c r="X1636" s="98"/>
      <c r="Y1636" s="98"/>
      <c r="Z1636" s="98"/>
      <c r="AA1636" s="98"/>
      <c r="AB1636" s="98"/>
      <c r="AC1636" s="98"/>
      <c r="AD1636" s="98"/>
      <c r="AE1636" s="98"/>
      <c r="AF1636" s="98"/>
      <c r="AG1636" s="98"/>
      <c r="AH1636" s="98"/>
      <c r="AI1636" s="98"/>
      <c r="AJ1636" s="98"/>
      <c r="AK1636" s="98"/>
      <c r="AL1636" s="98"/>
      <c r="AM1636" s="98"/>
    </row>
    <row r="1637" spans="1:39" s="100" customFormat="1" ht="15.6" x14ac:dyDescent="0.3">
      <c r="A1637" s="97"/>
      <c r="B1637" s="98"/>
      <c r="C1637" s="98"/>
      <c r="D1637" s="98"/>
      <c r="E1637" s="98"/>
      <c r="F1637" s="98"/>
      <c r="G1637" s="99"/>
      <c r="H1637" s="99"/>
      <c r="I1637" s="99"/>
      <c r="J1637" s="99"/>
      <c r="K1637" s="98"/>
      <c r="L1637" s="98"/>
      <c r="M1637" s="98"/>
      <c r="N1637" s="98"/>
      <c r="O1637" s="98"/>
      <c r="P1637" s="98"/>
      <c r="Q1637" s="98"/>
      <c r="R1637" s="98"/>
      <c r="S1637" s="98"/>
      <c r="T1637" s="98"/>
      <c r="U1637" s="98"/>
      <c r="V1637" s="98"/>
      <c r="W1637" s="98"/>
      <c r="X1637" s="98"/>
      <c r="Y1637" s="98"/>
      <c r="Z1637" s="98"/>
      <c r="AA1637" s="98"/>
      <c r="AB1637" s="98"/>
      <c r="AC1637" s="98"/>
      <c r="AD1637" s="98"/>
      <c r="AE1637" s="98"/>
      <c r="AF1637" s="98"/>
      <c r="AG1637" s="98"/>
      <c r="AH1637" s="98"/>
      <c r="AI1637" s="98"/>
      <c r="AJ1637" s="98"/>
      <c r="AK1637" s="98"/>
      <c r="AL1637" s="98"/>
      <c r="AM1637" s="98"/>
    </row>
    <row r="1638" spans="1:39" s="100" customFormat="1" ht="15.6" x14ac:dyDescent="0.3">
      <c r="A1638" s="97"/>
      <c r="B1638" s="98"/>
      <c r="C1638" s="98"/>
      <c r="D1638" s="98"/>
      <c r="E1638" s="98"/>
      <c r="F1638" s="98"/>
      <c r="G1638" s="99"/>
      <c r="H1638" s="99"/>
      <c r="I1638" s="99"/>
      <c r="J1638" s="99"/>
      <c r="K1638" s="98"/>
      <c r="L1638" s="98"/>
      <c r="M1638" s="98"/>
      <c r="N1638" s="98"/>
      <c r="O1638" s="98"/>
      <c r="P1638" s="98"/>
      <c r="Q1638" s="98"/>
      <c r="R1638" s="98"/>
      <c r="S1638" s="98"/>
      <c r="T1638" s="98"/>
      <c r="U1638" s="98"/>
      <c r="V1638" s="98"/>
      <c r="W1638" s="98"/>
      <c r="X1638" s="98"/>
      <c r="Y1638" s="98"/>
      <c r="Z1638" s="98"/>
      <c r="AA1638" s="98"/>
      <c r="AB1638" s="98"/>
      <c r="AC1638" s="98"/>
      <c r="AD1638" s="98"/>
      <c r="AE1638" s="98"/>
      <c r="AF1638" s="98"/>
      <c r="AG1638" s="98"/>
      <c r="AH1638" s="98"/>
      <c r="AI1638" s="98"/>
      <c r="AJ1638" s="98"/>
      <c r="AK1638" s="98"/>
      <c r="AL1638" s="98"/>
      <c r="AM1638" s="98"/>
    </row>
    <row r="1639" spans="1:39" s="100" customFormat="1" ht="15.6" x14ac:dyDescent="0.3">
      <c r="A1639" s="97"/>
      <c r="B1639" s="98"/>
      <c r="C1639" s="98"/>
      <c r="D1639" s="98"/>
      <c r="E1639" s="98"/>
      <c r="F1639" s="98"/>
      <c r="G1639" s="99"/>
      <c r="H1639" s="99"/>
      <c r="I1639" s="99"/>
      <c r="J1639" s="99"/>
      <c r="K1639" s="98"/>
      <c r="L1639" s="98"/>
      <c r="M1639" s="98"/>
      <c r="N1639" s="98"/>
      <c r="O1639" s="98"/>
      <c r="P1639" s="98"/>
      <c r="Q1639" s="98"/>
      <c r="R1639" s="98"/>
      <c r="S1639" s="98"/>
      <c r="T1639" s="98"/>
      <c r="U1639" s="98"/>
      <c r="V1639" s="98"/>
      <c r="W1639" s="98"/>
      <c r="X1639" s="98"/>
      <c r="Y1639" s="98"/>
      <c r="Z1639" s="98"/>
      <c r="AA1639" s="98"/>
      <c r="AB1639" s="98"/>
      <c r="AC1639" s="98"/>
      <c r="AD1639" s="98"/>
      <c r="AE1639" s="98"/>
      <c r="AF1639" s="98"/>
      <c r="AG1639" s="98"/>
      <c r="AH1639" s="98"/>
      <c r="AI1639" s="98"/>
      <c r="AJ1639" s="98"/>
      <c r="AK1639" s="98"/>
      <c r="AL1639" s="98"/>
      <c r="AM1639" s="98"/>
    </row>
    <row r="1640" spans="1:39" s="100" customFormat="1" ht="15.6" x14ac:dyDescent="0.3">
      <c r="A1640" s="97"/>
      <c r="B1640" s="98"/>
      <c r="C1640" s="98"/>
      <c r="D1640" s="98"/>
      <c r="E1640" s="98"/>
      <c r="F1640" s="98"/>
      <c r="G1640" s="99"/>
      <c r="H1640" s="99"/>
      <c r="I1640" s="99"/>
      <c r="J1640" s="99"/>
      <c r="K1640" s="98"/>
      <c r="L1640" s="98"/>
      <c r="M1640" s="98"/>
      <c r="N1640" s="98"/>
      <c r="O1640" s="98"/>
      <c r="P1640" s="98"/>
      <c r="Q1640" s="98"/>
      <c r="R1640" s="98"/>
      <c r="S1640" s="98"/>
      <c r="T1640" s="98"/>
      <c r="U1640" s="98"/>
      <c r="V1640" s="98"/>
      <c r="W1640" s="98"/>
      <c r="X1640" s="98"/>
      <c r="Y1640" s="98"/>
      <c r="Z1640" s="98"/>
      <c r="AA1640" s="98"/>
      <c r="AB1640" s="98"/>
      <c r="AC1640" s="98"/>
      <c r="AD1640" s="98"/>
      <c r="AE1640" s="98"/>
      <c r="AF1640" s="98"/>
      <c r="AG1640" s="98"/>
      <c r="AH1640" s="98"/>
      <c r="AI1640" s="98"/>
      <c r="AJ1640" s="98"/>
      <c r="AK1640" s="98"/>
      <c r="AL1640" s="98"/>
      <c r="AM1640" s="98"/>
    </row>
    <row r="1641" spans="1:39" s="100" customFormat="1" ht="15.6" x14ac:dyDescent="0.3">
      <c r="A1641" s="97"/>
      <c r="B1641" s="98"/>
      <c r="C1641" s="98"/>
      <c r="D1641" s="98"/>
      <c r="E1641" s="98"/>
      <c r="F1641" s="98"/>
      <c r="G1641" s="99"/>
      <c r="H1641" s="99"/>
      <c r="I1641" s="99"/>
      <c r="J1641" s="99"/>
      <c r="K1641" s="98"/>
      <c r="L1641" s="98"/>
      <c r="M1641" s="98"/>
      <c r="N1641" s="98"/>
      <c r="O1641" s="98"/>
      <c r="P1641" s="98"/>
      <c r="Q1641" s="98"/>
      <c r="R1641" s="98"/>
      <c r="S1641" s="98"/>
      <c r="T1641" s="98"/>
      <c r="U1641" s="98"/>
      <c r="V1641" s="98"/>
      <c r="W1641" s="98"/>
      <c r="X1641" s="98"/>
      <c r="Y1641" s="98"/>
      <c r="Z1641" s="98"/>
      <c r="AA1641" s="98"/>
      <c r="AB1641" s="98"/>
      <c r="AC1641" s="98"/>
      <c r="AD1641" s="98"/>
      <c r="AE1641" s="98"/>
      <c r="AF1641" s="98"/>
      <c r="AG1641" s="98"/>
      <c r="AH1641" s="98"/>
      <c r="AI1641" s="98"/>
      <c r="AJ1641" s="98"/>
      <c r="AK1641" s="98"/>
      <c r="AL1641" s="98"/>
      <c r="AM1641" s="98"/>
    </row>
    <row r="1642" spans="1:39" s="100" customFormat="1" ht="15.6" x14ac:dyDescent="0.3">
      <c r="A1642" s="97"/>
      <c r="B1642" s="98"/>
      <c r="C1642" s="98"/>
      <c r="D1642" s="98"/>
      <c r="E1642" s="98"/>
      <c r="F1642" s="98"/>
      <c r="G1642" s="99"/>
      <c r="H1642" s="99"/>
      <c r="I1642" s="99"/>
      <c r="J1642" s="99"/>
      <c r="K1642" s="98"/>
      <c r="L1642" s="98"/>
      <c r="M1642" s="98"/>
      <c r="N1642" s="98"/>
      <c r="O1642" s="98"/>
      <c r="P1642" s="98"/>
      <c r="Q1642" s="98"/>
      <c r="R1642" s="98"/>
      <c r="S1642" s="98"/>
      <c r="T1642" s="98"/>
      <c r="U1642" s="98"/>
      <c r="V1642" s="98"/>
      <c r="W1642" s="98"/>
      <c r="X1642" s="98"/>
      <c r="Y1642" s="98"/>
      <c r="Z1642" s="98"/>
      <c r="AA1642" s="98"/>
      <c r="AB1642" s="98"/>
      <c r="AC1642" s="98"/>
      <c r="AD1642" s="98"/>
      <c r="AE1642" s="98"/>
      <c r="AF1642" s="98"/>
      <c r="AG1642" s="98"/>
      <c r="AH1642" s="98"/>
      <c r="AI1642" s="98"/>
      <c r="AJ1642" s="98"/>
      <c r="AK1642" s="98"/>
      <c r="AL1642" s="98"/>
      <c r="AM1642" s="98"/>
    </row>
    <row r="1643" spans="1:39" s="100" customFormat="1" ht="15.6" x14ac:dyDescent="0.3">
      <c r="A1643" s="97"/>
      <c r="B1643" s="98"/>
      <c r="C1643" s="98"/>
      <c r="D1643" s="98"/>
      <c r="E1643" s="98"/>
      <c r="F1643" s="98"/>
      <c r="G1643" s="99"/>
      <c r="H1643" s="99"/>
      <c r="I1643" s="99"/>
      <c r="J1643" s="99"/>
      <c r="K1643" s="98"/>
      <c r="L1643" s="98"/>
      <c r="M1643" s="98"/>
      <c r="N1643" s="98"/>
      <c r="O1643" s="98"/>
      <c r="P1643" s="98"/>
      <c r="Q1643" s="98"/>
      <c r="R1643" s="98"/>
      <c r="S1643" s="98"/>
      <c r="T1643" s="98"/>
      <c r="U1643" s="98"/>
      <c r="V1643" s="98"/>
      <c r="W1643" s="98"/>
      <c r="X1643" s="98"/>
      <c r="Y1643" s="98"/>
      <c r="Z1643" s="98"/>
      <c r="AA1643" s="98"/>
      <c r="AB1643" s="98"/>
      <c r="AC1643" s="98"/>
      <c r="AD1643" s="98"/>
      <c r="AE1643" s="98"/>
      <c r="AF1643" s="98"/>
      <c r="AG1643" s="98"/>
      <c r="AH1643" s="98"/>
      <c r="AI1643" s="98"/>
      <c r="AJ1643" s="98"/>
      <c r="AK1643" s="98"/>
      <c r="AL1643" s="98"/>
      <c r="AM1643" s="98"/>
    </row>
    <row r="1644" spans="1:39" s="100" customFormat="1" ht="15.6" x14ac:dyDescent="0.3">
      <c r="A1644" s="97"/>
      <c r="B1644" s="98"/>
      <c r="C1644" s="98"/>
      <c r="D1644" s="98"/>
      <c r="E1644" s="98"/>
      <c r="F1644" s="98"/>
      <c r="G1644" s="99"/>
      <c r="H1644" s="99"/>
      <c r="I1644" s="99"/>
      <c r="J1644" s="99"/>
      <c r="K1644" s="98"/>
      <c r="L1644" s="98"/>
      <c r="M1644" s="98"/>
      <c r="N1644" s="98"/>
      <c r="O1644" s="98"/>
      <c r="P1644" s="98"/>
      <c r="Q1644" s="98"/>
      <c r="R1644" s="98"/>
      <c r="S1644" s="98"/>
      <c r="T1644" s="98"/>
      <c r="U1644" s="98"/>
      <c r="V1644" s="98"/>
      <c r="W1644" s="98"/>
      <c r="X1644" s="98"/>
      <c r="Y1644" s="98"/>
      <c r="Z1644" s="98"/>
      <c r="AA1644" s="98"/>
      <c r="AB1644" s="98"/>
      <c r="AC1644" s="98"/>
      <c r="AD1644" s="98"/>
      <c r="AE1644" s="98"/>
      <c r="AF1644" s="98"/>
      <c r="AG1644" s="98"/>
      <c r="AH1644" s="98"/>
      <c r="AI1644" s="98"/>
      <c r="AJ1644" s="98"/>
      <c r="AK1644" s="98"/>
      <c r="AL1644" s="98"/>
      <c r="AM1644" s="98"/>
    </row>
    <row r="1645" spans="1:39" s="100" customFormat="1" ht="15.6" x14ac:dyDescent="0.3">
      <c r="A1645" s="97"/>
      <c r="B1645" s="98"/>
      <c r="C1645" s="98"/>
      <c r="D1645" s="98"/>
      <c r="E1645" s="98"/>
      <c r="F1645" s="98"/>
      <c r="G1645" s="99"/>
      <c r="H1645" s="99"/>
      <c r="I1645" s="99"/>
      <c r="J1645" s="99"/>
      <c r="K1645" s="98"/>
      <c r="L1645" s="98"/>
      <c r="M1645" s="98"/>
      <c r="N1645" s="98"/>
      <c r="O1645" s="98"/>
      <c r="P1645" s="98"/>
      <c r="Q1645" s="98"/>
      <c r="R1645" s="98"/>
      <c r="S1645" s="98"/>
      <c r="T1645" s="98"/>
      <c r="U1645" s="98"/>
      <c r="V1645" s="98"/>
      <c r="W1645" s="98"/>
      <c r="X1645" s="98"/>
      <c r="Y1645" s="98"/>
      <c r="Z1645" s="98"/>
      <c r="AA1645" s="98"/>
      <c r="AB1645" s="98"/>
      <c r="AC1645" s="98"/>
      <c r="AD1645" s="98"/>
      <c r="AE1645" s="98"/>
      <c r="AF1645" s="98"/>
      <c r="AG1645" s="98"/>
      <c r="AH1645" s="98"/>
      <c r="AI1645" s="98"/>
      <c r="AJ1645" s="98"/>
      <c r="AK1645" s="98"/>
      <c r="AL1645" s="98"/>
      <c r="AM1645" s="98"/>
    </row>
    <row r="1646" spans="1:39" s="100" customFormat="1" ht="15.6" x14ac:dyDescent="0.3">
      <c r="A1646" s="97"/>
      <c r="B1646" s="98"/>
      <c r="C1646" s="98"/>
      <c r="D1646" s="98"/>
      <c r="E1646" s="98"/>
      <c r="F1646" s="98"/>
      <c r="G1646" s="99"/>
      <c r="H1646" s="99"/>
      <c r="I1646" s="99"/>
      <c r="J1646" s="99"/>
      <c r="K1646" s="98"/>
      <c r="L1646" s="98"/>
      <c r="M1646" s="98"/>
      <c r="N1646" s="98"/>
      <c r="O1646" s="98"/>
      <c r="P1646" s="98"/>
      <c r="Q1646" s="98"/>
      <c r="R1646" s="98"/>
      <c r="S1646" s="98"/>
      <c r="T1646" s="98"/>
      <c r="U1646" s="98"/>
      <c r="V1646" s="98"/>
      <c r="W1646" s="98"/>
      <c r="X1646" s="98"/>
      <c r="Y1646" s="98"/>
      <c r="Z1646" s="98"/>
      <c r="AA1646" s="98"/>
      <c r="AB1646" s="98"/>
      <c r="AC1646" s="98"/>
      <c r="AD1646" s="98"/>
      <c r="AE1646" s="98"/>
      <c r="AF1646" s="98"/>
      <c r="AG1646" s="98"/>
      <c r="AH1646" s="98"/>
      <c r="AI1646" s="98"/>
      <c r="AJ1646" s="98"/>
      <c r="AK1646" s="98"/>
      <c r="AL1646" s="98"/>
      <c r="AM1646" s="98"/>
    </row>
    <row r="1647" spans="1:39" s="100" customFormat="1" ht="15.6" x14ac:dyDescent="0.3">
      <c r="A1647" s="97"/>
      <c r="B1647" s="98"/>
      <c r="C1647" s="98"/>
      <c r="D1647" s="98"/>
      <c r="E1647" s="98"/>
      <c r="F1647" s="98"/>
      <c r="G1647" s="99"/>
      <c r="H1647" s="99"/>
      <c r="I1647" s="99"/>
      <c r="J1647" s="99"/>
      <c r="K1647" s="98"/>
      <c r="L1647" s="98"/>
      <c r="M1647" s="98"/>
      <c r="N1647" s="98"/>
      <c r="O1647" s="98"/>
      <c r="P1647" s="98"/>
      <c r="Q1647" s="98"/>
      <c r="R1647" s="98"/>
      <c r="S1647" s="98"/>
      <c r="T1647" s="98"/>
      <c r="U1647" s="98"/>
      <c r="V1647" s="98"/>
      <c r="W1647" s="98"/>
      <c r="X1647" s="98"/>
      <c r="Y1647" s="98"/>
      <c r="Z1647" s="98"/>
      <c r="AA1647" s="98"/>
      <c r="AB1647" s="98"/>
      <c r="AC1647" s="98"/>
      <c r="AD1647" s="98"/>
      <c r="AE1647" s="98"/>
      <c r="AF1647" s="98"/>
      <c r="AG1647" s="98"/>
      <c r="AH1647" s="98"/>
      <c r="AI1647" s="98"/>
      <c r="AJ1647" s="98"/>
      <c r="AK1647" s="98"/>
      <c r="AL1647" s="98"/>
      <c r="AM1647" s="98"/>
    </row>
    <row r="1648" spans="1:39" s="100" customFormat="1" ht="15.6" x14ac:dyDescent="0.3">
      <c r="A1648" s="97"/>
      <c r="B1648" s="98"/>
      <c r="C1648" s="98"/>
      <c r="D1648" s="98"/>
      <c r="E1648" s="98"/>
      <c r="F1648" s="98"/>
      <c r="G1648" s="99"/>
      <c r="H1648" s="99"/>
      <c r="I1648" s="99"/>
      <c r="J1648" s="99"/>
      <c r="K1648" s="98"/>
      <c r="L1648" s="98"/>
      <c r="M1648" s="98"/>
      <c r="N1648" s="98"/>
      <c r="O1648" s="98"/>
      <c r="P1648" s="98"/>
      <c r="Q1648" s="98"/>
      <c r="R1648" s="98"/>
      <c r="S1648" s="98"/>
      <c r="T1648" s="98"/>
      <c r="U1648" s="98"/>
      <c r="V1648" s="98"/>
      <c r="W1648" s="98"/>
      <c r="X1648" s="98"/>
      <c r="Y1648" s="98"/>
      <c r="Z1648" s="98"/>
      <c r="AA1648" s="98"/>
      <c r="AB1648" s="98"/>
      <c r="AC1648" s="98"/>
      <c r="AD1648" s="98"/>
      <c r="AE1648" s="98"/>
      <c r="AF1648" s="98"/>
      <c r="AG1648" s="98"/>
      <c r="AH1648" s="98"/>
      <c r="AI1648" s="98"/>
      <c r="AJ1648" s="98"/>
      <c r="AK1648" s="98"/>
      <c r="AL1648" s="98"/>
      <c r="AM1648" s="98"/>
    </row>
    <row r="1649" spans="1:39" s="100" customFormat="1" ht="15.6" x14ac:dyDescent="0.3">
      <c r="A1649" s="97"/>
      <c r="B1649" s="98"/>
      <c r="C1649" s="98"/>
      <c r="D1649" s="98"/>
      <c r="E1649" s="98"/>
      <c r="F1649" s="98"/>
      <c r="G1649" s="99"/>
      <c r="H1649" s="99"/>
      <c r="I1649" s="99"/>
      <c r="J1649" s="99"/>
      <c r="K1649" s="98"/>
      <c r="L1649" s="98"/>
      <c r="M1649" s="98"/>
      <c r="N1649" s="98"/>
      <c r="O1649" s="98"/>
      <c r="P1649" s="98"/>
      <c r="Q1649" s="98"/>
      <c r="R1649" s="98"/>
      <c r="S1649" s="98"/>
      <c r="T1649" s="98"/>
      <c r="U1649" s="98"/>
      <c r="V1649" s="98"/>
      <c r="W1649" s="98"/>
      <c r="X1649" s="98"/>
      <c r="Y1649" s="98"/>
      <c r="Z1649" s="98"/>
      <c r="AA1649" s="98"/>
      <c r="AB1649" s="98"/>
      <c r="AC1649" s="98"/>
      <c r="AD1649" s="98"/>
      <c r="AE1649" s="98"/>
      <c r="AF1649" s="98"/>
      <c r="AG1649" s="98"/>
      <c r="AH1649" s="98"/>
      <c r="AI1649" s="98"/>
      <c r="AJ1649" s="98"/>
      <c r="AK1649" s="98"/>
      <c r="AL1649" s="98"/>
      <c r="AM1649" s="98"/>
    </row>
    <row r="1650" spans="1:39" s="100" customFormat="1" ht="15.6" x14ac:dyDescent="0.3">
      <c r="A1650" s="97"/>
      <c r="B1650" s="98"/>
      <c r="C1650" s="98"/>
      <c r="D1650" s="98"/>
      <c r="E1650" s="98"/>
      <c r="F1650" s="98"/>
      <c r="G1650" s="99"/>
      <c r="H1650" s="99"/>
      <c r="I1650" s="99"/>
      <c r="J1650" s="99"/>
      <c r="K1650" s="98"/>
      <c r="L1650" s="98"/>
      <c r="M1650" s="98"/>
      <c r="N1650" s="98"/>
      <c r="O1650" s="98"/>
      <c r="P1650" s="98"/>
      <c r="Q1650" s="98"/>
      <c r="R1650" s="98"/>
      <c r="S1650" s="98"/>
      <c r="T1650" s="98"/>
      <c r="U1650" s="98"/>
      <c r="V1650" s="98"/>
      <c r="W1650" s="98"/>
      <c r="X1650" s="98"/>
      <c r="Y1650" s="98"/>
      <c r="Z1650" s="98"/>
      <c r="AA1650" s="98"/>
      <c r="AB1650" s="98"/>
      <c r="AC1650" s="98"/>
      <c r="AD1650" s="98"/>
      <c r="AE1650" s="98"/>
      <c r="AF1650" s="98"/>
      <c r="AG1650" s="98"/>
      <c r="AH1650" s="98"/>
      <c r="AI1650" s="98"/>
      <c r="AJ1650" s="98"/>
      <c r="AK1650" s="98"/>
      <c r="AL1650" s="98"/>
      <c r="AM1650" s="98"/>
    </row>
    <row r="1651" spans="1:39" s="100" customFormat="1" ht="15.6" x14ac:dyDescent="0.3">
      <c r="A1651" s="97"/>
      <c r="B1651" s="98"/>
      <c r="C1651" s="98"/>
      <c r="D1651" s="98"/>
      <c r="E1651" s="98"/>
      <c r="F1651" s="98"/>
      <c r="G1651" s="99"/>
      <c r="H1651" s="99"/>
      <c r="I1651" s="99"/>
      <c r="J1651" s="99"/>
      <c r="K1651" s="98"/>
      <c r="L1651" s="98"/>
      <c r="M1651" s="98"/>
      <c r="N1651" s="98"/>
      <c r="O1651" s="98"/>
      <c r="P1651" s="98"/>
      <c r="Q1651" s="98"/>
      <c r="R1651" s="98"/>
      <c r="S1651" s="98"/>
      <c r="T1651" s="98"/>
      <c r="U1651" s="98"/>
      <c r="V1651" s="98"/>
      <c r="W1651" s="98"/>
      <c r="X1651" s="98"/>
      <c r="Y1651" s="98"/>
      <c r="Z1651" s="98"/>
      <c r="AA1651" s="98"/>
      <c r="AB1651" s="98"/>
      <c r="AC1651" s="98"/>
      <c r="AD1651" s="98"/>
      <c r="AE1651" s="98"/>
      <c r="AF1651" s="98"/>
      <c r="AG1651" s="98"/>
      <c r="AH1651" s="98"/>
      <c r="AI1651" s="98"/>
      <c r="AJ1651" s="98"/>
      <c r="AK1651" s="98"/>
      <c r="AL1651" s="98"/>
      <c r="AM1651" s="98"/>
    </row>
    <row r="1652" spans="1:39" s="100" customFormat="1" ht="15.6" x14ac:dyDescent="0.3">
      <c r="A1652" s="97"/>
      <c r="B1652" s="98"/>
      <c r="C1652" s="98"/>
      <c r="D1652" s="98"/>
      <c r="E1652" s="98"/>
      <c r="F1652" s="98"/>
      <c r="G1652" s="99"/>
      <c r="H1652" s="99"/>
      <c r="I1652" s="99"/>
      <c r="J1652" s="99"/>
      <c r="K1652" s="98"/>
      <c r="L1652" s="98"/>
      <c r="M1652" s="98"/>
      <c r="N1652" s="98"/>
      <c r="O1652" s="98"/>
      <c r="P1652" s="98"/>
      <c r="Q1652" s="98"/>
      <c r="R1652" s="98"/>
      <c r="S1652" s="98"/>
      <c r="T1652" s="98"/>
      <c r="U1652" s="98"/>
      <c r="V1652" s="98"/>
      <c r="W1652" s="98"/>
      <c r="X1652" s="98"/>
      <c r="Y1652" s="98"/>
      <c r="Z1652" s="98"/>
      <c r="AA1652" s="98"/>
      <c r="AB1652" s="98"/>
      <c r="AC1652" s="98"/>
      <c r="AD1652" s="98"/>
      <c r="AE1652" s="98"/>
      <c r="AF1652" s="98"/>
      <c r="AG1652" s="98"/>
      <c r="AH1652" s="98"/>
      <c r="AI1652" s="98"/>
      <c r="AJ1652" s="98"/>
      <c r="AK1652" s="98"/>
      <c r="AL1652" s="98"/>
      <c r="AM1652" s="98"/>
    </row>
    <row r="1653" spans="1:39" s="100" customFormat="1" ht="15.6" x14ac:dyDescent="0.3">
      <c r="A1653" s="97"/>
      <c r="B1653" s="98"/>
      <c r="C1653" s="98"/>
      <c r="D1653" s="98"/>
      <c r="E1653" s="98"/>
      <c r="F1653" s="98"/>
      <c r="G1653" s="99"/>
      <c r="H1653" s="99"/>
      <c r="I1653" s="99"/>
      <c r="J1653" s="99"/>
      <c r="K1653" s="98"/>
      <c r="L1653" s="98"/>
      <c r="M1653" s="98"/>
      <c r="N1653" s="98"/>
      <c r="O1653" s="98"/>
      <c r="P1653" s="98"/>
      <c r="Q1653" s="98"/>
      <c r="R1653" s="98"/>
      <c r="S1653" s="98"/>
      <c r="T1653" s="98"/>
      <c r="U1653" s="98"/>
      <c r="V1653" s="98"/>
      <c r="W1653" s="98"/>
      <c r="X1653" s="98"/>
      <c r="Y1653" s="98"/>
      <c r="Z1653" s="98"/>
      <c r="AA1653" s="98"/>
      <c r="AB1653" s="98"/>
      <c r="AC1653" s="98"/>
      <c r="AD1653" s="98"/>
      <c r="AE1653" s="98"/>
      <c r="AF1653" s="98"/>
      <c r="AG1653" s="98"/>
      <c r="AH1653" s="98"/>
      <c r="AI1653" s="98"/>
      <c r="AJ1653" s="98"/>
      <c r="AK1653" s="98"/>
      <c r="AL1653" s="98"/>
      <c r="AM1653" s="98"/>
    </row>
    <row r="1654" spans="1:39" s="100" customFormat="1" ht="15.6" x14ac:dyDescent="0.3">
      <c r="A1654" s="97"/>
      <c r="B1654" s="98"/>
      <c r="C1654" s="98"/>
      <c r="D1654" s="98"/>
      <c r="E1654" s="98"/>
      <c r="F1654" s="98"/>
      <c r="G1654" s="99"/>
      <c r="H1654" s="99"/>
      <c r="I1654" s="99"/>
      <c r="J1654" s="99"/>
      <c r="K1654" s="98"/>
      <c r="L1654" s="98"/>
      <c r="M1654" s="98"/>
      <c r="N1654" s="98"/>
      <c r="O1654" s="98"/>
      <c r="P1654" s="98"/>
      <c r="Q1654" s="98"/>
      <c r="R1654" s="98"/>
      <c r="S1654" s="98"/>
      <c r="T1654" s="98"/>
      <c r="U1654" s="98"/>
      <c r="V1654" s="98"/>
      <c r="W1654" s="98"/>
      <c r="X1654" s="98"/>
      <c r="Y1654" s="98"/>
      <c r="Z1654" s="98"/>
      <c r="AA1654" s="98"/>
      <c r="AB1654" s="98"/>
      <c r="AC1654" s="98"/>
      <c r="AD1654" s="98"/>
      <c r="AE1654" s="98"/>
      <c r="AF1654" s="98"/>
      <c r="AG1654" s="98"/>
      <c r="AH1654" s="98"/>
      <c r="AI1654" s="98"/>
      <c r="AJ1654" s="98"/>
      <c r="AK1654" s="98"/>
      <c r="AL1654" s="98"/>
      <c r="AM1654" s="98"/>
    </row>
    <row r="1655" spans="1:39" s="100" customFormat="1" ht="15.6" x14ac:dyDescent="0.3">
      <c r="A1655" s="97"/>
      <c r="B1655" s="98"/>
      <c r="C1655" s="98"/>
      <c r="D1655" s="98"/>
      <c r="E1655" s="98"/>
      <c r="F1655" s="98"/>
      <c r="G1655" s="99"/>
      <c r="H1655" s="99"/>
      <c r="I1655" s="99"/>
      <c r="J1655" s="99"/>
      <c r="K1655" s="98"/>
      <c r="L1655" s="98"/>
      <c r="M1655" s="98"/>
      <c r="N1655" s="98"/>
      <c r="O1655" s="98"/>
      <c r="P1655" s="98"/>
      <c r="Q1655" s="98"/>
      <c r="R1655" s="98"/>
      <c r="S1655" s="98"/>
      <c r="T1655" s="98"/>
      <c r="U1655" s="98"/>
      <c r="V1655" s="98"/>
      <c r="W1655" s="98"/>
      <c r="X1655" s="98"/>
      <c r="Y1655" s="98"/>
      <c r="Z1655" s="98"/>
      <c r="AA1655" s="98"/>
      <c r="AB1655" s="98"/>
      <c r="AC1655" s="98"/>
      <c r="AD1655" s="98"/>
      <c r="AE1655" s="98"/>
      <c r="AF1655" s="98"/>
      <c r="AG1655" s="98"/>
      <c r="AH1655" s="98"/>
      <c r="AI1655" s="98"/>
      <c r="AJ1655" s="98"/>
      <c r="AK1655" s="98"/>
      <c r="AL1655" s="98"/>
      <c r="AM1655" s="98"/>
    </row>
    <row r="1656" spans="1:39" s="100" customFormat="1" ht="15.6" x14ac:dyDescent="0.3">
      <c r="A1656" s="97"/>
      <c r="B1656" s="98"/>
      <c r="C1656" s="98"/>
      <c r="D1656" s="98"/>
      <c r="E1656" s="98"/>
      <c r="F1656" s="98"/>
      <c r="G1656" s="99"/>
      <c r="H1656" s="99"/>
      <c r="I1656" s="99"/>
      <c r="J1656" s="99"/>
      <c r="K1656" s="98"/>
      <c r="L1656" s="98"/>
      <c r="M1656" s="98"/>
      <c r="N1656" s="98"/>
      <c r="O1656" s="98"/>
      <c r="P1656" s="98"/>
      <c r="Q1656" s="98"/>
      <c r="R1656" s="98"/>
      <c r="S1656" s="98"/>
      <c r="T1656" s="98"/>
      <c r="U1656" s="98"/>
      <c r="V1656" s="98"/>
      <c r="W1656" s="98"/>
      <c r="X1656" s="98"/>
      <c r="Y1656" s="98"/>
      <c r="Z1656" s="98"/>
      <c r="AA1656" s="98"/>
      <c r="AB1656" s="98"/>
      <c r="AC1656" s="98"/>
      <c r="AD1656" s="98"/>
      <c r="AE1656" s="98"/>
      <c r="AF1656" s="98"/>
      <c r="AG1656" s="98"/>
      <c r="AH1656" s="98"/>
      <c r="AI1656" s="98"/>
      <c r="AJ1656" s="98"/>
      <c r="AK1656" s="98"/>
      <c r="AL1656" s="98"/>
      <c r="AM1656" s="98"/>
    </row>
    <row r="1657" spans="1:39" s="100" customFormat="1" ht="15.6" x14ac:dyDescent="0.3">
      <c r="A1657" s="97"/>
      <c r="B1657" s="98"/>
      <c r="C1657" s="98"/>
      <c r="D1657" s="98"/>
      <c r="E1657" s="98"/>
      <c r="F1657" s="98"/>
      <c r="G1657" s="99"/>
      <c r="H1657" s="99"/>
      <c r="I1657" s="99"/>
      <c r="J1657" s="99"/>
      <c r="K1657" s="98"/>
      <c r="L1657" s="98"/>
      <c r="M1657" s="98"/>
      <c r="N1657" s="98"/>
      <c r="O1657" s="98"/>
      <c r="P1657" s="98"/>
      <c r="Q1657" s="98"/>
      <c r="R1657" s="98"/>
      <c r="S1657" s="98"/>
      <c r="T1657" s="98"/>
      <c r="U1657" s="98"/>
      <c r="V1657" s="98"/>
      <c r="W1657" s="98"/>
      <c r="X1657" s="98"/>
      <c r="Y1657" s="98"/>
      <c r="Z1657" s="98"/>
      <c r="AA1657" s="98"/>
      <c r="AB1657" s="98"/>
      <c r="AC1657" s="98"/>
      <c r="AD1657" s="98"/>
      <c r="AE1657" s="98"/>
      <c r="AF1657" s="98"/>
      <c r="AG1657" s="98"/>
      <c r="AH1657" s="98"/>
      <c r="AI1657" s="98"/>
      <c r="AJ1657" s="98"/>
      <c r="AK1657" s="98"/>
      <c r="AL1657" s="98"/>
      <c r="AM1657" s="98"/>
    </row>
    <row r="1658" spans="1:39" s="100" customFormat="1" ht="15.6" x14ac:dyDescent="0.3">
      <c r="A1658" s="97"/>
      <c r="B1658" s="98"/>
      <c r="C1658" s="98"/>
      <c r="D1658" s="98"/>
      <c r="E1658" s="98"/>
      <c r="F1658" s="98"/>
      <c r="G1658" s="99"/>
      <c r="H1658" s="99"/>
      <c r="I1658" s="99"/>
      <c r="J1658" s="99"/>
      <c r="K1658" s="98"/>
      <c r="L1658" s="98"/>
      <c r="M1658" s="98"/>
      <c r="N1658" s="98"/>
      <c r="O1658" s="98"/>
      <c r="P1658" s="98"/>
      <c r="Q1658" s="98"/>
      <c r="R1658" s="98"/>
      <c r="S1658" s="98"/>
      <c r="T1658" s="98"/>
      <c r="U1658" s="98"/>
      <c r="V1658" s="98"/>
      <c r="W1658" s="98"/>
      <c r="X1658" s="98"/>
      <c r="Y1658" s="98"/>
      <c r="Z1658" s="98"/>
      <c r="AA1658" s="98"/>
      <c r="AB1658" s="98"/>
      <c r="AC1658" s="98"/>
      <c r="AD1658" s="98"/>
      <c r="AE1658" s="98"/>
      <c r="AF1658" s="98"/>
      <c r="AG1658" s="98"/>
      <c r="AH1658" s="98"/>
      <c r="AI1658" s="98"/>
      <c r="AJ1658" s="98"/>
      <c r="AK1658" s="98"/>
      <c r="AL1658" s="98"/>
      <c r="AM1658" s="98"/>
    </row>
    <row r="1659" spans="1:39" s="100" customFormat="1" ht="15.6" x14ac:dyDescent="0.3">
      <c r="A1659" s="97"/>
      <c r="B1659" s="98"/>
      <c r="C1659" s="98"/>
      <c r="D1659" s="98"/>
      <c r="E1659" s="98"/>
      <c r="F1659" s="98"/>
      <c r="G1659" s="99"/>
      <c r="H1659" s="99"/>
      <c r="I1659" s="99"/>
      <c r="J1659" s="99"/>
      <c r="K1659" s="98"/>
      <c r="L1659" s="98"/>
      <c r="M1659" s="98"/>
      <c r="N1659" s="98"/>
      <c r="O1659" s="98"/>
      <c r="P1659" s="98"/>
      <c r="Q1659" s="98"/>
      <c r="R1659" s="98"/>
      <c r="S1659" s="98"/>
      <c r="T1659" s="98"/>
      <c r="U1659" s="98"/>
      <c r="V1659" s="98"/>
      <c r="W1659" s="98"/>
      <c r="X1659" s="98"/>
      <c r="Y1659" s="98"/>
      <c r="Z1659" s="98"/>
      <c r="AA1659" s="98"/>
      <c r="AB1659" s="98"/>
      <c r="AC1659" s="98"/>
      <c r="AD1659" s="98"/>
      <c r="AE1659" s="98"/>
      <c r="AF1659" s="98"/>
      <c r="AG1659" s="98"/>
      <c r="AH1659" s="98"/>
      <c r="AI1659" s="98"/>
      <c r="AJ1659" s="98"/>
      <c r="AK1659" s="98"/>
      <c r="AL1659" s="98"/>
      <c r="AM1659" s="98"/>
    </row>
    <row r="1660" spans="1:39" s="100" customFormat="1" ht="15.6" x14ac:dyDescent="0.3">
      <c r="A1660" s="97"/>
      <c r="B1660" s="98"/>
      <c r="C1660" s="98"/>
      <c r="D1660" s="98"/>
      <c r="E1660" s="98"/>
      <c r="F1660" s="98"/>
      <c r="G1660" s="99"/>
      <c r="H1660" s="99"/>
      <c r="I1660" s="99"/>
      <c r="J1660" s="99"/>
      <c r="K1660" s="98"/>
      <c r="L1660" s="98"/>
      <c r="M1660" s="98"/>
      <c r="N1660" s="98"/>
      <c r="O1660" s="98"/>
      <c r="P1660" s="98"/>
      <c r="Q1660" s="98"/>
      <c r="R1660" s="98"/>
      <c r="S1660" s="98"/>
      <c r="T1660" s="98"/>
      <c r="U1660" s="98"/>
      <c r="V1660" s="98"/>
      <c r="W1660" s="98"/>
      <c r="X1660" s="98"/>
      <c r="Y1660" s="98"/>
      <c r="Z1660" s="98"/>
      <c r="AA1660" s="98"/>
      <c r="AB1660" s="98"/>
      <c r="AC1660" s="98"/>
      <c r="AD1660" s="98"/>
      <c r="AE1660" s="98"/>
      <c r="AF1660" s="98"/>
      <c r="AG1660" s="98"/>
      <c r="AH1660" s="98"/>
      <c r="AI1660" s="98"/>
      <c r="AJ1660" s="98"/>
      <c r="AK1660" s="98"/>
      <c r="AL1660" s="98"/>
      <c r="AM1660" s="98"/>
    </row>
    <row r="1661" spans="1:39" s="100" customFormat="1" ht="15.6" x14ac:dyDescent="0.3">
      <c r="A1661" s="97"/>
      <c r="B1661" s="98"/>
      <c r="C1661" s="98"/>
      <c r="D1661" s="98"/>
      <c r="E1661" s="98"/>
      <c r="F1661" s="98"/>
      <c r="G1661" s="99"/>
      <c r="H1661" s="99"/>
      <c r="I1661" s="99"/>
      <c r="J1661" s="99"/>
      <c r="K1661" s="98"/>
      <c r="L1661" s="98"/>
      <c r="M1661" s="98"/>
      <c r="N1661" s="98"/>
      <c r="O1661" s="98"/>
      <c r="P1661" s="98"/>
      <c r="Q1661" s="98"/>
      <c r="R1661" s="98"/>
      <c r="S1661" s="98"/>
      <c r="T1661" s="98"/>
      <c r="U1661" s="98"/>
      <c r="V1661" s="98"/>
      <c r="W1661" s="98"/>
      <c r="X1661" s="98"/>
      <c r="Y1661" s="98"/>
      <c r="Z1661" s="98"/>
      <c r="AA1661" s="98"/>
      <c r="AB1661" s="98"/>
      <c r="AC1661" s="98"/>
      <c r="AD1661" s="98"/>
      <c r="AE1661" s="98"/>
      <c r="AF1661" s="98"/>
      <c r="AG1661" s="98"/>
      <c r="AH1661" s="98"/>
      <c r="AI1661" s="98"/>
      <c r="AJ1661" s="98"/>
      <c r="AK1661" s="98"/>
      <c r="AL1661" s="98"/>
      <c r="AM1661" s="98"/>
    </row>
    <row r="1662" spans="1:39" s="100" customFormat="1" ht="15.6" x14ac:dyDescent="0.3">
      <c r="A1662" s="97"/>
      <c r="B1662" s="98"/>
      <c r="C1662" s="98"/>
      <c r="D1662" s="98"/>
      <c r="E1662" s="98"/>
      <c r="F1662" s="98"/>
      <c r="G1662" s="99"/>
      <c r="H1662" s="99"/>
      <c r="I1662" s="99"/>
      <c r="J1662" s="99"/>
      <c r="K1662" s="98"/>
      <c r="L1662" s="98"/>
      <c r="M1662" s="98"/>
      <c r="N1662" s="98"/>
      <c r="O1662" s="98"/>
      <c r="P1662" s="98"/>
      <c r="Q1662" s="98"/>
      <c r="R1662" s="98"/>
      <c r="S1662" s="98"/>
      <c r="T1662" s="98"/>
      <c r="U1662" s="98"/>
      <c r="V1662" s="98"/>
      <c r="W1662" s="98"/>
      <c r="X1662" s="98"/>
      <c r="Y1662" s="98"/>
      <c r="Z1662" s="98"/>
      <c r="AA1662" s="98"/>
      <c r="AB1662" s="98"/>
      <c r="AC1662" s="98"/>
      <c r="AD1662" s="98"/>
      <c r="AE1662" s="98"/>
      <c r="AF1662" s="98"/>
      <c r="AG1662" s="98"/>
      <c r="AH1662" s="98"/>
      <c r="AI1662" s="98"/>
      <c r="AJ1662" s="98"/>
      <c r="AK1662" s="98"/>
      <c r="AL1662" s="98"/>
      <c r="AM1662" s="98"/>
    </row>
    <row r="1663" spans="1:39" s="100" customFormat="1" ht="15.6" x14ac:dyDescent="0.3">
      <c r="A1663" s="97"/>
      <c r="B1663" s="98"/>
      <c r="C1663" s="98"/>
      <c r="D1663" s="98"/>
      <c r="E1663" s="98"/>
      <c r="F1663" s="98"/>
      <c r="G1663" s="99"/>
      <c r="H1663" s="99"/>
      <c r="I1663" s="99"/>
      <c r="J1663" s="99"/>
      <c r="K1663" s="98"/>
      <c r="L1663" s="98"/>
      <c r="M1663" s="98"/>
      <c r="N1663" s="98"/>
      <c r="O1663" s="98"/>
      <c r="P1663" s="98"/>
      <c r="Q1663" s="98"/>
      <c r="R1663" s="98"/>
      <c r="S1663" s="98"/>
      <c r="T1663" s="98"/>
      <c r="U1663" s="98"/>
      <c r="V1663" s="98"/>
      <c r="W1663" s="98"/>
      <c r="X1663" s="98"/>
      <c r="Y1663" s="98"/>
      <c r="Z1663" s="98"/>
      <c r="AA1663" s="98"/>
      <c r="AB1663" s="98"/>
      <c r="AC1663" s="98"/>
      <c r="AD1663" s="98"/>
      <c r="AE1663" s="98"/>
      <c r="AF1663" s="98"/>
      <c r="AG1663" s="98"/>
      <c r="AH1663" s="98"/>
      <c r="AI1663" s="98"/>
      <c r="AJ1663" s="98"/>
      <c r="AK1663" s="98"/>
      <c r="AL1663" s="98"/>
      <c r="AM1663" s="98"/>
    </row>
    <row r="1664" spans="1:39" s="100" customFormat="1" ht="15.6" x14ac:dyDescent="0.3">
      <c r="A1664" s="97"/>
      <c r="B1664" s="98"/>
      <c r="C1664" s="98"/>
      <c r="D1664" s="98"/>
      <c r="E1664" s="98"/>
      <c r="F1664" s="98"/>
      <c r="G1664" s="99"/>
      <c r="H1664" s="99"/>
      <c r="I1664" s="99"/>
      <c r="J1664" s="99"/>
      <c r="K1664" s="98"/>
      <c r="L1664" s="98"/>
      <c r="M1664" s="98"/>
      <c r="N1664" s="98"/>
      <c r="O1664" s="98"/>
      <c r="P1664" s="98"/>
      <c r="Q1664" s="98"/>
      <c r="R1664" s="98"/>
      <c r="S1664" s="98"/>
      <c r="T1664" s="98"/>
      <c r="U1664" s="98"/>
      <c r="V1664" s="98"/>
      <c r="W1664" s="98"/>
      <c r="X1664" s="98"/>
      <c r="Y1664" s="98"/>
      <c r="Z1664" s="98"/>
      <c r="AA1664" s="98"/>
      <c r="AB1664" s="98"/>
      <c r="AC1664" s="98"/>
      <c r="AD1664" s="98"/>
      <c r="AE1664" s="98"/>
      <c r="AF1664" s="98"/>
      <c r="AG1664" s="98"/>
      <c r="AH1664" s="98"/>
      <c r="AI1664" s="98"/>
      <c r="AJ1664" s="98"/>
      <c r="AK1664" s="98"/>
      <c r="AL1664" s="98"/>
      <c r="AM1664" s="98"/>
    </row>
    <row r="1665" spans="1:39" s="100" customFormat="1" ht="15.6" x14ac:dyDescent="0.3">
      <c r="A1665" s="97"/>
      <c r="B1665" s="98"/>
      <c r="C1665" s="98"/>
      <c r="D1665" s="98"/>
      <c r="E1665" s="98"/>
      <c r="F1665" s="98"/>
      <c r="G1665" s="99"/>
      <c r="H1665" s="99"/>
      <c r="I1665" s="99"/>
      <c r="J1665" s="99"/>
      <c r="K1665" s="98"/>
      <c r="L1665" s="98"/>
      <c r="M1665" s="98"/>
      <c r="N1665" s="98"/>
      <c r="O1665" s="98"/>
      <c r="P1665" s="98"/>
      <c r="Q1665" s="98"/>
      <c r="R1665" s="98"/>
      <c r="S1665" s="98"/>
      <c r="T1665" s="98"/>
      <c r="U1665" s="98"/>
      <c r="V1665" s="98"/>
      <c r="W1665" s="98"/>
      <c r="X1665" s="98"/>
      <c r="Y1665" s="98"/>
      <c r="Z1665" s="98"/>
      <c r="AA1665" s="98"/>
      <c r="AB1665" s="98"/>
      <c r="AC1665" s="98"/>
      <c r="AD1665" s="98"/>
      <c r="AE1665" s="98"/>
      <c r="AF1665" s="98"/>
      <c r="AG1665" s="98"/>
      <c r="AH1665" s="98"/>
      <c r="AI1665" s="98"/>
      <c r="AJ1665" s="98"/>
      <c r="AK1665" s="98"/>
      <c r="AL1665" s="98"/>
      <c r="AM1665" s="98"/>
    </row>
    <row r="1666" spans="1:39" s="100" customFormat="1" ht="15.6" x14ac:dyDescent="0.3">
      <c r="A1666" s="97"/>
      <c r="B1666" s="98"/>
      <c r="C1666" s="98"/>
      <c r="D1666" s="98"/>
      <c r="E1666" s="98"/>
      <c r="F1666" s="98"/>
      <c r="G1666" s="99"/>
      <c r="H1666" s="99"/>
      <c r="I1666" s="99"/>
      <c r="J1666" s="99"/>
      <c r="K1666" s="98"/>
      <c r="L1666" s="98"/>
      <c r="M1666" s="98"/>
      <c r="N1666" s="98"/>
      <c r="O1666" s="98"/>
      <c r="P1666" s="98"/>
      <c r="Q1666" s="98"/>
      <c r="R1666" s="98"/>
      <c r="S1666" s="98"/>
      <c r="T1666" s="98"/>
      <c r="U1666" s="98"/>
      <c r="V1666" s="98"/>
      <c r="W1666" s="98"/>
      <c r="X1666" s="98"/>
      <c r="Y1666" s="98"/>
      <c r="Z1666" s="98"/>
      <c r="AA1666" s="98"/>
      <c r="AB1666" s="98"/>
      <c r="AC1666" s="98"/>
      <c r="AD1666" s="98"/>
      <c r="AE1666" s="98"/>
      <c r="AF1666" s="98"/>
      <c r="AG1666" s="98"/>
      <c r="AH1666" s="98"/>
      <c r="AI1666" s="98"/>
      <c r="AJ1666" s="98"/>
      <c r="AK1666" s="98"/>
      <c r="AL1666" s="98"/>
      <c r="AM1666" s="98"/>
    </row>
    <row r="1667" spans="1:39" s="100" customFormat="1" ht="15.6" x14ac:dyDescent="0.3">
      <c r="A1667" s="97"/>
      <c r="B1667" s="98"/>
      <c r="C1667" s="98"/>
      <c r="D1667" s="98"/>
      <c r="E1667" s="98"/>
      <c r="F1667" s="98"/>
      <c r="G1667" s="99"/>
      <c r="H1667" s="99"/>
      <c r="I1667" s="99"/>
      <c r="J1667" s="99"/>
      <c r="K1667" s="98"/>
      <c r="L1667" s="98"/>
      <c r="M1667" s="98"/>
      <c r="N1667" s="98"/>
      <c r="O1667" s="98"/>
      <c r="P1667" s="98"/>
      <c r="Q1667" s="98"/>
      <c r="R1667" s="98"/>
      <c r="S1667" s="98"/>
      <c r="T1667" s="98"/>
      <c r="U1667" s="98"/>
      <c r="V1667" s="98"/>
      <c r="W1667" s="98"/>
      <c r="X1667" s="98"/>
      <c r="Y1667" s="98"/>
      <c r="Z1667" s="98"/>
      <c r="AA1667" s="98"/>
      <c r="AB1667" s="98"/>
      <c r="AC1667" s="98"/>
      <c r="AD1667" s="98"/>
      <c r="AE1667" s="98"/>
      <c r="AF1667" s="98"/>
      <c r="AG1667" s="98"/>
      <c r="AH1667" s="98"/>
      <c r="AI1667" s="98"/>
      <c r="AJ1667" s="98"/>
      <c r="AK1667" s="98"/>
      <c r="AL1667" s="98"/>
      <c r="AM1667" s="98"/>
    </row>
    <row r="1668" spans="1:39" s="100" customFormat="1" ht="15.6" x14ac:dyDescent="0.3">
      <c r="A1668" s="97"/>
      <c r="B1668" s="98"/>
      <c r="C1668" s="98"/>
      <c r="D1668" s="98"/>
      <c r="E1668" s="98"/>
      <c r="F1668" s="98"/>
      <c r="G1668" s="99"/>
      <c r="H1668" s="99"/>
      <c r="I1668" s="99"/>
      <c r="J1668" s="99"/>
      <c r="K1668" s="98"/>
      <c r="L1668" s="98"/>
      <c r="M1668" s="98"/>
      <c r="N1668" s="98"/>
      <c r="O1668" s="98"/>
      <c r="P1668" s="98"/>
      <c r="Q1668" s="98"/>
      <c r="R1668" s="98"/>
      <c r="S1668" s="98"/>
      <c r="T1668" s="98"/>
      <c r="U1668" s="98"/>
      <c r="V1668" s="98"/>
      <c r="W1668" s="98"/>
      <c r="X1668" s="98"/>
      <c r="Y1668" s="98"/>
      <c r="Z1668" s="98"/>
      <c r="AA1668" s="98"/>
      <c r="AB1668" s="98"/>
      <c r="AC1668" s="98"/>
      <c r="AD1668" s="98"/>
      <c r="AE1668" s="98"/>
      <c r="AF1668" s="98"/>
      <c r="AG1668" s="98"/>
      <c r="AH1668" s="98"/>
      <c r="AI1668" s="98"/>
      <c r="AJ1668" s="98"/>
      <c r="AK1668" s="98"/>
      <c r="AL1668" s="98"/>
      <c r="AM1668" s="98"/>
    </row>
    <row r="1669" spans="1:39" s="100" customFormat="1" ht="15.6" x14ac:dyDescent="0.3">
      <c r="A1669" s="97"/>
      <c r="B1669" s="98"/>
      <c r="C1669" s="98"/>
      <c r="D1669" s="98"/>
      <c r="E1669" s="98"/>
      <c r="F1669" s="98"/>
      <c r="G1669" s="99"/>
      <c r="H1669" s="99"/>
      <c r="I1669" s="99"/>
      <c r="J1669" s="99"/>
      <c r="K1669" s="98"/>
      <c r="L1669" s="98"/>
      <c r="M1669" s="98"/>
      <c r="N1669" s="98"/>
      <c r="O1669" s="98"/>
      <c r="P1669" s="98"/>
      <c r="Q1669" s="98"/>
      <c r="R1669" s="98"/>
      <c r="S1669" s="98"/>
      <c r="T1669" s="98"/>
      <c r="U1669" s="98"/>
      <c r="V1669" s="98"/>
      <c r="W1669" s="98"/>
      <c r="X1669" s="98"/>
      <c r="Y1669" s="98"/>
      <c r="Z1669" s="98"/>
      <c r="AA1669" s="98"/>
      <c r="AB1669" s="98"/>
      <c r="AC1669" s="98"/>
      <c r="AD1669" s="98"/>
      <c r="AE1669" s="98"/>
      <c r="AF1669" s="98"/>
      <c r="AG1669" s="98"/>
      <c r="AH1669" s="98"/>
      <c r="AI1669" s="98"/>
      <c r="AJ1669" s="98"/>
      <c r="AK1669" s="98"/>
      <c r="AL1669" s="98"/>
      <c r="AM1669" s="98"/>
    </row>
    <row r="1670" spans="1:39" s="100" customFormat="1" ht="15.6" x14ac:dyDescent="0.3">
      <c r="A1670" s="97"/>
      <c r="B1670" s="98"/>
      <c r="C1670" s="98"/>
      <c r="D1670" s="98"/>
      <c r="E1670" s="98"/>
      <c r="F1670" s="98"/>
      <c r="G1670" s="99"/>
      <c r="H1670" s="99"/>
      <c r="I1670" s="99"/>
      <c r="J1670" s="99"/>
      <c r="K1670" s="98"/>
      <c r="L1670" s="98"/>
      <c r="M1670" s="98"/>
      <c r="N1670" s="98"/>
      <c r="O1670" s="98"/>
      <c r="P1670" s="98"/>
      <c r="Q1670" s="98"/>
      <c r="R1670" s="98"/>
      <c r="S1670" s="98"/>
      <c r="T1670" s="98"/>
      <c r="U1670" s="98"/>
      <c r="V1670" s="98"/>
      <c r="W1670" s="98"/>
      <c r="X1670" s="98"/>
      <c r="Y1670" s="98"/>
      <c r="Z1670" s="98"/>
      <c r="AA1670" s="98"/>
      <c r="AB1670" s="98"/>
      <c r="AC1670" s="98"/>
      <c r="AD1670" s="98"/>
      <c r="AE1670" s="98"/>
      <c r="AF1670" s="98"/>
      <c r="AG1670" s="98"/>
      <c r="AH1670" s="98"/>
      <c r="AI1670" s="98"/>
      <c r="AJ1670" s="98"/>
      <c r="AK1670" s="98"/>
      <c r="AL1670" s="98"/>
      <c r="AM1670" s="98"/>
    </row>
    <row r="1671" spans="1:39" s="100" customFormat="1" ht="15.6" x14ac:dyDescent="0.3">
      <c r="A1671" s="97"/>
      <c r="B1671" s="98"/>
      <c r="C1671" s="98"/>
      <c r="D1671" s="98"/>
      <c r="E1671" s="98"/>
      <c r="F1671" s="98"/>
      <c r="G1671" s="99"/>
      <c r="H1671" s="99"/>
      <c r="I1671" s="99"/>
      <c r="J1671" s="99"/>
      <c r="K1671" s="98"/>
      <c r="L1671" s="98"/>
      <c r="M1671" s="98"/>
      <c r="N1671" s="98"/>
      <c r="O1671" s="98"/>
      <c r="P1671" s="98"/>
      <c r="Q1671" s="98"/>
      <c r="R1671" s="98"/>
      <c r="S1671" s="98"/>
      <c r="T1671" s="98"/>
      <c r="U1671" s="98"/>
      <c r="V1671" s="98"/>
      <c r="W1671" s="98"/>
      <c r="X1671" s="98"/>
      <c r="Y1671" s="98"/>
      <c r="Z1671" s="98"/>
      <c r="AA1671" s="98"/>
      <c r="AB1671" s="98"/>
      <c r="AC1671" s="98"/>
      <c r="AD1671" s="98"/>
      <c r="AE1671" s="98"/>
      <c r="AF1671" s="98"/>
      <c r="AG1671" s="98"/>
      <c r="AH1671" s="98"/>
      <c r="AI1671" s="98"/>
      <c r="AJ1671" s="98"/>
      <c r="AK1671" s="98"/>
      <c r="AL1671" s="98"/>
      <c r="AM1671" s="98"/>
    </row>
    <row r="1672" spans="1:39" s="100" customFormat="1" ht="15.6" x14ac:dyDescent="0.3">
      <c r="A1672" s="97"/>
      <c r="B1672" s="98"/>
      <c r="C1672" s="98"/>
      <c r="D1672" s="98"/>
      <c r="E1672" s="98"/>
      <c r="F1672" s="98"/>
      <c r="G1672" s="99"/>
      <c r="H1672" s="99"/>
      <c r="I1672" s="99"/>
      <c r="J1672" s="99"/>
      <c r="K1672" s="98"/>
      <c r="L1672" s="98"/>
      <c r="M1672" s="98"/>
      <c r="N1672" s="98"/>
      <c r="O1672" s="98"/>
      <c r="P1672" s="98"/>
      <c r="Q1672" s="98"/>
      <c r="R1672" s="98"/>
      <c r="S1672" s="98"/>
      <c r="T1672" s="98"/>
      <c r="U1672" s="98"/>
      <c r="V1672" s="98"/>
      <c r="W1672" s="98"/>
      <c r="X1672" s="98"/>
      <c r="Y1672" s="98"/>
      <c r="Z1672" s="98"/>
      <c r="AA1672" s="98"/>
      <c r="AB1672" s="98"/>
      <c r="AC1672" s="98"/>
      <c r="AD1672" s="98"/>
      <c r="AE1672" s="98"/>
      <c r="AF1672" s="98"/>
      <c r="AG1672" s="98"/>
      <c r="AH1672" s="98"/>
      <c r="AI1672" s="98"/>
      <c r="AJ1672" s="98"/>
      <c r="AK1672" s="98"/>
      <c r="AL1672" s="98"/>
      <c r="AM1672" s="98"/>
    </row>
    <row r="1673" spans="1:39" s="100" customFormat="1" ht="15.6" x14ac:dyDescent="0.3">
      <c r="A1673" s="97"/>
      <c r="B1673" s="98"/>
      <c r="C1673" s="98"/>
      <c r="D1673" s="98"/>
      <c r="E1673" s="98"/>
      <c r="F1673" s="98"/>
      <c r="G1673" s="99"/>
      <c r="H1673" s="99"/>
      <c r="I1673" s="99"/>
      <c r="J1673" s="99"/>
      <c r="K1673" s="98"/>
      <c r="L1673" s="98"/>
      <c r="M1673" s="98"/>
      <c r="N1673" s="98"/>
      <c r="O1673" s="98"/>
      <c r="P1673" s="98"/>
      <c r="Q1673" s="98"/>
      <c r="R1673" s="98"/>
      <c r="S1673" s="98"/>
      <c r="T1673" s="98"/>
      <c r="U1673" s="98"/>
      <c r="V1673" s="98"/>
      <c r="W1673" s="98"/>
      <c r="X1673" s="98"/>
      <c r="Y1673" s="98"/>
      <c r="Z1673" s="98"/>
      <c r="AA1673" s="98"/>
      <c r="AB1673" s="98"/>
      <c r="AC1673" s="98"/>
      <c r="AD1673" s="98"/>
      <c r="AE1673" s="98"/>
      <c r="AF1673" s="98"/>
      <c r="AG1673" s="98"/>
      <c r="AH1673" s="98"/>
      <c r="AI1673" s="98"/>
      <c r="AJ1673" s="98"/>
      <c r="AK1673" s="98"/>
      <c r="AL1673" s="98"/>
      <c r="AM1673" s="98"/>
    </row>
    <row r="1674" spans="1:39" s="100" customFormat="1" ht="15.6" x14ac:dyDescent="0.3">
      <c r="A1674" s="97"/>
      <c r="B1674" s="98"/>
      <c r="C1674" s="98"/>
      <c r="D1674" s="98"/>
      <c r="E1674" s="98"/>
      <c r="F1674" s="98"/>
      <c r="G1674" s="99"/>
      <c r="H1674" s="99"/>
      <c r="I1674" s="99"/>
      <c r="J1674" s="99"/>
      <c r="K1674" s="98"/>
      <c r="L1674" s="98"/>
      <c r="M1674" s="98"/>
      <c r="N1674" s="98"/>
      <c r="O1674" s="98"/>
      <c r="P1674" s="98"/>
      <c r="Q1674" s="98"/>
      <c r="R1674" s="98"/>
      <c r="S1674" s="98"/>
      <c r="T1674" s="98"/>
      <c r="U1674" s="98"/>
      <c r="V1674" s="98"/>
      <c r="W1674" s="98"/>
      <c r="X1674" s="98"/>
      <c r="Y1674" s="98"/>
      <c r="Z1674" s="98"/>
      <c r="AA1674" s="98"/>
      <c r="AB1674" s="98"/>
      <c r="AC1674" s="98"/>
      <c r="AD1674" s="98"/>
      <c r="AE1674" s="98"/>
      <c r="AF1674" s="98"/>
      <c r="AG1674" s="98"/>
      <c r="AH1674" s="98"/>
      <c r="AI1674" s="98"/>
      <c r="AJ1674" s="98"/>
      <c r="AK1674" s="98"/>
      <c r="AL1674" s="98"/>
      <c r="AM1674" s="98"/>
    </row>
    <row r="1675" spans="1:39" s="100" customFormat="1" ht="15.6" x14ac:dyDescent="0.3">
      <c r="A1675" s="97"/>
      <c r="B1675" s="98"/>
      <c r="C1675" s="98"/>
      <c r="D1675" s="98"/>
      <c r="E1675" s="98"/>
      <c r="F1675" s="98"/>
      <c r="G1675" s="99"/>
      <c r="H1675" s="99"/>
      <c r="I1675" s="99"/>
      <c r="J1675" s="99"/>
      <c r="K1675" s="98"/>
      <c r="L1675" s="98"/>
      <c r="M1675" s="98"/>
      <c r="N1675" s="98"/>
      <c r="O1675" s="98"/>
      <c r="P1675" s="98"/>
      <c r="Q1675" s="98"/>
      <c r="R1675" s="98"/>
      <c r="S1675" s="98"/>
      <c r="T1675" s="98"/>
      <c r="U1675" s="98"/>
      <c r="V1675" s="98"/>
      <c r="W1675" s="98"/>
      <c r="X1675" s="98"/>
      <c r="Y1675" s="98"/>
      <c r="Z1675" s="98"/>
      <c r="AA1675" s="98"/>
      <c r="AB1675" s="98"/>
      <c r="AC1675" s="98"/>
      <c r="AD1675" s="98"/>
      <c r="AE1675" s="98"/>
      <c r="AF1675" s="98"/>
      <c r="AG1675" s="98"/>
      <c r="AH1675" s="98"/>
      <c r="AI1675" s="98"/>
      <c r="AJ1675" s="98"/>
      <c r="AK1675" s="98"/>
      <c r="AL1675" s="98"/>
      <c r="AM1675" s="98"/>
    </row>
    <row r="1676" spans="1:39" s="100" customFormat="1" ht="15.6" x14ac:dyDescent="0.3">
      <c r="A1676" s="97"/>
      <c r="B1676" s="98"/>
      <c r="C1676" s="98"/>
      <c r="D1676" s="98"/>
      <c r="E1676" s="98"/>
      <c r="F1676" s="98"/>
      <c r="G1676" s="99"/>
      <c r="H1676" s="99"/>
      <c r="I1676" s="99"/>
      <c r="J1676" s="99"/>
      <c r="K1676" s="98"/>
      <c r="L1676" s="98"/>
      <c r="M1676" s="98"/>
      <c r="N1676" s="98"/>
      <c r="O1676" s="98"/>
      <c r="P1676" s="98"/>
      <c r="Q1676" s="98"/>
      <c r="R1676" s="98"/>
      <c r="S1676" s="98"/>
      <c r="T1676" s="98"/>
      <c r="U1676" s="98"/>
      <c r="V1676" s="98"/>
      <c r="W1676" s="98"/>
      <c r="X1676" s="98"/>
      <c r="Y1676" s="98"/>
      <c r="Z1676" s="98"/>
      <c r="AA1676" s="98"/>
      <c r="AB1676" s="98"/>
      <c r="AC1676" s="98"/>
      <c r="AD1676" s="98"/>
      <c r="AE1676" s="98"/>
      <c r="AF1676" s="98"/>
      <c r="AG1676" s="98"/>
      <c r="AH1676" s="98"/>
      <c r="AI1676" s="98"/>
      <c r="AJ1676" s="98"/>
      <c r="AK1676" s="98"/>
      <c r="AL1676" s="98"/>
      <c r="AM1676" s="98"/>
    </row>
    <row r="1677" spans="1:39" s="100" customFormat="1" ht="15.6" x14ac:dyDescent="0.3">
      <c r="A1677" s="97"/>
      <c r="B1677" s="98"/>
      <c r="C1677" s="98"/>
      <c r="D1677" s="98"/>
      <c r="E1677" s="98"/>
      <c r="F1677" s="98"/>
      <c r="G1677" s="99"/>
      <c r="H1677" s="99"/>
      <c r="I1677" s="99"/>
      <c r="J1677" s="99"/>
      <c r="K1677" s="98"/>
      <c r="L1677" s="98"/>
      <c r="M1677" s="98"/>
      <c r="N1677" s="98"/>
      <c r="O1677" s="98"/>
      <c r="P1677" s="98"/>
      <c r="Q1677" s="98"/>
      <c r="R1677" s="98"/>
      <c r="S1677" s="98"/>
      <c r="T1677" s="98"/>
      <c r="U1677" s="98"/>
      <c r="V1677" s="98"/>
      <c r="W1677" s="98"/>
      <c r="X1677" s="98"/>
      <c r="Y1677" s="98"/>
      <c r="Z1677" s="98"/>
      <c r="AA1677" s="98"/>
      <c r="AB1677" s="98"/>
      <c r="AC1677" s="98"/>
      <c r="AD1677" s="98"/>
      <c r="AE1677" s="98"/>
      <c r="AF1677" s="98"/>
      <c r="AG1677" s="98"/>
      <c r="AH1677" s="98"/>
      <c r="AI1677" s="98"/>
      <c r="AJ1677" s="98"/>
      <c r="AK1677" s="98"/>
      <c r="AL1677" s="98"/>
      <c r="AM1677" s="98"/>
    </row>
    <row r="1678" spans="1:39" s="100" customFormat="1" ht="15.6" x14ac:dyDescent="0.3">
      <c r="A1678" s="97"/>
      <c r="B1678" s="98"/>
      <c r="C1678" s="98"/>
      <c r="D1678" s="98"/>
      <c r="E1678" s="98"/>
      <c r="F1678" s="98"/>
      <c r="G1678" s="99"/>
      <c r="H1678" s="99"/>
      <c r="I1678" s="99"/>
      <c r="J1678" s="99"/>
      <c r="K1678" s="98"/>
      <c r="L1678" s="98"/>
      <c r="M1678" s="98"/>
      <c r="N1678" s="98"/>
      <c r="O1678" s="98"/>
      <c r="P1678" s="98"/>
      <c r="Q1678" s="98"/>
      <c r="R1678" s="98"/>
      <c r="S1678" s="98"/>
      <c r="T1678" s="98"/>
      <c r="U1678" s="98"/>
      <c r="V1678" s="98"/>
      <c r="W1678" s="98"/>
      <c r="X1678" s="98"/>
      <c r="Y1678" s="98"/>
      <c r="Z1678" s="98"/>
      <c r="AA1678" s="98"/>
      <c r="AB1678" s="98"/>
      <c r="AC1678" s="98"/>
      <c r="AD1678" s="98"/>
      <c r="AE1678" s="98"/>
      <c r="AF1678" s="98"/>
      <c r="AG1678" s="98"/>
      <c r="AH1678" s="98"/>
      <c r="AI1678" s="98"/>
      <c r="AJ1678" s="98"/>
      <c r="AK1678" s="98"/>
      <c r="AL1678" s="98"/>
      <c r="AM1678" s="98"/>
    </row>
    <row r="1679" spans="1:39" s="100" customFormat="1" ht="15.6" x14ac:dyDescent="0.3">
      <c r="A1679" s="97"/>
      <c r="B1679" s="98"/>
      <c r="C1679" s="98"/>
      <c r="D1679" s="98"/>
      <c r="E1679" s="98"/>
      <c r="F1679" s="98"/>
      <c r="G1679" s="99"/>
      <c r="H1679" s="99"/>
      <c r="I1679" s="99"/>
      <c r="J1679" s="99"/>
      <c r="K1679" s="98"/>
      <c r="L1679" s="98"/>
      <c r="M1679" s="98"/>
      <c r="N1679" s="98"/>
      <c r="O1679" s="98"/>
      <c r="P1679" s="98"/>
      <c r="Q1679" s="98"/>
      <c r="R1679" s="98"/>
      <c r="S1679" s="98"/>
      <c r="T1679" s="98"/>
      <c r="U1679" s="98"/>
      <c r="V1679" s="98"/>
      <c r="W1679" s="98"/>
      <c r="X1679" s="98"/>
      <c r="Y1679" s="98"/>
      <c r="Z1679" s="98"/>
      <c r="AA1679" s="98"/>
      <c r="AB1679" s="98"/>
      <c r="AC1679" s="98"/>
      <c r="AD1679" s="98"/>
      <c r="AE1679" s="98"/>
      <c r="AF1679" s="98"/>
      <c r="AG1679" s="98"/>
      <c r="AH1679" s="98"/>
      <c r="AI1679" s="98"/>
      <c r="AJ1679" s="98"/>
      <c r="AK1679" s="98"/>
      <c r="AL1679" s="98"/>
      <c r="AM1679" s="98"/>
    </row>
    <row r="1680" spans="1:39" s="100" customFormat="1" ht="15.6" x14ac:dyDescent="0.3">
      <c r="A1680" s="97"/>
      <c r="B1680" s="98"/>
      <c r="C1680" s="98"/>
      <c r="D1680" s="98"/>
      <c r="E1680" s="98"/>
      <c r="F1680" s="98"/>
      <c r="G1680" s="99"/>
      <c r="H1680" s="99"/>
      <c r="I1680" s="99"/>
      <c r="J1680" s="99"/>
      <c r="K1680" s="98"/>
      <c r="L1680" s="98"/>
      <c r="M1680" s="98"/>
      <c r="N1680" s="98"/>
      <c r="O1680" s="98"/>
      <c r="P1680" s="98"/>
      <c r="Q1680" s="98"/>
      <c r="R1680" s="98"/>
      <c r="S1680" s="98"/>
      <c r="T1680" s="98"/>
      <c r="U1680" s="98"/>
      <c r="V1680" s="98"/>
      <c r="W1680" s="98"/>
      <c r="X1680" s="98"/>
      <c r="Y1680" s="98"/>
      <c r="Z1680" s="98"/>
      <c r="AA1680" s="98"/>
      <c r="AB1680" s="98"/>
      <c r="AC1680" s="98"/>
      <c r="AD1680" s="98"/>
      <c r="AE1680" s="98"/>
      <c r="AF1680" s="98"/>
      <c r="AG1680" s="98"/>
      <c r="AH1680" s="98"/>
      <c r="AI1680" s="98"/>
      <c r="AJ1680" s="98"/>
      <c r="AK1680" s="98"/>
      <c r="AL1680" s="98"/>
      <c r="AM1680" s="98"/>
    </row>
    <row r="1681" spans="1:39" s="100" customFormat="1" ht="15.6" x14ac:dyDescent="0.3">
      <c r="A1681" s="97"/>
      <c r="B1681" s="98"/>
      <c r="C1681" s="98"/>
      <c r="D1681" s="98"/>
      <c r="E1681" s="98"/>
      <c r="F1681" s="98"/>
      <c r="G1681" s="99"/>
      <c r="H1681" s="99"/>
      <c r="I1681" s="99"/>
      <c r="J1681" s="99"/>
      <c r="K1681" s="98"/>
      <c r="L1681" s="98"/>
      <c r="M1681" s="98"/>
      <c r="N1681" s="98"/>
      <c r="O1681" s="98"/>
      <c r="P1681" s="98"/>
      <c r="Q1681" s="98"/>
      <c r="R1681" s="98"/>
      <c r="S1681" s="98"/>
      <c r="T1681" s="98"/>
      <c r="U1681" s="98"/>
      <c r="V1681" s="98"/>
      <c r="W1681" s="98"/>
      <c r="X1681" s="98"/>
      <c r="Y1681" s="98"/>
      <c r="Z1681" s="98"/>
      <c r="AA1681" s="98"/>
      <c r="AB1681" s="98"/>
      <c r="AC1681" s="98"/>
      <c r="AD1681" s="98"/>
      <c r="AE1681" s="98"/>
      <c r="AF1681" s="98"/>
      <c r="AG1681" s="98"/>
      <c r="AH1681" s="98"/>
      <c r="AI1681" s="98"/>
      <c r="AJ1681" s="98"/>
      <c r="AK1681" s="98"/>
      <c r="AL1681" s="98"/>
      <c r="AM1681" s="98"/>
    </row>
    <row r="1682" spans="1:39" s="100" customFormat="1" ht="15.6" x14ac:dyDescent="0.3">
      <c r="A1682" s="97"/>
      <c r="B1682" s="98"/>
      <c r="C1682" s="98"/>
      <c r="D1682" s="98"/>
      <c r="E1682" s="98"/>
      <c r="F1682" s="98"/>
      <c r="G1682" s="99"/>
      <c r="H1682" s="99"/>
      <c r="I1682" s="99"/>
      <c r="J1682" s="99"/>
      <c r="K1682" s="98"/>
      <c r="L1682" s="98"/>
      <c r="M1682" s="98"/>
      <c r="N1682" s="98"/>
      <c r="O1682" s="98"/>
      <c r="P1682" s="98"/>
      <c r="Q1682" s="98"/>
      <c r="R1682" s="98"/>
      <c r="S1682" s="98"/>
      <c r="T1682" s="98"/>
      <c r="U1682" s="98"/>
      <c r="V1682" s="98"/>
      <c r="W1682" s="98"/>
      <c r="X1682" s="98"/>
      <c r="Y1682" s="98"/>
      <c r="Z1682" s="98"/>
      <c r="AA1682" s="98"/>
      <c r="AB1682" s="98"/>
      <c r="AC1682" s="98"/>
      <c r="AD1682" s="98"/>
      <c r="AE1682" s="98"/>
      <c r="AF1682" s="98"/>
      <c r="AG1682" s="98"/>
      <c r="AH1682" s="98"/>
      <c r="AI1682" s="98"/>
      <c r="AJ1682" s="98"/>
      <c r="AK1682" s="98"/>
      <c r="AL1682" s="98"/>
      <c r="AM1682" s="98"/>
    </row>
    <row r="1683" spans="1:39" s="100" customFormat="1" ht="15.6" x14ac:dyDescent="0.3">
      <c r="A1683" s="97"/>
      <c r="B1683" s="98"/>
      <c r="C1683" s="98"/>
      <c r="D1683" s="98"/>
      <c r="E1683" s="98"/>
      <c r="F1683" s="98"/>
      <c r="G1683" s="99"/>
      <c r="H1683" s="99"/>
      <c r="I1683" s="99"/>
      <c r="J1683" s="99"/>
      <c r="K1683" s="98"/>
      <c r="L1683" s="98"/>
      <c r="M1683" s="98"/>
      <c r="N1683" s="98"/>
      <c r="O1683" s="98"/>
      <c r="P1683" s="98"/>
      <c r="Q1683" s="98"/>
      <c r="R1683" s="98"/>
      <c r="S1683" s="98"/>
      <c r="T1683" s="98"/>
      <c r="U1683" s="98"/>
      <c r="V1683" s="98"/>
      <c r="W1683" s="98"/>
      <c r="X1683" s="98"/>
      <c r="Y1683" s="98"/>
      <c r="Z1683" s="98"/>
      <c r="AA1683" s="98"/>
      <c r="AB1683" s="98"/>
      <c r="AC1683" s="98"/>
      <c r="AD1683" s="98"/>
      <c r="AE1683" s="98"/>
      <c r="AF1683" s="98"/>
      <c r="AG1683" s="98"/>
      <c r="AH1683" s="98"/>
      <c r="AI1683" s="98"/>
      <c r="AJ1683" s="98"/>
      <c r="AK1683" s="98"/>
      <c r="AL1683" s="98"/>
      <c r="AM1683" s="98"/>
    </row>
    <row r="1684" spans="1:39" s="100" customFormat="1" ht="15.6" x14ac:dyDescent="0.3">
      <c r="A1684" s="97"/>
      <c r="B1684" s="98"/>
      <c r="C1684" s="98"/>
      <c r="D1684" s="98"/>
      <c r="E1684" s="98"/>
      <c r="F1684" s="98"/>
      <c r="G1684" s="99"/>
      <c r="H1684" s="99"/>
      <c r="I1684" s="99"/>
      <c r="J1684" s="99"/>
      <c r="K1684" s="98"/>
      <c r="L1684" s="98"/>
      <c r="M1684" s="98"/>
      <c r="N1684" s="98"/>
      <c r="O1684" s="98"/>
      <c r="P1684" s="98"/>
      <c r="Q1684" s="98"/>
      <c r="R1684" s="98"/>
      <c r="S1684" s="98"/>
      <c r="T1684" s="98"/>
      <c r="U1684" s="98"/>
      <c r="V1684" s="98"/>
      <c r="W1684" s="98"/>
      <c r="X1684" s="98"/>
      <c r="Y1684" s="98"/>
      <c r="Z1684" s="98"/>
      <c r="AA1684" s="98"/>
      <c r="AB1684" s="98"/>
      <c r="AC1684" s="98"/>
      <c r="AD1684" s="98"/>
      <c r="AE1684" s="98"/>
      <c r="AF1684" s="98"/>
      <c r="AG1684" s="98"/>
      <c r="AH1684" s="98"/>
      <c r="AI1684" s="98"/>
      <c r="AJ1684" s="98"/>
      <c r="AK1684" s="98"/>
      <c r="AL1684" s="98"/>
      <c r="AM1684" s="98"/>
    </row>
    <row r="1685" spans="1:39" s="100" customFormat="1" ht="15.6" x14ac:dyDescent="0.3">
      <c r="A1685" s="97"/>
      <c r="B1685" s="98"/>
      <c r="C1685" s="98"/>
      <c r="D1685" s="98"/>
      <c r="E1685" s="98"/>
      <c r="F1685" s="98"/>
      <c r="G1685" s="99"/>
      <c r="H1685" s="99"/>
      <c r="I1685" s="99"/>
      <c r="J1685" s="99"/>
      <c r="K1685" s="98"/>
      <c r="L1685" s="98"/>
      <c r="M1685" s="98"/>
      <c r="N1685" s="98"/>
      <c r="O1685" s="98"/>
      <c r="P1685" s="98"/>
      <c r="Q1685" s="98"/>
      <c r="R1685" s="98"/>
      <c r="S1685" s="98"/>
      <c r="T1685" s="98"/>
      <c r="U1685" s="98"/>
      <c r="V1685" s="98"/>
      <c r="W1685" s="98"/>
      <c r="X1685" s="98"/>
      <c r="Y1685" s="98"/>
      <c r="Z1685" s="98"/>
      <c r="AA1685" s="98"/>
      <c r="AB1685" s="98"/>
      <c r="AC1685" s="98"/>
      <c r="AD1685" s="98"/>
      <c r="AE1685" s="98"/>
      <c r="AF1685" s="98"/>
      <c r="AG1685" s="98"/>
      <c r="AH1685" s="98"/>
      <c r="AI1685" s="98"/>
      <c r="AJ1685" s="98"/>
      <c r="AK1685" s="98"/>
      <c r="AL1685" s="98"/>
      <c r="AM1685" s="98"/>
    </row>
    <row r="1686" spans="1:39" s="100" customFormat="1" ht="15.6" x14ac:dyDescent="0.3">
      <c r="A1686" s="97"/>
      <c r="B1686" s="98"/>
      <c r="C1686" s="98"/>
      <c r="D1686" s="98"/>
      <c r="E1686" s="98"/>
      <c r="F1686" s="98"/>
      <c r="G1686" s="99"/>
      <c r="H1686" s="99"/>
      <c r="I1686" s="99"/>
      <c r="J1686" s="99"/>
      <c r="K1686" s="98"/>
      <c r="L1686" s="98"/>
      <c r="M1686" s="98"/>
      <c r="N1686" s="98"/>
      <c r="O1686" s="98"/>
      <c r="P1686" s="98"/>
      <c r="Q1686" s="98"/>
      <c r="R1686" s="98"/>
      <c r="S1686" s="98"/>
      <c r="T1686" s="98"/>
      <c r="U1686" s="98"/>
      <c r="V1686" s="98"/>
      <c r="W1686" s="98"/>
      <c r="X1686" s="98"/>
      <c r="Y1686" s="98"/>
      <c r="Z1686" s="98"/>
      <c r="AA1686" s="98"/>
      <c r="AB1686" s="98"/>
      <c r="AC1686" s="98"/>
      <c r="AD1686" s="98"/>
      <c r="AE1686" s="98"/>
      <c r="AF1686" s="98"/>
      <c r="AG1686" s="98"/>
      <c r="AH1686" s="98"/>
      <c r="AI1686" s="98"/>
      <c r="AJ1686" s="98"/>
      <c r="AK1686" s="98"/>
      <c r="AL1686" s="98"/>
      <c r="AM1686" s="98"/>
    </row>
    <row r="1687" spans="1:39" s="100" customFormat="1" ht="15.6" x14ac:dyDescent="0.3">
      <c r="A1687" s="97"/>
      <c r="B1687" s="98"/>
      <c r="C1687" s="98"/>
      <c r="D1687" s="98"/>
      <c r="E1687" s="98"/>
      <c r="F1687" s="98"/>
      <c r="G1687" s="99"/>
      <c r="H1687" s="99"/>
      <c r="I1687" s="99"/>
      <c r="J1687" s="99"/>
      <c r="K1687" s="98"/>
      <c r="L1687" s="98"/>
      <c r="M1687" s="98"/>
      <c r="N1687" s="98"/>
      <c r="O1687" s="98"/>
      <c r="P1687" s="98"/>
      <c r="Q1687" s="98"/>
      <c r="R1687" s="98"/>
      <c r="S1687" s="98"/>
      <c r="T1687" s="98"/>
      <c r="U1687" s="98"/>
      <c r="V1687" s="98"/>
      <c r="W1687" s="98"/>
      <c r="X1687" s="98"/>
      <c r="Y1687" s="98"/>
      <c r="Z1687" s="98"/>
      <c r="AA1687" s="98"/>
      <c r="AB1687" s="98"/>
      <c r="AC1687" s="98"/>
      <c r="AD1687" s="98"/>
      <c r="AE1687" s="98"/>
      <c r="AF1687" s="98"/>
      <c r="AG1687" s="98"/>
      <c r="AH1687" s="98"/>
      <c r="AI1687" s="98"/>
      <c r="AJ1687" s="98"/>
      <c r="AK1687" s="98"/>
      <c r="AL1687" s="98"/>
      <c r="AM1687" s="98"/>
    </row>
    <row r="1688" spans="1:39" s="100" customFormat="1" ht="15.6" x14ac:dyDescent="0.3">
      <c r="A1688" s="97"/>
      <c r="B1688" s="98"/>
      <c r="C1688" s="98"/>
      <c r="D1688" s="98"/>
      <c r="E1688" s="98"/>
      <c r="F1688" s="98"/>
      <c r="G1688" s="99"/>
      <c r="H1688" s="99"/>
      <c r="I1688" s="99"/>
      <c r="J1688" s="99"/>
      <c r="K1688" s="98"/>
      <c r="L1688" s="98"/>
      <c r="M1688" s="98"/>
      <c r="N1688" s="98"/>
      <c r="O1688" s="98"/>
      <c r="P1688" s="98"/>
      <c r="Q1688" s="98"/>
      <c r="R1688" s="98"/>
      <c r="S1688" s="98"/>
      <c r="T1688" s="98"/>
      <c r="U1688" s="98"/>
      <c r="V1688" s="98"/>
      <c r="W1688" s="98"/>
      <c r="X1688" s="98"/>
      <c r="Y1688" s="98"/>
      <c r="Z1688" s="98"/>
      <c r="AA1688" s="98"/>
      <c r="AB1688" s="98"/>
      <c r="AC1688" s="98"/>
      <c r="AD1688" s="98"/>
      <c r="AE1688" s="98"/>
      <c r="AF1688" s="98"/>
      <c r="AG1688" s="98"/>
      <c r="AH1688" s="98"/>
      <c r="AI1688" s="98"/>
      <c r="AJ1688" s="98"/>
      <c r="AK1688" s="98"/>
      <c r="AL1688" s="98"/>
      <c r="AM1688" s="98"/>
    </row>
    <row r="1689" spans="1:39" s="100" customFormat="1" ht="15.6" x14ac:dyDescent="0.3">
      <c r="A1689" s="97"/>
      <c r="B1689" s="98"/>
      <c r="C1689" s="98"/>
      <c r="D1689" s="98"/>
      <c r="E1689" s="98"/>
      <c r="F1689" s="98"/>
      <c r="G1689" s="99"/>
      <c r="H1689" s="99"/>
      <c r="I1689" s="99"/>
      <c r="J1689" s="99"/>
      <c r="K1689" s="98"/>
      <c r="L1689" s="98"/>
      <c r="M1689" s="98"/>
      <c r="N1689" s="98"/>
      <c r="O1689" s="98"/>
      <c r="P1689" s="98"/>
      <c r="Q1689" s="98"/>
      <c r="R1689" s="98"/>
      <c r="S1689" s="98"/>
      <c r="T1689" s="98"/>
      <c r="U1689" s="98"/>
      <c r="V1689" s="98"/>
      <c r="W1689" s="98"/>
      <c r="X1689" s="98"/>
      <c r="Y1689" s="98"/>
      <c r="Z1689" s="98"/>
      <c r="AA1689" s="98"/>
      <c r="AB1689" s="98"/>
      <c r="AC1689" s="98"/>
      <c r="AD1689" s="98"/>
      <c r="AE1689" s="98"/>
      <c r="AF1689" s="98"/>
      <c r="AG1689" s="98"/>
      <c r="AH1689" s="98"/>
      <c r="AI1689" s="98"/>
      <c r="AJ1689" s="98"/>
      <c r="AK1689" s="98"/>
      <c r="AL1689" s="98"/>
      <c r="AM1689" s="98"/>
    </row>
    <row r="1690" spans="1:39" s="100" customFormat="1" ht="15.6" x14ac:dyDescent="0.3">
      <c r="A1690" s="97"/>
      <c r="B1690" s="98"/>
      <c r="C1690" s="98"/>
      <c r="D1690" s="98"/>
      <c r="E1690" s="98"/>
      <c r="F1690" s="98"/>
      <c r="G1690" s="99"/>
      <c r="H1690" s="99"/>
      <c r="I1690" s="99"/>
      <c r="J1690" s="99"/>
      <c r="K1690" s="98"/>
      <c r="L1690" s="98"/>
      <c r="M1690" s="98"/>
      <c r="N1690" s="98"/>
      <c r="O1690" s="98"/>
      <c r="P1690" s="98"/>
      <c r="Q1690" s="98"/>
      <c r="R1690" s="98"/>
      <c r="S1690" s="98"/>
      <c r="T1690" s="98"/>
      <c r="U1690" s="98"/>
      <c r="V1690" s="98"/>
      <c r="W1690" s="98"/>
      <c r="X1690" s="98"/>
      <c r="Y1690" s="98"/>
      <c r="Z1690" s="98"/>
      <c r="AA1690" s="98"/>
      <c r="AB1690" s="98"/>
      <c r="AC1690" s="98"/>
      <c r="AD1690" s="98"/>
      <c r="AE1690" s="98"/>
      <c r="AF1690" s="98"/>
      <c r="AG1690" s="98"/>
      <c r="AH1690" s="98"/>
      <c r="AI1690" s="98"/>
      <c r="AJ1690" s="98"/>
      <c r="AK1690" s="98"/>
      <c r="AL1690" s="98"/>
      <c r="AM1690" s="98"/>
    </row>
    <row r="1691" spans="1:39" s="100" customFormat="1" ht="15.6" x14ac:dyDescent="0.3">
      <c r="A1691" s="97"/>
      <c r="B1691" s="98"/>
      <c r="C1691" s="98"/>
      <c r="D1691" s="98"/>
      <c r="E1691" s="98"/>
      <c r="F1691" s="98"/>
      <c r="G1691" s="99"/>
      <c r="H1691" s="99"/>
      <c r="I1691" s="99"/>
      <c r="J1691" s="99"/>
      <c r="K1691" s="98"/>
      <c r="L1691" s="98"/>
      <c r="M1691" s="98"/>
      <c r="N1691" s="98"/>
      <c r="O1691" s="98"/>
      <c r="P1691" s="98"/>
      <c r="Q1691" s="98"/>
      <c r="R1691" s="98"/>
      <c r="S1691" s="98"/>
      <c r="T1691" s="98"/>
      <c r="U1691" s="98"/>
      <c r="V1691" s="98"/>
      <c r="W1691" s="98"/>
      <c r="X1691" s="98"/>
      <c r="Y1691" s="98"/>
      <c r="Z1691" s="98"/>
      <c r="AA1691" s="98"/>
      <c r="AB1691" s="98"/>
      <c r="AC1691" s="98"/>
      <c r="AD1691" s="98"/>
      <c r="AE1691" s="98"/>
      <c r="AF1691" s="98"/>
      <c r="AG1691" s="98"/>
      <c r="AH1691" s="98"/>
      <c r="AI1691" s="98"/>
      <c r="AJ1691" s="98"/>
      <c r="AK1691" s="98"/>
      <c r="AL1691" s="98"/>
      <c r="AM1691" s="98"/>
    </row>
    <row r="1692" spans="1:39" s="100" customFormat="1" ht="15.6" x14ac:dyDescent="0.3">
      <c r="A1692" s="97"/>
      <c r="B1692" s="98"/>
      <c r="C1692" s="98"/>
      <c r="D1692" s="98"/>
      <c r="E1692" s="98"/>
      <c r="F1692" s="98"/>
      <c r="G1692" s="99"/>
      <c r="H1692" s="99"/>
      <c r="I1692" s="99"/>
      <c r="J1692" s="99"/>
      <c r="K1692" s="98"/>
      <c r="L1692" s="98"/>
      <c r="M1692" s="98"/>
      <c r="N1692" s="98"/>
      <c r="O1692" s="98"/>
      <c r="P1692" s="98"/>
      <c r="Q1692" s="98"/>
      <c r="R1692" s="98"/>
      <c r="S1692" s="98"/>
      <c r="T1692" s="98"/>
      <c r="U1692" s="98"/>
      <c r="V1692" s="98"/>
      <c r="W1692" s="98"/>
      <c r="X1692" s="98"/>
      <c r="Y1692" s="98"/>
      <c r="Z1692" s="98"/>
      <c r="AA1692" s="98"/>
      <c r="AB1692" s="98"/>
      <c r="AC1692" s="98"/>
      <c r="AD1692" s="98"/>
      <c r="AE1692" s="98"/>
      <c r="AF1692" s="98"/>
      <c r="AG1692" s="98"/>
      <c r="AH1692" s="98"/>
      <c r="AI1692" s="98"/>
      <c r="AJ1692" s="98"/>
      <c r="AK1692" s="98"/>
      <c r="AL1692" s="98"/>
      <c r="AM1692" s="98"/>
    </row>
    <row r="1693" spans="1:39" s="100" customFormat="1" ht="15.6" x14ac:dyDescent="0.3">
      <c r="A1693" s="97"/>
      <c r="B1693" s="98"/>
      <c r="C1693" s="98"/>
      <c r="D1693" s="98"/>
      <c r="E1693" s="98"/>
      <c r="F1693" s="98"/>
      <c r="G1693" s="99"/>
      <c r="H1693" s="99"/>
      <c r="I1693" s="99"/>
      <c r="J1693" s="99"/>
      <c r="K1693" s="98"/>
      <c r="L1693" s="98"/>
      <c r="M1693" s="98"/>
      <c r="N1693" s="98"/>
      <c r="O1693" s="98"/>
      <c r="P1693" s="98"/>
      <c r="Q1693" s="98"/>
      <c r="R1693" s="98"/>
      <c r="S1693" s="98"/>
      <c r="T1693" s="98"/>
      <c r="U1693" s="98"/>
      <c r="V1693" s="98"/>
      <c r="W1693" s="98"/>
      <c r="X1693" s="98"/>
      <c r="Y1693" s="98"/>
      <c r="Z1693" s="98"/>
      <c r="AA1693" s="98"/>
      <c r="AB1693" s="98"/>
      <c r="AC1693" s="98"/>
      <c r="AD1693" s="98"/>
      <c r="AE1693" s="98"/>
      <c r="AF1693" s="98"/>
      <c r="AG1693" s="98"/>
      <c r="AH1693" s="98"/>
      <c r="AI1693" s="98"/>
      <c r="AJ1693" s="98"/>
      <c r="AK1693" s="98"/>
      <c r="AL1693" s="98"/>
      <c r="AM1693" s="98"/>
    </row>
    <row r="1694" spans="1:39" s="100" customFormat="1" ht="15.6" x14ac:dyDescent="0.3">
      <c r="A1694" s="97"/>
      <c r="B1694" s="98"/>
      <c r="C1694" s="98"/>
      <c r="D1694" s="98"/>
      <c r="E1694" s="98"/>
      <c r="F1694" s="98"/>
      <c r="G1694" s="99"/>
      <c r="H1694" s="99"/>
      <c r="I1694" s="99"/>
      <c r="J1694" s="99"/>
      <c r="K1694" s="98"/>
      <c r="L1694" s="98"/>
      <c r="M1694" s="98"/>
      <c r="N1694" s="98"/>
      <c r="O1694" s="98"/>
      <c r="P1694" s="98"/>
      <c r="Q1694" s="98"/>
      <c r="R1694" s="98"/>
      <c r="S1694" s="98"/>
      <c r="T1694" s="98"/>
      <c r="U1694" s="98"/>
      <c r="V1694" s="98"/>
      <c r="W1694" s="98"/>
      <c r="X1694" s="98"/>
      <c r="Y1694" s="98"/>
      <c r="Z1694" s="98"/>
      <c r="AA1694" s="98"/>
      <c r="AB1694" s="98"/>
      <c r="AC1694" s="98"/>
      <c r="AD1694" s="98"/>
      <c r="AE1694" s="98"/>
      <c r="AF1694" s="98"/>
      <c r="AG1694" s="98"/>
      <c r="AH1694" s="98"/>
      <c r="AI1694" s="98"/>
      <c r="AJ1694" s="98"/>
      <c r="AK1694" s="98"/>
      <c r="AL1694" s="98"/>
      <c r="AM1694" s="98"/>
    </row>
    <row r="1695" spans="1:39" s="100" customFormat="1" ht="15.6" x14ac:dyDescent="0.3">
      <c r="A1695" s="97"/>
      <c r="B1695" s="98"/>
      <c r="C1695" s="98"/>
      <c r="D1695" s="98"/>
      <c r="E1695" s="98"/>
      <c r="F1695" s="98"/>
      <c r="G1695" s="99"/>
      <c r="H1695" s="99"/>
      <c r="I1695" s="99"/>
      <c r="J1695" s="99"/>
      <c r="K1695" s="98"/>
      <c r="L1695" s="98"/>
      <c r="M1695" s="98"/>
      <c r="N1695" s="98"/>
      <c r="O1695" s="98"/>
      <c r="P1695" s="98"/>
      <c r="Q1695" s="98"/>
      <c r="R1695" s="98"/>
      <c r="S1695" s="98"/>
      <c r="T1695" s="98"/>
      <c r="U1695" s="98"/>
      <c r="V1695" s="98"/>
      <c r="W1695" s="98"/>
      <c r="X1695" s="98"/>
      <c r="Y1695" s="98"/>
      <c r="Z1695" s="98"/>
      <c r="AA1695" s="98"/>
      <c r="AB1695" s="98"/>
      <c r="AC1695" s="98"/>
      <c r="AD1695" s="98"/>
      <c r="AE1695" s="98"/>
      <c r="AF1695" s="98"/>
      <c r="AG1695" s="98"/>
      <c r="AH1695" s="98"/>
      <c r="AI1695" s="98"/>
      <c r="AJ1695" s="98"/>
      <c r="AK1695" s="98"/>
      <c r="AL1695" s="98"/>
      <c r="AM1695" s="98"/>
    </row>
    <row r="1696" spans="1:39" s="100" customFormat="1" ht="15.6" x14ac:dyDescent="0.3">
      <c r="A1696" s="97"/>
      <c r="B1696" s="98"/>
      <c r="C1696" s="98"/>
      <c r="D1696" s="98"/>
      <c r="E1696" s="98"/>
      <c r="F1696" s="98"/>
      <c r="G1696" s="99"/>
      <c r="H1696" s="99"/>
      <c r="I1696" s="99"/>
      <c r="J1696" s="99"/>
      <c r="K1696" s="98"/>
      <c r="L1696" s="98"/>
      <c r="M1696" s="98"/>
      <c r="N1696" s="98"/>
      <c r="O1696" s="98"/>
      <c r="P1696" s="98"/>
      <c r="Q1696" s="98"/>
      <c r="R1696" s="98"/>
      <c r="S1696" s="98"/>
      <c r="T1696" s="98"/>
      <c r="U1696" s="98"/>
      <c r="V1696" s="98"/>
      <c r="W1696" s="98"/>
      <c r="X1696" s="98"/>
      <c r="Y1696" s="98"/>
      <c r="Z1696" s="98"/>
      <c r="AA1696" s="98"/>
      <c r="AB1696" s="98"/>
      <c r="AC1696" s="98"/>
      <c r="AD1696" s="98"/>
      <c r="AE1696" s="98"/>
      <c r="AF1696" s="98"/>
      <c r="AG1696" s="98"/>
      <c r="AH1696" s="98"/>
      <c r="AI1696" s="98"/>
      <c r="AJ1696" s="98"/>
      <c r="AK1696" s="98"/>
      <c r="AL1696" s="98"/>
      <c r="AM1696" s="98"/>
    </row>
    <row r="1697" spans="1:39" s="100" customFormat="1" ht="15.6" x14ac:dyDescent="0.3">
      <c r="A1697" s="97"/>
      <c r="B1697" s="98"/>
      <c r="C1697" s="98"/>
      <c r="D1697" s="98"/>
      <c r="E1697" s="98"/>
      <c r="F1697" s="98"/>
      <c r="G1697" s="99"/>
      <c r="H1697" s="99"/>
      <c r="I1697" s="99"/>
      <c r="J1697" s="99"/>
      <c r="K1697" s="98"/>
      <c r="L1697" s="98"/>
      <c r="M1697" s="98"/>
      <c r="N1697" s="98"/>
      <c r="O1697" s="98"/>
      <c r="P1697" s="98"/>
      <c r="Q1697" s="98"/>
      <c r="R1697" s="98"/>
      <c r="S1697" s="98"/>
      <c r="T1697" s="98"/>
      <c r="U1697" s="98"/>
      <c r="V1697" s="98"/>
      <c r="W1697" s="98"/>
      <c r="X1697" s="98"/>
      <c r="Y1697" s="98"/>
      <c r="Z1697" s="98"/>
      <c r="AA1697" s="98"/>
      <c r="AB1697" s="98"/>
      <c r="AC1697" s="98"/>
      <c r="AD1697" s="98"/>
      <c r="AE1697" s="98"/>
      <c r="AF1697" s="98"/>
      <c r="AG1697" s="98"/>
      <c r="AH1697" s="98"/>
      <c r="AI1697" s="98"/>
      <c r="AJ1697" s="98"/>
      <c r="AK1697" s="98"/>
      <c r="AL1697" s="98"/>
      <c r="AM1697" s="98"/>
    </row>
    <row r="1698" spans="1:39" s="100" customFormat="1" ht="15.6" x14ac:dyDescent="0.3">
      <c r="A1698" s="97"/>
      <c r="B1698" s="98"/>
      <c r="C1698" s="98"/>
      <c r="D1698" s="98"/>
      <c r="E1698" s="98"/>
      <c r="F1698" s="98"/>
      <c r="G1698" s="99"/>
      <c r="H1698" s="99"/>
      <c r="I1698" s="99"/>
      <c r="J1698" s="99"/>
      <c r="K1698" s="98"/>
      <c r="L1698" s="98"/>
      <c r="M1698" s="98"/>
      <c r="N1698" s="98"/>
      <c r="O1698" s="98"/>
      <c r="P1698" s="98"/>
      <c r="Q1698" s="98"/>
      <c r="R1698" s="98"/>
      <c r="S1698" s="98"/>
      <c r="T1698" s="98"/>
      <c r="U1698" s="98"/>
      <c r="V1698" s="98"/>
      <c r="W1698" s="98"/>
      <c r="X1698" s="98"/>
      <c r="Y1698" s="98"/>
      <c r="Z1698" s="98"/>
      <c r="AA1698" s="98"/>
      <c r="AB1698" s="98"/>
      <c r="AC1698" s="98"/>
      <c r="AD1698" s="98"/>
      <c r="AE1698" s="98"/>
      <c r="AF1698" s="98"/>
      <c r="AG1698" s="98"/>
      <c r="AH1698" s="98"/>
      <c r="AI1698" s="98"/>
      <c r="AJ1698" s="98"/>
      <c r="AK1698" s="98"/>
      <c r="AL1698" s="98"/>
      <c r="AM1698" s="98"/>
    </row>
    <row r="1699" spans="1:39" s="100" customFormat="1" ht="15.6" x14ac:dyDescent="0.3">
      <c r="A1699" s="97"/>
      <c r="B1699" s="98"/>
      <c r="C1699" s="98"/>
      <c r="D1699" s="98"/>
      <c r="E1699" s="98"/>
      <c r="F1699" s="98"/>
      <c r="G1699" s="99"/>
      <c r="H1699" s="99"/>
      <c r="I1699" s="99"/>
      <c r="J1699" s="99"/>
      <c r="K1699" s="98"/>
      <c r="L1699" s="98"/>
      <c r="M1699" s="98"/>
      <c r="N1699" s="98"/>
      <c r="O1699" s="98"/>
      <c r="P1699" s="98"/>
      <c r="Q1699" s="98"/>
      <c r="R1699" s="98"/>
      <c r="S1699" s="98"/>
      <c r="T1699" s="98"/>
      <c r="U1699" s="98"/>
      <c r="V1699" s="98"/>
      <c r="W1699" s="98"/>
      <c r="X1699" s="98"/>
      <c r="Y1699" s="98"/>
      <c r="Z1699" s="98"/>
      <c r="AA1699" s="98"/>
      <c r="AB1699" s="98"/>
      <c r="AC1699" s="98"/>
      <c r="AD1699" s="98"/>
      <c r="AE1699" s="98"/>
      <c r="AF1699" s="98"/>
      <c r="AG1699" s="98"/>
      <c r="AH1699" s="98"/>
      <c r="AI1699" s="98"/>
      <c r="AJ1699" s="98"/>
      <c r="AK1699" s="98"/>
      <c r="AL1699" s="98"/>
      <c r="AM1699" s="98"/>
    </row>
    <row r="1700" spans="1:39" s="100" customFormat="1" ht="15.6" x14ac:dyDescent="0.3">
      <c r="A1700" s="97"/>
      <c r="B1700" s="98"/>
      <c r="C1700" s="98"/>
      <c r="D1700" s="98"/>
      <c r="E1700" s="98"/>
      <c r="F1700" s="98"/>
      <c r="G1700" s="99"/>
      <c r="H1700" s="99"/>
      <c r="I1700" s="99"/>
      <c r="J1700" s="99"/>
      <c r="K1700" s="98"/>
      <c r="L1700" s="98"/>
      <c r="M1700" s="98"/>
      <c r="N1700" s="98"/>
      <c r="O1700" s="98"/>
      <c r="P1700" s="98"/>
      <c r="Q1700" s="98"/>
      <c r="R1700" s="98"/>
      <c r="S1700" s="98"/>
      <c r="T1700" s="98"/>
      <c r="U1700" s="98"/>
      <c r="V1700" s="98"/>
      <c r="W1700" s="98"/>
      <c r="X1700" s="98"/>
      <c r="Y1700" s="98"/>
      <c r="Z1700" s="98"/>
      <c r="AA1700" s="98"/>
      <c r="AB1700" s="98"/>
      <c r="AC1700" s="98"/>
      <c r="AD1700" s="98"/>
      <c r="AE1700" s="98"/>
      <c r="AF1700" s="98"/>
      <c r="AG1700" s="98"/>
      <c r="AH1700" s="98"/>
      <c r="AI1700" s="98"/>
      <c r="AJ1700" s="98"/>
      <c r="AK1700" s="98"/>
      <c r="AL1700" s="98"/>
      <c r="AM1700" s="98"/>
    </row>
    <row r="1701" spans="1:39" s="100" customFormat="1" ht="15.6" x14ac:dyDescent="0.3">
      <c r="A1701" s="97"/>
      <c r="B1701" s="98"/>
      <c r="C1701" s="98"/>
      <c r="D1701" s="98"/>
      <c r="E1701" s="98"/>
      <c r="F1701" s="98"/>
      <c r="G1701" s="99"/>
      <c r="H1701" s="99"/>
      <c r="I1701" s="99"/>
      <c r="J1701" s="99"/>
      <c r="K1701" s="98"/>
      <c r="L1701" s="98"/>
      <c r="M1701" s="98"/>
      <c r="N1701" s="98"/>
      <c r="O1701" s="98"/>
      <c r="P1701" s="98"/>
      <c r="Q1701" s="98"/>
      <c r="R1701" s="98"/>
      <c r="S1701" s="98"/>
      <c r="T1701" s="98"/>
      <c r="U1701" s="98"/>
      <c r="V1701" s="98"/>
      <c r="W1701" s="98"/>
      <c r="X1701" s="98"/>
      <c r="Y1701" s="98"/>
      <c r="Z1701" s="98"/>
      <c r="AA1701" s="98"/>
      <c r="AB1701" s="98"/>
      <c r="AC1701" s="98"/>
      <c r="AD1701" s="98"/>
      <c r="AE1701" s="98"/>
      <c r="AF1701" s="98"/>
      <c r="AG1701" s="98"/>
      <c r="AH1701" s="98"/>
      <c r="AI1701" s="98"/>
      <c r="AJ1701" s="98"/>
      <c r="AK1701" s="98"/>
      <c r="AL1701" s="98"/>
      <c r="AM1701" s="98"/>
    </row>
    <row r="1702" spans="1:39" s="100" customFormat="1" ht="15.6" x14ac:dyDescent="0.3">
      <c r="A1702" s="97"/>
      <c r="B1702" s="98"/>
      <c r="C1702" s="98"/>
      <c r="D1702" s="98"/>
      <c r="E1702" s="98"/>
      <c r="F1702" s="98"/>
      <c r="G1702" s="99"/>
      <c r="H1702" s="99"/>
      <c r="I1702" s="99"/>
      <c r="J1702" s="99"/>
      <c r="K1702" s="98"/>
      <c r="L1702" s="98"/>
      <c r="M1702" s="98"/>
      <c r="N1702" s="98"/>
      <c r="O1702" s="98"/>
      <c r="P1702" s="98"/>
      <c r="Q1702" s="98"/>
      <c r="R1702" s="98"/>
      <c r="S1702" s="98"/>
      <c r="T1702" s="98"/>
      <c r="U1702" s="98"/>
      <c r="V1702" s="98"/>
      <c r="W1702" s="98"/>
      <c r="X1702" s="98"/>
      <c r="Y1702" s="98"/>
      <c r="Z1702" s="98"/>
      <c r="AA1702" s="98"/>
      <c r="AB1702" s="98"/>
      <c r="AC1702" s="98"/>
      <c r="AD1702" s="98"/>
      <c r="AE1702" s="98"/>
      <c r="AF1702" s="98"/>
      <c r="AG1702" s="98"/>
      <c r="AH1702" s="98"/>
      <c r="AI1702" s="98"/>
      <c r="AJ1702" s="98"/>
      <c r="AK1702" s="98"/>
      <c r="AL1702" s="98"/>
      <c r="AM1702" s="98"/>
    </row>
    <row r="1703" spans="1:39" s="100" customFormat="1" ht="15.6" x14ac:dyDescent="0.3">
      <c r="A1703" s="97"/>
      <c r="B1703" s="98"/>
      <c r="C1703" s="98"/>
      <c r="D1703" s="98"/>
      <c r="E1703" s="98"/>
      <c r="F1703" s="98"/>
      <c r="G1703" s="99"/>
      <c r="H1703" s="99"/>
      <c r="I1703" s="99"/>
      <c r="J1703" s="99"/>
      <c r="K1703" s="98"/>
      <c r="L1703" s="98"/>
      <c r="M1703" s="98"/>
      <c r="N1703" s="98"/>
      <c r="O1703" s="98"/>
      <c r="P1703" s="98"/>
      <c r="Q1703" s="98"/>
      <c r="R1703" s="98"/>
      <c r="S1703" s="98"/>
      <c r="T1703" s="98"/>
      <c r="U1703" s="98"/>
      <c r="V1703" s="98"/>
      <c r="W1703" s="98"/>
      <c r="X1703" s="98"/>
      <c r="Y1703" s="98"/>
      <c r="Z1703" s="98"/>
      <c r="AA1703" s="98"/>
      <c r="AB1703" s="98"/>
      <c r="AC1703" s="98"/>
      <c r="AD1703" s="98"/>
      <c r="AE1703" s="98"/>
      <c r="AF1703" s="98"/>
      <c r="AG1703" s="98"/>
      <c r="AH1703" s="98"/>
      <c r="AI1703" s="98"/>
      <c r="AJ1703" s="98"/>
      <c r="AK1703" s="98"/>
      <c r="AL1703" s="98"/>
      <c r="AM1703" s="98"/>
    </row>
    <row r="1704" spans="1:39" s="100" customFormat="1" ht="15.6" x14ac:dyDescent="0.3">
      <c r="A1704" s="97"/>
      <c r="B1704" s="98"/>
      <c r="C1704" s="98"/>
      <c r="D1704" s="98"/>
      <c r="E1704" s="98"/>
      <c r="F1704" s="98"/>
      <c r="G1704" s="99"/>
      <c r="H1704" s="99"/>
      <c r="I1704" s="99"/>
      <c r="J1704" s="99"/>
      <c r="K1704" s="98"/>
      <c r="L1704" s="98"/>
      <c r="M1704" s="98"/>
      <c r="N1704" s="98"/>
      <c r="O1704" s="98"/>
      <c r="P1704" s="98"/>
      <c r="Q1704" s="98"/>
      <c r="R1704" s="98"/>
      <c r="S1704" s="98"/>
      <c r="T1704" s="98"/>
      <c r="U1704" s="98"/>
      <c r="V1704" s="98"/>
      <c r="W1704" s="98"/>
      <c r="X1704" s="98"/>
      <c r="Y1704" s="98"/>
      <c r="Z1704" s="98"/>
      <c r="AA1704" s="98"/>
      <c r="AB1704" s="98"/>
      <c r="AC1704" s="98"/>
      <c r="AD1704" s="98"/>
      <c r="AE1704" s="98"/>
      <c r="AF1704" s="98"/>
      <c r="AG1704" s="98"/>
      <c r="AH1704" s="98"/>
      <c r="AI1704" s="98"/>
      <c r="AJ1704" s="98"/>
      <c r="AK1704" s="98"/>
      <c r="AL1704" s="98"/>
      <c r="AM1704" s="98"/>
    </row>
    <row r="1705" spans="1:39" s="100" customFormat="1" ht="15.6" x14ac:dyDescent="0.3">
      <c r="A1705" s="97"/>
      <c r="B1705" s="98"/>
      <c r="C1705" s="98"/>
      <c r="D1705" s="98"/>
      <c r="E1705" s="98"/>
      <c r="F1705" s="98"/>
      <c r="G1705" s="99"/>
      <c r="H1705" s="99"/>
      <c r="I1705" s="99"/>
      <c r="J1705" s="99"/>
      <c r="K1705" s="98"/>
      <c r="L1705" s="98"/>
      <c r="M1705" s="98"/>
      <c r="N1705" s="98"/>
      <c r="O1705" s="98"/>
      <c r="P1705" s="98"/>
      <c r="Q1705" s="98"/>
      <c r="R1705" s="98"/>
      <c r="S1705" s="98"/>
      <c r="T1705" s="98"/>
      <c r="U1705" s="98"/>
      <c r="V1705" s="98"/>
      <c r="W1705" s="98"/>
      <c r="X1705" s="98"/>
      <c r="Y1705" s="98"/>
      <c r="Z1705" s="98"/>
      <c r="AA1705" s="98"/>
      <c r="AB1705" s="98"/>
      <c r="AC1705" s="98"/>
      <c r="AD1705" s="98"/>
      <c r="AE1705" s="98"/>
      <c r="AF1705" s="98"/>
      <c r="AG1705" s="98"/>
      <c r="AH1705" s="98"/>
      <c r="AI1705" s="98"/>
      <c r="AJ1705" s="98"/>
      <c r="AK1705" s="98"/>
      <c r="AL1705" s="98"/>
      <c r="AM1705" s="98"/>
    </row>
    <row r="1706" spans="1:39" s="100" customFormat="1" ht="15.6" x14ac:dyDescent="0.3">
      <c r="A1706" s="97"/>
      <c r="B1706" s="98"/>
      <c r="C1706" s="98"/>
      <c r="D1706" s="98"/>
      <c r="E1706" s="98"/>
      <c r="F1706" s="98"/>
      <c r="G1706" s="99"/>
      <c r="H1706" s="99"/>
      <c r="I1706" s="99"/>
      <c r="J1706" s="99"/>
      <c r="K1706" s="98"/>
      <c r="L1706" s="98"/>
      <c r="M1706" s="98"/>
      <c r="N1706" s="98"/>
      <c r="O1706" s="98"/>
      <c r="P1706" s="98"/>
      <c r="Q1706" s="98"/>
      <c r="R1706" s="98"/>
      <c r="S1706" s="98"/>
      <c r="T1706" s="98"/>
      <c r="U1706" s="98"/>
      <c r="V1706" s="98"/>
      <c r="W1706" s="98"/>
      <c r="X1706" s="98"/>
      <c r="Y1706" s="98"/>
      <c r="Z1706" s="98"/>
      <c r="AA1706" s="98"/>
      <c r="AB1706" s="98"/>
      <c r="AC1706" s="98"/>
      <c r="AD1706" s="98"/>
      <c r="AE1706" s="98"/>
      <c r="AF1706" s="98"/>
      <c r="AG1706" s="98"/>
      <c r="AH1706" s="98"/>
      <c r="AI1706" s="98"/>
      <c r="AJ1706" s="98"/>
      <c r="AK1706" s="98"/>
      <c r="AL1706" s="98"/>
      <c r="AM1706" s="98"/>
    </row>
    <row r="1707" spans="1:39" s="100" customFormat="1" ht="15.6" x14ac:dyDescent="0.3">
      <c r="A1707" s="97"/>
      <c r="B1707" s="98"/>
      <c r="C1707" s="98"/>
      <c r="D1707" s="98"/>
      <c r="E1707" s="98"/>
      <c r="F1707" s="98"/>
      <c r="G1707" s="99"/>
      <c r="H1707" s="99"/>
      <c r="I1707" s="99"/>
      <c r="J1707" s="99"/>
      <c r="K1707" s="98"/>
      <c r="L1707" s="98"/>
      <c r="M1707" s="98"/>
      <c r="N1707" s="98"/>
      <c r="O1707" s="98"/>
      <c r="P1707" s="98"/>
      <c r="Q1707" s="98"/>
      <c r="R1707" s="98"/>
      <c r="S1707" s="98"/>
      <c r="T1707" s="98"/>
      <c r="U1707" s="98"/>
      <c r="V1707" s="98"/>
      <c r="W1707" s="98"/>
      <c r="X1707" s="98"/>
      <c r="Y1707" s="98"/>
      <c r="Z1707" s="98"/>
      <c r="AA1707" s="98"/>
      <c r="AB1707" s="98"/>
      <c r="AC1707" s="98"/>
      <c r="AD1707" s="98"/>
      <c r="AE1707" s="98"/>
      <c r="AF1707" s="98"/>
      <c r="AG1707" s="98"/>
      <c r="AH1707" s="98"/>
      <c r="AI1707" s="98"/>
      <c r="AJ1707" s="98"/>
      <c r="AK1707" s="98"/>
      <c r="AL1707" s="98"/>
      <c r="AM1707" s="98"/>
    </row>
    <row r="1708" spans="1:39" s="100" customFormat="1" ht="15.6" x14ac:dyDescent="0.3">
      <c r="A1708" s="97"/>
      <c r="B1708" s="98"/>
      <c r="C1708" s="98"/>
      <c r="D1708" s="98"/>
      <c r="E1708" s="98"/>
      <c r="F1708" s="98"/>
      <c r="G1708" s="99"/>
      <c r="H1708" s="99"/>
      <c r="I1708" s="99"/>
      <c r="J1708" s="99"/>
      <c r="K1708" s="98"/>
      <c r="L1708" s="98"/>
      <c r="M1708" s="98"/>
      <c r="N1708" s="98"/>
      <c r="O1708" s="98"/>
      <c r="P1708" s="98"/>
      <c r="Q1708" s="98"/>
      <c r="R1708" s="98"/>
      <c r="S1708" s="98"/>
      <c r="T1708" s="98"/>
      <c r="U1708" s="98"/>
      <c r="V1708" s="98"/>
      <c r="W1708" s="98"/>
      <c r="X1708" s="98"/>
      <c r="Y1708" s="98"/>
      <c r="Z1708" s="98"/>
      <c r="AA1708" s="98"/>
      <c r="AB1708" s="98"/>
      <c r="AC1708" s="98"/>
      <c r="AD1708" s="98"/>
      <c r="AE1708" s="98"/>
      <c r="AF1708" s="98"/>
      <c r="AG1708" s="98"/>
      <c r="AH1708" s="98"/>
      <c r="AI1708" s="98"/>
      <c r="AJ1708" s="98"/>
      <c r="AK1708" s="98"/>
      <c r="AL1708" s="98"/>
      <c r="AM1708" s="98"/>
    </row>
    <row r="1709" spans="1:39" s="100" customFormat="1" ht="15.6" x14ac:dyDescent="0.3">
      <c r="A1709" s="97"/>
      <c r="B1709" s="98"/>
      <c r="C1709" s="98"/>
      <c r="D1709" s="98"/>
      <c r="E1709" s="98"/>
      <c r="F1709" s="98"/>
      <c r="G1709" s="99"/>
      <c r="H1709" s="99"/>
      <c r="I1709" s="99"/>
      <c r="J1709" s="99"/>
      <c r="K1709" s="98"/>
      <c r="L1709" s="98"/>
      <c r="M1709" s="98"/>
      <c r="N1709" s="98"/>
      <c r="O1709" s="98"/>
      <c r="P1709" s="98"/>
      <c r="Q1709" s="98"/>
      <c r="R1709" s="98"/>
      <c r="S1709" s="98"/>
      <c r="T1709" s="98"/>
      <c r="U1709" s="98"/>
      <c r="V1709" s="98"/>
      <c r="W1709" s="98"/>
      <c r="X1709" s="98"/>
      <c r="Y1709" s="98"/>
      <c r="Z1709" s="98"/>
      <c r="AA1709" s="98"/>
      <c r="AB1709" s="98"/>
      <c r="AC1709" s="98"/>
      <c r="AD1709" s="98"/>
      <c r="AE1709" s="98"/>
      <c r="AF1709" s="98"/>
      <c r="AG1709" s="98"/>
      <c r="AH1709" s="98"/>
      <c r="AI1709" s="98"/>
      <c r="AJ1709" s="98"/>
      <c r="AK1709" s="98"/>
      <c r="AL1709" s="98"/>
      <c r="AM1709" s="98"/>
    </row>
    <row r="1710" spans="1:39" s="100" customFormat="1" ht="15.6" x14ac:dyDescent="0.3">
      <c r="A1710" s="97"/>
      <c r="B1710" s="98"/>
      <c r="C1710" s="98"/>
      <c r="D1710" s="98"/>
      <c r="E1710" s="98"/>
      <c r="F1710" s="98"/>
      <c r="G1710" s="99"/>
      <c r="H1710" s="99"/>
      <c r="I1710" s="99"/>
      <c r="J1710" s="99"/>
      <c r="K1710" s="98"/>
      <c r="L1710" s="98"/>
      <c r="M1710" s="98"/>
      <c r="N1710" s="98"/>
      <c r="O1710" s="98"/>
      <c r="P1710" s="98"/>
      <c r="Q1710" s="98"/>
      <c r="R1710" s="98"/>
      <c r="S1710" s="98"/>
      <c r="T1710" s="98"/>
      <c r="U1710" s="98"/>
      <c r="V1710" s="98"/>
      <c r="W1710" s="98"/>
      <c r="X1710" s="98"/>
      <c r="Y1710" s="98"/>
      <c r="Z1710" s="98"/>
      <c r="AA1710" s="98"/>
      <c r="AB1710" s="98"/>
      <c r="AC1710" s="98"/>
      <c r="AD1710" s="98"/>
      <c r="AE1710" s="98"/>
      <c r="AF1710" s="98"/>
      <c r="AG1710" s="98"/>
      <c r="AH1710" s="98"/>
      <c r="AI1710" s="98"/>
      <c r="AJ1710" s="98"/>
      <c r="AK1710" s="98"/>
      <c r="AL1710" s="98"/>
      <c r="AM1710" s="98"/>
    </row>
    <row r="1711" spans="1:39" s="100" customFormat="1" ht="15.6" x14ac:dyDescent="0.3">
      <c r="A1711" s="97"/>
      <c r="B1711" s="98"/>
      <c r="C1711" s="98"/>
      <c r="D1711" s="98"/>
      <c r="E1711" s="98"/>
      <c r="F1711" s="98"/>
      <c r="G1711" s="99"/>
      <c r="H1711" s="99"/>
      <c r="I1711" s="99"/>
      <c r="J1711" s="99"/>
      <c r="K1711" s="98"/>
      <c r="L1711" s="98"/>
      <c r="M1711" s="98"/>
      <c r="N1711" s="98"/>
      <c r="O1711" s="98"/>
      <c r="P1711" s="98"/>
      <c r="Q1711" s="98"/>
      <c r="R1711" s="98"/>
      <c r="S1711" s="98"/>
      <c r="T1711" s="98"/>
      <c r="U1711" s="98"/>
      <c r="V1711" s="98"/>
      <c r="W1711" s="98"/>
      <c r="X1711" s="98"/>
      <c r="Y1711" s="98"/>
      <c r="Z1711" s="98"/>
      <c r="AA1711" s="98"/>
      <c r="AB1711" s="98"/>
      <c r="AC1711" s="98"/>
      <c r="AD1711" s="98"/>
      <c r="AE1711" s="98"/>
      <c r="AF1711" s="98"/>
      <c r="AG1711" s="98"/>
      <c r="AH1711" s="98"/>
      <c r="AI1711" s="98"/>
      <c r="AJ1711" s="98"/>
      <c r="AK1711" s="98"/>
      <c r="AL1711" s="98"/>
      <c r="AM1711" s="98"/>
    </row>
    <row r="1712" spans="1:39" s="100" customFormat="1" ht="15.6" x14ac:dyDescent="0.3">
      <c r="A1712" s="97"/>
      <c r="B1712" s="98"/>
      <c r="C1712" s="98"/>
      <c r="D1712" s="98"/>
      <c r="E1712" s="98"/>
      <c r="F1712" s="98"/>
      <c r="G1712" s="99"/>
      <c r="H1712" s="99"/>
      <c r="I1712" s="99"/>
      <c r="J1712" s="99"/>
      <c r="K1712" s="98"/>
      <c r="L1712" s="98"/>
      <c r="M1712" s="98"/>
      <c r="N1712" s="98"/>
      <c r="O1712" s="98"/>
      <c r="P1712" s="98"/>
      <c r="Q1712" s="98"/>
      <c r="R1712" s="98"/>
      <c r="S1712" s="98"/>
      <c r="T1712" s="98"/>
      <c r="U1712" s="98"/>
      <c r="V1712" s="98"/>
      <c r="W1712" s="98"/>
      <c r="X1712" s="98"/>
      <c r="Y1712" s="98"/>
      <c r="Z1712" s="98"/>
      <c r="AA1712" s="98"/>
      <c r="AB1712" s="98"/>
      <c r="AC1712" s="98"/>
      <c r="AD1712" s="98"/>
      <c r="AE1712" s="98"/>
      <c r="AF1712" s="98"/>
      <c r="AG1712" s="98"/>
      <c r="AH1712" s="98"/>
      <c r="AI1712" s="98"/>
      <c r="AJ1712" s="98"/>
      <c r="AK1712" s="98"/>
      <c r="AL1712" s="98"/>
      <c r="AM1712" s="98"/>
    </row>
    <row r="1713" spans="1:39" s="100" customFormat="1" ht="15.6" x14ac:dyDescent="0.3">
      <c r="A1713" s="97"/>
      <c r="B1713" s="98"/>
      <c r="C1713" s="98"/>
      <c r="D1713" s="98"/>
      <c r="E1713" s="98"/>
      <c r="F1713" s="98"/>
      <c r="G1713" s="99"/>
      <c r="H1713" s="99"/>
      <c r="I1713" s="99"/>
      <c r="J1713" s="99"/>
      <c r="K1713" s="98"/>
      <c r="L1713" s="98"/>
      <c r="M1713" s="98"/>
      <c r="N1713" s="98"/>
      <c r="O1713" s="98"/>
      <c r="P1713" s="98"/>
      <c r="Q1713" s="98"/>
      <c r="R1713" s="98"/>
      <c r="S1713" s="98"/>
      <c r="T1713" s="98"/>
      <c r="U1713" s="98"/>
      <c r="V1713" s="98"/>
      <c r="W1713" s="98"/>
      <c r="X1713" s="98"/>
      <c r="Y1713" s="98"/>
      <c r="Z1713" s="98"/>
      <c r="AA1713" s="98"/>
      <c r="AB1713" s="98"/>
      <c r="AC1713" s="98"/>
      <c r="AD1713" s="98"/>
      <c r="AE1713" s="98"/>
      <c r="AF1713" s="98"/>
      <c r="AG1713" s="98"/>
      <c r="AH1713" s="98"/>
      <c r="AI1713" s="98"/>
      <c r="AJ1713" s="98"/>
      <c r="AK1713" s="98"/>
      <c r="AL1713" s="98"/>
      <c r="AM1713" s="98"/>
    </row>
    <row r="1714" spans="1:39" s="100" customFormat="1" ht="15.6" x14ac:dyDescent="0.3">
      <c r="A1714" s="97"/>
      <c r="B1714" s="98"/>
      <c r="C1714" s="98"/>
      <c r="D1714" s="98"/>
      <c r="E1714" s="98"/>
      <c r="F1714" s="98"/>
      <c r="G1714" s="99"/>
      <c r="H1714" s="99"/>
      <c r="I1714" s="99"/>
      <c r="J1714" s="99"/>
      <c r="K1714" s="98"/>
      <c r="L1714" s="98"/>
      <c r="M1714" s="98"/>
      <c r="N1714" s="98"/>
      <c r="O1714" s="98"/>
      <c r="P1714" s="98"/>
      <c r="Q1714" s="98"/>
      <c r="R1714" s="98"/>
      <c r="S1714" s="98"/>
      <c r="T1714" s="98"/>
      <c r="U1714" s="98"/>
      <c r="V1714" s="98"/>
      <c r="W1714" s="98"/>
      <c r="X1714" s="98"/>
      <c r="Y1714" s="98"/>
      <c r="Z1714" s="98"/>
      <c r="AA1714" s="98"/>
      <c r="AB1714" s="98"/>
      <c r="AC1714" s="98"/>
      <c r="AD1714" s="98"/>
      <c r="AE1714" s="98"/>
      <c r="AF1714" s="98"/>
      <c r="AG1714" s="98"/>
      <c r="AH1714" s="98"/>
      <c r="AI1714" s="98"/>
      <c r="AJ1714" s="98"/>
      <c r="AK1714" s="98"/>
      <c r="AL1714" s="98"/>
      <c r="AM1714" s="98"/>
    </row>
    <row r="1715" spans="1:39" s="100" customFormat="1" ht="15.6" x14ac:dyDescent="0.3">
      <c r="A1715" s="97"/>
      <c r="B1715" s="98"/>
      <c r="C1715" s="98"/>
      <c r="D1715" s="98"/>
      <c r="E1715" s="98"/>
      <c r="F1715" s="98"/>
      <c r="G1715" s="99"/>
      <c r="H1715" s="99"/>
      <c r="I1715" s="99"/>
      <c r="J1715" s="99"/>
      <c r="K1715" s="98"/>
      <c r="L1715" s="98"/>
      <c r="M1715" s="98"/>
      <c r="N1715" s="98"/>
      <c r="O1715" s="98"/>
      <c r="P1715" s="98"/>
      <c r="Q1715" s="98"/>
      <c r="R1715" s="98"/>
      <c r="S1715" s="98"/>
      <c r="T1715" s="98"/>
      <c r="U1715" s="98"/>
      <c r="V1715" s="98"/>
      <c r="W1715" s="98"/>
      <c r="X1715" s="98"/>
      <c r="Y1715" s="98"/>
      <c r="Z1715" s="98"/>
      <c r="AA1715" s="98"/>
      <c r="AB1715" s="98"/>
      <c r="AC1715" s="98"/>
      <c r="AD1715" s="98"/>
      <c r="AE1715" s="98"/>
      <c r="AF1715" s="98"/>
      <c r="AG1715" s="98"/>
      <c r="AH1715" s="98"/>
      <c r="AI1715" s="98"/>
      <c r="AJ1715" s="98"/>
      <c r="AK1715" s="98"/>
      <c r="AL1715" s="98"/>
      <c r="AM1715" s="98"/>
    </row>
    <row r="1716" spans="1:39" s="100" customFormat="1" ht="15.6" x14ac:dyDescent="0.3">
      <c r="A1716" s="97"/>
      <c r="B1716" s="98"/>
      <c r="C1716" s="98"/>
      <c r="D1716" s="98"/>
      <c r="E1716" s="98"/>
      <c r="F1716" s="98"/>
      <c r="G1716" s="99"/>
      <c r="H1716" s="99"/>
      <c r="I1716" s="99"/>
      <c r="J1716" s="99"/>
      <c r="K1716" s="98"/>
      <c r="L1716" s="98"/>
      <c r="M1716" s="98"/>
      <c r="N1716" s="98"/>
      <c r="O1716" s="98"/>
      <c r="P1716" s="98"/>
      <c r="Q1716" s="98"/>
      <c r="R1716" s="98"/>
      <c r="S1716" s="98"/>
      <c r="T1716" s="98"/>
      <c r="U1716" s="98"/>
      <c r="V1716" s="98"/>
      <c r="W1716" s="98"/>
      <c r="X1716" s="98"/>
      <c r="Y1716" s="98"/>
      <c r="Z1716" s="98"/>
      <c r="AA1716" s="98"/>
      <c r="AB1716" s="98"/>
      <c r="AC1716" s="98"/>
      <c r="AD1716" s="98"/>
      <c r="AE1716" s="98"/>
      <c r="AF1716" s="98"/>
      <c r="AG1716" s="98"/>
      <c r="AH1716" s="98"/>
      <c r="AI1716" s="98"/>
      <c r="AJ1716" s="98"/>
      <c r="AK1716" s="98"/>
      <c r="AL1716" s="98"/>
      <c r="AM1716" s="98"/>
    </row>
    <row r="1717" spans="1:39" s="100" customFormat="1" ht="15.6" x14ac:dyDescent="0.3">
      <c r="A1717" s="97"/>
      <c r="B1717" s="98"/>
      <c r="C1717" s="98"/>
      <c r="D1717" s="98"/>
      <c r="E1717" s="98"/>
      <c r="F1717" s="98"/>
      <c r="G1717" s="99"/>
      <c r="H1717" s="99"/>
      <c r="I1717" s="99"/>
      <c r="J1717" s="99"/>
      <c r="K1717" s="98"/>
      <c r="L1717" s="98"/>
      <c r="M1717" s="98"/>
      <c r="N1717" s="98"/>
      <c r="O1717" s="98"/>
      <c r="P1717" s="98"/>
      <c r="Q1717" s="98"/>
      <c r="R1717" s="98"/>
      <c r="S1717" s="98"/>
      <c r="T1717" s="98"/>
      <c r="U1717" s="98"/>
      <c r="V1717" s="98"/>
      <c r="W1717" s="98"/>
      <c r="X1717" s="98"/>
      <c r="Y1717" s="98"/>
      <c r="Z1717" s="98"/>
      <c r="AA1717" s="98"/>
      <c r="AB1717" s="98"/>
      <c r="AC1717" s="98"/>
      <c r="AD1717" s="98"/>
      <c r="AE1717" s="98"/>
      <c r="AF1717" s="98"/>
      <c r="AG1717" s="98"/>
      <c r="AH1717" s="98"/>
      <c r="AI1717" s="98"/>
      <c r="AJ1717" s="98"/>
      <c r="AK1717" s="98"/>
      <c r="AL1717" s="98"/>
      <c r="AM1717" s="98"/>
    </row>
    <row r="1718" spans="1:39" s="100" customFormat="1" ht="15.6" x14ac:dyDescent="0.3">
      <c r="A1718" s="97"/>
      <c r="B1718" s="98"/>
      <c r="C1718" s="98"/>
      <c r="D1718" s="98"/>
      <c r="E1718" s="98"/>
      <c r="F1718" s="98"/>
      <c r="G1718" s="99"/>
      <c r="H1718" s="99"/>
      <c r="I1718" s="99"/>
      <c r="J1718" s="99"/>
      <c r="K1718" s="98"/>
      <c r="L1718" s="98"/>
      <c r="M1718" s="98"/>
      <c r="N1718" s="98"/>
      <c r="O1718" s="98"/>
      <c r="P1718" s="98"/>
      <c r="Q1718" s="98"/>
      <c r="R1718" s="98"/>
      <c r="S1718" s="98"/>
      <c r="T1718" s="98"/>
      <c r="U1718" s="98"/>
      <c r="V1718" s="98"/>
      <c r="W1718" s="98"/>
      <c r="X1718" s="98"/>
      <c r="Y1718" s="98"/>
      <c r="Z1718" s="98"/>
      <c r="AA1718" s="98"/>
      <c r="AB1718" s="98"/>
      <c r="AC1718" s="98"/>
      <c r="AD1718" s="98"/>
      <c r="AE1718" s="98"/>
      <c r="AF1718" s="98"/>
      <c r="AG1718" s="98"/>
      <c r="AH1718" s="98"/>
      <c r="AI1718" s="98"/>
      <c r="AJ1718" s="98"/>
      <c r="AK1718" s="98"/>
      <c r="AL1718" s="98"/>
      <c r="AM1718" s="98"/>
    </row>
    <row r="1719" spans="1:39" s="100" customFormat="1" ht="15.6" x14ac:dyDescent="0.3">
      <c r="A1719" s="97"/>
      <c r="B1719" s="98"/>
      <c r="C1719" s="98"/>
      <c r="D1719" s="98"/>
      <c r="E1719" s="98"/>
      <c r="F1719" s="98"/>
      <c r="G1719" s="99"/>
      <c r="H1719" s="99"/>
      <c r="I1719" s="99"/>
      <c r="J1719" s="99"/>
      <c r="K1719" s="98"/>
      <c r="L1719" s="98"/>
      <c r="M1719" s="98"/>
      <c r="N1719" s="98"/>
      <c r="O1719" s="98"/>
      <c r="P1719" s="98"/>
      <c r="Q1719" s="98"/>
      <c r="R1719" s="98"/>
      <c r="S1719" s="98"/>
      <c r="T1719" s="98"/>
      <c r="U1719" s="98"/>
      <c r="V1719" s="98"/>
      <c r="W1719" s="98"/>
      <c r="X1719" s="98"/>
      <c r="Y1719" s="98"/>
      <c r="Z1719" s="98"/>
      <c r="AA1719" s="98"/>
      <c r="AB1719" s="98"/>
      <c r="AC1719" s="98"/>
      <c r="AD1719" s="98"/>
      <c r="AE1719" s="98"/>
      <c r="AF1719" s="98"/>
      <c r="AG1719" s="98"/>
      <c r="AH1719" s="98"/>
      <c r="AI1719" s="98"/>
      <c r="AJ1719" s="98"/>
      <c r="AK1719" s="98"/>
      <c r="AL1719" s="98"/>
      <c r="AM1719" s="98"/>
    </row>
    <row r="1720" spans="1:39" s="100" customFormat="1" ht="15.6" x14ac:dyDescent="0.3">
      <c r="A1720" s="97"/>
      <c r="B1720" s="98"/>
      <c r="C1720" s="98"/>
      <c r="D1720" s="98"/>
      <c r="E1720" s="98"/>
      <c r="F1720" s="98"/>
      <c r="G1720" s="99"/>
      <c r="H1720" s="99"/>
      <c r="I1720" s="99"/>
      <c r="J1720" s="99"/>
      <c r="K1720" s="98"/>
      <c r="L1720" s="98"/>
      <c r="M1720" s="98"/>
      <c r="N1720" s="98"/>
      <c r="O1720" s="98"/>
      <c r="P1720" s="98"/>
      <c r="Q1720" s="98"/>
      <c r="R1720" s="98"/>
      <c r="S1720" s="98"/>
      <c r="T1720" s="98"/>
      <c r="U1720" s="98"/>
      <c r="V1720" s="98"/>
      <c r="W1720" s="98"/>
      <c r="X1720" s="98"/>
      <c r="Y1720" s="98"/>
      <c r="Z1720" s="98"/>
      <c r="AA1720" s="98"/>
      <c r="AB1720" s="98"/>
      <c r="AC1720" s="98"/>
      <c r="AD1720" s="98"/>
      <c r="AE1720" s="98"/>
      <c r="AF1720" s="98"/>
      <c r="AG1720" s="98"/>
      <c r="AH1720" s="98"/>
      <c r="AI1720" s="98"/>
      <c r="AJ1720" s="98"/>
      <c r="AK1720" s="98"/>
      <c r="AL1720" s="98"/>
      <c r="AM1720" s="98"/>
    </row>
    <row r="1721" spans="1:39" s="100" customFormat="1" ht="15.6" x14ac:dyDescent="0.3">
      <c r="A1721" s="97"/>
      <c r="B1721" s="98"/>
      <c r="C1721" s="98"/>
      <c r="D1721" s="98"/>
      <c r="E1721" s="98"/>
      <c r="F1721" s="98"/>
      <c r="G1721" s="99"/>
      <c r="H1721" s="99"/>
      <c r="I1721" s="99"/>
      <c r="J1721" s="99"/>
      <c r="K1721" s="98"/>
      <c r="L1721" s="98"/>
      <c r="M1721" s="98"/>
      <c r="N1721" s="98"/>
      <c r="O1721" s="98"/>
      <c r="P1721" s="98"/>
      <c r="Q1721" s="98"/>
      <c r="R1721" s="98"/>
      <c r="S1721" s="98"/>
      <c r="T1721" s="98"/>
      <c r="U1721" s="98"/>
      <c r="V1721" s="98"/>
      <c r="W1721" s="98"/>
      <c r="X1721" s="98"/>
      <c r="Y1721" s="98"/>
      <c r="Z1721" s="98"/>
      <c r="AA1721" s="98"/>
      <c r="AB1721" s="98"/>
      <c r="AC1721" s="98"/>
      <c r="AD1721" s="98"/>
      <c r="AE1721" s="98"/>
      <c r="AF1721" s="98"/>
      <c r="AG1721" s="98"/>
      <c r="AH1721" s="98"/>
      <c r="AI1721" s="98"/>
      <c r="AJ1721" s="98"/>
      <c r="AK1721" s="98"/>
      <c r="AL1721" s="98"/>
      <c r="AM1721" s="98"/>
    </row>
    <row r="1722" spans="1:39" s="100" customFormat="1" ht="15.6" x14ac:dyDescent="0.3">
      <c r="A1722" s="97"/>
      <c r="B1722" s="98"/>
      <c r="C1722" s="98"/>
      <c r="D1722" s="98"/>
      <c r="E1722" s="98"/>
      <c r="F1722" s="98"/>
      <c r="G1722" s="99"/>
      <c r="H1722" s="99"/>
      <c r="I1722" s="99"/>
      <c r="J1722" s="99"/>
      <c r="K1722" s="98"/>
      <c r="L1722" s="98"/>
      <c r="M1722" s="98"/>
      <c r="N1722" s="98"/>
      <c r="O1722" s="98"/>
      <c r="P1722" s="98"/>
      <c r="Q1722" s="98"/>
      <c r="R1722" s="98"/>
      <c r="S1722" s="98"/>
      <c r="T1722" s="98"/>
      <c r="U1722" s="98"/>
      <c r="V1722" s="98"/>
      <c r="W1722" s="98"/>
      <c r="X1722" s="98"/>
      <c r="Y1722" s="98"/>
      <c r="Z1722" s="98"/>
      <c r="AA1722" s="98"/>
      <c r="AB1722" s="98"/>
      <c r="AC1722" s="98"/>
      <c r="AD1722" s="98"/>
      <c r="AE1722" s="98"/>
      <c r="AF1722" s="98"/>
      <c r="AG1722" s="98"/>
      <c r="AH1722" s="98"/>
      <c r="AI1722" s="98"/>
      <c r="AJ1722" s="98"/>
      <c r="AK1722" s="98"/>
      <c r="AL1722" s="98"/>
      <c r="AM1722" s="98"/>
    </row>
    <row r="1723" spans="1:39" s="100" customFormat="1" ht="15.6" x14ac:dyDescent="0.3">
      <c r="A1723" s="97"/>
      <c r="B1723" s="98"/>
      <c r="C1723" s="98"/>
      <c r="D1723" s="98"/>
      <c r="E1723" s="98"/>
      <c r="F1723" s="98"/>
      <c r="G1723" s="99"/>
      <c r="H1723" s="99"/>
      <c r="I1723" s="99"/>
      <c r="J1723" s="99"/>
      <c r="K1723" s="98"/>
      <c r="L1723" s="98"/>
      <c r="M1723" s="98"/>
      <c r="N1723" s="98"/>
      <c r="O1723" s="98"/>
      <c r="P1723" s="98"/>
      <c r="Q1723" s="98"/>
      <c r="R1723" s="98"/>
      <c r="S1723" s="98"/>
      <c r="T1723" s="98"/>
      <c r="U1723" s="98"/>
      <c r="V1723" s="98"/>
      <c r="W1723" s="98"/>
      <c r="X1723" s="98"/>
      <c r="Y1723" s="98"/>
      <c r="Z1723" s="98"/>
      <c r="AA1723" s="98"/>
      <c r="AB1723" s="98"/>
      <c r="AC1723" s="98"/>
      <c r="AD1723" s="98"/>
      <c r="AE1723" s="98"/>
      <c r="AF1723" s="98"/>
      <c r="AG1723" s="98"/>
      <c r="AH1723" s="98"/>
      <c r="AI1723" s="98"/>
      <c r="AJ1723" s="98"/>
      <c r="AK1723" s="98"/>
      <c r="AL1723" s="98"/>
      <c r="AM1723" s="98"/>
    </row>
    <row r="1724" spans="1:39" s="100" customFormat="1" ht="15.6" x14ac:dyDescent="0.3">
      <c r="A1724" s="97"/>
      <c r="B1724" s="98"/>
      <c r="C1724" s="98"/>
      <c r="D1724" s="98"/>
      <c r="E1724" s="98"/>
      <c r="F1724" s="98"/>
      <c r="G1724" s="99"/>
      <c r="H1724" s="99"/>
      <c r="I1724" s="99"/>
      <c r="J1724" s="99"/>
      <c r="K1724" s="98"/>
      <c r="L1724" s="98"/>
      <c r="M1724" s="98"/>
      <c r="N1724" s="98"/>
      <c r="O1724" s="98"/>
      <c r="P1724" s="98"/>
      <c r="Q1724" s="98"/>
      <c r="R1724" s="98"/>
      <c r="S1724" s="98"/>
      <c r="T1724" s="98"/>
      <c r="U1724" s="98"/>
      <c r="V1724" s="98"/>
      <c r="W1724" s="98"/>
      <c r="X1724" s="98"/>
      <c r="Y1724" s="98"/>
      <c r="Z1724" s="98"/>
      <c r="AA1724" s="98"/>
      <c r="AB1724" s="98"/>
      <c r="AC1724" s="98"/>
      <c r="AD1724" s="98"/>
      <c r="AE1724" s="98"/>
      <c r="AF1724" s="98"/>
      <c r="AG1724" s="98"/>
      <c r="AH1724" s="98"/>
      <c r="AI1724" s="98"/>
      <c r="AJ1724" s="98"/>
      <c r="AK1724" s="98"/>
      <c r="AL1724" s="98"/>
      <c r="AM1724" s="98"/>
    </row>
    <row r="1725" spans="1:39" s="100" customFormat="1" ht="15.6" x14ac:dyDescent="0.3">
      <c r="A1725" s="97"/>
      <c r="B1725" s="98"/>
      <c r="C1725" s="98"/>
      <c r="D1725" s="98"/>
      <c r="E1725" s="98"/>
      <c r="F1725" s="98"/>
      <c r="G1725" s="99"/>
      <c r="H1725" s="99"/>
      <c r="I1725" s="99"/>
      <c r="J1725" s="99"/>
      <c r="K1725" s="98"/>
      <c r="L1725" s="98"/>
      <c r="M1725" s="98"/>
      <c r="N1725" s="98"/>
      <c r="O1725" s="98"/>
      <c r="P1725" s="98"/>
      <c r="Q1725" s="98"/>
      <c r="R1725" s="98"/>
      <c r="S1725" s="98"/>
      <c r="T1725" s="98"/>
      <c r="U1725" s="98"/>
      <c r="V1725" s="98"/>
      <c r="W1725" s="98"/>
      <c r="X1725" s="98"/>
      <c r="Y1725" s="98"/>
      <c r="Z1725" s="98"/>
      <c r="AA1725" s="98"/>
      <c r="AB1725" s="98"/>
      <c r="AC1725" s="98"/>
      <c r="AD1725" s="98"/>
      <c r="AE1725" s="98"/>
      <c r="AF1725" s="98"/>
      <c r="AG1725" s="98"/>
      <c r="AH1725" s="98"/>
      <c r="AI1725" s="98"/>
      <c r="AJ1725" s="98"/>
      <c r="AK1725" s="98"/>
      <c r="AL1725" s="98"/>
      <c r="AM1725" s="98"/>
    </row>
    <row r="1726" spans="1:39" s="100" customFormat="1" ht="15.6" x14ac:dyDescent="0.3">
      <c r="A1726" s="97"/>
      <c r="B1726" s="98"/>
      <c r="C1726" s="98"/>
      <c r="D1726" s="98"/>
      <c r="E1726" s="98"/>
      <c r="F1726" s="98"/>
      <c r="G1726" s="99"/>
      <c r="H1726" s="99"/>
      <c r="I1726" s="99"/>
      <c r="J1726" s="99"/>
      <c r="K1726" s="98"/>
      <c r="L1726" s="98"/>
      <c r="M1726" s="98"/>
      <c r="N1726" s="98"/>
      <c r="O1726" s="98"/>
      <c r="P1726" s="98"/>
      <c r="Q1726" s="98"/>
      <c r="R1726" s="98"/>
      <c r="S1726" s="98"/>
      <c r="T1726" s="98"/>
      <c r="U1726" s="98"/>
      <c r="V1726" s="98"/>
      <c r="W1726" s="98"/>
      <c r="X1726" s="98"/>
      <c r="Y1726" s="98"/>
      <c r="Z1726" s="98"/>
      <c r="AA1726" s="98"/>
      <c r="AB1726" s="98"/>
      <c r="AC1726" s="98"/>
      <c r="AD1726" s="98"/>
      <c r="AE1726" s="98"/>
      <c r="AF1726" s="98"/>
      <c r="AG1726" s="98"/>
      <c r="AH1726" s="98"/>
      <c r="AI1726" s="98"/>
      <c r="AJ1726" s="98"/>
      <c r="AK1726" s="98"/>
      <c r="AL1726" s="98"/>
      <c r="AM1726" s="98"/>
    </row>
    <row r="1727" spans="1:39" s="100" customFormat="1" ht="15.6" x14ac:dyDescent="0.3">
      <c r="A1727" s="97"/>
      <c r="B1727" s="98"/>
      <c r="C1727" s="98"/>
      <c r="D1727" s="98"/>
      <c r="E1727" s="98"/>
      <c r="F1727" s="98"/>
      <c r="G1727" s="99"/>
      <c r="H1727" s="99"/>
      <c r="I1727" s="99"/>
      <c r="J1727" s="99"/>
      <c r="K1727" s="98"/>
      <c r="L1727" s="98"/>
      <c r="M1727" s="98"/>
      <c r="N1727" s="98"/>
      <c r="O1727" s="98"/>
      <c r="P1727" s="98"/>
      <c r="Q1727" s="98"/>
      <c r="R1727" s="98"/>
      <c r="S1727" s="98"/>
      <c r="T1727" s="98"/>
      <c r="U1727" s="98"/>
      <c r="V1727" s="98"/>
      <c r="W1727" s="98"/>
      <c r="X1727" s="98"/>
      <c r="Y1727" s="98"/>
      <c r="Z1727" s="98"/>
      <c r="AA1727" s="98"/>
      <c r="AB1727" s="98"/>
      <c r="AC1727" s="98"/>
      <c r="AD1727" s="98"/>
      <c r="AE1727" s="98"/>
      <c r="AF1727" s="98"/>
      <c r="AG1727" s="98"/>
      <c r="AH1727" s="98"/>
      <c r="AI1727" s="98"/>
      <c r="AJ1727" s="98"/>
      <c r="AK1727" s="98"/>
      <c r="AL1727" s="98"/>
      <c r="AM1727" s="98"/>
    </row>
    <row r="1728" spans="1:39" s="100" customFormat="1" ht="15.6" x14ac:dyDescent="0.3">
      <c r="A1728" s="97"/>
      <c r="B1728" s="98"/>
      <c r="C1728" s="98"/>
      <c r="D1728" s="98"/>
      <c r="E1728" s="98"/>
      <c r="F1728" s="98"/>
      <c r="G1728" s="99"/>
      <c r="H1728" s="99"/>
      <c r="I1728" s="99"/>
      <c r="J1728" s="99"/>
      <c r="K1728" s="98"/>
      <c r="L1728" s="98"/>
      <c r="M1728" s="98"/>
      <c r="N1728" s="98"/>
      <c r="O1728" s="98"/>
      <c r="P1728" s="98"/>
      <c r="Q1728" s="98"/>
      <c r="R1728" s="98"/>
      <c r="S1728" s="98"/>
      <c r="T1728" s="98"/>
      <c r="U1728" s="98"/>
      <c r="V1728" s="98"/>
      <c r="W1728" s="98"/>
      <c r="X1728" s="98"/>
      <c r="Y1728" s="98"/>
      <c r="Z1728" s="98"/>
      <c r="AA1728" s="98"/>
      <c r="AB1728" s="98"/>
      <c r="AC1728" s="98"/>
      <c r="AD1728" s="98"/>
      <c r="AE1728" s="98"/>
      <c r="AF1728" s="98"/>
      <c r="AG1728" s="98"/>
      <c r="AH1728" s="98"/>
      <c r="AI1728" s="98"/>
      <c r="AJ1728" s="98"/>
      <c r="AK1728" s="98"/>
      <c r="AL1728" s="98"/>
      <c r="AM1728" s="98"/>
    </row>
    <row r="1729" spans="1:39" s="100" customFormat="1" ht="15.6" x14ac:dyDescent="0.3">
      <c r="A1729" s="97"/>
      <c r="B1729" s="98"/>
      <c r="C1729" s="98"/>
      <c r="D1729" s="98"/>
      <c r="E1729" s="98"/>
      <c r="F1729" s="98"/>
      <c r="G1729" s="99"/>
      <c r="H1729" s="99"/>
      <c r="I1729" s="99"/>
      <c r="J1729" s="99"/>
      <c r="K1729" s="98"/>
      <c r="L1729" s="98"/>
      <c r="M1729" s="98"/>
      <c r="N1729" s="98"/>
      <c r="O1729" s="98"/>
      <c r="P1729" s="98"/>
      <c r="Q1729" s="98"/>
      <c r="R1729" s="98"/>
      <c r="S1729" s="98"/>
      <c r="T1729" s="98"/>
      <c r="U1729" s="98"/>
      <c r="V1729" s="98"/>
      <c r="W1729" s="98"/>
      <c r="X1729" s="98"/>
      <c r="Y1729" s="98"/>
      <c r="Z1729" s="98"/>
      <c r="AA1729" s="98"/>
      <c r="AB1729" s="98"/>
      <c r="AC1729" s="98"/>
      <c r="AD1729" s="98"/>
      <c r="AE1729" s="98"/>
      <c r="AF1729" s="98"/>
      <c r="AG1729" s="98"/>
      <c r="AH1729" s="98"/>
      <c r="AI1729" s="98"/>
      <c r="AJ1729" s="98"/>
      <c r="AK1729" s="98"/>
      <c r="AL1729" s="98"/>
      <c r="AM1729" s="98"/>
    </row>
    <row r="1730" spans="1:39" s="100" customFormat="1" ht="15.6" x14ac:dyDescent="0.3">
      <c r="A1730" s="97"/>
      <c r="B1730" s="98"/>
      <c r="C1730" s="98"/>
      <c r="D1730" s="98"/>
      <c r="E1730" s="98"/>
      <c r="F1730" s="98"/>
      <c r="G1730" s="99"/>
      <c r="H1730" s="99"/>
      <c r="I1730" s="99"/>
      <c r="J1730" s="99"/>
      <c r="K1730" s="98"/>
      <c r="L1730" s="98"/>
      <c r="M1730" s="98"/>
      <c r="N1730" s="98"/>
      <c r="O1730" s="98"/>
      <c r="P1730" s="98"/>
      <c r="Q1730" s="98"/>
      <c r="R1730" s="98"/>
      <c r="S1730" s="98"/>
      <c r="T1730" s="98"/>
      <c r="U1730" s="98"/>
      <c r="V1730" s="98"/>
      <c r="W1730" s="98"/>
      <c r="X1730" s="98"/>
      <c r="Y1730" s="98"/>
      <c r="Z1730" s="98"/>
      <c r="AA1730" s="98"/>
      <c r="AB1730" s="98"/>
      <c r="AC1730" s="98"/>
      <c r="AD1730" s="98"/>
      <c r="AE1730" s="98"/>
      <c r="AF1730" s="98"/>
      <c r="AG1730" s="98"/>
      <c r="AH1730" s="98"/>
      <c r="AI1730" s="98"/>
      <c r="AJ1730" s="98"/>
      <c r="AK1730" s="98"/>
      <c r="AL1730" s="98"/>
      <c r="AM1730" s="98"/>
    </row>
    <row r="1731" spans="1:39" s="100" customFormat="1" ht="15.6" x14ac:dyDescent="0.3">
      <c r="A1731" s="97"/>
      <c r="B1731" s="98"/>
      <c r="C1731" s="98"/>
      <c r="D1731" s="98"/>
      <c r="E1731" s="98"/>
      <c r="F1731" s="98"/>
      <c r="G1731" s="99"/>
      <c r="H1731" s="99"/>
      <c r="I1731" s="99"/>
      <c r="J1731" s="99"/>
      <c r="K1731" s="98"/>
      <c r="L1731" s="98"/>
      <c r="M1731" s="98"/>
      <c r="N1731" s="98"/>
      <c r="O1731" s="98"/>
      <c r="P1731" s="98"/>
      <c r="Q1731" s="98"/>
      <c r="R1731" s="98"/>
      <c r="S1731" s="98"/>
      <c r="T1731" s="98"/>
      <c r="U1731" s="98"/>
      <c r="V1731" s="98"/>
      <c r="W1731" s="98"/>
      <c r="X1731" s="98"/>
      <c r="Y1731" s="98"/>
      <c r="Z1731" s="98"/>
      <c r="AA1731" s="98"/>
      <c r="AB1731" s="98"/>
      <c r="AC1731" s="98"/>
      <c r="AD1731" s="98"/>
      <c r="AE1731" s="98"/>
      <c r="AF1731" s="98"/>
      <c r="AG1731" s="98"/>
      <c r="AH1731" s="98"/>
      <c r="AI1731" s="98"/>
      <c r="AJ1731" s="98"/>
      <c r="AK1731" s="98"/>
      <c r="AL1731" s="98"/>
      <c r="AM1731" s="98"/>
    </row>
    <row r="1732" spans="1:39" s="100" customFormat="1" ht="15.6" x14ac:dyDescent="0.3">
      <c r="A1732" s="97"/>
      <c r="B1732" s="98"/>
      <c r="C1732" s="98"/>
      <c r="D1732" s="98"/>
      <c r="E1732" s="98"/>
      <c r="F1732" s="98"/>
      <c r="G1732" s="99"/>
      <c r="H1732" s="99"/>
      <c r="I1732" s="99"/>
      <c r="J1732" s="99"/>
      <c r="K1732" s="98"/>
      <c r="L1732" s="98"/>
      <c r="M1732" s="98"/>
      <c r="N1732" s="98"/>
      <c r="O1732" s="98"/>
      <c r="P1732" s="98"/>
      <c r="Q1732" s="98"/>
      <c r="R1732" s="98"/>
      <c r="S1732" s="98"/>
      <c r="T1732" s="98"/>
      <c r="U1732" s="98"/>
      <c r="V1732" s="98"/>
      <c r="W1732" s="98"/>
      <c r="X1732" s="98"/>
      <c r="Y1732" s="98"/>
      <c r="Z1732" s="98"/>
      <c r="AA1732" s="98"/>
      <c r="AB1732" s="98"/>
      <c r="AC1732" s="98"/>
      <c r="AD1732" s="98"/>
      <c r="AE1732" s="98"/>
      <c r="AF1732" s="98"/>
      <c r="AG1732" s="98"/>
      <c r="AH1732" s="98"/>
      <c r="AI1732" s="98"/>
      <c r="AJ1732" s="98"/>
      <c r="AK1732" s="98"/>
      <c r="AL1732" s="98"/>
      <c r="AM1732" s="98"/>
    </row>
    <row r="1733" spans="1:39" s="100" customFormat="1" ht="15.6" x14ac:dyDescent="0.3">
      <c r="A1733" s="97"/>
      <c r="B1733" s="98"/>
      <c r="C1733" s="98"/>
      <c r="D1733" s="98"/>
      <c r="E1733" s="98"/>
      <c r="F1733" s="98"/>
      <c r="G1733" s="99"/>
      <c r="H1733" s="99"/>
      <c r="I1733" s="99"/>
      <c r="J1733" s="99"/>
      <c r="K1733" s="98"/>
      <c r="L1733" s="98"/>
      <c r="M1733" s="98"/>
      <c r="N1733" s="98"/>
      <c r="O1733" s="98"/>
      <c r="P1733" s="98"/>
      <c r="Q1733" s="98"/>
      <c r="R1733" s="98"/>
      <c r="S1733" s="98"/>
      <c r="T1733" s="98"/>
      <c r="U1733" s="98"/>
      <c r="V1733" s="98"/>
      <c r="W1733" s="98"/>
      <c r="X1733" s="98"/>
      <c r="Y1733" s="98"/>
      <c r="Z1733" s="98"/>
      <c r="AA1733" s="98"/>
      <c r="AB1733" s="98"/>
      <c r="AC1733" s="98"/>
      <c r="AD1733" s="98"/>
      <c r="AE1733" s="98"/>
      <c r="AF1733" s="98"/>
      <c r="AG1733" s="98"/>
      <c r="AH1733" s="98"/>
      <c r="AI1733" s="98"/>
      <c r="AJ1733" s="98"/>
      <c r="AK1733" s="98"/>
      <c r="AL1733" s="98"/>
      <c r="AM1733" s="98"/>
    </row>
    <row r="1734" spans="1:39" s="100" customFormat="1" ht="15.6" x14ac:dyDescent="0.3">
      <c r="A1734" s="97"/>
      <c r="B1734" s="98"/>
      <c r="C1734" s="98"/>
      <c r="D1734" s="98"/>
      <c r="E1734" s="98"/>
      <c r="F1734" s="98"/>
      <c r="G1734" s="99"/>
      <c r="H1734" s="99"/>
      <c r="I1734" s="99"/>
      <c r="J1734" s="99"/>
      <c r="K1734" s="98"/>
      <c r="L1734" s="98"/>
      <c r="M1734" s="98"/>
      <c r="N1734" s="98"/>
      <c r="O1734" s="98"/>
      <c r="P1734" s="98"/>
      <c r="Q1734" s="98"/>
      <c r="R1734" s="98"/>
      <c r="S1734" s="98"/>
      <c r="T1734" s="98"/>
      <c r="U1734" s="98"/>
      <c r="V1734" s="98"/>
      <c r="W1734" s="98"/>
      <c r="X1734" s="98"/>
      <c r="Y1734" s="98"/>
      <c r="Z1734" s="98"/>
      <c r="AA1734" s="98"/>
      <c r="AB1734" s="98"/>
      <c r="AC1734" s="98"/>
      <c r="AD1734" s="98"/>
      <c r="AE1734" s="98"/>
      <c r="AF1734" s="98"/>
      <c r="AG1734" s="98"/>
      <c r="AH1734" s="98"/>
      <c r="AI1734" s="98"/>
      <c r="AJ1734" s="98"/>
      <c r="AK1734" s="98"/>
      <c r="AL1734" s="98"/>
      <c r="AM1734" s="98"/>
    </row>
    <row r="1735" spans="1:39" s="100" customFormat="1" ht="15.6" x14ac:dyDescent="0.3">
      <c r="A1735" s="97"/>
      <c r="B1735" s="98"/>
      <c r="C1735" s="98"/>
      <c r="D1735" s="98"/>
      <c r="E1735" s="98"/>
      <c r="F1735" s="98"/>
      <c r="G1735" s="99"/>
      <c r="H1735" s="99"/>
      <c r="I1735" s="99"/>
      <c r="J1735" s="99"/>
      <c r="K1735" s="98"/>
      <c r="L1735" s="98"/>
      <c r="M1735" s="98"/>
      <c r="N1735" s="98"/>
      <c r="O1735" s="98"/>
      <c r="P1735" s="98"/>
      <c r="Q1735" s="98"/>
      <c r="R1735" s="98"/>
      <c r="S1735" s="98"/>
      <c r="T1735" s="98"/>
      <c r="U1735" s="98"/>
      <c r="V1735" s="98"/>
      <c r="W1735" s="98"/>
      <c r="X1735" s="98"/>
      <c r="Y1735" s="98"/>
      <c r="Z1735" s="98"/>
      <c r="AA1735" s="98"/>
      <c r="AB1735" s="98"/>
      <c r="AC1735" s="98"/>
      <c r="AD1735" s="98"/>
      <c r="AE1735" s="98"/>
      <c r="AF1735" s="98"/>
      <c r="AG1735" s="98"/>
      <c r="AH1735" s="98"/>
      <c r="AI1735" s="98"/>
      <c r="AJ1735" s="98"/>
      <c r="AK1735" s="98"/>
      <c r="AL1735" s="98"/>
      <c r="AM1735" s="98"/>
    </row>
    <row r="1736" spans="1:39" s="100" customFormat="1" ht="15.6" x14ac:dyDescent="0.3">
      <c r="A1736" s="97"/>
      <c r="B1736" s="98"/>
      <c r="C1736" s="98"/>
      <c r="D1736" s="98"/>
      <c r="E1736" s="98"/>
      <c r="F1736" s="98"/>
      <c r="G1736" s="99"/>
      <c r="H1736" s="99"/>
      <c r="I1736" s="99"/>
      <c r="J1736" s="99"/>
      <c r="K1736" s="98"/>
      <c r="L1736" s="98"/>
      <c r="M1736" s="98"/>
      <c r="N1736" s="98"/>
      <c r="O1736" s="98"/>
      <c r="P1736" s="98"/>
      <c r="Q1736" s="98"/>
      <c r="R1736" s="98"/>
      <c r="S1736" s="98"/>
      <c r="T1736" s="98"/>
      <c r="U1736" s="98"/>
      <c r="V1736" s="98"/>
      <c r="W1736" s="98"/>
      <c r="X1736" s="98"/>
      <c r="Y1736" s="98"/>
      <c r="Z1736" s="98"/>
      <c r="AA1736" s="98"/>
      <c r="AB1736" s="98"/>
      <c r="AC1736" s="98"/>
      <c r="AD1736" s="98"/>
      <c r="AE1736" s="98"/>
      <c r="AF1736" s="98"/>
      <c r="AG1736" s="98"/>
      <c r="AH1736" s="98"/>
      <c r="AI1736" s="98"/>
      <c r="AJ1736" s="98"/>
      <c r="AK1736" s="98"/>
      <c r="AL1736" s="98"/>
      <c r="AM1736" s="98"/>
    </row>
    <row r="1737" spans="1:39" s="100" customFormat="1" ht="15.6" x14ac:dyDescent="0.3">
      <c r="A1737" s="97"/>
      <c r="B1737" s="98"/>
      <c r="C1737" s="98"/>
      <c r="D1737" s="98"/>
      <c r="E1737" s="98"/>
      <c r="F1737" s="98"/>
      <c r="G1737" s="99"/>
      <c r="H1737" s="99"/>
      <c r="I1737" s="99"/>
      <c r="J1737" s="99"/>
      <c r="K1737" s="98"/>
      <c r="L1737" s="98"/>
      <c r="M1737" s="98"/>
      <c r="N1737" s="98"/>
      <c r="O1737" s="98"/>
      <c r="P1737" s="98"/>
      <c r="Q1737" s="98"/>
      <c r="R1737" s="98"/>
      <c r="S1737" s="98"/>
      <c r="T1737" s="98"/>
      <c r="U1737" s="98"/>
      <c r="V1737" s="98"/>
      <c r="W1737" s="98"/>
      <c r="X1737" s="98"/>
      <c r="Y1737" s="98"/>
      <c r="Z1737" s="98"/>
      <c r="AA1737" s="98"/>
      <c r="AB1737" s="98"/>
      <c r="AC1737" s="98"/>
      <c r="AD1737" s="98"/>
      <c r="AE1737" s="98"/>
      <c r="AF1737" s="98"/>
      <c r="AG1737" s="98"/>
      <c r="AH1737" s="98"/>
      <c r="AI1737" s="98"/>
      <c r="AJ1737" s="98"/>
      <c r="AK1737" s="98"/>
      <c r="AL1737" s="98"/>
      <c r="AM1737" s="98"/>
    </row>
    <row r="1738" spans="1:39" s="100" customFormat="1" ht="15.6" x14ac:dyDescent="0.3">
      <c r="A1738" s="97"/>
      <c r="B1738" s="98"/>
      <c r="C1738" s="98"/>
      <c r="D1738" s="98"/>
      <c r="E1738" s="98"/>
      <c r="F1738" s="98"/>
      <c r="G1738" s="99"/>
      <c r="H1738" s="99"/>
      <c r="I1738" s="99"/>
      <c r="J1738" s="99"/>
      <c r="K1738" s="98"/>
      <c r="L1738" s="98"/>
      <c r="M1738" s="98"/>
      <c r="N1738" s="98"/>
      <c r="O1738" s="98"/>
      <c r="P1738" s="98"/>
      <c r="Q1738" s="98"/>
      <c r="R1738" s="98"/>
      <c r="S1738" s="98"/>
      <c r="T1738" s="98"/>
      <c r="U1738" s="98"/>
      <c r="V1738" s="98"/>
      <c r="W1738" s="98"/>
      <c r="X1738" s="98"/>
      <c r="Y1738" s="98"/>
      <c r="Z1738" s="98"/>
      <c r="AA1738" s="98"/>
      <c r="AB1738" s="98"/>
      <c r="AC1738" s="98"/>
      <c r="AD1738" s="98"/>
      <c r="AE1738" s="98"/>
      <c r="AF1738" s="98"/>
      <c r="AG1738" s="98"/>
      <c r="AH1738" s="98"/>
      <c r="AI1738" s="98"/>
      <c r="AJ1738" s="98"/>
      <c r="AK1738" s="98"/>
      <c r="AL1738" s="98"/>
      <c r="AM1738" s="98"/>
    </row>
    <row r="1739" spans="1:39" s="100" customFormat="1" ht="15.6" x14ac:dyDescent="0.3">
      <c r="A1739" s="97"/>
      <c r="B1739" s="98"/>
      <c r="C1739" s="98"/>
      <c r="D1739" s="98"/>
      <c r="E1739" s="98"/>
      <c r="F1739" s="98"/>
      <c r="G1739" s="99"/>
      <c r="H1739" s="99"/>
      <c r="I1739" s="99"/>
      <c r="J1739" s="99"/>
      <c r="K1739" s="98"/>
      <c r="L1739" s="98"/>
      <c r="M1739" s="98"/>
      <c r="N1739" s="98"/>
      <c r="O1739" s="98"/>
      <c r="P1739" s="98"/>
      <c r="Q1739" s="98"/>
      <c r="R1739" s="98"/>
      <c r="S1739" s="98"/>
      <c r="T1739" s="98"/>
      <c r="U1739" s="98"/>
      <c r="V1739" s="98"/>
      <c r="W1739" s="98"/>
      <c r="X1739" s="98"/>
      <c r="Y1739" s="98"/>
      <c r="Z1739" s="98"/>
      <c r="AA1739" s="98"/>
      <c r="AB1739" s="98"/>
      <c r="AC1739" s="98"/>
      <c r="AD1739" s="98"/>
      <c r="AE1739" s="98"/>
      <c r="AF1739" s="98"/>
      <c r="AG1739" s="98"/>
      <c r="AH1739" s="98"/>
      <c r="AI1739" s="98"/>
      <c r="AJ1739" s="98"/>
      <c r="AK1739" s="98"/>
      <c r="AL1739" s="98"/>
      <c r="AM1739" s="98"/>
    </row>
    <row r="1740" spans="1:39" s="100" customFormat="1" ht="15.6" x14ac:dyDescent="0.3">
      <c r="A1740" s="97"/>
      <c r="B1740" s="98"/>
      <c r="C1740" s="98"/>
      <c r="D1740" s="98"/>
      <c r="E1740" s="98"/>
      <c r="F1740" s="98"/>
      <c r="G1740" s="99"/>
      <c r="H1740" s="99"/>
      <c r="I1740" s="99"/>
      <c r="J1740" s="99"/>
      <c r="K1740" s="98"/>
      <c r="L1740" s="98"/>
      <c r="M1740" s="98"/>
      <c r="N1740" s="98"/>
      <c r="O1740" s="98"/>
      <c r="P1740" s="98"/>
      <c r="Q1740" s="98"/>
      <c r="R1740" s="98"/>
      <c r="S1740" s="98"/>
      <c r="T1740" s="98"/>
      <c r="U1740" s="98"/>
      <c r="V1740" s="98"/>
      <c r="W1740" s="98"/>
      <c r="X1740" s="98"/>
      <c r="Y1740" s="98"/>
      <c r="Z1740" s="98"/>
      <c r="AA1740" s="98"/>
      <c r="AB1740" s="98"/>
      <c r="AC1740" s="98"/>
      <c r="AD1740" s="98"/>
      <c r="AE1740" s="98"/>
      <c r="AF1740" s="98"/>
      <c r="AG1740" s="98"/>
      <c r="AH1740" s="98"/>
      <c r="AI1740" s="98"/>
      <c r="AJ1740" s="98"/>
      <c r="AK1740" s="98"/>
      <c r="AL1740" s="98"/>
      <c r="AM1740" s="98"/>
    </row>
    <row r="1741" spans="1:39" s="100" customFormat="1" ht="15.6" x14ac:dyDescent="0.3">
      <c r="A1741" s="97"/>
      <c r="B1741" s="98"/>
      <c r="C1741" s="98"/>
      <c r="D1741" s="98"/>
      <c r="E1741" s="98"/>
      <c r="F1741" s="98"/>
      <c r="G1741" s="99"/>
      <c r="H1741" s="99"/>
      <c r="I1741" s="99"/>
      <c r="J1741" s="99"/>
      <c r="K1741" s="98"/>
      <c r="L1741" s="98"/>
      <c r="M1741" s="98"/>
      <c r="N1741" s="98"/>
      <c r="O1741" s="98"/>
      <c r="P1741" s="98"/>
      <c r="Q1741" s="98"/>
      <c r="R1741" s="98"/>
      <c r="S1741" s="98"/>
      <c r="T1741" s="98"/>
      <c r="U1741" s="98"/>
      <c r="V1741" s="98"/>
      <c r="W1741" s="98"/>
      <c r="X1741" s="98"/>
      <c r="Y1741" s="98"/>
      <c r="Z1741" s="98"/>
      <c r="AA1741" s="98"/>
      <c r="AB1741" s="98"/>
      <c r="AC1741" s="98"/>
      <c r="AD1741" s="98"/>
      <c r="AE1741" s="98"/>
      <c r="AF1741" s="98"/>
      <c r="AG1741" s="98"/>
      <c r="AH1741" s="98"/>
      <c r="AI1741" s="98"/>
      <c r="AJ1741" s="98"/>
      <c r="AK1741" s="98"/>
      <c r="AL1741" s="98"/>
      <c r="AM1741" s="98"/>
    </row>
    <row r="1742" spans="1:39" s="100" customFormat="1" ht="15.6" x14ac:dyDescent="0.3">
      <c r="A1742" s="97"/>
      <c r="B1742" s="98"/>
      <c r="C1742" s="98"/>
      <c r="D1742" s="98"/>
      <c r="E1742" s="98"/>
      <c r="F1742" s="98"/>
      <c r="G1742" s="99"/>
      <c r="H1742" s="99"/>
      <c r="I1742" s="99"/>
      <c r="J1742" s="99"/>
      <c r="K1742" s="98"/>
      <c r="L1742" s="98"/>
      <c r="M1742" s="98"/>
      <c r="N1742" s="98"/>
      <c r="O1742" s="98"/>
      <c r="P1742" s="98"/>
      <c r="Q1742" s="98"/>
      <c r="R1742" s="98"/>
      <c r="S1742" s="98"/>
      <c r="T1742" s="98"/>
      <c r="U1742" s="98"/>
      <c r="V1742" s="98"/>
      <c r="W1742" s="98"/>
      <c r="X1742" s="98"/>
      <c r="Y1742" s="98"/>
      <c r="Z1742" s="98"/>
      <c r="AA1742" s="98"/>
      <c r="AB1742" s="98"/>
      <c r="AC1742" s="98"/>
      <c r="AD1742" s="98"/>
      <c r="AE1742" s="98"/>
      <c r="AF1742" s="98"/>
      <c r="AG1742" s="98"/>
      <c r="AH1742" s="98"/>
      <c r="AI1742" s="98"/>
      <c r="AJ1742" s="98"/>
      <c r="AK1742" s="98"/>
      <c r="AL1742" s="98"/>
      <c r="AM1742" s="98"/>
    </row>
    <row r="1743" spans="1:39" s="100" customFormat="1" ht="15.6" x14ac:dyDescent="0.3">
      <c r="A1743" s="97"/>
      <c r="B1743" s="98"/>
      <c r="C1743" s="98"/>
      <c r="D1743" s="98"/>
      <c r="E1743" s="98"/>
      <c r="F1743" s="98"/>
      <c r="G1743" s="99"/>
      <c r="H1743" s="99"/>
      <c r="I1743" s="99"/>
      <c r="J1743" s="99"/>
      <c r="K1743" s="98"/>
      <c r="L1743" s="98"/>
      <c r="M1743" s="98"/>
      <c r="N1743" s="98"/>
      <c r="O1743" s="98"/>
      <c r="P1743" s="98"/>
      <c r="Q1743" s="98"/>
      <c r="R1743" s="98"/>
      <c r="S1743" s="98"/>
      <c r="T1743" s="98"/>
      <c r="U1743" s="98"/>
      <c r="V1743" s="98"/>
      <c r="W1743" s="98"/>
      <c r="X1743" s="98"/>
      <c r="Y1743" s="98"/>
      <c r="Z1743" s="98"/>
      <c r="AA1743" s="98"/>
      <c r="AB1743" s="98"/>
      <c r="AC1743" s="98"/>
      <c r="AD1743" s="98"/>
      <c r="AE1743" s="98"/>
      <c r="AF1743" s="98"/>
      <c r="AG1743" s="98"/>
      <c r="AH1743" s="98"/>
      <c r="AI1743" s="98"/>
      <c r="AJ1743" s="98"/>
      <c r="AK1743" s="98"/>
      <c r="AL1743" s="98"/>
      <c r="AM1743" s="98"/>
    </row>
    <row r="1744" spans="1:39" s="100" customFormat="1" ht="15.6" x14ac:dyDescent="0.3">
      <c r="A1744" s="97"/>
      <c r="B1744" s="98"/>
      <c r="C1744" s="98"/>
      <c r="D1744" s="98"/>
      <c r="E1744" s="98"/>
      <c r="F1744" s="98"/>
      <c r="G1744" s="99"/>
      <c r="H1744" s="99"/>
      <c r="I1744" s="99"/>
      <c r="J1744" s="99"/>
      <c r="K1744" s="98"/>
      <c r="L1744" s="98"/>
      <c r="M1744" s="98"/>
      <c r="N1744" s="98"/>
      <c r="O1744" s="98"/>
      <c r="P1744" s="98"/>
      <c r="Q1744" s="98"/>
      <c r="R1744" s="98"/>
      <c r="S1744" s="98"/>
      <c r="T1744" s="98"/>
      <c r="U1744" s="98"/>
      <c r="V1744" s="98"/>
      <c r="W1744" s="98"/>
      <c r="X1744" s="98"/>
      <c r="Y1744" s="98"/>
      <c r="Z1744" s="98"/>
      <c r="AA1744" s="98"/>
      <c r="AB1744" s="98"/>
      <c r="AC1744" s="98"/>
      <c r="AD1744" s="98"/>
      <c r="AE1744" s="98"/>
      <c r="AF1744" s="98"/>
      <c r="AG1744" s="98"/>
      <c r="AH1744" s="98"/>
      <c r="AI1744" s="98"/>
      <c r="AJ1744" s="98"/>
      <c r="AK1744" s="98"/>
      <c r="AL1744" s="98"/>
      <c r="AM1744" s="98"/>
    </row>
    <row r="1745" spans="1:39" s="100" customFormat="1" ht="15.6" x14ac:dyDescent="0.3">
      <c r="A1745" s="97"/>
      <c r="B1745" s="98"/>
      <c r="C1745" s="98"/>
      <c r="D1745" s="98"/>
      <c r="E1745" s="98"/>
      <c r="F1745" s="98"/>
      <c r="G1745" s="99"/>
      <c r="H1745" s="99"/>
      <c r="I1745" s="99"/>
      <c r="J1745" s="99"/>
      <c r="K1745" s="98"/>
      <c r="L1745" s="98"/>
      <c r="M1745" s="98"/>
      <c r="N1745" s="98"/>
      <c r="O1745" s="98"/>
      <c r="P1745" s="98"/>
      <c r="Q1745" s="98"/>
      <c r="R1745" s="98"/>
      <c r="S1745" s="98"/>
      <c r="T1745" s="98"/>
      <c r="U1745" s="98"/>
      <c r="V1745" s="98"/>
      <c r="W1745" s="98"/>
      <c r="X1745" s="98"/>
      <c r="Y1745" s="98"/>
      <c r="Z1745" s="98"/>
      <c r="AA1745" s="98"/>
      <c r="AB1745" s="98"/>
      <c r="AC1745" s="98"/>
      <c r="AD1745" s="98"/>
      <c r="AE1745" s="98"/>
      <c r="AF1745" s="98"/>
      <c r="AG1745" s="98"/>
      <c r="AH1745" s="98"/>
      <c r="AI1745" s="98"/>
      <c r="AJ1745" s="98"/>
      <c r="AK1745" s="98"/>
      <c r="AL1745" s="98"/>
      <c r="AM1745" s="98"/>
    </row>
    <row r="1746" spans="1:39" s="100" customFormat="1" ht="15.6" x14ac:dyDescent="0.3">
      <c r="A1746" s="97"/>
      <c r="B1746" s="98"/>
      <c r="C1746" s="98"/>
      <c r="D1746" s="98"/>
      <c r="E1746" s="98"/>
      <c r="F1746" s="98"/>
      <c r="G1746" s="99"/>
      <c r="H1746" s="99"/>
      <c r="I1746" s="99"/>
      <c r="J1746" s="99"/>
      <c r="K1746" s="98"/>
      <c r="L1746" s="98"/>
      <c r="M1746" s="98"/>
      <c r="N1746" s="98"/>
      <c r="O1746" s="98"/>
      <c r="P1746" s="98"/>
      <c r="Q1746" s="98"/>
      <c r="R1746" s="98"/>
      <c r="S1746" s="98"/>
      <c r="T1746" s="98"/>
      <c r="U1746" s="98"/>
      <c r="V1746" s="98"/>
      <c r="W1746" s="98"/>
      <c r="X1746" s="98"/>
      <c r="Y1746" s="98"/>
      <c r="Z1746" s="98"/>
      <c r="AA1746" s="98"/>
      <c r="AB1746" s="98"/>
      <c r="AC1746" s="98"/>
      <c r="AD1746" s="98"/>
      <c r="AE1746" s="98"/>
      <c r="AF1746" s="98"/>
      <c r="AG1746" s="98"/>
      <c r="AH1746" s="98"/>
      <c r="AI1746" s="98"/>
      <c r="AJ1746" s="98"/>
      <c r="AK1746" s="98"/>
      <c r="AL1746" s="98"/>
      <c r="AM1746" s="98"/>
    </row>
    <row r="1747" spans="1:39" s="100" customFormat="1" ht="15.6" x14ac:dyDescent="0.3">
      <c r="A1747" s="97"/>
      <c r="B1747" s="98"/>
      <c r="C1747" s="98"/>
      <c r="D1747" s="98"/>
      <c r="E1747" s="98"/>
      <c r="F1747" s="98"/>
      <c r="G1747" s="99"/>
      <c r="H1747" s="99"/>
      <c r="I1747" s="99"/>
      <c r="J1747" s="99"/>
      <c r="K1747" s="98"/>
      <c r="L1747" s="98"/>
      <c r="M1747" s="98"/>
      <c r="N1747" s="98"/>
      <c r="O1747" s="98"/>
      <c r="P1747" s="98"/>
      <c r="Q1747" s="98"/>
      <c r="R1747" s="98"/>
      <c r="S1747" s="98"/>
      <c r="T1747" s="98"/>
      <c r="U1747" s="98"/>
      <c r="V1747" s="98"/>
      <c r="W1747" s="98"/>
      <c r="X1747" s="98"/>
      <c r="Y1747" s="98"/>
      <c r="Z1747" s="98"/>
      <c r="AA1747" s="98"/>
      <c r="AB1747" s="98"/>
      <c r="AC1747" s="98"/>
      <c r="AD1747" s="98"/>
      <c r="AE1747" s="98"/>
      <c r="AF1747" s="98"/>
      <c r="AG1747" s="98"/>
      <c r="AH1747" s="98"/>
      <c r="AI1747" s="98"/>
      <c r="AJ1747" s="98"/>
      <c r="AK1747" s="98"/>
      <c r="AL1747" s="98"/>
      <c r="AM1747" s="98"/>
    </row>
    <row r="1748" spans="1:39" s="100" customFormat="1" ht="15.6" x14ac:dyDescent="0.3">
      <c r="A1748" s="97"/>
      <c r="B1748" s="98"/>
      <c r="C1748" s="98"/>
      <c r="D1748" s="98"/>
      <c r="E1748" s="98"/>
      <c r="F1748" s="98"/>
      <c r="G1748" s="99"/>
      <c r="H1748" s="99"/>
      <c r="I1748" s="99"/>
      <c r="J1748" s="99"/>
      <c r="K1748" s="98"/>
      <c r="L1748" s="98"/>
      <c r="M1748" s="98"/>
      <c r="N1748" s="98"/>
      <c r="O1748" s="98"/>
      <c r="P1748" s="98"/>
      <c r="Q1748" s="98"/>
      <c r="R1748" s="98"/>
      <c r="S1748" s="98"/>
      <c r="T1748" s="98"/>
      <c r="U1748" s="98"/>
      <c r="V1748" s="98"/>
      <c r="W1748" s="98"/>
      <c r="X1748" s="98"/>
      <c r="Y1748" s="98"/>
      <c r="Z1748" s="98"/>
      <c r="AA1748" s="98"/>
      <c r="AB1748" s="98"/>
      <c r="AC1748" s="98"/>
      <c r="AD1748" s="98"/>
      <c r="AE1748" s="98"/>
      <c r="AF1748" s="98"/>
      <c r="AG1748" s="98"/>
      <c r="AH1748" s="98"/>
      <c r="AI1748" s="98"/>
      <c r="AJ1748" s="98"/>
      <c r="AK1748" s="98"/>
      <c r="AL1748" s="98"/>
      <c r="AM1748" s="98"/>
    </row>
    <row r="1749" spans="1:39" s="100" customFormat="1" ht="15.6" x14ac:dyDescent="0.3">
      <c r="A1749" s="97"/>
      <c r="B1749" s="98"/>
      <c r="C1749" s="98"/>
      <c r="D1749" s="98"/>
      <c r="E1749" s="98"/>
      <c r="F1749" s="98"/>
      <c r="G1749" s="99"/>
      <c r="H1749" s="99"/>
      <c r="I1749" s="99"/>
      <c r="J1749" s="99"/>
      <c r="K1749" s="98"/>
      <c r="L1749" s="98"/>
      <c r="M1749" s="98"/>
      <c r="N1749" s="98"/>
      <c r="O1749" s="98"/>
      <c r="P1749" s="98"/>
      <c r="Q1749" s="98"/>
      <c r="R1749" s="98"/>
      <c r="S1749" s="98"/>
      <c r="T1749" s="98"/>
      <c r="U1749" s="98"/>
      <c r="V1749" s="98"/>
      <c r="W1749" s="98"/>
      <c r="X1749" s="98"/>
      <c r="Y1749" s="98"/>
      <c r="Z1749" s="98"/>
      <c r="AA1749" s="98"/>
      <c r="AB1749" s="98"/>
      <c r="AC1749" s="98"/>
      <c r="AD1749" s="98"/>
      <c r="AE1749" s="98"/>
      <c r="AF1749" s="98"/>
      <c r="AG1749" s="98"/>
      <c r="AH1749" s="98"/>
      <c r="AI1749" s="98"/>
      <c r="AJ1749" s="98"/>
      <c r="AK1749" s="98"/>
      <c r="AL1749" s="98"/>
      <c r="AM1749" s="98"/>
    </row>
    <row r="1750" spans="1:39" s="100" customFormat="1" ht="15.6" x14ac:dyDescent="0.3">
      <c r="A1750" s="97"/>
      <c r="B1750" s="98"/>
      <c r="C1750" s="98"/>
      <c r="D1750" s="98"/>
      <c r="E1750" s="98"/>
      <c r="F1750" s="98"/>
      <c r="G1750" s="99"/>
      <c r="H1750" s="99"/>
      <c r="I1750" s="99"/>
      <c r="J1750" s="99"/>
      <c r="K1750" s="98"/>
      <c r="L1750" s="98"/>
      <c r="M1750" s="98"/>
      <c r="N1750" s="98"/>
      <c r="O1750" s="98"/>
      <c r="P1750" s="98"/>
      <c r="Q1750" s="98"/>
      <c r="R1750" s="98"/>
      <c r="S1750" s="98"/>
      <c r="T1750" s="98"/>
      <c r="U1750" s="98"/>
      <c r="V1750" s="98"/>
      <c r="W1750" s="98"/>
      <c r="X1750" s="98"/>
      <c r="Y1750" s="98"/>
      <c r="Z1750" s="98"/>
      <c r="AA1750" s="98"/>
      <c r="AB1750" s="98"/>
      <c r="AC1750" s="98"/>
      <c r="AD1750" s="98"/>
      <c r="AE1750" s="98"/>
      <c r="AF1750" s="98"/>
      <c r="AG1750" s="98"/>
      <c r="AH1750" s="98"/>
      <c r="AI1750" s="98"/>
      <c r="AJ1750" s="98"/>
      <c r="AK1750" s="98"/>
      <c r="AL1750" s="98"/>
      <c r="AM1750" s="98"/>
    </row>
    <row r="1751" spans="1:39" s="100" customFormat="1" ht="15.6" x14ac:dyDescent="0.3">
      <c r="A1751" s="97"/>
      <c r="B1751" s="98"/>
      <c r="C1751" s="98"/>
      <c r="D1751" s="98"/>
      <c r="E1751" s="98"/>
      <c r="F1751" s="98"/>
      <c r="G1751" s="99"/>
      <c r="H1751" s="99"/>
      <c r="I1751" s="99"/>
      <c r="J1751" s="99"/>
      <c r="K1751" s="98"/>
      <c r="L1751" s="98"/>
      <c r="M1751" s="98"/>
      <c r="N1751" s="98"/>
      <c r="O1751" s="98"/>
      <c r="P1751" s="98"/>
      <c r="Q1751" s="98"/>
      <c r="R1751" s="98"/>
      <c r="S1751" s="98"/>
      <c r="T1751" s="98"/>
      <c r="U1751" s="98"/>
      <c r="V1751" s="98"/>
      <c r="W1751" s="98"/>
      <c r="X1751" s="98"/>
      <c r="Y1751" s="98"/>
      <c r="Z1751" s="98"/>
      <c r="AA1751" s="98"/>
      <c r="AB1751" s="98"/>
      <c r="AC1751" s="98"/>
      <c r="AD1751" s="98"/>
      <c r="AE1751" s="98"/>
      <c r="AF1751" s="98"/>
      <c r="AG1751" s="98"/>
      <c r="AH1751" s="98"/>
      <c r="AI1751" s="98"/>
      <c r="AJ1751" s="98"/>
      <c r="AK1751" s="98"/>
      <c r="AL1751" s="98"/>
      <c r="AM1751" s="98"/>
    </row>
    <row r="1752" spans="1:39" s="100" customFormat="1" ht="15.6" x14ac:dyDescent="0.3">
      <c r="A1752" s="97"/>
      <c r="B1752" s="98"/>
      <c r="C1752" s="98"/>
      <c r="D1752" s="98"/>
      <c r="E1752" s="98"/>
      <c r="F1752" s="98"/>
      <c r="G1752" s="99"/>
      <c r="H1752" s="99"/>
      <c r="I1752" s="99"/>
      <c r="J1752" s="99"/>
      <c r="K1752" s="98"/>
      <c r="L1752" s="98"/>
      <c r="M1752" s="98"/>
      <c r="N1752" s="98"/>
      <c r="O1752" s="98"/>
      <c r="P1752" s="98"/>
      <c r="Q1752" s="98"/>
      <c r="R1752" s="98"/>
      <c r="S1752" s="98"/>
      <c r="T1752" s="98"/>
      <c r="U1752" s="98"/>
      <c r="V1752" s="98"/>
      <c r="W1752" s="98"/>
      <c r="X1752" s="98"/>
      <c r="Y1752" s="98"/>
      <c r="Z1752" s="98"/>
      <c r="AA1752" s="98"/>
      <c r="AB1752" s="98"/>
      <c r="AC1752" s="98"/>
      <c r="AD1752" s="98"/>
      <c r="AE1752" s="98"/>
      <c r="AF1752" s="98"/>
      <c r="AG1752" s="98"/>
      <c r="AH1752" s="98"/>
      <c r="AI1752" s="98"/>
      <c r="AJ1752" s="98"/>
      <c r="AK1752" s="98"/>
      <c r="AL1752" s="98"/>
      <c r="AM1752" s="98"/>
    </row>
    <row r="1753" spans="1:39" s="100" customFormat="1" ht="15.6" x14ac:dyDescent="0.3">
      <c r="A1753" s="97"/>
      <c r="B1753" s="98"/>
      <c r="C1753" s="98"/>
      <c r="D1753" s="98"/>
      <c r="E1753" s="98"/>
      <c r="F1753" s="98"/>
      <c r="G1753" s="99"/>
      <c r="H1753" s="99"/>
      <c r="I1753" s="99"/>
      <c r="J1753" s="99"/>
      <c r="K1753" s="98"/>
      <c r="L1753" s="98"/>
      <c r="M1753" s="98"/>
      <c r="N1753" s="98"/>
      <c r="O1753" s="98"/>
      <c r="P1753" s="98"/>
      <c r="Q1753" s="98"/>
      <c r="R1753" s="98"/>
      <c r="S1753" s="98"/>
      <c r="T1753" s="98"/>
      <c r="U1753" s="98"/>
      <c r="V1753" s="98"/>
      <c r="W1753" s="98"/>
      <c r="X1753" s="98"/>
      <c r="Y1753" s="98"/>
      <c r="Z1753" s="98"/>
      <c r="AA1753" s="98"/>
      <c r="AB1753" s="98"/>
      <c r="AC1753" s="98"/>
      <c r="AD1753" s="98"/>
      <c r="AE1753" s="98"/>
      <c r="AF1753" s="98"/>
      <c r="AG1753" s="98"/>
      <c r="AH1753" s="98"/>
      <c r="AI1753" s="98"/>
      <c r="AJ1753" s="98"/>
      <c r="AK1753" s="98"/>
      <c r="AL1753" s="98"/>
      <c r="AM1753" s="98"/>
    </row>
    <row r="1754" spans="1:39" s="100" customFormat="1" ht="15.6" x14ac:dyDescent="0.3">
      <c r="A1754" s="97"/>
      <c r="B1754" s="98"/>
      <c r="C1754" s="98"/>
      <c r="D1754" s="98"/>
      <c r="E1754" s="98"/>
      <c r="F1754" s="98"/>
      <c r="G1754" s="99"/>
      <c r="H1754" s="99"/>
      <c r="I1754" s="99"/>
      <c r="J1754" s="99"/>
      <c r="K1754" s="98"/>
      <c r="L1754" s="98"/>
      <c r="M1754" s="98"/>
      <c r="N1754" s="98"/>
      <c r="O1754" s="98"/>
      <c r="P1754" s="98"/>
      <c r="Q1754" s="98"/>
      <c r="R1754" s="98"/>
      <c r="S1754" s="98"/>
      <c r="T1754" s="98"/>
      <c r="U1754" s="98"/>
      <c r="V1754" s="98"/>
      <c r="W1754" s="98"/>
      <c r="X1754" s="98"/>
      <c r="Y1754" s="98"/>
      <c r="Z1754" s="98"/>
      <c r="AA1754" s="98"/>
      <c r="AB1754" s="98"/>
      <c r="AC1754" s="98"/>
      <c r="AD1754" s="98"/>
      <c r="AE1754" s="98"/>
      <c r="AF1754" s="98"/>
      <c r="AG1754" s="98"/>
      <c r="AH1754" s="98"/>
      <c r="AI1754" s="98"/>
      <c r="AJ1754" s="98"/>
      <c r="AK1754" s="98"/>
      <c r="AL1754" s="98"/>
      <c r="AM1754" s="98"/>
    </row>
    <row r="1755" spans="1:39" s="100" customFormat="1" ht="15.6" x14ac:dyDescent="0.3">
      <c r="A1755" s="97"/>
      <c r="B1755" s="98"/>
      <c r="C1755" s="98"/>
      <c r="D1755" s="98"/>
      <c r="E1755" s="98"/>
      <c r="F1755" s="98"/>
      <c r="G1755" s="99"/>
      <c r="H1755" s="99"/>
      <c r="I1755" s="99"/>
      <c r="J1755" s="99"/>
      <c r="K1755" s="98"/>
      <c r="L1755" s="98"/>
      <c r="M1755" s="98"/>
      <c r="N1755" s="98"/>
      <c r="O1755" s="98"/>
      <c r="P1755" s="98"/>
      <c r="Q1755" s="98"/>
      <c r="R1755" s="98"/>
      <c r="S1755" s="98"/>
      <c r="T1755" s="98"/>
      <c r="U1755" s="98"/>
      <c r="V1755" s="98"/>
      <c r="W1755" s="98"/>
      <c r="X1755" s="98"/>
      <c r="Y1755" s="98"/>
      <c r="Z1755" s="98"/>
      <c r="AA1755" s="98"/>
      <c r="AB1755" s="98"/>
      <c r="AC1755" s="98"/>
      <c r="AD1755" s="98"/>
      <c r="AE1755" s="98"/>
      <c r="AF1755" s="98"/>
      <c r="AG1755" s="98"/>
      <c r="AH1755" s="98"/>
      <c r="AI1755" s="98"/>
      <c r="AJ1755" s="98"/>
      <c r="AK1755" s="98"/>
      <c r="AL1755" s="98"/>
      <c r="AM1755" s="98"/>
    </row>
    <row r="1756" spans="1:39" s="100" customFormat="1" ht="15.6" x14ac:dyDescent="0.3">
      <c r="A1756" s="97"/>
      <c r="B1756" s="98"/>
      <c r="C1756" s="98"/>
      <c r="D1756" s="98"/>
      <c r="E1756" s="98"/>
      <c r="F1756" s="98"/>
      <c r="G1756" s="99"/>
      <c r="H1756" s="99"/>
      <c r="I1756" s="99"/>
      <c r="J1756" s="99"/>
      <c r="K1756" s="98"/>
      <c r="L1756" s="98"/>
      <c r="M1756" s="98"/>
      <c r="N1756" s="98"/>
      <c r="O1756" s="98"/>
      <c r="P1756" s="98"/>
      <c r="Q1756" s="98"/>
      <c r="R1756" s="98"/>
      <c r="S1756" s="98"/>
      <c r="T1756" s="98"/>
      <c r="U1756" s="98"/>
      <c r="V1756" s="98"/>
      <c r="W1756" s="98"/>
      <c r="X1756" s="98"/>
      <c r="Y1756" s="98"/>
      <c r="Z1756" s="98"/>
      <c r="AA1756" s="98"/>
      <c r="AB1756" s="98"/>
      <c r="AC1756" s="98"/>
      <c r="AD1756" s="98"/>
      <c r="AE1756" s="98"/>
      <c r="AF1756" s="98"/>
      <c r="AG1756" s="98"/>
      <c r="AH1756" s="98"/>
      <c r="AI1756" s="98"/>
      <c r="AJ1756" s="98"/>
      <c r="AK1756" s="98"/>
      <c r="AL1756" s="98"/>
      <c r="AM1756" s="98"/>
    </row>
    <row r="1757" spans="1:39" s="100" customFormat="1" ht="15.6" x14ac:dyDescent="0.3">
      <c r="A1757" s="97"/>
      <c r="B1757" s="98"/>
      <c r="C1757" s="98"/>
      <c r="D1757" s="98"/>
      <c r="E1757" s="98"/>
      <c r="F1757" s="98"/>
      <c r="G1757" s="99"/>
      <c r="H1757" s="99"/>
      <c r="I1757" s="99"/>
      <c r="J1757" s="99"/>
      <c r="K1757" s="98"/>
      <c r="L1757" s="98"/>
      <c r="M1757" s="98"/>
      <c r="N1757" s="98"/>
      <c r="O1757" s="98"/>
      <c r="P1757" s="98"/>
      <c r="Q1757" s="98"/>
      <c r="R1757" s="98"/>
      <c r="S1757" s="98"/>
      <c r="T1757" s="98"/>
      <c r="U1757" s="98"/>
      <c r="V1757" s="98"/>
      <c r="W1757" s="98"/>
      <c r="X1757" s="98"/>
      <c r="Y1757" s="98"/>
      <c r="Z1757" s="98"/>
      <c r="AA1757" s="98"/>
      <c r="AB1757" s="98"/>
      <c r="AC1757" s="98"/>
      <c r="AD1757" s="98"/>
      <c r="AE1757" s="98"/>
      <c r="AF1757" s="98"/>
      <c r="AG1757" s="98"/>
      <c r="AH1757" s="98"/>
      <c r="AI1757" s="98"/>
      <c r="AJ1757" s="98"/>
      <c r="AK1757" s="98"/>
      <c r="AL1757" s="98"/>
      <c r="AM1757" s="98"/>
    </row>
    <row r="1758" spans="1:39" s="100" customFormat="1" ht="15.6" x14ac:dyDescent="0.3">
      <c r="A1758" s="97"/>
      <c r="B1758" s="98"/>
      <c r="C1758" s="98"/>
      <c r="D1758" s="98"/>
      <c r="E1758" s="98"/>
      <c r="F1758" s="98"/>
      <c r="G1758" s="99"/>
      <c r="H1758" s="99"/>
      <c r="I1758" s="99"/>
      <c r="J1758" s="99"/>
      <c r="K1758" s="98"/>
      <c r="L1758" s="98"/>
      <c r="M1758" s="98"/>
      <c r="N1758" s="98"/>
      <c r="O1758" s="98"/>
      <c r="P1758" s="98"/>
      <c r="Q1758" s="98"/>
      <c r="R1758" s="98"/>
      <c r="S1758" s="98"/>
      <c r="T1758" s="98"/>
      <c r="U1758" s="98"/>
      <c r="V1758" s="98"/>
      <c r="W1758" s="98"/>
      <c r="X1758" s="98"/>
      <c r="Y1758" s="98"/>
      <c r="Z1758" s="98"/>
      <c r="AA1758" s="98"/>
      <c r="AB1758" s="98"/>
      <c r="AC1758" s="98"/>
      <c r="AD1758" s="98"/>
      <c r="AE1758" s="98"/>
      <c r="AF1758" s="98"/>
      <c r="AG1758" s="98"/>
      <c r="AH1758" s="98"/>
      <c r="AI1758" s="98"/>
      <c r="AJ1758" s="98"/>
      <c r="AK1758" s="98"/>
      <c r="AL1758" s="98"/>
      <c r="AM1758" s="98"/>
    </row>
    <row r="1759" spans="1:39" s="100" customFormat="1" ht="15.6" x14ac:dyDescent="0.3">
      <c r="A1759" s="97"/>
      <c r="B1759" s="98"/>
      <c r="C1759" s="98"/>
      <c r="D1759" s="98"/>
      <c r="E1759" s="98"/>
      <c r="F1759" s="98"/>
      <c r="G1759" s="99"/>
      <c r="H1759" s="99"/>
      <c r="I1759" s="99"/>
      <c r="J1759" s="99"/>
      <c r="K1759" s="98"/>
      <c r="L1759" s="98"/>
      <c r="M1759" s="98"/>
      <c r="N1759" s="98"/>
      <c r="O1759" s="98"/>
      <c r="P1759" s="98"/>
      <c r="Q1759" s="98"/>
      <c r="R1759" s="98"/>
      <c r="S1759" s="98"/>
      <c r="T1759" s="98"/>
      <c r="U1759" s="98"/>
      <c r="V1759" s="98"/>
      <c r="W1759" s="98"/>
      <c r="X1759" s="98"/>
      <c r="Y1759" s="98"/>
      <c r="Z1759" s="98"/>
      <c r="AA1759" s="98"/>
      <c r="AB1759" s="98"/>
      <c r="AC1759" s="98"/>
      <c r="AD1759" s="98"/>
      <c r="AE1759" s="98"/>
      <c r="AF1759" s="98"/>
      <c r="AG1759" s="98"/>
      <c r="AH1759" s="98"/>
      <c r="AI1759" s="98"/>
      <c r="AJ1759" s="98"/>
      <c r="AK1759" s="98"/>
      <c r="AL1759" s="98"/>
      <c r="AM1759" s="98"/>
    </row>
    <row r="1760" spans="1:39" s="100" customFormat="1" ht="15.6" x14ac:dyDescent="0.3">
      <c r="A1760" s="97"/>
      <c r="B1760" s="98"/>
      <c r="C1760" s="98"/>
      <c r="D1760" s="98"/>
      <c r="E1760" s="98"/>
      <c r="F1760" s="98"/>
      <c r="G1760" s="99"/>
      <c r="H1760" s="99"/>
      <c r="I1760" s="99"/>
      <c r="J1760" s="99"/>
      <c r="K1760" s="98"/>
      <c r="L1760" s="98"/>
      <c r="M1760" s="98"/>
      <c r="N1760" s="98"/>
      <c r="O1760" s="98"/>
      <c r="P1760" s="98"/>
      <c r="Q1760" s="98"/>
      <c r="R1760" s="98"/>
      <c r="S1760" s="98"/>
      <c r="T1760" s="98"/>
      <c r="U1760" s="98"/>
      <c r="V1760" s="98"/>
      <c r="W1760" s="98"/>
      <c r="X1760" s="98"/>
      <c r="Y1760" s="98"/>
      <c r="Z1760" s="98"/>
      <c r="AA1760" s="98"/>
      <c r="AB1760" s="98"/>
      <c r="AC1760" s="98"/>
      <c r="AD1760" s="98"/>
      <c r="AE1760" s="98"/>
      <c r="AF1760" s="98"/>
      <c r="AG1760" s="98"/>
      <c r="AH1760" s="98"/>
      <c r="AI1760" s="98"/>
      <c r="AJ1760" s="98"/>
      <c r="AK1760" s="98"/>
      <c r="AL1760" s="98"/>
      <c r="AM1760" s="98"/>
    </row>
    <row r="1761" spans="1:39" s="100" customFormat="1" ht="15.6" x14ac:dyDescent="0.3">
      <c r="A1761" s="97"/>
      <c r="B1761" s="98"/>
      <c r="C1761" s="98"/>
      <c r="D1761" s="98"/>
      <c r="E1761" s="98"/>
      <c r="F1761" s="98"/>
      <c r="G1761" s="99"/>
      <c r="H1761" s="99"/>
      <c r="I1761" s="99"/>
      <c r="J1761" s="99"/>
      <c r="K1761" s="98"/>
      <c r="L1761" s="98"/>
      <c r="M1761" s="98"/>
      <c r="N1761" s="98"/>
      <c r="O1761" s="98"/>
      <c r="P1761" s="98"/>
      <c r="Q1761" s="98"/>
      <c r="R1761" s="98"/>
      <c r="S1761" s="98"/>
      <c r="T1761" s="98"/>
      <c r="U1761" s="98"/>
      <c r="V1761" s="98"/>
      <c r="W1761" s="98"/>
      <c r="X1761" s="98"/>
      <c r="Y1761" s="98"/>
      <c r="Z1761" s="98"/>
      <c r="AA1761" s="98"/>
      <c r="AB1761" s="98"/>
      <c r="AC1761" s="98"/>
      <c r="AD1761" s="98"/>
      <c r="AE1761" s="98"/>
      <c r="AF1761" s="98"/>
      <c r="AG1761" s="98"/>
      <c r="AH1761" s="98"/>
      <c r="AI1761" s="98"/>
      <c r="AJ1761" s="98"/>
      <c r="AK1761" s="98"/>
      <c r="AL1761" s="98"/>
      <c r="AM1761" s="98"/>
    </row>
    <row r="1762" spans="1:39" s="100" customFormat="1" ht="15.6" x14ac:dyDescent="0.3">
      <c r="A1762" s="97"/>
      <c r="B1762" s="98"/>
      <c r="C1762" s="98"/>
      <c r="D1762" s="98"/>
      <c r="E1762" s="98"/>
      <c r="F1762" s="98"/>
      <c r="G1762" s="99"/>
      <c r="H1762" s="99"/>
      <c r="I1762" s="99"/>
      <c r="J1762" s="99"/>
      <c r="K1762" s="98"/>
      <c r="L1762" s="98"/>
      <c r="M1762" s="98"/>
      <c r="N1762" s="98"/>
      <c r="O1762" s="98"/>
      <c r="P1762" s="98"/>
      <c r="Q1762" s="98"/>
      <c r="R1762" s="98"/>
      <c r="S1762" s="98"/>
      <c r="T1762" s="98"/>
      <c r="U1762" s="98"/>
      <c r="V1762" s="98"/>
      <c r="W1762" s="98"/>
      <c r="X1762" s="98"/>
      <c r="Y1762" s="98"/>
      <c r="Z1762" s="98"/>
      <c r="AA1762" s="98"/>
      <c r="AB1762" s="98"/>
      <c r="AC1762" s="98"/>
      <c r="AD1762" s="98"/>
      <c r="AE1762" s="98"/>
      <c r="AF1762" s="98"/>
      <c r="AG1762" s="98"/>
      <c r="AH1762" s="98"/>
      <c r="AI1762" s="98"/>
      <c r="AJ1762" s="98"/>
      <c r="AK1762" s="98"/>
      <c r="AL1762" s="98"/>
      <c r="AM1762" s="98"/>
    </row>
    <row r="1763" spans="1:39" s="100" customFormat="1" ht="15.6" x14ac:dyDescent="0.3">
      <c r="A1763" s="97"/>
      <c r="B1763" s="98"/>
      <c r="C1763" s="98"/>
      <c r="D1763" s="98"/>
      <c r="E1763" s="98"/>
      <c r="F1763" s="98"/>
      <c r="G1763" s="99"/>
      <c r="H1763" s="99"/>
      <c r="I1763" s="99"/>
      <c r="J1763" s="99"/>
      <c r="K1763" s="98"/>
      <c r="L1763" s="98"/>
      <c r="M1763" s="98"/>
      <c r="N1763" s="98"/>
      <c r="O1763" s="98"/>
      <c r="P1763" s="98"/>
      <c r="Q1763" s="98"/>
      <c r="R1763" s="98"/>
      <c r="S1763" s="98"/>
      <c r="T1763" s="98"/>
      <c r="U1763" s="98"/>
      <c r="V1763" s="98"/>
      <c r="W1763" s="98"/>
      <c r="X1763" s="98"/>
      <c r="Y1763" s="98"/>
      <c r="Z1763" s="98"/>
      <c r="AA1763" s="98"/>
      <c r="AB1763" s="98"/>
      <c r="AC1763" s="98"/>
      <c r="AD1763" s="98"/>
      <c r="AE1763" s="98"/>
      <c r="AF1763" s="98"/>
      <c r="AG1763" s="98"/>
      <c r="AH1763" s="98"/>
      <c r="AI1763" s="98"/>
      <c r="AJ1763" s="98"/>
      <c r="AK1763" s="98"/>
      <c r="AL1763" s="98"/>
      <c r="AM1763" s="98"/>
    </row>
    <row r="1764" spans="1:39" s="100" customFormat="1" ht="15.6" x14ac:dyDescent="0.3">
      <c r="A1764" s="97"/>
      <c r="B1764" s="98"/>
      <c r="C1764" s="98"/>
      <c r="D1764" s="98"/>
      <c r="E1764" s="98"/>
      <c r="F1764" s="98"/>
      <c r="G1764" s="99"/>
      <c r="H1764" s="99"/>
      <c r="I1764" s="99"/>
      <c r="J1764" s="99"/>
      <c r="K1764" s="98"/>
      <c r="L1764" s="98"/>
      <c r="M1764" s="98"/>
      <c r="N1764" s="98"/>
      <c r="O1764" s="98"/>
      <c r="P1764" s="98"/>
      <c r="Q1764" s="98"/>
      <c r="R1764" s="98"/>
      <c r="S1764" s="98"/>
      <c r="T1764" s="98"/>
      <c r="U1764" s="98"/>
      <c r="V1764" s="98"/>
      <c r="W1764" s="98"/>
      <c r="X1764" s="98"/>
      <c r="Y1764" s="98"/>
      <c r="Z1764" s="98"/>
      <c r="AA1764" s="98"/>
      <c r="AB1764" s="98"/>
      <c r="AC1764" s="98"/>
      <c r="AD1764" s="98"/>
      <c r="AE1764" s="98"/>
      <c r="AF1764" s="98"/>
      <c r="AG1764" s="98"/>
      <c r="AH1764" s="98"/>
      <c r="AI1764" s="98"/>
      <c r="AJ1764" s="98"/>
      <c r="AK1764" s="98"/>
      <c r="AL1764" s="98"/>
      <c r="AM1764" s="98"/>
    </row>
    <row r="1765" spans="1:39" s="100" customFormat="1" ht="15.6" x14ac:dyDescent="0.3">
      <c r="A1765" s="97"/>
      <c r="B1765" s="98"/>
      <c r="C1765" s="98"/>
      <c r="D1765" s="98"/>
      <c r="E1765" s="98"/>
      <c r="F1765" s="98"/>
      <c r="G1765" s="99"/>
      <c r="H1765" s="99"/>
      <c r="I1765" s="99"/>
      <c r="J1765" s="99"/>
      <c r="K1765" s="98"/>
      <c r="L1765" s="98"/>
      <c r="M1765" s="98"/>
      <c r="N1765" s="98"/>
      <c r="O1765" s="98"/>
      <c r="P1765" s="98"/>
      <c r="Q1765" s="98"/>
      <c r="R1765" s="98"/>
      <c r="S1765" s="98"/>
      <c r="T1765" s="98"/>
      <c r="U1765" s="98"/>
      <c r="V1765" s="98"/>
      <c r="W1765" s="98"/>
      <c r="X1765" s="98"/>
      <c r="Y1765" s="98"/>
      <c r="Z1765" s="98"/>
      <c r="AA1765" s="98"/>
      <c r="AB1765" s="98"/>
      <c r="AC1765" s="98"/>
      <c r="AD1765" s="98"/>
      <c r="AE1765" s="98"/>
      <c r="AF1765" s="98"/>
      <c r="AG1765" s="98"/>
      <c r="AH1765" s="98"/>
      <c r="AI1765" s="98"/>
      <c r="AJ1765" s="98"/>
      <c r="AK1765" s="98"/>
      <c r="AL1765" s="98"/>
      <c r="AM1765" s="98"/>
    </row>
    <row r="1766" spans="1:39" s="100" customFormat="1" ht="15.6" x14ac:dyDescent="0.3">
      <c r="A1766" s="97"/>
      <c r="B1766" s="98"/>
      <c r="C1766" s="98"/>
      <c r="D1766" s="98"/>
      <c r="E1766" s="98"/>
      <c r="F1766" s="98"/>
      <c r="G1766" s="99"/>
      <c r="H1766" s="99"/>
      <c r="I1766" s="99"/>
      <c r="J1766" s="99"/>
      <c r="K1766" s="98"/>
      <c r="L1766" s="98"/>
      <c r="M1766" s="98"/>
      <c r="N1766" s="98"/>
      <c r="O1766" s="98"/>
      <c r="P1766" s="98"/>
      <c r="Q1766" s="98"/>
      <c r="R1766" s="98"/>
      <c r="S1766" s="98"/>
      <c r="T1766" s="98"/>
      <c r="U1766" s="98"/>
      <c r="V1766" s="98"/>
      <c r="W1766" s="98"/>
      <c r="X1766" s="98"/>
      <c r="Y1766" s="98"/>
      <c r="Z1766" s="98"/>
      <c r="AA1766" s="98"/>
      <c r="AB1766" s="98"/>
      <c r="AC1766" s="98"/>
      <c r="AD1766" s="98"/>
      <c r="AE1766" s="98"/>
      <c r="AF1766" s="98"/>
      <c r="AG1766" s="98"/>
      <c r="AH1766" s="98"/>
      <c r="AI1766" s="98"/>
      <c r="AJ1766" s="98"/>
      <c r="AK1766" s="98"/>
      <c r="AL1766" s="98"/>
      <c r="AM1766" s="98"/>
    </row>
    <row r="1767" spans="1:39" s="100" customFormat="1" ht="15.6" x14ac:dyDescent="0.3">
      <c r="A1767" s="97"/>
      <c r="B1767" s="98"/>
      <c r="C1767" s="98"/>
      <c r="D1767" s="98"/>
      <c r="E1767" s="98"/>
      <c r="F1767" s="98"/>
      <c r="G1767" s="99"/>
      <c r="H1767" s="99"/>
      <c r="I1767" s="99"/>
      <c r="J1767" s="99"/>
      <c r="K1767" s="98"/>
      <c r="L1767" s="98"/>
      <c r="M1767" s="98"/>
      <c r="N1767" s="98"/>
      <c r="O1767" s="98"/>
      <c r="P1767" s="98"/>
      <c r="Q1767" s="98"/>
      <c r="R1767" s="98"/>
      <c r="S1767" s="98"/>
      <c r="T1767" s="98"/>
      <c r="U1767" s="98"/>
      <c r="V1767" s="98"/>
      <c r="W1767" s="98"/>
      <c r="X1767" s="98"/>
      <c r="Y1767" s="98"/>
      <c r="Z1767" s="98"/>
      <c r="AA1767" s="98"/>
      <c r="AB1767" s="98"/>
      <c r="AC1767" s="98"/>
      <c r="AD1767" s="98"/>
      <c r="AE1767" s="98"/>
      <c r="AF1767" s="98"/>
      <c r="AG1767" s="98"/>
      <c r="AH1767" s="98"/>
      <c r="AI1767" s="98"/>
      <c r="AJ1767" s="98"/>
      <c r="AK1767" s="98"/>
      <c r="AL1767" s="98"/>
      <c r="AM1767" s="98"/>
    </row>
    <row r="1768" spans="1:39" s="100" customFormat="1" ht="15.6" x14ac:dyDescent="0.3">
      <c r="A1768" s="97"/>
      <c r="B1768" s="98"/>
      <c r="C1768" s="98"/>
      <c r="D1768" s="98"/>
      <c r="E1768" s="98"/>
      <c r="F1768" s="98"/>
      <c r="G1768" s="99"/>
      <c r="H1768" s="99"/>
      <c r="I1768" s="99"/>
      <c r="J1768" s="99"/>
      <c r="K1768" s="98"/>
      <c r="L1768" s="98"/>
      <c r="M1768" s="98"/>
      <c r="N1768" s="98"/>
      <c r="O1768" s="98"/>
      <c r="P1768" s="98"/>
      <c r="Q1768" s="98"/>
      <c r="R1768" s="98"/>
      <c r="S1768" s="98"/>
      <c r="T1768" s="98"/>
      <c r="U1768" s="98"/>
      <c r="V1768" s="98"/>
      <c r="W1768" s="98"/>
      <c r="X1768" s="98"/>
      <c r="Y1768" s="98"/>
      <c r="Z1768" s="98"/>
      <c r="AA1768" s="98"/>
      <c r="AB1768" s="98"/>
      <c r="AC1768" s="98"/>
      <c r="AD1768" s="98"/>
      <c r="AE1768" s="98"/>
      <c r="AF1768" s="98"/>
      <c r="AG1768" s="98"/>
      <c r="AH1768" s="98"/>
      <c r="AI1768" s="98"/>
      <c r="AJ1768" s="98"/>
      <c r="AK1768" s="98"/>
      <c r="AL1768" s="98"/>
      <c r="AM1768" s="98"/>
    </row>
    <row r="1769" spans="1:39" s="100" customFormat="1" ht="15.6" x14ac:dyDescent="0.3">
      <c r="A1769" s="97"/>
      <c r="B1769" s="98"/>
      <c r="C1769" s="98"/>
      <c r="D1769" s="98"/>
      <c r="E1769" s="98"/>
      <c r="F1769" s="98"/>
      <c r="G1769" s="99"/>
      <c r="H1769" s="99"/>
      <c r="I1769" s="99"/>
      <c r="J1769" s="99"/>
      <c r="K1769" s="98"/>
      <c r="L1769" s="98"/>
      <c r="M1769" s="98"/>
      <c r="N1769" s="98"/>
      <c r="O1769" s="98"/>
      <c r="P1769" s="98"/>
      <c r="Q1769" s="98"/>
      <c r="R1769" s="98"/>
      <c r="S1769" s="98"/>
      <c r="T1769" s="98"/>
      <c r="U1769" s="98"/>
      <c r="V1769" s="98"/>
      <c r="W1769" s="98"/>
      <c r="X1769" s="98"/>
      <c r="Y1769" s="98"/>
      <c r="Z1769" s="98"/>
      <c r="AA1769" s="98"/>
      <c r="AB1769" s="98"/>
      <c r="AC1769" s="98"/>
      <c r="AD1769" s="98"/>
      <c r="AE1769" s="98"/>
      <c r="AF1769" s="98"/>
      <c r="AG1769" s="98"/>
      <c r="AH1769" s="98"/>
      <c r="AI1769" s="98"/>
      <c r="AJ1769" s="98"/>
      <c r="AK1769" s="98"/>
      <c r="AL1769" s="98"/>
      <c r="AM1769" s="98"/>
    </row>
    <row r="1770" spans="1:39" s="100" customFormat="1" ht="15.6" x14ac:dyDescent="0.3">
      <c r="A1770" s="97"/>
      <c r="B1770" s="98"/>
      <c r="C1770" s="98"/>
      <c r="D1770" s="98"/>
      <c r="E1770" s="98"/>
      <c r="F1770" s="98"/>
      <c r="G1770" s="99"/>
      <c r="H1770" s="99"/>
      <c r="I1770" s="99"/>
      <c r="J1770" s="99"/>
      <c r="K1770" s="98"/>
      <c r="L1770" s="98"/>
      <c r="M1770" s="98"/>
      <c r="N1770" s="98"/>
      <c r="O1770" s="98"/>
      <c r="P1770" s="98"/>
      <c r="Q1770" s="98"/>
      <c r="R1770" s="98"/>
      <c r="S1770" s="98"/>
      <c r="T1770" s="98"/>
      <c r="U1770" s="98"/>
      <c r="V1770" s="98"/>
      <c r="W1770" s="98"/>
      <c r="X1770" s="98"/>
      <c r="Y1770" s="98"/>
      <c r="Z1770" s="98"/>
      <c r="AA1770" s="98"/>
      <c r="AB1770" s="98"/>
      <c r="AC1770" s="98"/>
      <c r="AD1770" s="98"/>
      <c r="AE1770" s="98"/>
      <c r="AF1770" s="98"/>
      <c r="AG1770" s="98"/>
      <c r="AH1770" s="98"/>
      <c r="AI1770" s="98"/>
      <c r="AJ1770" s="98"/>
      <c r="AK1770" s="98"/>
      <c r="AL1770" s="98"/>
      <c r="AM1770" s="98"/>
    </row>
    <row r="1771" spans="1:39" s="100" customFormat="1" ht="15.6" x14ac:dyDescent="0.3">
      <c r="A1771" s="97"/>
      <c r="B1771" s="98"/>
      <c r="C1771" s="98"/>
      <c r="D1771" s="98"/>
      <c r="E1771" s="98"/>
      <c r="F1771" s="98"/>
      <c r="G1771" s="99"/>
      <c r="H1771" s="99"/>
      <c r="I1771" s="99"/>
      <c r="J1771" s="99"/>
      <c r="K1771" s="98"/>
      <c r="L1771" s="98"/>
      <c r="M1771" s="98"/>
      <c r="N1771" s="98"/>
      <c r="O1771" s="98"/>
      <c r="P1771" s="98"/>
      <c r="Q1771" s="98"/>
      <c r="R1771" s="98"/>
      <c r="S1771" s="98"/>
      <c r="T1771" s="98"/>
      <c r="U1771" s="98"/>
      <c r="V1771" s="98"/>
      <c r="W1771" s="98"/>
      <c r="X1771" s="98"/>
      <c r="Y1771" s="98"/>
      <c r="Z1771" s="98"/>
      <c r="AA1771" s="98"/>
      <c r="AB1771" s="98"/>
      <c r="AC1771" s="98"/>
      <c r="AD1771" s="98"/>
      <c r="AE1771" s="98"/>
      <c r="AF1771" s="98"/>
      <c r="AG1771" s="98"/>
      <c r="AH1771" s="98"/>
      <c r="AI1771" s="98"/>
      <c r="AJ1771" s="98"/>
      <c r="AK1771" s="98"/>
      <c r="AL1771" s="98"/>
      <c r="AM1771" s="98"/>
    </row>
    <row r="1772" spans="1:39" s="100" customFormat="1" ht="15.6" x14ac:dyDescent="0.3">
      <c r="A1772" s="97"/>
      <c r="B1772" s="98"/>
      <c r="C1772" s="98"/>
      <c r="D1772" s="98"/>
      <c r="E1772" s="98"/>
      <c r="F1772" s="98"/>
      <c r="G1772" s="99"/>
      <c r="H1772" s="99"/>
      <c r="I1772" s="99"/>
      <c r="J1772" s="99"/>
      <c r="K1772" s="98"/>
      <c r="L1772" s="98"/>
      <c r="M1772" s="98"/>
      <c r="N1772" s="98"/>
      <c r="O1772" s="98"/>
      <c r="P1772" s="98"/>
      <c r="Q1772" s="98"/>
      <c r="R1772" s="98"/>
      <c r="S1772" s="98"/>
      <c r="T1772" s="98"/>
      <c r="U1772" s="98"/>
      <c r="V1772" s="98"/>
      <c r="W1772" s="98"/>
      <c r="X1772" s="98"/>
      <c r="Y1772" s="98"/>
      <c r="Z1772" s="98"/>
      <c r="AA1772" s="98"/>
      <c r="AB1772" s="98"/>
      <c r="AC1772" s="98"/>
      <c r="AD1772" s="98"/>
      <c r="AE1772" s="98"/>
      <c r="AF1772" s="98"/>
      <c r="AG1772" s="98"/>
      <c r="AH1772" s="98"/>
      <c r="AI1772" s="98"/>
      <c r="AJ1772" s="98"/>
      <c r="AK1772" s="98"/>
      <c r="AL1772" s="98"/>
      <c r="AM1772" s="98"/>
    </row>
    <row r="1773" spans="1:39" s="100" customFormat="1" ht="15.6" x14ac:dyDescent="0.3">
      <c r="A1773" s="97"/>
      <c r="B1773" s="98"/>
      <c r="C1773" s="98"/>
      <c r="D1773" s="98"/>
      <c r="E1773" s="98"/>
      <c r="F1773" s="98"/>
      <c r="G1773" s="99"/>
      <c r="H1773" s="99"/>
      <c r="I1773" s="99"/>
      <c r="J1773" s="99"/>
      <c r="K1773" s="98"/>
      <c r="L1773" s="98"/>
      <c r="M1773" s="98"/>
      <c r="N1773" s="98"/>
      <c r="O1773" s="98"/>
      <c r="P1773" s="98"/>
      <c r="Q1773" s="98"/>
      <c r="R1773" s="98"/>
      <c r="S1773" s="98"/>
      <c r="T1773" s="98"/>
      <c r="U1773" s="98"/>
      <c r="V1773" s="98"/>
      <c r="W1773" s="98"/>
      <c r="X1773" s="98"/>
      <c r="Y1773" s="98"/>
      <c r="Z1773" s="98"/>
      <c r="AA1773" s="98"/>
      <c r="AB1773" s="98"/>
      <c r="AC1773" s="98"/>
      <c r="AD1773" s="98"/>
      <c r="AE1773" s="98"/>
      <c r="AF1773" s="98"/>
      <c r="AG1773" s="98"/>
      <c r="AH1773" s="98"/>
      <c r="AI1773" s="98"/>
      <c r="AJ1773" s="98"/>
      <c r="AK1773" s="98"/>
      <c r="AL1773" s="98"/>
      <c r="AM1773" s="98"/>
    </row>
    <row r="1774" spans="1:39" s="100" customFormat="1" ht="15.6" x14ac:dyDescent="0.3">
      <c r="A1774" s="97"/>
      <c r="B1774" s="98"/>
      <c r="C1774" s="98"/>
      <c r="D1774" s="98"/>
      <c r="E1774" s="98"/>
      <c r="F1774" s="98"/>
      <c r="G1774" s="99"/>
      <c r="H1774" s="99"/>
      <c r="I1774" s="99"/>
      <c r="J1774" s="99"/>
      <c r="K1774" s="98"/>
      <c r="L1774" s="98"/>
      <c r="M1774" s="98"/>
      <c r="N1774" s="98"/>
      <c r="O1774" s="98"/>
      <c r="P1774" s="98"/>
      <c r="Q1774" s="98"/>
      <c r="R1774" s="98"/>
      <c r="S1774" s="98"/>
      <c r="T1774" s="98"/>
      <c r="U1774" s="98"/>
      <c r="V1774" s="98"/>
      <c r="W1774" s="98"/>
      <c r="X1774" s="98"/>
      <c r="Y1774" s="98"/>
      <c r="Z1774" s="98"/>
      <c r="AA1774" s="98"/>
      <c r="AB1774" s="98"/>
      <c r="AC1774" s="98"/>
      <c r="AD1774" s="98"/>
      <c r="AE1774" s="98"/>
      <c r="AF1774" s="98"/>
      <c r="AG1774" s="98"/>
      <c r="AH1774" s="98"/>
      <c r="AI1774" s="98"/>
      <c r="AJ1774" s="98"/>
      <c r="AK1774" s="98"/>
      <c r="AL1774" s="98"/>
      <c r="AM1774" s="98"/>
    </row>
    <row r="1775" spans="1:39" s="100" customFormat="1" ht="15.6" x14ac:dyDescent="0.3">
      <c r="A1775" s="97"/>
      <c r="B1775" s="98"/>
      <c r="C1775" s="98"/>
      <c r="D1775" s="98"/>
      <c r="E1775" s="98"/>
      <c r="F1775" s="98"/>
      <c r="G1775" s="99"/>
      <c r="H1775" s="99"/>
      <c r="I1775" s="99"/>
      <c r="J1775" s="99"/>
      <c r="K1775" s="98"/>
      <c r="L1775" s="98"/>
      <c r="M1775" s="98"/>
      <c r="N1775" s="98"/>
      <c r="O1775" s="98"/>
      <c r="P1775" s="98"/>
      <c r="Q1775" s="98"/>
      <c r="R1775" s="98"/>
      <c r="S1775" s="98"/>
      <c r="T1775" s="98"/>
      <c r="U1775" s="98"/>
      <c r="V1775" s="98"/>
      <c r="W1775" s="98"/>
      <c r="X1775" s="98"/>
      <c r="Y1775" s="98"/>
      <c r="Z1775" s="98"/>
      <c r="AA1775" s="98"/>
      <c r="AB1775" s="98"/>
      <c r="AC1775" s="98"/>
      <c r="AD1775" s="98"/>
      <c r="AE1775" s="98"/>
      <c r="AF1775" s="98"/>
      <c r="AG1775" s="98"/>
      <c r="AH1775" s="98"/>
      <c r="AI1775" s="98"/>
      <c r="AJ1775" s="98"/>
      <c r="AK1775" s="98"/>
      <c r="AL1775" s="98"/>
      <c r="AM1775" s="98"/>
    </row>
    <row r="1776" spans="1:39" s="100" customFormat="1" ht="15.6" x14ac:dyDescent="0.3">
      <c r="A1776" s="97"/>
      <c r="B1776" s="98"/>
      <c r="C1776" s="98"/>
      <c r="D1776" s="98"/>
      <c r="E1776" s="98"/>
      <c r="F1776" s="98"/>
      <c r="G1776" s="99"/>
      <c r="H1776" s="99"/>
      <c r="I1776" s="99"/>
      <c r="J1776" s="99"/>
      <c r="K1776" s="98"/>
      <c r="L1776" s="98"/>
      <c r="M1776" s="98"/>
      <c r="N1776" s="98"/>
      <c r="O1776" s="98"/>
      <c r="P1776" s="98"/>
      <c r="Q1776" s="98"/>
      <c r="R1776" s="98"/>
      <c r="S1776" s="98"/>
      <c r="T1776" s="98"/>
      <c r="U1776" s="98"/>
      <c r="V1776" s="98"/>
      <c r="W1776" s="98"/>
      <c r="X1776" s="98"/>
      <c r="Y1776" s="98"/>
      <c r="Z1776" s="98"/>
      <c r="AA1776" s="98"/>
      <c r="AB1776" s="98"/>
      <c r="AC1776" s="98"/>
      <c r="AD1776" s="98"/>
      <c r="AE1776" s="98"/>
      <c r="AF1776" s="98"/>
      <c r="AG1776" s="98"/>
      <c r="AH1776" s="98"/>
      <c r="AI1776" s="98"/>
      <c r="AJ1776" s="98"/>
      <c r="AK1776" s="98"/>
      <c r="AL1776" s="98"/>
      <c r="AM1776" s="98"/>
    </row>
    <row r="1777" spans="1:39" s="100" customFormat="1" ht="15.6" x14ac:dyDescent="0.3">
      <c r="A1777" s="97"/>
      <c r="B1777" s="98"/>
      <c r="C1777" s="98"/>
      <c r="D1777" s="98"/>
      <c r="E1777" s="98"/>
      <c r="F1777" s="98"/>
      <c r="G1777" s="99"/>
      <c r="H1777" s="99"/>
      <c r="I1777" s="99"/>
      <c r="J1777" s="99"/>
      <c r="K1777" s="98"/>
      <c r="L1777" s="98"/>
      <c r="M1777" s="98"/>
      <c r="N1777" s="98"/>
      <c r="O1777" s="98"/>
      <c r="P1777" s="98"/>
      <c r="Q1777" s="98"/>
      <c r="R1777" s="98"/>
      <c r="S1777" s="98"/>
      <c r="T1777" s="98"/>
      <c r="U1777" s="98"/>
      <c r="V1777" s="98"/>
      <c r="W1777" s="98"/>
      <c r="X1777" s="98"/>
      <c r="Y1777" s="98"/>
      <c r="Z1777" s="98"/>
      <c r="AA1777" s="98"/>
      <c r="AB1777" s="98"/>
      <c r="AC1777" s="98"/>
      <c r="AD1777" s="98"/>
      <c r="AE1777" s="98"/>
      <c r="AF1777" s="98"/>
      <c r="AG1777" s="98"/>
      <c r="AH1777" s="98"/>
      <c r="AI1777" s="98"/>
      <c r="AJ1777" s="98"/>
      <c r="AK1777" s="98"/>
      <c r="AL1777" s="98"/>
      <c r="AM1777" s="98"/>
    </row>
    <row r="1778" spans="1:39" s="100" customFormat="1" ht="15.6" x14ac:dyDescent="0.3">
      <c r="A1778" s="97"/>
      <c r="B1778" s="98"/>
      <c r="C1778" s="98"/>
      <c r="D1778" s="98"/>
      <c r="E1778" s="98"/>
      <c r="F1778" s="98"/>
      <c r="G1778" s="99"/>
      <c r="H1778" s="99"/>
      <c r="I1778" s="99"/>
      <c r="J1778" s="99"/>
      <c r="K1778" s="98"/>
      <c r="L1778" s="98"/>
      <c r="M1778" s="98"/>
      <c r="N1778" s="98"/>
      <c r="O1778" s="98"/>
      <c r="P1778" s="98"/>
      <c r="Q1778" s="98"/>
      <c r="R1778" s="98"/>
      <c r="S1778" s="98"/>
      <c r="T1778" s="98"/>
      <c r="U1778" s="98"/>
      <c r="V1778" s="98"/>
      <c r="W1778" s="98"/>
      <c r="X1778" s="98"/>
      <c r="Y1778" s="98"/>
      <c r="Z1778" s="98"/>
      <c r="AA1778" s="98"/>
      <c r="AB1778" s="98"/>
      <c r="AC1778" s="98"/>
      <c r="AD1778" s="98"/>
      <c r="AE1778" s="98"/>
      <c r="AF1778" s="98"/>
      <c r="AG1778" s="98"/>
      <c r="AH1778" s="98"/>
      <c r="AI1778" s="98"/>
      <c r="AJ1778" s="98"/>
      <c r="AK1778" s="98"/>
      <c r="AL1778" s="98"/>
      <c r="AM1778" s="98"/>
    </row>
    <row r="1779" spans="1:39" s="100" customFormat="1" ht="15.6" x14ac:dyDescent="0.3">
      <c r="A1779" s="97"/>
      <c r="B1779" s="98"/>
      <c r="C1779" s="98"/>
      <c r="D1779" s="98"/>
      <c r="E1779" s="98"/>
      <c r="F1779" s="98"/>
      <c r="G1779" s="99"/>
      <c r="H1779" s="99"/>
      <c r="I1779" s="99"/>
      <c r="J1779" s="99"/>
      <c r="K1779" s="98"/>
      <c r="L1779" s="98"/>
      <c r="M1779" s="98"/>
      <c r="N1779" s="98"/>
      <c r="O1779" s="98"/>
      <c r="P1779" s="98"/>
      <c r="Q1779" s="98"/>
      <c r="R1779" s="98"/>
      <c r="S1779" s="98"/>
      <c r="T1779" s="98"/>
      <c r="U1779" s="98"/>
      <c r="V1779" s="98"/>
      <c r="W1779" s="98"/>
      <c r="X1779" s="98"/>
      <c r="Y1779" s="98"/>
      <c r="Z1779" s="98"/>
      <c r="AA1779" s="98"/>
      <c r="AB1779" s="98"/>
      <c r="AC1779" s="98"/>
      <c r="AD1779" s="98"/>
      <c r="AE1779" s="98"/>
      <c r="AF1779" s="98"/>
      <c r="AG1779" s="98"/>
      <c r="AH1779" s="98"/>
      <c r="AI1779" s="98"/>
      <c r="AJ1779" s="98"/>
      <c r="AK1779" s="98"/>
      <c r="AL1779" s="98"/>
      <c r="AM1779" s="98"/>
    </row>
    <row r="1780" spans="1:39" s="100" customFormat="1" ht="15.6" x14ac:dyDescent="0.3">
      <c r="A1780" s="97"/>
      <c r="B1780" s="98"/>
      <c r="C1780" s="98"/>
      <c r="D1780" s="98"/>
      <c r="E1780" s="98"/>
      <c r="F1780" s="98"/>
      <c r="G1780" s="99"/>
      <c r="H1780" s="99"/>
      <c r="I1780" s="99"/>
      <c r="J1780" s="99"/>
      <c r="K1780" s="98"/>
      <c r="L1780" s="98"/>
      <c r="M1780" s="98"/>
      <c r="N1780" s="98"/>
      <c r="O1780" s="98"/>
      <c r="P1780" s="98"/>
      <c r="Q1780" s="98"/>
      <c r="R1780" s="98"/>
      <c r="S1780" s="98"/>
      <c r="T1780" s="98"/>
      <c r="U1780" s="98"/>
      <c r="V1780" s="98"/>
      <c r="W1780" s="98"/>
      <c r="X1780" s="98"/>
      <c r="Y1780" s="98"/>
      <c r="Z1780" s="98"/>
      <c r="AA1780" s="98"/>
      <c r="AB1780" s="98"/>
      <c r="AC1780" s="98"/>
      <c r="AD1780" s="98"/>
      <c r="AE1780" s="98"/>
      <c r="AF1780" s="98"/>
      <c r="AG1780" s="98"/>
      <c r="AH1780" s="98"/>
      <c r="AI1780" s="98"/>
      <c r="AJ1780" s="98"/>
      <c r="AK1780" s="98"/>
      <c r="AL1780" s="98"/>
      <c r="AM1780" s="98"/>
    </row>
    <row r="1781" spans="1:39" s="100" customFormat="1" ht="15.6" x14ac:dyDescent="0.3">
      <c r="A1781" s="97"/>
      <c r="B1781" s="98"/>
      <c r="C1781" s="98"/>
      <c r="D1781" s="98"/>
      <c r="E1781" s="98"/>
      <c r="F1781" s="98"/>
      <c r="G1781" s="99"/>
      <c r="H1781" s="99"/>
      <c r="I1781" s="99"/>
      <c r="J1781" s="99"/>
      <c r="K1781" s="98"/>
      <c r="L1781" s="98"/>
      <c r="M1781" s="98"/>
      <c r="N1781" s="98"/>
      <c r="O1781" s="98"/>
      <c r="P1781" s="98"/>
      <c r="Q1781" s="98"/>
      <c r="R1781" s="98"/>
      <c r="S1781" s="98"/>
      <c r="T1781" s="98"/>
      <c r="U1781" s="98"/>
      <c r="V1781" s="98"/>
      <c r="W1781" s="98"/>
      <c r="X1781" s="98"/>
      <c r="Y1781" s="98"/>
      <c r="Z1781" s="98"/>
      <c r="AA1781" s="98"/>
      <c r="AB1781" s="98"/>
      <c r="AC1781" s="98"/>
      <c r="AD1781" s="98"/>
      <c r="AE1781" s="98"/>
      <c r="AF1781" s="98"/>
      <c r="AG1781" s="98"/>
      <c r="AH1781" s="98"/>
      <c r="AI1781" s="98"/>
      <c r="AJ1781" s="98"/>
      <c r="AK1781" s="98"/>
      <c r="AL1781" s="98"/>
      <c r="AM1781" s="98"/>
    </row>
    <row r="1782" spans="1:39" s="100" customFormat="1" ht="15.6" x14ac:dyDescent="0.3">
      <c r="A1782" s="97"/>
      <c r="B1782" s="98"/>
      <c r="C1782" s="98"/>
      <c r="D1782" s="98"/>
      <c r="E1782" s="98"/>
      <c r="F1782" s="98"/>
      <c r="G1782" s="99"/>
      <c r="H1782" s="99"/>
      <c r="I1782" s="99"/>
      <c r="J1782" s="99"/>
      <c r="K1782" s="98"/>
      <c r="L1782" s="98"/>
      <c r="M1782" s="98"/>
      <c r="N1782" s="98"/>
      <c r="O1782" s="98"/>
      <c r="P1782" s="98"/>
      <c r="Q1782" s="98"/>
      <c r="R1782" s="98"/>
      <c r="S1782" s="98"/>
      <c r="T1782" s="98"/>
      <c r="U1782" s="98"/>
      <c r="V1782" s="98"/>
      <c r="W1782" s="98"/>
      <c r="X1782" s="98"/>
      <c r="Y1782" s="98"/>
      <c r="Z1782" s="98"/>
      <c r="AA1782" s="98"/>
      <c r="AB1782" s="98"/>
      <c r="AC1782" s="98"/>
      <c r="AD1782" s="98"/>
      <c r="AE1782" s="98"/>
      <c r="AF1782" s="98"/>
      <c r="AG1782" s="98"/>
      <c r="AH1782" s="98"/>
      <c r="AI1782" s="98"/>
      <c r="AJ1782" s="98"/>
      <c r="AK1782" s="98"/>
      <c r="AL1782" s="98"/>
      <c r="AM1782" s="98"/>
    </row>
    <row r="1783" spans="1:39" s="100" customFormat="1" ht="15.6" x14ac:dyDescent="0.3">
      <c r="A1783" s="97"/>
      <c r="B1783" s="98"/>
      <c r="C1783" s="98"/>
      <c r="D1783" s="98"/>
      <c r="E1783" s="98"/>
      <c r="F1783" s="98"/>
      <c r="G1783" s="99"/>
      <c r="H1783" s="99"/>
      <c r="I1783" s="99"/>
      <c r="J1783" s="99"/>
      <c r="K1783" s="98"/>
      <c r="L1783" s="98"/>
      <c r="M1783" s="98"/>
      <c r="N1783" s="98"/>
      <c r="O1783" s="98"/>
      <c r="P1783" s="98"/>
      <c r="Q1783" s="98"/>
      <c r="R1783" s="98"/>
      <c r="S1783" s="98"/>
      <c r="T1783" s="98"/>
      <c r="U1783" s="98"/>
      <c r="V1783" s="98"/>
      <c r="W1783" s="98"/>
      <c r="X1783" s="98"/>
      <c r="Y1783" s="98"/>
      <c r="Z1783" s="98"/>
      <c r="AA1783" s="98"/>
      <c r="AB1783" s="98"/>
      <c r="AC1783" s="98"/>
      <c r="AD1783" s="98"/>
      <c r="AE1783" s="98"/>
      <c r="AF1783" s="98"/>
      <c r="AG1783" s="98"/>
      <c r="AH1783" s="98"/>
      <c r="AI1783" s="98"/>
      <c r="AJ1783" s="98"/>
      <c r="AK1783" s="98"/>
      <c r="AL1783" s="98"/>
      <c r="AM1783" s="98"/>
    </row>
    <row r="1784" spans="1:39" s="100" customFormat="1" ht="15.6" x14ac:dyDescent="0.3">
      <c r="A1784" s="97"/>
      <c r="B1784" s="98"/>
      <c r="C1784" s="98"/>
      <c r="D1784" s="98"/>
      <c r="E1784" s="98"/>
      <c r="F1784" s="98"/>
      <c r="G1784" s="99"/>
      <c r="H1784" s="99"/>
      <c r="I1784" s="99"/>
      <c r="J1784" s="99"/>
      <c r="K1784" s="98"/>
      <c r="L1784" s="98"/>
      <c r="M1784" s="98"/>
      <c r="N1784" s="98"/>
      <c r="O1784" s="98"/>
      <c r="P1784" s="98"/>
      <c r="Q1784" s="98"/>
      <c r="R1784" s="98"/>
      <c r="S1784" s="98"/>
      <c r="T1784" s="98"/>
      <c r="U1784" s="98"/>
      <c r="V1784" s="98"/>
      <c r="W1784" s="98"/>
      <c r="X1784" s="98"/>
      <c r="Y1784" s="98"/>
      <c r="Z1784" s="98"/>
      <c r="AA1784" s="98"/>
      <c r="AB1784" s="98"/>
      <c r="AC1784" s="98"/>
      <c r="AD1784" s="98"/>
      <c r="AE1784" s="98"/>
      <c r="AF1784" s="98"/>
      <c r="AG1784" s="98"/>
      <c r="AH1784" s="98"/>
      <c r="AI1784" s="98"/>
      <c r="AJ1784" s="98"/>
      <c r="AK1784" s="98"/>
      <c r="AL1784" s="98"/>
      <c r="AM1784" s="98"/>
    </row>
    <row r="1785" spans="1:39" s="100" customFormat="1" ht="15.6" x14ac:dyDescent="0.3">
      <c r="A1785" s="97"/>
      <c r="B1785" s="98"/>
      <c r="C1785" s="98"/>
      <c r="D1785" s="98"/>
      <c r="E1785" s="98"/>
      <c r="F1785" s="98"/>
      <c r="G1785" s="99"/>
      <c r="H1785" s="99"/>
      <c r="I1785" s="99"/>
      <c r="J1785" s="99"/>
      <c r="K1785" s="98"/>
      <c r="L1785" s="98"/>
      <c r="M1785" s="98"/>
      <c r="N1785" s="98"/>
      <c r="O1785" s="98"/>
      <c r="P1785" s="98"/>
      <c r="Q1785" s="98"/>
      <c r="R1785" s="98"/>
      <c r="S1785" s="98"/>
      <c r="T1785" s="98"/>
      <c r="U1785" s="98"/>
      <c r="V1785" s="98"/>
      <c r="W1785" s="98"/>
      <c r="X1785" s="98"/>
      <c r="Y1785" s="98"/>
      <c r="Z1785" s="98"/>
      <c r="AA1785" s="98"/>
      <c r="AB1785" s="98"/>
      <c r="AC1785" s="98"/>
      <c r="AD1785" s="98"/>
      <c r="AE1785" s="98"/>
      <c r="AF1785" s="98"/>
      <c r="AG1785" s="98"/>
      <c r="AH1785" s="98"/>
      <c r="AI1785" s="98"/>
      <c r="AJ1785" s="98"/>
      <c r="AK1785" s="98"/>
      <c r="AL1785" s="98"/>
      <c r="AM1785" s="98"/>
    </row>
    <row r="1786" spans="1:39" s="100" customFormat="1" ht="15.6" x14ac:dyDescent="0.3">
      <c r="A1786" s="97"/>
      <c r="B1786" s="98"/>
      <c r="C1786" s="98"/>
      <c r="D1786" s="98"/>
      <c r="E1786" s="98"/>
      <c r="F1786" s="98"/>
      <c r="G1786" s="99"/>
      <c r="H1786" s="99"/>
      <c r="I1786" s="99"/>
      <c r="J1786" s="99"/>
      <c r="K1786" s="98"/>
      <c r="L1786" s="98"/>
      <c r="M1786" s="98"/>
      <c r="N1786" s="98"/>
      <c r="O1786" s="98"/>
      <c r="P1786" s="98"/>
      <c r="Q1786" s="98"/>
      <c r="R1786" s="98"/>
      <c r="S1786" s="98"/>
      <c r="T1786" s="98"/>
      <c r="U1786" s="98"/>
      <c r="V1786" s="98"/>
      <c r="W1786" s="98"/>
      <c r="X1786" s="98"/>
      <c r="Y1786" s="98"/>
      <c r="Z1786" s="98"/>
      <c r="AA1786" s="98"/>
      <c r="AB1786" s="98"/>
      <c r="AC1786" s="98"/>
      <c r="AD1786" s="98"/>
      <c r="AE1786" s="98"/>
      <c r="AF1786" s="98"/>
      <c r="AG1786" s="98"/>
      <c r="AH1786" s="98"/>
      <c r="AI1786" s="98"/>
      <c r="AJ1786" s="98"/>
      <c r="AK1786" s="98"/>
      <c r="AL1786" s="98"/>
      <c r="AM1786" s="98"/>
    </row>
    <row r="1787" spans="1:39" s="100" customFormat="1" ht="15.6" x14ac:dyDescent="0.3">
      <c r="A1787" s="97"/>
      <c r="B1787" s="98"/>
      <c r="C1787" s="98"/>
      <c r="D1787" s="98"/>
      <c r="E1787" s="98"/>
      <c r="F1787" s="98"/>
      <c r="G1787" s="99"/>
      <c r="H1787" s="99"/>
      <c r="I1787" s="99"/>
      <c r="J1787" s="99"/>
      <c r="K1787" s="98"/>
      <c r="L1787" s="98"/>
      <c r="M1787" s="98"/>
      <c r="N1787" s="98"/>
      <c r="O1787" s="98"/>
      <c r="P1787" s="98"/>
      <c r="Q1787" s="98"/>
      <c r="R1787" s="98"/>
      <c r="S1787" s="98"/>
      <c r="T1787" s="98"/>
      <c r="U1787" s="98"/>
      <c r="V1787" s="98"/>
      <c r="W1787" s="98"/>
      <c r="X1787" s="98"/>
      <c r="Y1787" s="98"/>
      <c r="Z1787" s="98"/>
      <c r="AA1787" s="98"/>
      <c r="AB1787" s="98"/>
      <c r="AC1787" s="98"/>
      <c r="AD1787" s="98"/>
      <c r="AE1787" s="98"/>
      <c r="AF1787" s="98"/>
      <c r="AG1787" s="98"/>
      <c r="AH1787" s="98"/>
      <c r="AI1787" s="98"/>
      <c r="AJ1787" s="98"/>
      <c r="AK1787" s="98"/>
      <c r="AL1787" s="98"/>
      <c r="AM1787" s="98"/>
    </row>
    <row r="1788" spans="1:39" s="100" customFormat="1" ht="15.6" x14ac:dyDescent="0.3">
      <c r="A1788" s="97"/>
      <c r="B1788" s="98"/>
      <c r="C1788" s="98"/>
      <c r="D1788" s="98"/>
      <c r="E1788" s="98"/>
      <c r="F1788" s="98"/>
      <c r="G1788" s="99"/>
      <c r="H1788" s="99"/>
      <c r="I1788" s="99"/>
      <c r="J1788" s="99"/>
      <c r="K1788" s="98"/>
      <c r="L1788" s="98"/>
      <c r="M1788" s="98"/>
      <c r="N1788" s="98"/>
      <c r="O1788" s="98"/>
      <c r="P1788" s="98"/>
      <c r="Q1788" s="98"/>
      <c r="R1788" s="98"/>
      <c r="S1788" s="98"/>
      <c r="T1788" s="98"/>
      <c r="U1788" s="98"/>
      <c r="V1788" s="98"/>
      <c r="W1788" s="98"/>
      <c r="X1788" s="98"/>
      <c r="Y1788" s="98"/>
      <c r="Z1788" s="98"/>
      <c r="AA1788" s="98"/>
      <c r="AB1788" s="98"/>
      <c r="AC1788" s="98"/>
      <c r="AD1788" s="98"/>
      <c r="AE1788" s="98"/>
      <c r="AF1788" s="98"/>
      <c r="AG1788" s="98"/>
      <c r="AH1788" s="98"/>
      <c r="AI1788" s="98"/>
      <c r="AJ1788" s="98"/>
      <c r="AK1788" s="98"/>
      <c r="AL1788" s="98"/>
      <c r="AM1788" s="98"/>
    </row>
    <row r="1789" spans="1:39" s="100" customFormat="1" ht="15.6" x14ac:dyDescent="0.3">
      <c r="A1789" s="97"/>
      <c r="B1789" s="98"/>
      <c r="C1789" s="98"/>
      <c r="D1789" s="98"/>
      <c r="E1789" s="98"/>
      <c r="F1789" s="98"/>
      <c r="G1789" s="99"/>
      <c r="H1789" s="99"/>
      <c r="I1789" s="99"/>
      <c r="J1789" s="99"/>
      <c r="K1789" s="98"/>
      <c r="L1789" s="98"/>
      <c r="M1789" s="98"/>
      <c r="N1789" s="98"/>
      <c r="O1789" s="98"/>
      <c r="P1789" s="98"/>
      <c r="Q1789" s="98"/>
      <c r="R1789" s="98"/>
      <c r="S1789" s="98"/>
      <c r="T1789" s="98"/>
      <c r="U1789" s="98"/>
      <c r="V1789" s="98"/>
      <c r="W1789" s="98"/>
      <c r="X1789" s="98"/>
      <c r="Y1789" s="98"/>
      <c r="Z1789" s="98"/>
      <c r="AA1789" s="98"/>
      <c r="AB1789" s="98"/>
      <c r="AC1789" s="98"/>
      <c r="AD1789" s="98"/>
      <c r="AE1789" s="98"/>
      <c r="AF1789" s="98"/>
      <c r="AG1789" s="98"/>
      <c r="AH1789" s="98"/>
      <c r="AI1789" s="98"/>
      <c r="AJ1789" s="98"/>
      <c r="AK1789" s="98"/>
      <c r="AL1789" s="98"/>
      <c r="AM1789" s="98"/>
    </row>
    <row r="1790" spans="1:39" s="100" customFormat="1" ht="15.6" x14ac:dyDescent="0.3">
      <c r="A1790" s="97"/>
      <c r="B1790" s="98"/>
      <c r="C1790" s="98"/>
      <c r="D1790" s="98"/>
      <c r="E1790" s="98"/>
      <c r="F1790" s="98"/>
      <c r="G1790" s="99"/>
      <c r="H1790" s="99"/>
      <c r="I1790" s="99"/>
      <c r="J1790" s="99"/>
      <c r="K1790" s="98"/>
      <c r="L1790" s="98"/>
      <c r="M1790" s="98"/>
      <c r="N1790" s="98"/>
      <c r="O1790" s="98"/>
      <c r="P1790" s="98"/>
      <c r="Q1790" s="98"/>
      <c r="R1790" s="98"/>
      <c r="S1790" s="98"/>
      <c r="T1790" s="98"/>
      <c r="U1790" s="98"/>
      <c r="V1790" s="98"/>
      <c r="W1790" s="98"/>
      <c r="X1790" s="98"/>
      <c r="Y1790" s="98"/>
      <c r="Z1790" s="98"/>
      <c r="AA1790" s="98"/>
      <c r="AB1790" s="98"/>
      <c r="AC1790" s="98"/>
      <c r="AD1790" s="98"/>
      <c r="AE1790" s="98"/>
      <c r="AF1790" s="98"/>
      <c r="AG1790" s="98"/>
      <c r="AH1790" s="98"/>
      <c r="AI1790" s="98"/>
      <c r="AJ1790" s="98"/>
      <c r="AK1790" s="98"/>
      <c r="AL1790" s="98"/>
      <c r="AM1790" s="98"/>
    </row>
    <row r="1791" spans="1:39" s="100" customFormat="1" ht="15.6" x14ac:dyDescent="0.3">
      <c r="A1791" s="97"/>
      <c r="B1791" s="98"/>
      <c r="C1791" s="98"/>
      <c r="D1791" s="98"/>
      <c r="E1791" s="98"/>
      <c r="F1791" s="98"/>
      <c r="G1791" s="99"/>
      <c r="H1791" s="99"/>
      <c r="I1791" s="99"/>
      <c r="J1791" s="99"/>
      <c r="K1791" s="98"/>
      <c r="L1791" s="98"/>
      <c r="M1791" s="98"/>
      <c r="N1791" s="98"/>
      <c r="O1791" s="98"/>
      <c r="P1791" s="98"/>
      <c r="Q1791" s="98"/>
      <c r="R1791" s="98"/>
      <c r="S1791" s="98"/>
      <c r="T1791" s="98"/>
      <c r="U1791" s="98"/>
      <c r="V1791" s="98"/>
      <c r="W1791" s="98"/>
      <c r="X1791" s="98"/>
      <c r="Y1791" s="98"/>
      <c r="Z1791" s="98"/>
      <c r="AA1791" s="98"/>
      <c r="AB1791" s="98"/>
      <c r="AC1791" s="98"/>
      <c r="AD1791" s="98"/>
      <c r="AE1791" s="98"/>
      <c r="AF1791" s="98"/>
      <c r="AG1791" s="98"/>
      <c r="AH1791" s="98"/>
      <c r="AI1791" s="98"/>
      <c r="AJ1791" s="98"/>
      <c r="AK1791" s="98"/>
      <c r="AL1791" s="98"/>
      <c r="AM1791" s="98"/>
    </row>
    <row r="1792" spans="1:39" s="100" customFormat="1" ht="15.6" x14ac:dyDescent="0.3">
      <c r="A1792" s="97"/>
      <c r="B1792" s="98"/>
      <c r="C1792" s="98"/>
      <c r="D1792" s="98"/>
      <c r="E1792" s="98"/>
      <c r="F1792" s="98"/>
      <c r="G1792" s="99"/>
      <c r="H1792" s="99"/>
      <c r="I1792" s="99"/>
      <c r="J1792" s="99"/>
      <c r="K1792" s="98"/>
      <c r="L1792" s="98"/>
      <c r="M1792" s="98"/>
      <c r="N1792" s="98"/>
      <c r="O1792" s="98"/>
      <c r="P1792" s="98"/>
      <c r="Q1792" s="98"/>
      <c r="R1792" s="98"/>
      <c r="S1792" s="98"/>
      <c r="T1792" s="98"/>
      <c r="U1792" s="98"/>
      <c r="V1792" s="98"/>
      <c r="W1792" s="98"/>
      <c r="X1792" s="98"/>
      <c r="Y1792" s="98"/>
      <c r="Z1792" s="98"/>
      <c r="AA1792" s="98"/>
      <c r="AB1792" s="98"/>
      <c r="AC1792" s="98"/>
      <c r="AD1792" s="98"/>
      <c r="AE1792" s="98"/>
      <c r="AF1792" s="98"/>
      <c r="AG1792" s="98"/>
      <c r="AH1792" s="98"/>
      <c r="AI1792" s="98"/>
      <c r="AJ1792" s="98"/>
      <c r="AK1792" s="98"/>
      <c r="AL1792" s="98"/>
      <c r="AM1792" s="98"/>
    </row>
    <row r="1793" spans="1:39" s="100" customFormat="1" ht="15.6" x14ac:dyDescent="0.3">
      <c r="A1793" s="97"/>
      <c r="B1793" s="98"/>
      <c r="C1793" s="98"/>
      <c r="D1793" s="98"/>
      <c r="E1793" s="98"/>
      <c r="F1793" s="98"/>
      <c r="G1793" s="99"/>
      <c r="H1793" s="99"/>
      <c r="I1793" s="99"/>
      <c r="J1793" s="99"/>
      <c r="K1793" s="98"/>
      <c r="L1793" s="98"/>
      <c r="M1793" s="98"/>
      <c r="N1793" s="98"/>
      <c r="O1793" s="98"/>
      <c r="P1793" s="98"/>
      <c r="Q1793" s="98"/>
      <c r="R1793" s="98"/>
      <c r="S1793" s="98"/>
      <c r="T1793" s="98"/>
      <c r="U1793" s="98"/>
      <c r="V1793" s="98"/>
      <c r="W1793" s="98"/>
      <c r="X1793" s="98"/>
      <c r="Y1793" s="98"/>
      <c r="Z1793" s="98"/>
      <c r="AA1793" s="98"/>
      <c r="AB1793" s="98"/>
      <c r="AC1793" s="98"/>
      <c r="AD1793" s="98"/>
      <c r="AE1793" s="98"/>
      <c r="AF1793" s="98"/>
      <c r="AG1793" s="98"/>
      <c r="AH1793" s="98"/>
      <c r="AI1793" s="98"/>
      <c r="AJ1793" s="98"/>
      <c r="AK1793" s="98"/>
      <c r="AL1793" s="98"/>
      <c r="AM1793" s="98"/>
    </row>
    <row r="1794" spans="1:39" s="100" customFormat="1" ht="15.6" x14ac:dyDescent="0.3">
      <c r="A1794" s="97"/>
      <c r="B1794" s="98"/>
      <c r="C1794" s="98"/>
      <c r="D1794" s="98"/>
      <c r="E1794" s="98"/>
      <c r="F1794" s="98"/>
      <c r="G1794" s="99"/>
      <c r="H1794" s="99"/>
      <c r="I1794" s="99"/>
      <c r="J1794" s="99"/>
      <c r="K1794" s="98"/>
      <c r="L1794" s="98"/>
      <c r="M1794" s="98"/>
      <c r="N1794" s="98"/>
      <c r="O1794" s="98"/>
      <c r="P1794" s="98"/>
      <c r="Q1794" s="98"/>
      <c r="R1794" s="98"/>
      <c r="S1794" s="98"/>
      <c r="T1794" s="98"/>
      <c r="U1794" s="98"/>
      <c r="V1794" s="98"/>
      <c r="W1794" s="98"/>
      <c r="X1794" s="98"/>
      <c r="Y1794" s="98"/>
      <c r="Z1794" s="98"/>
      <c r="AA1794" s="98"/>
      <c r="AB1794" s="98"/>
      <c r="AC1794" s="98"/>
      <c r="AD1794" s="98"/>
      <c r="AE1794" s="98"/>
      <c r="AF1794" s="98"/>
      <c r="AG1794" s="98"/>
      <c r="AH1794" s="98"/>
      <c r="AI1794" s="98"/>
      <c r="AJ1794" s="98"/>
      <c r="AK1794" s="98"/>
      <c r="AL1794" s="98"/>
      <c r="AM1794" s="98"/>
    </row>
    <row r="1795" spans="1:39" s="100" customFormat="1" ht="15.6" x14ac:dyDescent="0.3">
      <c r="A1795" s="97"/>
      <c r="B1795" s="98"/>
      <c r="C1795" s="98"/>
      <c r="D1795" s="98"/>
      <c r="E1795" s="98"/>
      <c r="F1795" s="98"/>
      <c r="G1795" s="99"/>
      <c r="H1795" s="99"/>
      <c r="I1795" s="99"/>
      <c r="J1795" s="99"/>
      <c r="K1795" s="98"/>
      <c r="L1795" s="98"/>
      <c r="M1795" s="98"/>
      <c r="N1795" s="98"/>
      <c r="O1795" s="98"/>
      <c r="P1795" s="98"/>
      <c r="Q1795" s="98"/>
      <c r="R1795" s="98"/>
      <c r="S1795" s="98"/>
      <c r="T1795" s="98"/>
      <c r="U1795" s="98"/>
      <c r="V1795" s="98"/>
      <c r="W1795" s="98"/>
      <c r="X1795" s="98"/>
      <c r="Y1795" s="98"/>
      <c r="Z1795" s="98"/>
      <c r="AA1795" s="98"/>
      <c r="AB1795" s="98"/>
      <c r="AC1795" s="98"/>
      <c r="AD1795" s="98"/>
      <c r="AE1795" s="98"/>
      <c r="AF1795" s="98"/>
      <c r="AG1795" s="98"/>
      <c r="AH1795" s="98"/>
      <c r="AI1795" s="98"/>
      <c r="AJ1795" s="98"/>
      <c r="AK1795" s="98"/>
      <c r="AL1795" s="98"/>
      <c r="AM1795" s="98"/>
    </row>
    <row r="1796" spans="1:39" s="100" customFormat="1" ht="15.6" x14ac:dyDescent="0.3">
      <c r="A1796" s="97"/>
      <c r="B1796" s="98"/>
      <c r="C1796" s="98"/>
      <c r="D1796" s="98"/>
      <c r="E1796" s="98"/>
      <c r="F1796" s="98"/>
      <c r="G1796" s="99"/>
      <c r="H1796" s="99"/>
      <c r="I1796" s="99"/>
      <c r="J1796" s="99"/>
      <c r="K1796" s="98"/>
      <c r="L1796" s="98"/>
      <c r="M1796" s="98"/>
      <c r="N1796" s="98"/>
      <c r="O1796" s="98"/>
      <c r="P1796" s="98"/>
      <c r="Q1796" s="98"/>
      <c r="R1796" s="98"/>
      <c r="S1796" s="98"/>
      <c r="T1796" s="98"/>
      <c r="U1796" s="98"/>
      <c r="V1796" s="98"/>
      <c r="W1796" s="98"/>
      <c r="X1796" s="98"/>
      <c r="Y1796" s="98"/>
      <c r="Z1796" s="98"/>
      <c r="AA1796" s="98"/>
      <c r="AB1796" s="98"/>
      <c r="AC1796" s="98"/>
      <c r="AD1796" s="98"/>
      <c r="AE1796" s="98"/>
      <c r="AF1796" s="98"/>
      <c r="AG1796" s="98"/>
      <c r="AH1796" s="98"/>
      <c r="AI1796" s="98"/>
      <c r="AJ1796" s="98"/>
      <c r="AK1796" s="98"/>
      <c r="AL1796" s="98"/>
      <c r="AM1796" s="98"/>
    </row>
    <row r="1797" spans="1:39" s="100" customFormat="1" ht="15.6" x14ac:dyDescent="0.3">
      <c r="A1797" s="97"/>
      <c r="B1797" s="98"/>
      <c r="C1797" s="98"/>
      <c r="D1797" s="98"/>
      <c r="E1797" s="98"/>
      <c r="F1797" s="98"/>
      <c r="G1797" s="99"/>
      <c r="H1797" s="99"/>
      <c r="I1797" s="99"/>
      <c r="J1797" s="99"/>
      <c r="K1797" s="98"/>
      <c r="L1797" s="98"/>
      <c r="M1797" s="98"/>
      <c r="N1797" s="98"/>
      <c r="O1797" s="98"/>
      <c r="P1797" s="98"/>
      <c r="Q1797" s="98"/>
      <c r="R1797" s="98"/>
      <c r="S1797" s="98"/>
      <c r="T1797" s="98"/>
      <c r="U1797" s="98"/>
      <c r="V1797" s="98"/>
      <c r="W1797" s="98"/>
      <c r="X1797" s="98"/>
      <c r="Y1797" s="98"/>
      <c r="Z1797" s="98"/>
      <c r="AA1797" s="98"/>
      <c r="AB1797" s="98"/>
      <c r="AC1797" s="98"/>
      <c r="AD1797" s="98"/>
      <c r="AE1797" s="98"/>
      <c r="AF1797" s="98"/>
      <c r="AG1797" s="98"/>
      <c r="AH1797" s="98"/>
      <c r="AI1797" s="98"/>
      <c r="AJ1797" s="98"/>
      <c r="AK1797" s="98"/>
      <c r="AL1797" s="98"/>
      <c r="AM1797" s="98"/>
    </row>
    <row r="1798" spans="1:39" s="100" customFormat="1" ht="15.6" x14ac:dyDescent="0.3">
      <c r="A1798" s="97"/>
      <c r="B1798" s="98"/>
      <c r="C1798" s="98"/>
      <c r="D1798" s="98"/>
      <c r="E1798" s="98"/>
      <c r="F1798" s="98"/>
      <c r="G1798" s="99"/>
      <c r="H1798" s="99"/>
      <c r="I1798" s="99"/>
      <c r="J1798" s="99"/>
      <c r="K1798" s="98"/>
      <c r="L1798" s="98"/>
      <c r="M1798" s="98"/>
      <c r="N1798" s="98"/>
      <c r="O1798" s="98"/>
      <c r="P1798" s="98"/>
      <c r="Q1798" s="98"/>
      <c r="R1798" s="98"/>
      <c r="S1798" s="98"/>
      <c r="T1798" s="98"/>
      <c r="U1798" s="98"/>
      <c r="V1798" s="98"/>
      <c r="W1798" s="98"/>
      <c r="X1798" s="98"/>
      <c r="Y1798" s="98"/>
      <c r="Z1798" s="98"/>
      <c r="AA1798" s="98"/>
      <c r="AB1798" s="98"/>
      <c r="AC1798" s="98"/>
      <c r="AD1798" s="98"/>
      <c r="AE1798" s="98"/>
      <c r="AF1798" s="98"/>
      <c r="AG1798" s="98"/>
      <c r="AH1798" s="98"/>
      <c r="AI1798" s="98"/>
      <c r="AJ1798" s="98"/>
      <c r="AK1798" s="98"/>
      <c r="AL1798" s="98"/>
      <c r="AM1798" s="98"/>
    </row>
    <row r="1799" spans="1:39" s="100" customFormat="1" ht="15.6" x14ac:dyDescent="0.3">
      <c r="A1799" s="97"/>
      <c r="B1799" s="98"/>
      <c r="C1799" s="98"/>
      <c r="D1799" s="98"/>
      <c r="E1799" s="98"/>
      <c r="F1799" s="98"/>
      <c r="G1799" s="99"/>
      <c r="H1799" s="99"/>
      <c r="I1799" s="99"/>
      <c r="J1799" s="99"/>
      <c r="K1799" s="98"/>
      <c r="L1799" s="98"/>
      <c r="M1799" s="98"/>
      <c r="N1799" s="98"/>
      <c r="O1799" s="98"/>
      <c r="P1799" s="98"/>
      <c r="Q1799" s="98"/>
      <c r="R1799" s="98"/>
      <c r="S1799" s="98"/>
      <c r="T1799" s="98"/>
      <c r="U1799" s="98"/>
      <c r="V1799" s="98"/>
      <c r="W1799" s="98"/>
      <c r="X1799" s="98"/>
      <c r="Y1799" s="98"/>
      <c r="Z1799" s="98"/>
      <c r="AA1799" s="98"/>
      <c r="AB1799" s="98"/>
      <c r="AC1799" s="98"/>
      <c r="AD1799" s="98"/>
      <c r="AE1799" s="98"/>
      <c r="AF1799" s="98"/>
      <c r="AG1799" s="98"/>
      <c r="AH1799" s="98"/>
      <c r="AI1799" s="98"/>
      <c r="AJ1799" s="98"/>
      <c r="AK1799" s="98"/>
      <c r="AL1799" s="98"/>
      <c r="AM1799" s="98"/>
    </row>
    <row r="1800" spans="1:39" s="100" customFormat="1" ht="15.6" x14ac:dyDescent="0.3">
      <c r="A1800" s="97"/>
      <c r="B1800" s="98"/>
      <c r="C1800" s="98"/>
      <c r="D1800" s="98"/>
      <c r="E1800" s="98"/>
      <c r="F1800" s="98"/>
      <c r="G1800" s="99"/>
      <c r="H1800" s="99"/>
      <c r="I1800" s="99"/>
      <c r="J1800" s="99"/>
      <c r="K1800" s="98"/>
      <c r="L1800" s="98"/>
      <c r="M1800" s="98"/>
      <c r="N1800" s="98"/>
      <c r="O1800" s="98"/>
      <c r="P1800" s="98"/>
      <c r="Q1800" s="98"/>
      <c r="R1800" s="98"/>
      <c r="S1800" s="98"/>
      <c r="T1800" s="98"/>
      <c r="U1800" s="98"/>
      <c r="V1800" s="98"/>
      <c r="W1800" s="98"/>
      <c r="X1800" s="98"/>
      <c r="Y1800" s="98"/>
      <c r="Z1800" s="98"/>
      <c r="AA1800" s="98"/>
      <c r="AB1800" s="98"/>
      <c r="AC1800" s="98"/>
      <c r="AD1800" s="98"/>
      <c r="AE1800" s="98"/>
      <c r="AF1800" s="98"/>
      <c r="AG1800" s="98"/>
      <c r="AH1800" s="98"/>
      <c r="AI1800" s="98"/>
      <c r="AJ1800" s="98"/>
      <c r="AK1800" s="98"/>
      <c r="AL1800" s="98"/>
      <c r="AM1800" s="98"/>
    </row>
    <row r="1801" spans="1:39" s="100" customFormat="1" ht="15.6" x14ac:dyDescent="0.3">
      <c r="A1801" s="97"/>
      <c r="B1801" s="98"/>
      <c r="C1801" s="98"/>
      <c r="D1801" s="98"/>
      <c r="E1801" s="98"/>
      <c r="F1801" s="98"/>
      <c r="G1801" s="99"/>
      <c r="H1801" s="99"/>
      <c r="I1801" s="99"/>
      <c r="J1801" s="99"/>
      <c r="K1801" s="98"/>
      <c r="L1801" s="98"/>
      <c r="M1801" s="98"/>
      <c r="N1801" s="98"/>
      <c r="O1801" s="98"/>
      <c r="P1801" s="98"/>
      <c r="Q1801" s="98"/>
      <c r="R1801" s="98"/>
      <c r="S1801" s="98"/>
      <c r="T1801" s="98"/>
      <c r="U1801" s="98"/>
      <c r="V1801" s="98"/>
      <c r="W1801" s="98"/>
      <c r="X1801" s="98"/>
      <c r="Y1801" s="98"/>
      <c r="Z1801" s="98"/>
      <c r="AA1801" s="98"/>
      <c r="AB1801" s="98"/>
      <c r="AC1801" s="98"/>
      <c r="AD1801" s="98"/>
      <c r="AE1801" s="98"/>
      <c r="AF1801" s="98"/>
      <c r="AG1801" s="98"/>
      <c r="AH1801" s="98"/>
      <c r="AI1801" s="98"/>
      <c r="AJ1801" s="98"/>
      <c r="AK1801" s="98"/>
      <c r="AL1801" s="98"/>
      <c r="AM1801" s="98"/>
    </row>
    <row r="1802" spans="1:39" s="100" customFormat="1" ht="15.6" x14ac:dyDescent="0.3">
      <c r="A1802" s="97"/>
      <c r="B1802" s="98"/>
      <c r="C1802" s="98"/>
      <c r="D1802" s="98"/>
      <c r="E1802" s="98"/>
      <c r="F1802" s="98"/>
      <c r="G1802" s="99"/>
      <c r="H1802" s="99"/>
      <c r="I1802" s="99"/>
      <c r="J1802" s="99"/>
      <c r="K1802" s="98"/>
      <c r="L1802" s="98"/>
      <c r="M1802" s="98"/>
      <c r="N1802" s="98"/>
      <c r="O1802" s="98"/>
      <c r="P1802" s="98"/>
      <c r="Q1802" s="98"/>
      <c r="R1802" s="98"/>
      <c r="S1802" s="98"/>
      <c r="T1802" s="98"/>
      <c r="U1802" s="98"/>
      <c r="V1802" s="98"/>
      <c r="W1802" s="98"/>
      <c r="X1802" s="98"/>
      <c r="Y1802" s="98"/>
      <c r="Z1802" s="98"/>
      <c r="AA1802" s="98"/>
      <c r="AB1802" s="98"/>
      <c r="AC1802" s="98"/>
      <c r="AD1802" s="98"/>
      <c r="AE1802" s="98"/>
      <c r="AF1802" s="98"/>
      <c r="AG1802" s="98"/>
      <c r="AH1802" s="98"/>
      <c r="AI1802" s="98"/>
      <c r="AJ1802" s="98"/>
      <c r="AK1802" s="98"/>
      <c r="AL1802" s="98"/>
      <c r="AM1802" s="98"/>
    </row>
    <row r="1803" spans="1:39" s="100" customFormat="1" ht="15.6" x14ac:dyDescent="0.3">
      <c r="A1803" s="97"/>
      <c r="B1803" s="98"/>
      <c r="C1803" s="98"/>
      <c r="D1803" s="98"/>
      <c r="E1803" s="98"/>
      <c r="F1803" s="98"/>
      <c r="G1803" s="99"/>
      <c r="H1803" s="99"/>
      <c r="I1803" s="99"/>
      <c r="J1803" s="99"/>
      <c r="K1803" s="98"/>
      <c r="L1803" s="98"/>
      <c r="M1803" s="98"/>
      <c r="N1803" s="98"/>
      <c r="O1803" s="98"/>
      <c r="P1803" s="98"/>
      <c r="Q1803" s="98"/>
      <c r="R1803" s="98"/>
      <c r="S1803" s="98"/>
      <c r="T1803" s="98"/>
      <c r="U1803" s="98"/>
      <c r="V1803" s="98"/>
      <c r="W1803" s="98"/>
      <c r="X1803" s="98"/>
      <c r="Y1803" s="98"/>
      <c r="Z1803" s="98"/>
      <c r="AA1803" s="98"/>
      <c r="AB1803" s="98"/>
      <c r="AC1803" s="98"/>
      <c r="AD1803" s="98"/>
      <c r="AE1803" s="98"/>
      <c r="AF1803" s="98"/>
      <c r="AG1803" s="98"/>
      <c r="AH1803" s="98"/>
      <c r="AI1803" s="98"/>
      <c r="AJ1803" s="98"/>
      <c r="AK1803" s="98"/>
      <c r="AL1803" s="98"/>
      <c r="AM1803" s="98"/>
    </row>
    <row r="1804" spans="1:39" s="100" customFormat="1" ht="15.6" x14ac:dyDescent="0.3">
      <c r="A1804" s="97"/>
      <c r="B1804" s="98"/>
      <c r="C1804" s="98"/>
      <c r="D1804" s="98"/>
      <c r="E1804" s="98"/>
      <c r="F1804" s="98"/>
      <c r="G1804" s="99"/>
      <c r="H1804" s="99"/>
      <c r="I1804" s="99"/>
      <c r="J1804" s="99"/>
      <c r="K1804" s="98"/>
      <c r="L1804" s="98"/>
      <c r="M1804" s="98"/>
      <c r="N1804" s="98"/>
      <c r="O1804" s="98"/>
      <c r="P1804" s="98"/>
      <c r="Q1804" s="98"/>
      <c r="R1804" s="98"/>
      <c r="S1804" s="98"/>
      <c r="T1804" s="98"/>
      <c r="U1804" s="98"/>
      <c r="V1804" s="98"/>
      <c r="W1804" s="98"/>
      <c r="X1804" s="98"/>
      <c r="Y1804" s="98"/>
      <c r="Z1804" s="98"/>
      <c r="AA1804" s="98"/>
      <c r="AB1804" s="98"/>
      <c r="AC1804" s="98"/>
      <c r="AD1804" s="98"/>
      <c r="AE1804" s="98"/>
      <c r="AF1804" s="98"/>
      <c r="AG1804" s="98"/>
      <c r="AH1804" s="98"/>
      <c r="AI1804" s="98"/>
      <c r="AJ1804" s="98"/>
      <c r="AK1804" s="98"/>
      <c r="AL1804" s="98"/>
      <c r="AM1804" s="98"/>
    </row>
    <row r="1805" spans="1:39" s="100" customFormat="1" ht="15.6" x14ac:dyDescent="0.3">
      <c r="A1805" s="97"/>
      <c r="B1805" s="98"/>
      <c r="C1805" s="98"/>
      <c r="D1805" s="98"/>
      <c r="E1805" s="98"/>
      <c r="F1805" s="98"/>
      <c r="G1805" s="99"/>
      <c r="H1805" s="99"/>
      <c r="I1805" s="99"/>
      <c r="J1805" s="99"/>
      <c r="K1805" s="98"/>
      <c r="L1805" s="98"/>
      <c r="M1805" s="98"/>
      <c r="N1805" s="98"/>
      <c r="O1805" s="98"/>
      <c r="P1805" s="98"/>
      <c r="Q1805" s="98"/>
      <c r="R1805" s="98"/>
      <c r="S1805" s="98"/>
      <c r="T1805" s="98"/>
      <c r="U1805" s="98"/>
      <c r="V1805" s="98"/>
      <c r="W1805" s="98"/>
      <c r="X1805" s="98"/>
      <c r="Y1805" s="98"/>
      <c r="Z1805" s="98"/>
      <c r="AA1805" s="98"/>
      <c r="AB1805" s="98"/>
      <c r="AC1805" s="98"/>
      <c r="AD1805" s="98"/>
      <c r="AE1805" s="98"/>
      <c r="AF1805" s="98"/>
      <c r="AG1805" s="98"/>
      <c r="AH1805" s="98"/>
      <c r="AI1805" s="98"/>
      <c r="AJ1805" s="98"/>
      <c r="AK1805" s="98"/>
      <c r="AL1805" s="98"/>
      <c r="AM1805" s="98"/>
    </row>
    <row r="1806" spans="1:39" s="100" customFormat="1" ht="15.6" x14ac:dyDescent="0.3">
      <c r="A1806" s="97"/>
      <c r="B1806" s="98"/>
      <c r="C1806" s="98"/>
      <c r="D1806" s="98"/>
      <c r="E1806" s="98"/>
      <c r="F1806" s="98"/>
      <c r="G1806" s="99"/>
      <c r="H1806" s="99"/>
      <c r="I1806" s="99"/>
      <c r="J1806" s="99"/>
      <c r="K1806" s="98"/>
      <c r="L1806" s="98"/>
      <c r="M1806" s="98"/>
      <c r="N1806" s="98"/>
      <c r="O1806" s="98"/>
      <c r="P1806" s="98"/>
      <c r="Q1806" s="98"/>
      <c r="R1806" s="98"/>
      <c r="S1806" s="98"/>
      <c r="T1806" s="98"/>
      <c r="U1806" s="98"/>
      <c r="V1806" s="98"/>
      <c r="W1806" s="98"/>
      <c r="X1806" s="98"/>
      <c r="Y1806" s="98"/>
      <c r="Z1806" s="98"/>
      <c r="AA1806" s="98"/>
      <c r="AB1806" s="98"/>
      <c r="AC1806" s="98"/>
      <c r="AD1806" s="98"/>
      <c r="AE1806" s="98"/>
      <c r="AF1806" s="98"/>
      <c r="AG1806" s="98"/>
      <c r="AH1806" s="98"/>
      <c r="AI1806" s="98"/>
      <c r="AJ1806" s="98"/>
      <c r="AK1806" s="98"/>
      <c r="AL1806" s="98"/>
      <c r="AM1806" s="98"/>
    </row>
    <row r="1807" spans="1:39" s="100" customFormat="1" ht="15.6" x14ac:dyDescent="0.3">
      <c r="A1807" s="97"/>
      <c r="B1807" s="98"/>
      <c r="C1807" s="98"/>
      <c r="D1807" s="98"/>
      <c r="E1807" s="98"/>
      <c r="F1807" s="98"/>
      <c r="G1807" s="99"/>
      <c r="H1807" s="99"/>
      <c r="I1807" s="99"/>
      <c r="J1807" s="99"/>
      <c r="K1807" s="98"/>
      <c r="L1807" s="98"/>
      <c r="M1807" s="98"/>
      <c r="N1807" s="98"/>
      <c r="O1807" s="98"/>
      <c r="P1807" s="98"/>
      <c r="Q1807" s="98"/>
      <c r="R1807" s="98"/>
      <c r="S1807" s="98"/>
      <c r="T1807" s="98"/>
      <c r="U1807" s="98"/>
      <c r="V1807" s="98"/>
      <c r="W1807" s="98"/>
      <c r="X1807" s="98"/>
      <c r="Y1807" s="98"/>
      <c r="Z1807" s="98"/>
      <c r="AA1807" s="98"/>
      <c r="AB1807" s="98"/>
      <c r="AC1807" s="98"/>
      <c r="AD1807" s="98"/>
      <c r="AE1807" s="98"/>
      <c r="AF1807" s="98"/>
      <c r="AG1807" s="98"/>
      <c r="AH1807" s="98"/>
      <c r="AI1807" s="98"/>
      <c r="AJ1807" s="98"/>
      <c r="AK1807" s="98"/>
      <c r="AL1807" s="98"/>
      <c r="AM1807" s="98"/>
    </row>
    <row r="1808" spans="1:39" s="100" customFormat="1" ht="15.6" x14ac:dyDescent="0.3">
      <c r="A1808" s="97"/>
      <c r="B1808" s="98"/>
      <c r="C1808" s="98"/>
      <c r="D1808" s="98"/>
      <c r="E1808" s="98"/>
      <c r="F1808" s="98"/>
      <c r="G1808" s="99"/>
      <c r="H1808" s="99"/>
      <c r="I1808" s="99"/>
      <c r="J1808" s="99"/>
      <c r="K1808" s="98"/>
      <c r="L1808" s="98"/>
      <c r="M1808" s="98"/>
      <c r="N1808" s="98"/>
      <c r="O1808" s="98"/>
      <c r="P1808" s="98"/>
      <c r="Q1808" s="98"/>
      <c r="R1808" s="98"/>
      <c r="S1808" s="98"/>
      <c r="T1808" s="98"/>
      <c r="U1808" s="98"/>
      <c r="V1808" s="98"/>
      <c r="W1808" s="98"/>
      <c r="X1808" s="98"/>
      <c r="Y1808" s="98"/>
      <c r="Z1808" s="98"/>
      <c r="AA1808" s="98"/>
      <c r="AB1808" s="98"/>
      <c r="AC1808" s="98"/>
      <c r="AD1808" s="98"/>
      <c r="AE1808" s="98"/>
      <c r="AF1808" s="98"/>
      <c r="AG1808" s="98"/>
      <c r="AH1808" s="98"/>
      <c r="AI1808" s="98"/>
      <c r="AJ1808" s="98"/>
      <c r="AK1808" s="98"/>
      <c r="AL1808" s="98"/>
      <c r="AM1808" s="98"/>
    </row>
    <row r="1809" spans="1:39" s="100" customFormat="1" ht="15.6" x14ac:dyDescent="0.3">
      <c r="A1809" s="97"/>
      <c r="B1809" s="98"/>
      <c r="C1809" s="98"/>
      <c r="D1809" s="98"/>
      <c r="E1809" s="98"/>
      <c r="F1809" s="98"/>
      <c r="G1809" s="99"/>
      <c r="H1809" s="99"/>
      <c r="I1809" s="99"/>
      <c r="J1809" s="99"/>
      <c r="K1809" s="98"/>
      <c r="L1809" s="98"/>
      <c r="M1809" s="98"/>
      <c r="N1809" s="98"/>
      <c r="O1809" s="98"/>
      <c r="P1809" s="98"/>
      <c r="Q1809" s="98"/>
      <c r="R1809" s="98"/>
      <c r="S1809" s="98"/>
      <c r="T1809" s="98"/>
      <c r="U1809" s="98"/>
      <c r="V1809" s="98"/>
      <c r="W1809" s="98"/>
      <c r="X1809" s="98"/>
      <c r="Y1809" s="98"/>
      <c r="Z1809" s="98"/>
      <c r="AA1809" s="98"/>
      <c r="AB1809" s="98"/>
      <c r="AC1809" s="98"/>
      <c r="AD1809" s="98"/>
      <c r="AE1809" s="98"/>
      <c r="AF1809" s="98"/>
      <c r="AG1809" s="98"/>
      <c r="AH1809" s="98"/>
      <c r="AI1809" s="98"/>
      <c r="AJ1809" s="98"/>
      <c r="AK1809" s="98"/>
      <c r="AL1809" s="98"/>
      <c r="AM1809" s="98"/>
    </row>
    <row r="1810" spans="1:39" s="100" customFormat="1" ht="15.6" x14ac:dyDescent="0.3">
      <c r="A1810" s="97"/>
      <c r="B1810" s="98"/>
      <c r="C1810" s="98"/>
      <c r="D1810" s="98"/>
      <c r="E1810" s="98"/>
      <c r="F1810" s="98"/>
      <c r="G1810" s="99"/>
      <c r="H1810" s="99"/>
      <c r="I1810" s="99"/>
      <c r="J1810" s="99"/>
      <c r="K1810" s="98"/>
      <c r="L1810" s="98"/>
      <c r="M1810" s="98"/>
      <c r="N1810" s="98"/>
      <c r="O1810" s="98"/>
      <c r="P1810" s="98"/>
      <c r="Q1810" s="98"/>
      <c r="R1810" s="98"/>
      <c r="S1810" s="98"/>
      <c r="T1810" s="98"/>
      <c r="U1810" s="98"/>
      <c r="V1810" s="98"/>
      <c r="W1810" s="98"/>
      <c r="X1810" s="98"/>
      <c r="Y1810" s="98"/>
      <c r="Z1810" s="98"/>
      <c r="AA1810" s="98"/>
      <c r="AB1810" s="98"/>
      <c r="AC1810" s="98"/>
      <c r="AD1810" s="98"/>
      <c r="AE1810" s="98"/>
      <c r="AF1810" s="98"/>
      <c r="AG1810" s="98"/>
      <c r="AH1810" s="98"/>
      <c r="AI1810" s="98"/>
      <c r="AJ1810" s="98"/>
      <c r="AK1810" s="98"/>
      <c r="AL1810" s="98"/>
      <c r="AM1810" s="98"/>
    </row>
    <row r="1811" spans="1:39" s="100" customFormat="1" ht="15.6" x14ac:dyDescent="0.3">
      <c r="A1811" s="97"/>
      <c r="B1811" s="98"/>
      <c r="C1811" s="98"/>
      <c r="D1811" s="98"/>
      <c r="E1811" s="98"/>
      <c r="F1811" s="98"/>
      <c r="G1811" s="99"/>
      <c r="H1811" s="99"/>
      <c r="I1811" s="99"/>
      <c r="J1811" s="99"/>
      <c r="K1811" s="98"/>
      <c r="L1811" s="98"/>
      <c r="M1811" s="98"/>
      <c r="N1811" s="98"/>
      <c r="O1811" s="98"/>
      <c r="P1811" s="98"/>
      <c r="Q1811" s="98"/>
      <c r="R1811" s="98"/>
      <c r="S1811" s="98"/>
      <c r="T1811" s="98"/>
      <c r="U1811" s="98"/>
      <c r="V1811" s="98"/>
      <c r="W1811" s="98"/>
      <c r="X1811" s="98"/>
      <c r="Y1811" s="98"/>
      <c r="Z1811" s="98"/>
      <c r="AA1811" s="98"/>
      <c r="AB1811" s="98"/>
      <c r="AC1811" s="98"/>
      <c r="AD1811" s="98"/>
      <c r="AE1811" s="98"/>
      <c r="AF1811" s="98"/>
      <c r="AG1811" s="98"/>
      <c r="AH1811" s="98"/>
      <c r="AI1811" s="98"/>
      <c r="AJ1811" s="98"/>
      <c r="AK1811" s="98"/>
      <c r="AL1811" s="98"/>
      <c r="AM1811" s="98"/>
    </row>
    <row r="1812" spans="1:39" s="100" customFormat="1" ht="15.6" x14ac:dyDescent="0.3">
      <c r="A1812" s="97"/>
      <c r="B1812" s="98"/>
      <c r="C1812" s="98"/>
      <c r="D1812" s="98"/>
      <c r="E1812" s="98"/>
      <c r="F1812" s="98"/>
      <c r="G1812" s="99"/>
      <c r="H1812" s="99"/>
      <c r="I1812" s="99"/>
      <c r="J1812" s="99"/>
      <c r="K1812" s="98"/>
      <c r="L1812" s="98"/>
      <c r="M1812" s="98"/>
      <c r="N1812" s="98"/>
      <c r="O1812" s="98"/>
      <c r="P1812" s="98"/>
      <c r="Q1812" s="98"/>
      <c r="R1812" s="98"/>
      <c r="S1812" s="98"/>
      <c r="T1812" s="98"/>
      <c r="U1812" s="98"/>
      <c r="V1812" s="98"/>
      <c r="W1812" s="98"/>
      <c r="X1812" s="98"/>
      <c r="Y1812" s="98"/>
      <c r="Z1812" s="98"/>
      <c r="AA1812" s="98"/>
      <c r="AB1812" s="98"/>
      <c r="AC1812" s="98"/>
      <c r="AD1812" s="98"/>
      <c r="AE1812" s="98"/>
      <c r="AF1812" s="98"/>
      <c r="AG1812" s="98"/>
      <c r="AH1812" s="98"/>
      <c r="AI1812" s="98"/>
      <c r="AJ1812" s="98"/>
      <c r="AK1812" s="98"/>
      <c r="AL1812" s="98"/>
      <c r="AM1812" s="98"/>
    </row>
    <row r="1813" spans="1:39" s="100" customFormat="1" ht="15.6" x14ac:dyDescent="0.3">
      <c r="A1813" s="97"/>
      <c r="B1813" s="98"/>
      <c r="C1813" s="98"/>
      <c r="D1813" s="98"/>
      <c r="E1813" s="98"/>
      <c r="F1813" s="98"/>
      <c r="G1813" s="99"/>
      <c r="H1813" s="99"/>
      <c r="I1813" s="99"/>
      <c r="J1813" s="99"/>
      <c r="K1813" s="98"/>
      <c r="L1813" s="98"/>
      <c r="M1813" s="98"/>
      <c r="N1813" s="98"/>
      <c r="O1813" s="98"/>
      <c r="P1813" s="98"/>
      <c r="Q1813" s="98"/>
      <c r="R1813" s="98"/>
      <c r="S1813" s="98"/>
      <c r="T1813" s="98"/>
      <c r="U1813" s="98"/>
      <c r="V1813" s="98"/>
      <c r="W1813" s="98"/>
      <c r="X1813" s="98"/>
      <c r="Y1813" s="98"/>
      <c r="Z1813" s="98"/>
      <c r="AA1813" s="98"/>
      <c r="AB1813" s="98"/>
      <c r="AC1813" s="98"/>
      <c r="AD1813" s="98"/>
      <c r="AE1813" s="98"/>
      <c r="AF1813" s="98"/>
      <c r="AG1813" s="98"/>
      <c r="AH1813" s="98"/>
      <c r="AI1813" s="98"/>
      <c r="AJ1813" s="98"/>
      <c r="AK1813" s="98"/>
      <c r="AL1813" s="98"/>
      <c r="AM1813" s="98"/>
    </row>
    <row r="1814" spans="1:39" s="100" customFormat="1" ht="15.6" x14ac:dyDescent="0.3">
      <c r="A1814" s="97"/>
      <c r="B1814" s="98"/>
      <c r="C1814" s="98"/>
      <c r="D1814" s="98"/>
      <c r="E1814" s="98"/>
      <c r="F1814" s="98"/>
      <c r="G1814" s="99"/>
      <c r="H1814" s="99"/>
      <c r="I1814" s="99"/>
      <c r="J1814" s="99"/>
      <c r="K1814" s="98"/>
      <c r="L1814" s="98"/>
      <c r="M1814" s="98"/>
      <c r="N1814" s="98"/>
      <c r="O1814" s="98"/>
      <c r="P1814" s="98"/>
      <c r="Q1814" s="98"/>
      <c r="R1814" s="98"/>
      <c r="S1814" s="98"/>
      <c r="T1814" s="98"/>
      <c r="U1814" s="98"/>
      <c r="V1814" s="98"/>
      <c r="W1814" s="98"/>
      <c r="X1814" s="98"/>
      <c r="Y1814" s="98"/>
      <c r="Z1814" s="98"/>
      <c r="AA1814" s="98"/>
      <c r="AB1814" s="98"/>
      <c r="AC1814" s="98"/>
      <c r="AD1814" s="98"/>
      <c r="AE1814" s="98"/>
      <c r="AF1814" s="98"/>
      <c r="AG1814" s="98"/>
      <c r="AH1814" s="98"/>
      <c r="AI1814" s="98"/>
      <c r="AJ1814" s="98"/>
      <c r="AK1814" s="98"/>
      <c r="AL1814" s="98"/>
      <c r="AM1814" s="98"/>
    </row>
    <row r="1815" spans="1:39" s="100" customFormat="1" ht="15.6" x14ac:dyDescent="0.3">
      <c r="A1815" s="97"/>
      <c r="B1815" s="98"/>
      <c r="C1815" s="98"/>
      <c r="D1815" s="98"/>
      <c r="E1815" s="98"/>
      <c r="F1815" s="98"/>
      <c r="G1815" s="99"/>
      <c r="H1815" s="99"/>
      <c r="I1815" s="99"/>
      <c r="J1815" s="99"/>
      <c r="K1815" s="98"/>
      <c r="L1815" s="98"/>
      <c r="M1815" s="98"/>
      <c r="N1815" s="98"/>
      <c r="O1815" s="98"/>
      <c r="P1815" s="98"/>
      <c r="Q1815" s="98"/>
      <c r="R1815" s="98"/>
      <c r="S1815" s="98"/>
      <c r="T1815" s="98"/>
      <c r="U1815" s="98"/>
      <c r="V1815" s="98"/>
      <c r="W1815" s="98"/>
      <c r="X1815" s="98"/>
      <c r="Y1815" s="98"/>
      <c r="Z1815" s="98"/>
      <c r="AA1815" s="98"/>
      <c r="AB1815" s="98"/>
      <c r="AC1815" s="98"/>
      <c r="AD1815" s="98"/>
      <c r="AE1815" s="98"/>
      <c r="AF1815" s="98"/>
      <c r="AG1815" s="98"/>
      <c r="AH1815" s="98"/>
      <c r="AI1815" s="98"/>
      <c r="AJ1815" s="98"/>
      <c r="AK1815" s="98"/>
      <c r="AL1815" s="98"/>
      <c r="AM1815" s="98"/>
    </row>
    <row r="1816" spans="1:39" s="100" customFormat="1" ht="15.6" x14ac:dyDescent="0.3">
      <c r="A1816" s="97"/>
      <c r="B1816" s="98"/>
      <c r="C1816" s="98"/>
      <c r="D1816" s="98"/>
      <c r="E1816" s="98"/>
      <c r="F1816" s="98"/>
      <c r="G1816" s="99"/>
      <c r="H1816" s="99"/>
      <c r="I1816" s="99"/>
      <c r="J1816" s="99"/>
      <c r="K1816" s="98"/>
      <c r="L1816" s="98"/>
      <c r="M1816" s="98"/>
      <c r="N1816" s="98"/>
      <c r="O1816" s="98"/>
      <c r="P1816" s="98"/>
      <c r="Q1816" s="98"/>
      <c r="R1816" s="98"/>
      <c r="S1816" s="98"/>
      <c r="T1816" s="98"/>
      <c r="U1816" s="98"/>
      <c r="V1816" s="98"/>
      <c r="W1816" s="98"/>
      <c r="X1816" s="98"/>
      <c r="Y1816" s="98"/>
      <c r="Z1816" s="98"/>
      <c r="AA1816" s="98"/>
      <c r="AB1816" s="98"/>
      <c r="AC1816" s="98"/>
      <c r="AD1816" s="98"/>
      <c r="AE1816" s="98"/>
      <c r="AF1816" s="98"/>
      <c r="AG1816" s="98"/>
      <c r="AH1816" s="98"/>
      <c r="AI1816" s="98"/>
      <c r="AJ1816" s="98"/>
      <c r="AK1816" s="98"/>
      <c r="AL1816" s="98"/>
      <c r="AM1816" s="98"/>
    </row>
    <row r="1817" spans="1:39" s="100" customFormat="1" ht="15.6" x14ac:dyDescent="0.3">
      <c r="A1817" s="97"/>
      <c r="B1817" s="98"/>
      <c r="C1817" s="98"/>
      <c r="D1817" s="98"/>
      <c r="E1817" s="98"/>
      <c r="F1817" s="98"/>
      <c r="G1817" s="99"/>
      <c r="H1817" s="99"/>
      <c r="I1817" s="99"/>
      <c r="J1817" s="99"/>
      <c r="K1817" s="98"/>
      <c r="L1817" s="98"/>
      <c r="M1817" s="98"/>
      <c r="N1817" s="98"/>
      <c r="O1817" s="98"/>
      <c r="P1817" s="98"/>
      <c r="Q1817" s="98"/>
      <c r="R1817" s="98"/>
      <c r="S1817" s="98"/>
      <c r="T1817" s="98"/>
      <c r="U1817" s="98"/>
      <c r="V1817" s="98"/>
      <c r="W1817" s="98"/>
      <c r="X1817" s="98"/>
      <c r="Y1817" s="98"/>
      <c r="Z1817" s="98"/>
      <c r="AA1817" s="98"/>
      <c r="AB1817" s="98"/>
      <c r="AC1817" s="98"/>
      <c r="AD1817" s="98"/>
      <c r="AE1817" s="98"/>
      <c r="AF1817" s="98"/>
      <c r="AG1817" s="98"/>
      <c r="AH1817" s="98"/>
      <c r="AI1817" s="98"/>
      <c r="AJ1817" s="98"/>
      <c r="AK1817" s="98"/>
      <c r="AL1817" s="98"/>
      <c r="AM1817" s="98"/>
    </row>
    <row r="1818" spans="1:39" s="100" customFormat="1" ht="15.6" x14ac:dyDescent="0.3">
      <c r="A1818" s="97"/>
      <c r="B1818" s="98"/>
      <c r="C1818" s="98"/>
      <c r="D1818" s="98"/>
      <c r="E1818" s="98"/>
      <c r="F1818" s="98"/>
      <c r="G1818" s="99"/>
      <c r="H1818" s="99"/>
      <c r="I1818" s="99"/>
      <c r="J1818" s="99"/>
      <c r="K1818" s="98"/>
      <c r="L1818" s="98"/>
      <c r="M1818" s="98"/>
      <c r="N1818" s="98"/>
      <c r="O1818" s="98"/>
      <c r="P1818" s="98"/>
      <c r="Q1818" s="98"/>
      <c r="R1818" s="98"/>
      <c r="S1818" s="98"/>
      <c r="T1818" s="98"/>
      <c r="U1818" s="98"/>
      <c r="V1818" s="98"/>
      <c r="W1818" s="98"/>
      <c r="X1818" s="98"/>
      <c r="Y1818" s="98"/>
      <c r="Z1818" s="98"/>
      <c r="AA1818" s="98"/>
      <c r="AB1818" s="98"/>
      <c r="AC1818" s="98"/>
      <c r="AD1818" s="98"/>
      <c r="AE1818" s="98"/>
      <c r="AF1818" s="98"/>
      <c r="AG1818" s="98"/>
      <c r="AH1818" s="98"/>
      <c r="AI1818" s="98"/>
      <c r="AJ1818" s="98"/>
      <c r="AK1818" s="98"/>
      <c r="AL1818" s="98"/>
      <c r="AM1818" s="98"/>
    </row>
    <row r="1819" spans="1:39" s="100" customFormat="1" ht="15.6" x14ac:dyDescent="0.3">
      <c r="A1819" s="97"/>
      <c r="B1819" s="98"/>
      <c r="C1819" s="98"/>
      <c r="D1819" s="98"/>
      <c r="E1819" s="98"/>
      <c r="F1819" s="98"/>
      <c r="G1819" s="99"/>
      <c r="H1819" s="99"/>
      <c r="I1819" s="99"/>
      <c r="J1819" s="99"/>
      <c r="K1819" s="98"/>
      <c r="L1819" s="98"/>
      <c r="M1819" s="98"/>
      <c r="N1819" s="98"/>
      <c r="O1819" s="98"/>
      <c r="P1819" s="98"/>
      <c r="Q1819" s="98"/>
      <c r="R1819" s="98"/>
      <c r="S1819" s="98"/>
      <c r="T1819" s="98"/>
      <c r="U1819" s="98"/>
      <c r="V1819" s="98"/>
      <c r="W1819" s="98"/>
      <c r="X1819" s="98"/>
      <c r="Y1819" s="98"/>
      <c r="Z1819" s="98"/>
      <c r="AA1819" s="98"/>
      <c r="AB1819" s="98"/>
      <c r="AC1819" s="98"/>
      <c r="AD1819" s="98"/>
      <c r="AE1819" s="98"/>
      <c r="AF1819" s="98"/>
      <c r="AG1819" s="98"/>
      <c r="AH1819" s="98"/>
      <c r="AI1819" s="98"/>
      <c r="AJ1819" s="98"/>
      <c r="AK1819" s="98"/>
      <c r="AL1819" s="98"/>
      <c r="AM1819" s="98"/>
    </row>
    <row r="1820" spans="1:39" s="100" customFormat="1" ht="15.6" x14ac:dyDescent="0.3">
      <c r="A1820" s="97"/>
      <c r="B1820" s="98"/>
      <c r="C1820" s="98"/>
      <c r="D1820" s="98"/>
      <c r="E1820" s="98"/>
      <c r="F1820" s="98"/>
      <c r="G1820" s="99"/>
      <c r="H1820" s="99"/>
      <c r="I1820" s="99"/>
      <c r="J1820" s="99"/>
      <c r="K1820" s="98"/>
      <c r="L1820" s="98"/>
      <c r="M1820" s="98"/>
      <c r="N1820" s="98"/>
      <c r="O1820" s="98"/>
      <c r="P1820" s="98"/>
      <c r="Q1820" s="98"/>
      <c r="R1820" s="98"/>
      <c r="S1820" s="98"/>
      <c r="T1820" s="98"/>
      <c r="U1820" s="98"/>
      <c r="V1820" s="98"/>
      <c r="W1820" s="98"/>
      <c r="X1820" s="98"/>
      <c r="Y1820" s="98"/>
      <c r="Z1820" s="98"/>
      <c r="AA1820" s="98"/>
      <c r="AB1820" s="98"/>
      <c r="AC1820" s="98"/>
      <c r="AD1820" s="98"/>
      <c r="AE1820" s="98"/>
      <c r="AF1820" s="98"/>
      <c r="AG1820" s="98"/>
      <c r="AH1820" s="98"/>
      <c r="AI1820" s="98"/>
      <c r="AJ1820" s="98"/>
      <c r="AK1820" s="98"/>
      <c r="AL1820" s="98"/>
      <c r="AM1820" s="98"/>
    </row>
    <row r="1821" spans="1:39" s="100" customFormat="1" ht="15.6" x14ac:dyDescent="0.3">
      <c r="A1821" s="97"/>
      <c r="B1821" s="98"/>
      <c r="C1821" s="98"/>
      <c r="D1821" s="98"/>
      <c r="E1821" s="98"/>
      <c r="F1821" s="98"/>
      <c r="G1821" s="99"/>
      <c r="H1821" s="99"/>
      <c r="I1821" s="99"/>
      <c r="J1821" s="99"/>
      <c r="K1821" s="98"/>
      <c r="L1821" s="98"/>
      <c r="M1821" s="98"/>
      <c r="N1821" s="98"/>
      <c r="O1821" s="98"/>
      <c r="P1821" s="98"/>
      <c r="Q1821" s="98"/>
      <c r="R1821" s="98"/>
      <c r="S1821" s="98"/>
      <c r="T1821" s="98"/>
      <c r="U1821" s="98"/>
      <c r="V1821" s="98"/>
      <c r="W1821" s="98"/>
      <c r="X1821" s="98"/>
      <c r="Y1821" s="98"/>
      <c r="Z1821" s="98"/>
      <c r="AA1821" s="98"/>
      <c r="AB1821" s="98"/>
      <c r="AC1821" s="98"/>
      <c r="AD1821" s="98"/>
      <c r="AE1821" s="98"/>
      <c r="AF1821" s="98"/>
      <c r="AG1821" s="98"/>
      <c r="AH1821" s="98"/>
      <c r="AI1821" s="98"/>
      <c r="AJ1821" s="98"/>
      <c r="AK1821" s="98"/>
      <c r="AL1821" s="98"/>
      <c r="AM1821" s="98"/>
    </row>
    <row r="1822" spans="1:39" s="100" customFormat="1" ht="15.6" x14ac:dyDescent="0.3">
      <c r="A1822" s="97"/>
      <c r="B1822" s="98"/>
      <c r="C1822" s="98"/>
      <c r="D1822" s="98"/>
      <c r="E1822" s="98"/>
      <c r="F1822" s="98"/>
      <c r="G1822" s="99"/>
      <c r="H1822" s="99"/>
      <c r="I1822" s="99"/>
      <c r="J1822" s="99"/>
      <c r="K1822" s="98"/>
      <c r="L1822" s="98"/>
      <c r="M1822" s="98"/>
      <c r="N1822" s="98"/>
      <c r="O1822" s="98"/>
      <c r="P1822" s="98"/>
      <c r="Q1822" s="98"/>
      <c r="R1822" s="98"/>
      <c r="S1822" s="98"/>
      <c r="T1822" s="98"/>
      <c r="U1822" s="98"/>
      <c r="V1822" s="98"/>
      <c r="W1822" s="98"/>
      <c r="X1822" s="98"/>
      <c r="Y1822" s="98"/>
      <c r="Z1822" s="98"/>
      <c r="AA1822" s="98"/>
      <c r="AB1822" s="98"/>
      <c r="AC1822" s="98"/>
      <c r="AD1822" s="98"/>
      <c r="AE1822" s="98"/>
      <c r="AF1822" s="98"/>
      <c r="AG1822" s="98"/>
      <c r="AH1822" s="98"/>
      <c r="AI1822" s="98"/>
      <c r="AJ1822" s="98"/>
      <c r="AK1822" s="98"/>
      <c r="AL1822" s="98"/>
      <c r="AM1822" s="98"/>
    </row>
    <row r="1823" spans="1:39" s="100" customFormat="1" ht="15.6" x14ac:dyDescent="0.3">
      <c r="A1823" s="97"/>
      <c r="B1823" s="98"/>
      <c r="C1823" s="98"/>
      <c r="D1823" s="98"/>
      <c r="E1823" s="98"/>
      <c r="F1823" s="98"/>
      <c r="G1823" s="99"/>
      <c r="H1823" s="99"/>
      <c r="I1823" s="99"/>
      <c r="J1823" s="99"/>
      <c r="K1823" s="98"/>
      <c r="L1823" s="98"/>
      <c r="M1823" s="98"/>
      <c r="N1823" s="98"/>
      <c r="O1823" s="98"/>
      <c r="P1823" s="98"/>
      <c r="Q1823" s="98"/>
      <c r="R1823" s="98"/>
      <c r="S1823" s="98"/>
      <c r="T1823" s="98"/>
      <c r="U1823" s="98"/>
      <c r="V1823" s="98"/>
      <c r="W1823" s="98"/>
      <c r="X1823" s="98"/>
      <c r="Y1823" s="98"/>
      <c r="Z1823" s="98"/>
      <c r="AA1823" s="98"/>
      <c r="AB1823" s="98"/>
      <c r="AC1823" s="98"/>
      <c r="AD1823" s="98"/>
      <c r="AE1823" s="98"/>
      <c r="AF1823" s="98"/>
      <c r="AG1823" s="98"/>
      <c r="AH1823" s="98"/>
      <c r="AI1823" s="98"/>
      <c r="AJ1823" s="98"/>
      <c r="AK1823" s="98"/>
      <c r="AL1823" s="98"/>
      <c r="AM1823" s="98"/>
    </row>
    <row r="1824" spans="1:39" s="100" customFormat="1" ht="15.6" x14ac:dyDescent="0.3">
      <c r="A1824" s="97"/>
      <c r="B1824" s="98"/>
      <c r="C1824" s="98"/>
      <c r="D1824" s="98"/>
      <c r="E1824" s="98"/>
      <c r="F1824" s="98"/>
      <c r="G1824" s="99"/>
      <c r="H1824" s="99"/>
      <c r="I1824" s="99"/>
      <c r="J1824" s="99"/>
      <c r="K1824" s="98"/>
      <c r="L1824" s="98"/>
      <c r="M1824" s="98"/>
      <c r="N1824" s="98"/>
      <c r="O1824" s="98"/>
      <c r="P1824" s="98"/>
      <c r="Q1824" s="98"/>
      <c r="R1824" s="98"/>
      <c r="S1824" s="98"/>
      <c r="T1824" s="98"/>
      <c r="U1824" s="98"/>
      <c r="V1824" s="98"/>
      <c r="W1824" s="98"/>
      <c r="X1824" s="98"/>
      <c r="Y1824" s="98"/>
      <c r="Z1824" s="98"/>
      <c r="AA1824" s="98"/>
      <c r="AB1824" s="98"/>
      <c r="AC1824" s="98"/>
      <c r="AD1824" s="98"/>
      <c r="AE1824" s="98"/>
      <c r="AF1824" s="98"/>
      <c r="AG1824" s="98"/>
      <c r="AH1824" s="98"/>
      <c r="AI1824" s="98"/>
      <c r="AJ1824" s="98"/>
      <c r="AK1824" s="98"/>
      <c r="AL1824" s="98"/>
      <c r="AM1824" s="98"/>
    </row>
    <row r="1825" spans="1:39" s="100" customFormat="1" ht="15.6" x14ac:dyDescent="0.3">
      <c r="A1825" s="97"/>
      <c r="B1825" s="98"/>
      <c r="C1825" s="98"/>
      <c r="D1825" s="98"/>
      <c r="E1825" s="98"/>
      <c r="F1825" s="98"/>
      <c r="G1825" s="99"/>
      <c r="H1825" s="99"/>
      <c r="I1825" s="99"/>
      <c r="J1825" s="99"/>
      <c r="K1825" s="98"/>
      <c r="L1825" s="98"/>
      <c r="M1825" s="98"/>
      <c r="N1825" s="98"/>
      <c r="O1825" s="98"/>
      <c r="P1825" s="98"/>
      <c r="Q1825" s="98"/>
      <c r="R1825" s="98"/>
      <c r="S1825" s="98"/>
      <c r="T1825" s="98"/>
      <c r="U1825" s="98"/>
      <c r="V1825" s="98"/>
      <c r="W1825" s="98"/>
      <c r="X1825" s="98"/>
      <c r="Y1825" s="98"/>
      <c r="Z1825" s="98"/>
      <c r="AA1825" s="98"/>
      <c r="AB1825" s="98"/>
      <c r="AC1825" s="98"/>
      <c r="AD1825" s="98"/>
      <c r="AE1825" s="98"/>
      <c r="AF1825" s="98"/>
      <c r="AG1825" s="98"/>
      <c r="AH1825" s="98"/>
      <c r="AI1825" s="98"/>
      <c r="AJ1825" s="98"/>
      <c r="AK1825" s="98"/>
      <c r="AL1825" s="98"/>
      <c r="AM1825" s="98"/>
    </row>
    <row r="1826" spans="1:39" s="100" customFormat="1" ht="15.6" x14ac:dyDescent="0.3">
      <c r="A1826" s="97"/>
      <c r="B1826" s="98"/>
      <c r="C1826" s="98"/>
      <c r="D1826" s="98"/>
      <c r="E1826" s="98"/>
      <c r="F1826" s="98"/>
      <c r="G1826" s="99"/>
      <c r="H1826" s="99"/>
      <c r="I1826" s="99"/>
      <c r="J1826" s="99"/>
      <c r="K1826" s="98"/>
      <c r="L1826" s="98"/>
      <c r="M1826" s="98"/>
      <c r="N1826" s="98"/>
      <c r="O1826" s="98"/>
      <c r="P1826" s="98"/>
      <c r="Q1826" s="98"/>
      <c r="R1826" s="98"/>
      <c r="S1826" s="98"/>
      <c r="T1826" s="98"/>
      <c r="U1826" s="98"/>
      <c r="V1826" s="98"/>
      <c r="W1826" s="98"/>
      <c r="X1826" s="98"/>
      <c r="Y1826" s="98"/>
      <c r="Z1826" s="98"/>
      <c r="AA1826" s="98"/>
      <c r="AB1826" s="98"/>
      <c r="AC1826" s="98"/>
      <c r="AD1826" s="98"/>
      <c r="AE1826" s="98"/>
      <c r="AF1826" s="98"/>
      <c r="AG1826" s="98"/>
      <c r="AH1826" s="98"/>
      <c r="AI1826" s="98"/>
      <c r="AJ1826" s="98"/>
      <c r="AK1826" s="98"/>
      <c r="AL1826" s="98"/>
      <c r="AM1826" s="98"/>
    </row>
    <row r="1827" spans="1:39" s="100" customFormat="1" ht="15.6" x14ac:dyDescent="0.3">
      <c r="A1827" s="97"/>
      <c r="B1827" s="98"/>
      <c r="C1827" s="98"/>
      <c r="D1827" s="98"/>
      <c r="E1827" s="98"/>
      <c r="F1827" s="98"/>
      <c r="G1827" s="99"/>
      <c r="H1827" s="99"/>
      <c r="I1827" s="99"/>
      <c r="J1827" s="99"/>
      <c r="K1827" s="98"/>
      <c r="L1827" s="98"/>
      <c r="M1827" s="98"/>
      <c r="N1827" s="98"/>
      <c r="O1827" s="98"/>
      <c r="P1827" s="98"/>
      <c r="Q1827" s="98"/>
      <c r="R1827" s="98"/>
      <c r="S1827" s="98"/>
      <c r="T1827" s="98"/>
      <c r="U1827" s="98"/>
      <c r="V1827" s="98"/>
      <c r="W1827" s="98"/>
      <c r="X1827" s="98"/>
      <c r="Y1827" s="98"/>
      <c r="Z1827" s="98"/>
      <c r="AA1827" s="98"/>
      <c r="AB1827" s="98"/>
      <c r="AC1827" s="98"/>
      <c r="AD1827" s="98"/>
      <c r="AE1827" s="98"/>
      <c r="AF1827" s="98"/>
      <c r="AG1827" s="98"/>
      <c r="AH1827" s="98"/>
      <c r="AI1827" s="98"/>
      <c r="AJ1827" s="98"/>
      <c r="AK1827" s="98"/>
      <c r="AL1827" s="98"/>
      <c r="AM1827" s="98"/>
    </row>
    <row r="1828" spans="1:39" s="100" customFormat="1" ht="15.6" x14ac:dyDescent="0.3">
      <c r="A1828" s="97"/>
      <c r="B1828" s="98"/>
      <c r="C1828" s="98"/>
      <c r="D1828" s="98"/>
      <c r="E1828" s="98"/>
      <c r="F1828" s="98"/>
      <c r="G1828" s="99"/>
      <c r="H1828" s="99"/>
      <c r="I1828" s="99"/>
      <c r="J1828" s="99"/>
      <c r="K1828" s="98"/>
      <c r="L1828" s="98"/>
      <c r="M1828" s="98"/>
      <c r="N1828" s="98"/>
      <c r="O1828" s="98"/>
      <c r="P1828" s="98"/>
      <c r="Q1828" s="98"/>
      <c r="R1828" s="98"/>
      <c r="S1828" s="98"/>
      <c r="T1828" s="98"/>
      <c r="U1828" s="98"/>
      <c r="V1828" s="98"/>
      <c r="W1828" s="98"/>
      <c r="X1828" s="98"/>
      <c r="Y1828" s="98"/>
      <c r="Z1828" s="98"/>
      <c r="AA1828" s="98"/>
      <c r="AB1828" s="98"/>
      <c r="AC1828" s="98"/>
      <c r="AD1828" s="98"/>
      <c r="AE1828" s="98"/>
      <c r="AF1828" s="98"/>
      <c r="AG1828" s="98"/>
      <c r="AH1828" s="98"/>
      <c r="AI1828" s="98"/>
      <c r="AJ1828" s="98"/>
      <c r="AK1828" s="98"/>
      <c r="AL1828" s="98"/>
      <c r="AM1828" s="98"/>
    </row>
    <row r="1829" spans="1:39" s="100" customFormat="1" ht="15.6" x14ac:dyDescent="0.3">
      <c r="A1829" s="97"/>
      <c r="B1829" s="98"/>
      <c r="C1829" s="98"/>
      <c r="D1829" s="98"/>
      <c r="E1829" s="98"/>
      <c r="F1829" s="98"/>
      <c r="G1829" s="99"/>
      <c r="H1829" s="99"/>
      <c r="I1829" s="99"/>
      <c r="J1829" s="99"/>
      <c r="K1829" s="98"/>
      <c r="L1829" s="98"/>
      <c r="M1829" s="98"/>
      <c r="N1829" s="98"/>
      <c r="O1829" s="98"/>
      <c r="P1829" s="98"/>
      <c r="Q1829" s="98"/>
      <c r="R1829" s="98"/>
      <c r="S1829" s="98"/>
      <c r="T1829" s="98"/>
      <c r="U1829" s="98"/>
      <c r="V1829" s="98"/>
      <c r="W1829" s="98"/>
      <c r="X1829" s="98"/>
      <c r="Y1829" s="98"/>
      <c r="Z1829" s="98"/>
      <c r="AA1829" s="98"/>
      <c r="AB1829" s="98"/>
      <c r="AC1829" s="98"/>
      <c r="AD1829" s="98"/>
      <c r="AE1829" s="98"/>
      <c r="AF1829" s="98"/>
      <c r="AG1829" s="98"/>
      <c r="AH1829" s="98"/>
      <c r="AI1829" s="98"/>
      <c r="AJ1829" s="98"/>
      <c r="AK1829" s="98"/>
      <c r="AL1829" s="98"/>
      <c r="AM1829" s="98"/>
    </row>
    <row r="1830" spans="1:39" s="100" customFormat="1" ht="15.6" x14ac:dyDescent="0.3">
      <c r="A1830" s="97"/>
      <c r="B1830" s="98"/>
      <c r="C1830" s="98"/>
      <c r="D1830" s="98"/>
      <c r="E1830" s="98"/>
      <c r="F1830" s="98"/>
      <c r="G1830" s="99"/>
      <c r="H1830" s="99"/>
      <c r="I1830" s="99"/>
      <c r="J1830" s="99"/>
      <c r="K1830" s="98"/>
      <c r="L1830" s="98"/>
      <c r="M1830" s="98"/>
      <c r="N1830" s="98"/>
      <c r="O1830" s="98"/>
      <c r="P1830" s="98"/>
      <c r="Q1830" s="98"/>
      <c r="R1830" s="98"/>
      <c r="S1830" s="98"/>
      <c r="T1830" s="98"/>
      <c r="U1830" s="98"/>
      <c r="V1830" s="98"/>
      <c r="W1830" s="98"/>
      <c r="X1830" s="98"/>
      <c r="Y1830" s="98"/>
      <c r="Z1830" s="98"/>
      <c r="AA1830" s="98"/>
      <c r="AB1830" s="98"/>
      <c r="AC1830" s="98"/>
      <c r="AD1830" s="98"/>
      <c r="AE1830" s="98"/>
      <c r="AF1830" s="98"/>
      <c r="AG1830" s="98"/>
      <c r="AH1830" s="98"/>
      <c r="AI1830" s="98"/>
      <c r="AJ1830" s="98"/>
      <c r="AK1830" s="98"/>
      <c r="AL1830" s="98"/>
      <c r="AM1830" s="98"/>
    </row>
    <row r="1831" spans="1:39" s="100" customFormat="1" ht="15.6" x14ac:dyDescent="0.3">
      <c r="A1831" s="97"/>
      <c r="B1831" s="98"/>
      <c r="C1831" s="98"/>
      <c r="D1831" s="98"/>
      <c r="E1831" s="98"/>
      <c r="F1831" s="98"/>
      <c r="G1831" s="99"/>
      <c r="H1831" s="99"/>
      <c r="I1831" s="99"/>
      <c r="J1831" s="99"/>
      <c r="K1831" s="98"/>
      <c r="L1831" s="98"/>
      <c r="M1831" s="98"/>
      <c r="N1831" s="98"/>
      <c r="O1831" s="98"/>
      <c r="P1831" s="98"/>
      <c r="Q1831" s="98"/>
      <c r="R1831" s="98"/>
      <c r="S1831" s="98"/>
      <c r="T1831" s="98"/>
      <c r="U1831" s="98"/>
      <c r="V1831" s="98"/>
      <c r="W1831" s="98"/>
      <c r="X1831" s="98"/>
      <c r="Y1831" s="98"/>
      <c r="Z1831" s="98"/>
      <c r="AA1831" s="98"/>
      <c r="AB1831" s="98"/>
      <c r="AC1831" s="98"/>
      <c r="AD1831" s="98"/>
      <c r="AE1831" s="98"/>
      <c r="AF1831" s="98"/>
      <c r="AG1831" s="98"/>
      <c r="AH1831" s="98"/>
      <c r="AI1831" s="98"/>
      <c r="AJ1831" s="98"/>
      <c r="AK1831" s="98"/>
      <c r="AL1831" s="98"/>
      <c r="AM1831" s="98"/>
    </row>
    <row r="1832" spans="1:39" s="100" customFormat="1" ht="15.6" x14ac:dyDescent="0.3">
      <c r="A1832" s="97"/>
      <c r="B1832" s="98"/>
      <c r="C1832" s="98"/>
      <c r="D1832" s="98"/>
      <c r="E1832" s="98"/>
      <c r="F1832" s="98"/>
      <c r="G1832" s="99"/>
      <c r="H1832" s="99"/>
      <c r="I1832" s="99"/>
      <c r="J1832" s="99"/>
      <c r="K1832" s="98"/>
      <c r="L1832" s="98"/>
      <c r="M1832" s="98"/>
      <c r="N1832" s="98"/>
      <c r="O1832" s="98"/>
      <c r="P1832" s="98"/>
      <c r="Q1832" s="98"/>
      <c r="R1832" s="98"/>
      <c r="S1832" s="98"/>
      <c r="T1832" s="98"/>
      <c r="U1832" s="98"/>
      <c r="V1832" s="98"/>
      <c r="W1832" s="98"/>
      <c r="X1832" s="98"/>
      <c r="Y1832" s="98"/>
      <c r="Z1832" s="98"/>
      <c r="AA1832" s="98"/>
      <c r="AB1832" s="98"/>
      <c r="AC1832" s="98"/>
      <c r="AD1832" s="98"/>
      <c r="AE1832" s="98"/>
      <c r="AF1832" s="98"/>
      <c r="AG1832" s="98"/>
      <c r="AH1832" s="98"/>
      <c r="AI1832" s="98"/>
      <c r="AJ1832" s="98"/>
      <c r="AK1832" s="98"/>
      <c r="AL1832" s="98"/>
      <c r="AM1832" s="98"/>
    </row>
    <row r="1833" spans="1:39" s="100" customFormat="1" ht="15.6" x14ac:dyDescent="0.3">
      <c r="A1833" s="97"/>
      <c r="B1833" s="98"/>
      <c r="C1833" s="98"/>
      <c r="D1833" s="98"/>
      <c r="E1833" s="98"/>
      <c r="F1833" s="98"/>
      <c r="G1833" s="99"/>
      <c r="H1833" s="99"/>
      <c r="I1833" s="99"/>
      <c r="J1833" s="99"/>
      <c r="K1833" s="98"/>
      <c r="L1833" s="98"/>
      <c r="M1833" s="98"/>
      <c r="N1833" s="98"/>
      <c r="O1833" s="98"/>
      <c r="P1833" s="98"/>
      <c r="Q1833" s="98"/>
      <c r="R1833" s="98"/>
      <c r="S1833" s="98"/>
      <c r="T1833" s="98"/>
      <c r="U1833" s="98"/>
      <c r="V1833" s="98"/>
      <c r="W1833" s="98"/>
      <c r="X1833" s="98"/>
      <c r="Y1833" s="98"/>
      <c r="Z1833" s="98"/>
      <c r="AA1833" s="98"/>
      <c r="AB1833" s="98"/>
      <c r="AC1833" s="98"/>
      <c r="AD1833" s="98"/>
      <c r="AE1833" s="98"/>
      <c r="AF1833" s="98"/>
      <c r="AG1833" s="98"/>
      <c r="AH1833" s="98"/>
      <c r="AI1833" s="98"/>
      <c r="AJ1833" s="98"/>
      <c r="AK1833" s="98"/>
      <c r="AL1833" s="98"/>
      <c r="AM1833" s="98"/>
    </row>
    <row r="1834" spans="1:39" s="100" customFormat="1" ht="15.6" x14ac:dyDescent="0.3">
      <c r="A1834" s="97"/>
      <c r="B1834" s="98"/>
      <c r="C1834" s="98"/>
      <c r="D1834" s="98"/>
      <c r="E1834" s="98"/>
      <c r="F1834" s="98"/>
      <c r="G1834" s="99"/>
      <c r="H1834" s="99"/>
      <c r="I1834" s="99"/>
      <c r="J1834" s="99"/>
      <c r="K1834" s="98"/>
      <c r="L1834" s="98"/>
      <c r="M1834" s="98"/>
      <c r="N1834" s="98"/>
      <c r="O1834" s="98"/>
      <c r="P1834" s="98"/>
      <c r="Q1834" s="98"/>
      <c r="R1834" s="98"/>
      <c r="S1834" s="98"/>
      <c r="T1834" s="98"/>
      <c r="U1834" s="98"/>
      <c r="V1834" s="98"/>
      <c r="W1834" s="98"/>
      <c r="X1834" s="98"/>
      <c r="Y1834" s="98"/>
      <c r="Z1834" s="98"/>
      <c r="AA1834" s="98"/>
      <c r="AB1834" s="98"/>
      <c r="AC1834" s="98"/>
      <c r="AD1834" s="98"/>
      <c r="AE1834" s="98"/>
      <c r="AF1834" s="98"/>
      <c r="AG1834" s="98"/>
      <c r="AH1834" s="98"/>
      <c r="AI1834" s="98"/>
      <c r="AJ1834" s="98"/>
      <c r="AK1834" s="98"/>
      <c r="AL1834" s="98"/>
      <c r="AM1834" s="98"/>
    </row>
    <row r="1835" spans="1:39" s="100" customFormat="1" ht="15.6" x14ac:dyDescent="0.3">
      <c r="A1835" s="97"/>
      <c r="B1835" s="98"/>
      <c r="C1835" s="98"/>
      <c r="D1835" s="98"/>
      <c r="E1835" s="98"/>
      <c r="F1835" s="98"/>
      <c r="G1835" s="99"/>
      <c r="H1835" s="99"/>
      <c r="I1835" s="99"/>
      <c r="J1835" s="99"/>
      <c r="K1835" s="98"/>
      <c r="L1835" s="98"/>
      <c r="M1835" s="98"/>
      <c r="N1835" s="98"/>
      <c r="O1835" s="98"/>
      <c r="P1835" s="98"/>
      <c r="Q1835" s="98"/>
      <c r="R1835" s="98"/>
      <c r="S1835" s="98"/>
      <c r="T1835" s="98"/>
      <c r="U1835" s="98"/>
      <c r="V1835" s="98"/>
      <c r="W1835" s="98"/>
      <c r="X1835" s="98"/>
      <c r="Y1835" s="98"/>
      <c r="Z1835" s="98"/>
      <c r="AA1835" s="98"/>
      <c r="AB1835" s="98"/>
      <c r="AC1835" s="98"/>
      <c r="AD1835" s="98"/>
      <c r="AE1835" s="98"/>
      <c r="AF1835" s="98"/>
      <c r="AG1835" s="98"/>
      <c r="AH1835" s="98"/>
      <c r="AI1835" s="98"/>
      <c r="AJ1835" s="98"/>
      <c r="AK1835" s="98"/>
      <c r="AL1835" s="98"/>
      <c r="AM1835" s="98"/>
    </row>
    <row r="1836" spans="1:39" s="100" customFormat="1" ht="15.6" x14ac:dyDescent="0.3">
      <c r="A1836" s="97"/>
      <c r="B1836" s="98"/>
      <c r="C1836" s="98"/>
      <c r="D1836" s="98"/>
      <c r="E1836" s="98"/>
      <c r="F1836" s="98"/>
      <c r="G1836" s="99"/>
      <c r="H1836" s="99"/>
      <c r="I1836" s="99"/>
      <c r="J1836" s="99"/>
      <c r="K1836" s="98"/>
      <c r="L1836" s="98"/>
      <c r="M1836" s="98"/>
      <c r="N1836" s="98"/>
      <c r="O1836" s="98"/>
      <c r="P1836" s="98"/>
      <c r="Q1836" s="98"/>
      <c r="R1836" s="98"/>
      <c r="S1836" s="98"/>
      <c r="T1836" s="98"/>
      <c r="U1836" s="98"/>
      <c r="V1836" s="98"/>
      <c r="W1836" s="98"/>
      <c r="X1836" s="98"/>
      <c r="Y1836" s="98"/>
      <c r="Z1836" s="98"/>
      <c r="AA1836" s="98"/>
      <c r="AB1836" s="98"/>
      <c r="AC1836" s="98"/>
      <c r="AD1836" s="98"/>
      <c r="AE1836" s="98"/>
      <c r="AF1836" s="98"/>
      <c r="AG1836" s="98"/>
      <c r="AH1836" s="98"/>
      <c r="AI1836" s="98"/>
      <c r="AJ1836" s="98"/>
      <c r="AK1836" s="98"/>
      <c r="AL1836" s="98"/>
      <c r="AM1836" s="98"/>
    </row>
    <row r="1837" spans="1:39" s="100" customFormat="1" ht="15.6" x14ac:dyDescent="0.3">
      <c r="A1837" s="97"/>
      <c r="B1837" s="98"/>
      <c r="C1837" s="98"/>
      <c r="D1837" s="98"/>
      <c r="E1837" s="98"/>
      <c r="F1837" s="98"/>
      <c r="G1837" s="99"/>
      <c r="H1837" s="99"/>
      <c r="I1837" s="99"/>
      <c r="J1837" s="99"/>
      <c r="K1837" s="98"/>
      <c r="L1837" s="98"/>
      <c r="M1837" s="98"/>
      <c r="N1837" s="98"/>
      <c r="O1837" s="98"/>
      <c r="P1837" s="98"/>
      <c r="Q1837" s="98"/>
      <c r="R1837" s="98"/>
      <c r="S1837" s="98"/>
      <c r="T1837" s="98"/>
      <c r="U1837" s="98"/>
      <c r="V1837" s="98"/>
      <c r="W1837" s="98"/>
      <c r="X1837" s="98"/>
      <c r="Y1837" s="98"/>
      <c r="Z1837" s="98"/>
      <c r="AA1837" s="98"/>
      <c r="AB1837" s="98"/>
      <c r="AC1837" s="98"/>
      <c r="AD1837" s="98"/>
      <c r="AE1837" s="98"/>
      <c r="AF1837" s="98"/>
      <c r="AG1837" s="98"/>
      <c r="AH1837" s="98"/>
      <c r="AI1837" s="98"/>
      <c r="AJ1837" s="98"/>
      <c r="AK1837" s="98"/>
      <c r="AL1837" s="98"/>
      <c r="AM1837" s="98"/>
    </row>
    <row r="1838" spans="1:39" s="100" customFormat="1" ht="15.6" x14ac:dyDescent="0.3">
      <c r="A1838" s="97"/>
      <c r="B1838" s="98"/>
      <c r="C1838" s="98"/>
      <c r="D1838" s="98"/>
      <c r="E1838" s="98"/>
      <c r="F1838" s="98"/>
      <c r="G1838" s="99"/>
      <c r="H1838" s="99"/>
      <c r="I1838" s="99"/>
      <c r="J1838" s="99"/>
      <c r="K1838" s="98"/>
      <c r="L1838" s="98"/>
      <c r="M1838" s="98"/>
      <c r="N1838" s="98"/>
      <c r="O1838" s="98"/>
      <c r="P1838" s="98"/>
      <c r="Q1838" s="98"/>
      <c r="R1838" s="98"/>
      <c r="S1838" s="98"/>
      <c r="T1838" s="98"/>
      <c r="U1838" s="98"/>
      <c r="V1838" s="98"/>
      <c r="W1838" s="98"/>
      <c r="X1838" s="98"/>
      <c r="Y1838" s="98"/>
      <c r="Z1838" s="98"/>
      <c r="AA1838" s="98"/>
      <c r="AB1838" s="98"/>
      <c r="AC1838" s="98"/>
      <c r="AD1838" s="98"/>
      <c r="AE1838" s="98"/>
      <c r="AF1838" s="98"/>
      <c r="AG1838" s="98"/>
      <c r="AH1838" s="98"/>
      <c r="AI1838" s="98"/>
      <c r="AJ1838" s="98"/>
      <c r="AK1838" s="98"/>
      <c r="AL1838" s="98"/>
      <c r="AM1838" s="98"/>
    </row>
    <row r="1839" spans="1:39" s="100" customFormat="1" ht="15.6" x14ac:dyDescent="0.3">
      <c r="A1839" s="97"/>
      <c r="B1839" s="98"/>
      <c r="C1839" s="98"/>
      <c r="D1839" s="98"/>
      <c r="E1839" s="98"/>
      <c r="F1839" s="98"/>
      <c r="G1839" s="99"/>
      <c r="H1839" s="99"/>
      <c r="I1839" s="99"/>
      <c r="J1839" s="99"/>
      <c r="K1839" s="98"/>
      <c r="L1839" s="98"/>
      <c r="M1839" s="98"/>
      <c r="N1839" s="98"/>
      <c r="O1839" s="98"/>
      <c r="P1839" s="98"/>
      <c r="Q1839" s="98"/>
      <c r="R1839" s="98"/>
      <c r="S1839" s="98"/>
      <c r="T1839" s="98"/>
      <c r="U1839" s="98"/>
      <c r="V1839" s="98"/>
      <c r="W1839" s="98"/>
      <c r="X1839" s="98"/>
      <c r="Y1839" s="98"/>
      <c r="Z1839" s="98"/>
      <c r="AA1839" s="98"/>
      <c r="AB1839" s="98"/>
      <c r="AC1839" s="98"/>
      <c r="AD1839" s="98"/>
      <c r="AE1839" s="98"/>
      <c r="AF1839" s="98"/>
      <c r="AG1839" s="98"/>
      <c r="AH1839" s="98"/>
      <c r="AI1839" s="98"/>
      <c r="AJ1839" s="98"/>
      <c r="AK1839" s="98"/>
      <c r="AL1839" s="98"/>
      <c r="AM1839" s="98"/>
    </row>
    <row r="1840" spans="1:39" s="100" customFormat="1" ht="15.6" x14ac:dyDescent="0.3">
      <c r="A1840" s="97"/>
      <c r="B1840" s="98"/>
      <c r="C1840" s="98"/>
      <c r="D1840" s="98"/>
      <c r="E1840" s="98"/>
      <c r="F1840" s="98"/>
      <c r="G1840" s="99"/>
      <c r="H1840" s="99"/>
      <c r="I1840" s="99"/>
      <c r="J1840" s="99"/>
      <c r="K1840" s="98"/>
      <c r="L1840" s="98"/>
      <c r="M1840" s="98"/>
      <c r="N1840" s="98"/>
      <c r="O1840" s="98"/>
      <c r="P1840" s="98"/>
      <c r="Q1840" s="98"/>
      <c r="R1840" s="98"/>
      <c r="S1840" s="98"/>
      <c r="T1840" s="98"/>
      <c r="U1840" s="98"/>
      <c r="V1840" s="98"/>
      <c r="W1840" s="98"/>
      <c r="X1840" s="98"/>
      <c r="Y1840" s="98"/>
      <c r="Z1840" s="98"/>
      <c r="AA1840" s="98"/>
      <c r="AB1840" s="98"/>
      <c r="AC1840" s="98"/>
      <c r="AD1840" s="98"/>
      <c r="AE1840" s="98"/>
      <c r="AF1840" s="98"/>
      <c r="AG1840" s="98"/>
      <c r="AH1840" s="98"/>
      <c r="AI1840" s="98"/>
      <c r="AJ1840" s="98"/>
      <c r="AK1840" s="98"/>
      <c r="AL1840" s="98"/>
      <c r="AM1840" s="98"/>
    </row>
    <row r="1841" spans="1:39" s="100" customFormat="1" ht="15.6" x14ac:dyDescent="0.3">
      <c r="A1841" s="97"/>
      <c r="B1841" s="98"/>
      <c r="C1841" s="98"/>
      <c r="D1841" s="98"/>
      <c r="E1841" s="98"/>
      <c r="F1841" s="98"/>
      <c r="G1841" s="99"/>
      <c r="H1841" s="99"/>
      <c r="I1841" s="99"/>
      <c r="J1841" s="99"/>
      <c r="K1841" s="98"/>
      <c r="L1841" s="98"/>
      <c r="M1841" s="98"/>
      <c r="N1841" s="98"/>
      <c r="O1841" s="98"/>
      <c r="P1841" s="98"/>
      <c r="Q1841" s="98"/>
      <c r="R1841" s="98"/>
      <c r="S1841" s="98"/>
      <c r="T1841" s="98"/>
      <c r="U1841" s="98"/>
      <c r="V1841" s="98"/>
      <c r="W1841" s="98"/>
      <c r="X1841" s="98"/>
      <c r="Y1841" s="98"/>
      <c r="Z1841" s="98"/>
      <c r="AA1841" s="98"/>
      <c r="AB1841" s="98"/>
      <c r="AC1841" s="98"/>
      <c r="AD1841" s="98"/>
      <c r="AE1841" s="98"/>
      <c r="AF1841" s="98"/>
      <c r="AG1841" s="98"/>
      <c r="AH1841" s="98"/>
      <c r="AI1841" s="98"/>
      <c r="AJ1841" s="98"/>
      <c r="AK1841" s="98"/>
      <c r="AL1841" s="98"/>
      <c r="AM1841" s="98"/>
    </row>
    <row r="1842" spans="1:39" s="100" customFormat="1" ht="15.6" x14ac:dyDescent="0.3">
      <c r="A1842" s="97"/>
      <c r="B1842" s="98"/>
      <c r="C1842" s="98"/>
      <c r="D1842" s="98"/>
      <c r="E1842" s="98"/>
      <c r="F1842" s="98"/>
      <c r="G1842" s="99"/>
      <c r="H1842" s="99"/>
      <c r="I1842" s="99"/>
      <c r="J1842" s="99"/>
      <c r="K1842" s="98"/>
      <c r="L1842" s="98"/>
      <c r="M1842" s="98"/>
      <c r="N1842" s="98"/>
      <c r="O1842" s="98"/>
      <c r="P1842" s="98"/>
      <c r="Q1842" s="98"/>
      <c r="R1842" s="98"/>
      <c r="S1842" s="98"/>
      <c r="T1842" s="98"/>
      <c r="U1842" s="98"/>
      <c r="V1842" s="98"/>
      <c r="W1842" s="98"/>
      <c r="X1842" s="98"/>
      <c r="Y1842" s="98"/>
      <c r="Z1842" s="98"/>
      <c r="AA1842" s="98"/>
      <c r="AB1842" s="98"/>
      <c r="AC1842" s="98"/>
      <c r="AD1842" s="98"/>
      <c r="AE1842" s="98"/>
      <c r="AF1842" s="98"/>
      <c r="AG1842" s="98"/>
      <c r="AH1842" s="98"/>
      <c r="AI1842" s="98"/>
      <c r="AJ1842" s="98"/>
      <c r="AK1842" s="98"/>
      <c r="AL1842" s="98"/>
      <c r="AM1842" s="98"/>
    </row>
    <row r="1843" spans="1:39" s="100" customFormat="1" ht="15.6" x14ac:dyDescent="0.3">
      <c r="A1843" s="97"/>
      <c r="B1843" s="98"/>
      <c r="C1843" s="98"/>
      <c r="D1843" s="98"/>
      <c r="E1843" s="98"/>
      <c r="F1843" s="98"/>
      <c r="G1843" s="99"/>
      <c r="H1843" s="99"/>
      <c r="I1843" s="99"/>
      <c r="J1843" s="99"/>
      <c r="K1843" s="98"/>
      <c r="L1843" s="98"/>
      <c r="M1843" s="98"/>
      <c r="N1843" s="98"/>
      <c r="O1843" s="98"/>
      <c r="P1843" s="98"/>
      <c r="Q1843" s="98"/>
      <c r="R1843" s="98"/>
      <c r="S1843" s="98"/>
      <c r="T1843" s="98"/>
      <c r="U1843" s="98"/>
      <c r="V1843" s="98"/>
      <c r="W1843" s="98"/>
      <c r="X1843" s="98"/>
      <c r="Y1843" s="98"/>
      <c r="Z1843" s="98"/>
      <c r="AA1843" s="98"/>
      <c r="AB1843" s="98"/>
      <c r="AC1843" s="98"/>
      <c r="AD1843" s="98"/>
      <c r="AE1843" s="98"/>
      <c r="AF1843" s="98"/>
      <c r="AG1843" s="98"/>
      <c r="AH1843" s="98"/>
      <c r="AI1843" s="98"/>
      <c r="AJ1843" s="98"/>
      <c r="AK1843" s="98"/>
      <c r="AL1843" s="98"/>
      <c r="AM1843" s="98"/>
    </row>
    <row r="1844" spans="1:39" s="100" customFormat="1" ht="15.6" x14ac:dyDescent="0.3">
      <c r="A1844" s="97"/>
      <c r="B1844" s="98"/>
      <c r="C1844" s="98"/>
      <c r="D1844" s="98"/>
      <c r="E1844" s="98"/>
      <c r="F1844" s="98"/>
      <c r="G1844" s="99"/>
      <c r="H1844" s="99"/>
      <c r="I1844" s="99"/>
      <c r="J1844" s="99"/>
      <c r="K1844" s="98"/>
      <c r="L1844" s="98"/>
      <c r="M1844" s="98"/>
      <c r="N1844" s="98"/>
      <c r="O1844" s="98"/>
      <c r="P1844" s="98"/>
      <c r="Q1844" s="98"/>
      <c r="R1844" s="98"/>
      <c r="S1844" s="98"/>
      <c r="T1844" s="98"/>
      <c r="U1844" s="98"/>
      <c r="V1844" s="98"/>
      <c r="W1844" s="98"/>
      <c r="X1844" s="98"/>
      <c r="Y1844" s="98"/>
      <c r="Z1844" s="98"/>
      <c r="AA1844" s="98"/>
      <c r="AB1844" s="98"/>
      <c r="AC1844" s="98"/>
      <c r="AD1844" s="98"/>
      <c r="AE1844" s="98"/>
      <c r="AF1844" s="98"/>
      <c r="AG1844" s="98"/>
      <c r="AH1844" s="98"/>
      <c r="AI1844" s="98"/>
      <c r="AJ1844" s="98"/>
      <c r="AK1844" s="98"/>
      <c r="AL1844" s="98"/>
      <c r="AM1844" s="98"/>
    </row>
    <row r="1845" spans="1:39" s="100" customFormat="1" ht="15.6" x14ac:dyDescent="0.3">
      <c r="A1845" s="97"/>
      <c r="B1845" s="98"/>
      <c r="C1845" s="98"/>
      <c r="D1845" s="98"/>
      <c r="E1845" s="98"/>
      <c r="F1845" s="98"/>
      <c r="G1845" s="99"/>
      <c r="H1845" s="99"/>
      <c r="I1845" s="99"/>
      <c r="J1845" s="99"/>
      <c r="K1845" s="98"/>
      <c r="L1845" s="98"/>
      <c r="M1845" s="98"/>
      <c r="N1845" s="98"/>
      <c r="O1845" s="98"/>
      <c r="P1845" s="98"/>
      <c r="Q1845" s="98"/>
      <c r="R1845" s="98"/>
      <c r="S1845" s="98"/>
      <c r="T1845" s="98"/>
      <c r="U1845" s="98"/>
      <c r="V1845" s="98"/>
      <c r="W1845" s="98"/>
      <c r="X1845" s="98"/>
      <c r="Y1845" s="98"/>
      <c r="Z1845" s="98"/>
      <c r="AA1845" s="98"/>
      <c r="AB1845" s="98"/>
      <c r="AC1845" s="98"/>
      <c r="AD1845" s="98"/>
      <c r="AE1845" s="98"/>
      <c r="AF1845" s="98"/>
      <c r="AG1845" s="98"/>
      <c r="AH1845" s="98"/>
      <c r="AI1845" s="98"/>
      <c r="AJ1845" s="98"/>
      <c r="AK1845" s="98"/>
      <c r="AL1845" s="98"/>
      <c r="AM1845" s="98"/>
    </row>
    <row r="1846" spans="1:39" s="100" customFormat="1" ht="15.6" x14ac:dyDescent="0.3">
      <c r="A1846" s="97"/>
      <c r="B1846" s="98"/>
      <c r="C1846" s="98"/>
      <c r="D1846" s="98"/>
      <c r="E1846" s="98"/>
      <c r="F1846" s="98"/>
      <c r="G1846" s="99"/>
      <c r="H1846" s="99"/>
      <c r="I1846" s="99"/>
      <c r="J1846" s="99"/>
      <c r="K1846" s="98"/>
      <c r="L1846" s="98"/>
      <c r="M1846" s="98"/>
      <c r="N1846" s="98"/>
      <c r="O1846" s="98"/>
      <c r="P1846" s="98"/>
      <c r="Q1846" s="98"/>
      <c r="R1846" s="98"/>
      <c r="S1846" s="98"/>
      <c r="T1846" s="98"/>
      <c r="U1846" s="98"/>
      <c r="V1846" s="98"/>
      <c r="W1846" s="98"/>
      <c r="X1846" s="98"/>
      <c r="Y1846" s="98"/>
      <c r="Z1846" s="98"/>
      <c r="AA1846" s="98"/>
      <c r="AB1846" s="98"/>
      <c r="AC1846" s="98"/>
      <c r="AD1846" s="98"/>
      <c r="AE1846" s="98"/>
      <c r="AF1846" s="98"/>
      <c r="AG1846" s="98"/>
      <c r="AH1846" s="98"/>
      <c r="AI1846" s="98"/>
      <c r="AJ1846" s="98"/>
      <c r="AK1846" s="98"/>
      <c r="AL1846" s="98"/>
      <c r="AM1846" s="98"/>
    </row>
    <row r="1847" spans="1:39" s="100" customFormat="1" ht="15.6" x14ac:dyDescent="0.3">
      <c r="A1847" s="97"/>
      <c r="B1847" s="98"/>
      <c r="C1847" s="98"/>
      <c r="D1847" s="98"/>
      <c r="E1847" s="98"/>
      <c r="F1847" s="98"/>
      <c r="G1847" s="99"/>
      <c r="H1847" s="99"/>
      <c r="I1847" s="99"/>
      <c r="J1847" s="99"/>
      <c r="K1847" s="98"/>
      <c r="L1847" s="98"/>
      <c r="M1847" s="98"/>
      <c r="N1847" s="98"/>
      <c r="O1847" s="98"/>
      <c r="P1847" s="98"/>
      <c r="Q1847" s="98"/>
      <c r="R1847" s="98"/>
      <c r="S1847" s="98"/>
      <c r="T1847" s="98"/>
      <c r="U1847" s="98"/>
      <c r="V1847" s="98"/>
      <c r="W1847" s="98"/>
      <c r="X1847" s="98"/>
      <c r="Y1847" s="98"/>
      <c r="Z1847" s="98"/>
      <c r="AA1847" s="98"/>
      <c r="AB1847" s="98"/>
      <c r="AC1847" s="98"/>
      <c r="AD1847" s="98"/>
      <c r="AE1847" s="98"/>
      <c r="AF1847" s="98"/>
      <c r="AG1847" s="98"/>
      <c r="AH1847" s="98"/>
      <c r="AI1847" s="98"/>
      <c r="AJ1847" s="98"/>
      <c r="AK1847" s="98"/>
      <c r="AL1847" s="98"/>
      <c r="AM1847" s="98"/>
    </row>
    <row r="1848" spans="1:39" s="100" customFormat="1" ht="15.6" x14ac:dyDescent="0.3">
      <c r="A1848" s="97"/>
      <c r="B1848" s="98"/>
      <c r="C1848" s="98"/>
      <c r="D1848" s="98"/>
      <c r="E1848" s="98"/>
      <c r="F1848" s="98"/>
      <c r="G1848" s="99"/>
      <c r="H1848" s="99"/>
      <c r="I1848" s="99"/>
      <c r="J1848" s="99"/>
      <c r="K1848" s="98"/>
      <c r="L1848" s="98"/>
      <c r="M1848" s="98"/>
      <c r="N1848" s="98"/>
      <c r="O1848" s="98"/>
      <c r="P1848" s="98"/>
      <c r="Q1848" s="98"/>
      <c r="R1848" s="98"/>
      <c r="S1848" s="98"/>
      <c r="T1848" s="98"/>
      <c r="U1848" s="98"/>
      <c r="V1848" s="98"/>
      <c r="W1848" s="98"/>
      <c r="X1848" s="98"/>
      <c r="Y1848" s="98"/>
      <c r="Z1848" s="98"/>
      <c r="AA1848" s="98"/>
      <c r="AB1848" s="98"/>
      <c r="AC1848" s="98"/>
      <c r="AD1848" s="98"/>
      <c r="AE1848" s="98"/>
      <c r="AF1848" s="98"/>
      <c r="AG1848" s="98"/>
      <c r="AH1848" s="98"/>
      <c r="AI1848" s="98"/>
      <c r="AJ1848" s="98"/>
      <c r="AK1848" s="98"/>
      <c r="AL1848" s="98"/>
      <c r="AM1848" s="98"/>
    </row>
    <row r="1849" spans="1:39" s="100" customFormat="1" ht="15.6" x14ac:dyDescent="0.3">
      <c r="A1849" s="97"/>
      <c r="B1849" s="98"/>
      <c r="C1849" s="98"/>
      <c r="D1849" s="98"/>
      <c r="E1849" s="98"/>
      <c r="F1849" s="98"/>
      <c r="G1849" s="99"/>
      <c r="H1849" s="99"/>
      <c r="I1849" s="99"/>
      <c r="J1849" s="99"/>
      <c r="K1849" s="98"/>
      <c r="L1849" s="98"/>
      <c r="M1849" s="98"/>
      <c r="N1849" s="98"/>
      <c r="O1849" s="98"/>
      <c r="P1849" s="98"/>
      <c r="Q1849" s="98"/>
      <c r="R1849" s="98"/>
      <c r="S1849" s="98"/>
      <c r="T1849" s="98"/>
      <c r="U1849" s="98"/>
      <c r="V1849" s="98"/>
      <c r="W1849" s="98"/>
      <c r="X1849" s="98"/>
      <c r="Y1849" s="98"/>
      <c r="Z1849" s="98"/>
      <c r="AA1849" s="98"/>
      <c r="AB1849" s="98"/>
      <c r="AC1849" s="98"/>
      <c r="AD1849" s="98"/>
      <c r="AE1849" s="98"/>
      <c r="AF1849" s="98"/>
      <c r="AG1849" s="98"/>
      <c r="AH1849" s="98"/>
      <c r="AI1849" s="98"/>
      <c r="AJ1849" s="98"/>
      <c r="AK1849" s="98"/>
      <c r="AL1849" s="98"/>
      <c r="AM1849" s="98"/>
    </row>
    <row r="1850" spans="1:39" s="100" customFormat="1" ht="15.6" x14ac:dyDescent="0.3">
      <c r="A1850" s="97"/>
      <c r="B1850" s="98"/>
      <c r="C1850" s="98"/>
      <c r="D1850" s="98"/>
      <c r="E1850" s="98"/>
      <c r="F1850" s="98"/>
      <c r="G1850" s="99"/>
      <c r="H1850" s="99"/>
      <c r="I1850" s="99"/>
      <c r="J1850" s="99"/>
      <c r="K1850" s="98"/>
      <c r="L1850" s="98"/>
      <c r="M1850" s="98"/>
      <c r="N1850" s="98"/>
      <c r="O1850" s="98"/>
      <c r="P1850" s="98"/>
      <c r="Q1850" s="98"/>
      <c r="R1850" s="98"/>
      <c r="S1850" s="98"/>
      <c r="T1850" s="98"/>
      <c r="U1850" s="98"/>
      <c r="V1850" s="98"/>
      <c r="W1850" s="98"/>
      <c r="X1850" s="98"/>
      <c r="Y1850" s="98"/>
      <c r="Z1850" s="98"/>
      <c r="AA1850" s="98"/>
      <c r="AB1850" s="98"/>
      <c r="AC1850" s="98"/>
      <c r="AD1850" s="98"/>
      <c r="AE1850" s="98"/>
      <c r="AF1850" s="98"/>
      <c r="AG1850" s="98"/>
      <c r="AH1850" s="98"/>
      <c r="AI1850" s="98"/>
      <c r="AJ1850" s="98"/>
      <c r="AK1850" s="98"/>
      <c r="AL1850" s="98"/>
      <c r="AM1850" s="98"/>
    </row>
    <row r="1851" spans="1:39" s="100" customFormat="1" ht="15.6" x14ac:dyDescent="0.3">
      <c r="A1851" s="97"/>
      <c r="B1851" s="98"/>
      <c r="C1851" s="98"/>
      <c r="D1851" s="98"/>
      <c r="E1851" s="98"/>
      <c r="F1851" s="98"/>
      <c r="G1851" s="99"/>
      <c r="H1851" s="99"/>
      <c r="I1851" s="99"/>
      <c r="J1851" s="99"/>
      <c r="K1851" s="98"/>
      <c r="L1851" s="98"/>
      <c r="M1851" s="98"/>
      <c r="N1851" s="98"/>
      <c r="O1851" s="98"/>
      <c r="P1851" s="98"/>
      <c r="Q1851" s="98"/>
      <c r="R1851" s="98"/>
      <c r="S1851" s="98"/>
      <c r="T1851" s="98"/>
      <c r="U1851" s="98"/>
      <c r="V1851" s="98"/>
      <c r="W1851" s="98"/>
      <c r="X1851" s="98"/>
      <c r="Y1851" s="98"/>
      <c r="Z1851" s="98"/>
      <c r="AA1851" s="98"/>
      <c r="AB1851" s="98"/>
      <c r="AC1851" s="98"/>
      <c r="AD1851" s="98"/>
      <c r="AE1851" s="98"/>
      <c r="AF1851" s="98"/>
      <c r="AG1851" s="98"/>
      <c r="AH1851" s="98"/>
      <c r="AI1851" s="98"/>
      <c r="AJ1851" s="98"/>
      <c r="AK1851" s="98"/>
      <c r="AL1851" s="98"/>
      <c r="AM1851" s="98"/>
    </row>
    <row r="1852" spans="1:39" s="100" customFormat="1" ht="15.6" x14ac:dyDescent="0.3">
      <c r="A1852" s="97"/>
      <c r="B1852" s="98"/>
      <c r="C1852" s="98"/>
      <c r="D1852" s="98"/>
      <c r="E1852" s="98"/>
      <c r="F1852" s="98"/>
      <c r="G1852" s="99"/>
      <c r="H1852" s="99"/>
      <c r="I1852" s="99"/>
      <c r="J1852" s="99"/>
      <c r="K1852" s="98"/>
      <c r="L1852" s="98"/>
      <c r="M1852" s="98"/>
      <c r="N1852" s="98"/>
      <c r="O1852" s="98"/>
      <c r="P1852" s="98"/>
      <c r="Q1852" s="98"/>
      <c r="R1852" s="98"/>
      <c r="S1852" s="98"/>
      <c r="T1852" s="98"/>
      <c r="U1852" s="98"/>
      <c r="V1852" s="98"/>
      <c r="W1852" s="98"/>
      <c r="X1852" s="98"/>
      <c r="Y1852" s="98"/>
      <c r="Z1852" s="98"/>
      <c r="AA1852" s="98"/>
      <c r="AB1852" s="98"/>
      <c r="AC1852" s="98"/>
      <c r="AD1852" s="98"/>
      <c r="AE1852" s="98"/>
      <c r="AF1852" s="98"/>
      <c r="AG1852" s="98"/>
      <c r="AH1852" s="98"/>
      <c r="AI1852" s="98"/>
      <c r="AJ1852" s="98"/>
      <c r="AK1852" s="98"/>
      <c r="AL1852" s="98"/>
      <c r="AM1852" s="98"/>
    </row>
    <row r="1853" spans="1:39" s="100" customFormat="1" ht="15.6" x14ac:dyDescent="0.3">
      <c r="A1853" s="97"/>
      <c r="B1853" s="98"/>
      <c r="C1853" s="98"/>
      <c r="D1853" s="98"/>
      <c r="E1853" s="98"/>
      <c r="F1853" s="98"/>
      <c r="G1853" s="99"/>
      <c r="H1853" s="99"/>
      <c r="I1853" s="99"/>
      <c r="J1853" s="99"/>
      <c r="K1853" s="98"/>
      <c r="L1853" s="98"/>
      <c r="M1853" s="98"/>
      <c r="N1853" s="98"/>
      <c r="O1853" s="98"/>
      <c r="P1853" s="98"/>
      <c r="Q1853" s="98"/>
      <c r="R1853" s="98"/>
      <c r="S1853" s="98"/>
      <c r="T1853" s="98"/>
      <c r="U1853" s="98"/>
      <c r="V1853" s="98"/>
      <c r="W1853" s="98"/>
      <c r="X1853" s="98"/>
      <c r="Y1853" s="98"/>
      <c r="Z1853" s="98"/>
      <c r="AA1853" s="98"/>
      <c r="AB1853" s="98"/>
      <c r="AC1853" s="98"/>
      <c r="AD1853" s="98"/>
      <c r="AE1853" s="98"/>
      <c r="AF1853" s="98"/>
      <c r="AG1853" s="98"/>
      <c r="AH1853" s="98"/>
      <c r="AI1853" s="98"/>
      <c r="AJ1853" s="98"/>
      <c r="AK1853" s="98"/>
      <c r="AL1853" s="98"/>
      <c r="AM1853" s="98"/>
    </row>
    <row r="1854" spans="1:39" s="100" customFormat="1" ht="15.6" x14ac:dyDescent="0.3">
      <c r="A1854" s="97"/>
      <c r="B1854" s="98"/>
      <c r="C1854" s="98"/>
      <c r="D1854" s="98"/>
      <c r="E1854" s="98"/>
      <c r="F1854" s="98"/>
      <c r="G1854" s="99"/>
      <c r="H1854" s="99"/>
      <c r="I1854" s="99"/>
      <c r="J1854" s="99"/>
      <c r="K1854" s="98"/>
      <c r="L1854" s="98"/>
      <c r="M1854" s="98"/>
      <c r="N1854" s="98"/>
      <c r="O1854" s="98"/>
      <c r="P1854" s="98"/>
      <c r="Q1854" s="98"/>
      <c r="R1854" s="98"/>
      <c r="S1854" s="98"/>
      <c r="T1854" s="98"/>
      <c r="U1854" s="98"/>
      <c r="V1854" s="98"/>
      <c r="W1854" s="98"/>
      <c r="X1854" s="98"/>
      <c r="Y1854" s="98"/>
      <c r="Z1854" s="98"/>
      <c r="AA1854" s="98"/>
      <c r="AB1854" s="98"/>
      <c r="AC1854" s="98"/>
      <c r="AD1854" s="98"/>
      <c r="AE1854" s="98"/>
      <c r="AF1854" s="98"/>
      <c r="AG1854" s="98"/>
      <c r="AH1854" s="98"/>
      <c r="AI1854" s="98"/>
      <c r="AJ1854" s="98"/>
      <c r="AK1854" s="98"/>
      <c r="AL1854" s="98"/>
      <c r="AM1854" s="98"/>
    </row>
    <row r="1855" spans="1:39" s="100" customFormat="1" ht="15.6" x14ac:dyDescent="0.3">
      <c r="A1855" s="97"/>
      <c r="B1855" s="98"/>
      <c r="C1855" s="98"/>
      <c r="D1855" s="98"/>
      <c r="E1855" s="98"/>
      <c r="F1855" s="98"/>
      <c r="G1855" s="99"/>
      <c r="H1855" s="99"/>
      <c r="I1855" s="99"/>
      <c r="J1855" s="99"/>
      <c r="K1855" s="98"/>
      <c r="L1855" s="98"/>
      <c r="M1855" s="98"/>
      <c r="N1855" s="98"/>
      <c r="O1855" s="98"/>
      <c r="P1855" s="98"/>
      <c r="Q1855" s="98"/>
      <c r="R1855" s="98"/>
      <c r="S1855" s="98"/>
      <c r="T1855" s="98"/>
      <c r="U1855" s="98"/>
      <c r="V1855" s="98"/>
      <c r="W1855" s="98"/>
      <c r="X1855" s="98"/>
      <c r="Y1855" s="98"/>
      <c r="Z1855" s="98"/>
      <c r="AA1855" s="98"/>
      <c r="AB1855" s="98"/>
      <c r="AC1855" s="98"/>
      <c r="AD1855" s="98"/>
      <c r="AE1855" s="98"/>
      <c r="AF1855" s="98"/>
      <c r="AG1855" s="98"/>
      <c r="AH1855" s="98"/>
      <c r="AI1855" s="98"/>
      <c r="AJ1855" s="98"/>
      <c r="AK1855" s="98"/>
      <c r="AL1855" s="98"/>
      <c r="AM1855" s="98"/>
    </row>
    <row r="1856" spans="1:39" s="100" customFormat="1" ht="15.6" x14ac:dyDescent="0.3">
      <c r="A1856" s="97"/>
      <c r="B1856" s="98"/>
      <c r="C1856" s="98"/>
      <c r="D1856" s="98"/>
      <c r="E1856" s="98"/>
      <c r="F1856" s="98"/>
      <c r="G1856" s="99"/>
      <c r="H1856" s="99"/>
      <c r="I1856" s="99"/>
      <c r="J1856" s="99"/>
      <c r="K1856" s="98"/>
      <c r="L1856" s="98"/>
      <c r="M1856" s="98"/>
      <c r="N1856" s="98"/>
      <c r="O1856" s="98"/>
      <c r="P1856" s="98"/>
      <c r="Q1856" s="98"/>
      <c r="R1856" s="98"/>
      <c r="S1856" s="98"/>
      <c r="T1856" s="98"/>
      <c r="U1856" s="98"/>
      <c r="V1856" s="98"/>
      <c r="W1856" s="98"/>
      <c r="X1856" s="98"/>
      <c r="Y1856" s="98"/>
      <c r="Z1856" s="98"/>
      <c r="AA1856" s="98"/>
      <c r="AB1856" s="98"/>
      <c r="AC1856" s="98"/>
      <c r="AD1856" s="98"/>
      <c r="AE1856" s="98"/>
      <c r="AF1856" s="98"/>
      <c r="AG1856" s="98"/>
      <c r="AH1856" s="98"/>
      <c r="AI1856" s="98"/>
      <c r="AJ1856" s="98"/>
      <c r="AK1856" s="98"/>
      <c r="AL1856" s="98"/>
      <c r="AM1856" s="98"/>
    </row>
    <row r="1857" spans="1:39" s="100" customFormat="1" ht="15.6" x14ac:dyDescent="0.3">
      <c r="A1857" s="97"/>
      <c r="B1857" s="98"/>
      <c r="C1857" s="98"/>
      <c r="D1857" s="98"/>
      <c r="E1857" s="98"/>
      <c r="F1857" s="98"/>
      <c r="G1857" s="99"/>
      <c r="H1857" s="99"/>
      <c r="I1857" s="99"/>
      <c r="J1857" s="99"/>
      <c r="K1857" s="98"/>
      <c r="L1857" s="98"/>
      <c r="M1857" s="98"/>
      <c r="N1857" s="98"/>
      <c r="O1857" s="98"/>
      <c r="P1857" s="98"/>
      <c r="Q1857" s="98"/>
      <c r="R1857" s="98"/>
      <c r="S1857" s="98"/>
      <c r="T1857" s="98"/>
      <c r="U1857" s="98"/>
      <c r="V1857" s="98"/>
      <c r="W1857" s="98"/>
      <c r="X1857" s="98"/>
      <c r="Y1857" s="98"/>
      <c r="Z1857" s="98"/>
      <c r="AA1857" s="98"/>
      <c r="AB1857" s="98"/>
      <c r="AC1857" s="98"/>
      <c r="AD1857" s="98"/>
      <c r="AE1857" s="98"/>
      <c r="AF1857" s="98"/>
      <c r="AG1857" s="98"/>
      <c r="AH1857" s="98"/>
      <c r="AI1857" s="98"/>
      <c r="AJ1857" s="98"/>
      <c r="AK1857" s="98"/>
      <c r="AL1857" s="98"/>
      <c r="AM1857" s="98"/>
    </row>
    <row r="1858" spans="1:39" s="100" customFormat="1" ht="15.6" x14ac:dyDescent="0.3">
      <c r="A1858" s="97"/>
      <c r="B1858" s="98"/>
      <c r="C1858" s="98"/>
      <c r="D1858" s="98"/>
      <c r="E1858" s="98"/>
      <c r="F1858" s="98"/>
      <c r="G1858" s="99"/>
      <c r="H1858" s="99"/>
      <c r="I1858" s="99"/>
      <c r="J1858" s="99"/>
      <c r="K1858" s="98"/>
      <c r="L1858" s="98"/>
      <c r="M1858" s="98"/>
      <c r="N1858" s="98"/>
      <c r="O1858" s="98"/>
      <c r="P1858" s="98"/>
      <c r="Q1858" s="98"/>
      <c r="R1858" s="98"/>
      <c r="S1858" s="98"/>
      <c r="T1858" s="98"/>
      <c r="U1858" s="98"/>
      <c r="V1858" s="98"/>
      <c r="W1858" s="98"/>
      <c r="X1858" s="98"/>
      <c r="Y1858" s="98"/>
      <c r="Z1858" s="98"/>
      <c r="AA1858" s="98"/>
      <c r="AB1858" s="98"/>
      <c r="AC1858" s="98"/>
      <c r="AD1858" s="98"/>
      <c r="AE1858" s="98"/>
      <c r="AF1858" s="98"/>
      <c r="AG1858" s="98"/>
      <c r="AH1858" s="98"/>
      <c r="AI1858" s="98"/>
      <c r="AJ1858" s="98"/>
      <c r="AK1858" s="98"/>
      <c r="AL1858" s="98"/>
      <c r="AM1858" s="98"/>
    </row>
    <row r="1859" spans="1:39" s="100" customFormat="1" ht="15.6" x14ac:dyDescent="0.3">
      <c r="A1859" s="97"/>
      <c r="B1859" s="98"/>
      <c r="C1859" s="98"/>
      <c r="D1859" s="98"/>
      <c r="E1859" s="98"/>
      <c r="F1859" s="98"/>
      <c r="G1859" s="99"/>
      <c r="H1859" s="99"/>
      <c r="I1859" s="99"/>
      <c r="J1859" s="99"/>
      <c r="K1859" s="98"/>
      <c r="L1859" s="98"/>
      <c r="M1859" s="98"/>
      <c r="N1859" s="98"/>
      <c r="O1859" s="98"/>
      <c r="P1859" s="98"/>
      <c r="Q1859" s="98"/>
      <c r="R1859" s="98"/>
      <c r="S1859" s="98"/>
      <c r="T1859" s="98"/>
      <c r="U1859" s="98"/>
      <c r="V1859" s="98"/>
      <c r="W1859" s="98"/>
      <c r="X1859" s="98"/>
      <c r="Y1859" s="98"/>
      <c r="Z1859" s="98"/>
      <c r="AA1859" s="98"/>
      <c r="AB1859" s="98"/>
      <c r="AC1859" s="98"/>
      <c r="AD1859" s="98"/>
      <c r="AE1859" s="98"/>
      <c r="AF1859" s="98"/>
      <c r="AG1859" s="98"/>
      <c r="AH1859" s="98"/>
      <c r="AI1859" s="98"/>
      <c r="AJ1859" s="98"/>
      <c r="AK1859" s="98"/>
      <c r="AL1859" s="98"/>
      <c r="AM1859" s="98"/>
    </row>
    <row r="1860" spans="1:39" s="100" customFormat="1" ht="15.6" x14ac:dyDescent="0.3">
      <c r="A1860" s="97"/>
      <c r="B1860" s="98"/>
      <c r="C1860" s="98"/>
      <c r="D1860" s="98"/>
      <c r="E1860" s="98"/>
      <c r="F1860" s="98"/>
      <c r="G1860" s="99"/>
      <c r="H1860" s="99"/>
      <c r="I1860" s="99"/>
      <c r="J1860" s="99"/>
      <c r="K1860" s="98"/>
      <c r="L1860" s="98"/>
      <c r="M1860" s="98"/>
      <c r="N1860" s="98"/>
      <c r="O1860" s="98"/>
      <c r="P1860" s="98"/>
      <c r="Q1860" s="98"/>
      <c r="R1860" s="98"/>
      <c r="S1860" s="98"/>
      <c r="T1860" s="98"/>
      <c r="U1860" s="98"/>
      <c r="V1860" s="98"/>
      <c r="W1860" s="98"/>
      <c r="X1860" s="98"/>
      <c r="Y1860" s="98"/>
      <c r="Z1860" s="98"/>
      <c r="AA1860" s="98"/>
      <c r="AB1860" s="98"/>
      <c r="AC1860" s="98"/>
      <c r="AD1860" s="98"/>
      <c r="AE1860" s="98"/>
      <c r="AF1860" s="98"/>
      <c r="AG1860" s="98"/>
      <c r="AH1860" s="98"/>
      <c r="AI1860" s="98"/>
      <c r="AJ1860" s="98"/>
      <c r="AK1860" s="98"/>
      <c r="AL1860" s="98"/>
      <c r="AM1860" s="98"/>
    </row>
    <row r="1861" spans="1:39" s="100" customFormat="1" ht="15.6" x14ac:dyDescent="0.3">
      <c r="A1861" s="97"/>
      <c r="B1861" s="98"/>
      <c r="C1861" s="98"/>
      <c r="D1861" s="98"/>
      <c r="E1861" s="98"/>
      <c r="F1861" s="98"/>
      <c r="G1861" s="99"/>
      <c r="H1861" s="99"/>
      <c r="I1861" s="99"/>
      <c r="J1861" s="99"/>
      <c r="K1861" s="98"/>
      <c r="L1861" s="98"/>
      <c r="M1861" s="98"/>
      <c r="N1861" s="98"/>
      <c r="O1861" s="98"/>
      <c r="P1861" s="98"/>
      <c r="Q1861" s="98"/>
      <c r="R1861" s="98"/>
      <c r="S1861" s="98"/>
      <c r="T1861" s="98"/>
      <c r="U1861" s="98"/>
      <c r="V1861" s="98"/>
      <c r="W1861" s="98"/>
      <c r="X1861" s="98"/>
      <c r="Y1861" s="98"/>
      <c r="Z1861" s="98"/>
      <c r="AA1861" s="98"/>
      <c r="AB1861" s="98"/>
      <c r="AC1861" s="98"/>
      <c r="AD1861" s="98"/>
      <c r="AE1861" s="98"/>
      <c r="AF1861" s="98"/>
      <c r="AG1861" s="98"/>
      <c r="AH1861" s="98"/>
      <c r="AI1861" s="98"/>
      <c r="AJ1861" s="98"/>
      <c r="AK1861" s="98"/>
      <c r="AL1861" s="98"/>
      <c r="AM1861" s="98"/>
    </row>
    <row r="1862" spans="1:39" s="100" customFormat="1" ht="15.6" x14ac:dyDescent="0.3">
      <c r="A1862" s="97"/>
      <c r="B1862" s="98"/>
      <c r="C1862" s="98"/>
      <c r="D1862" s="98"/>
      <c r="E1862" s="98"/>
      <c r="F1862" s="98"/>
      <c r="G1862" s="99"/>
      <c r="H1862" s="99"/>
      <c r="I1862" s="99"/>
      <c r="J1862" s="99"/>
      <c r="K1862" s="98"/>
      <c r="L1862" s="98"/>
      <c r="M1862" s="98"/>
      <c r="N1862" s="98"/>
      <c r="O1862" s="98"/>
      <c r="P1862" s="98"/>
      <c r="Q1862" s="98"/>
      <c r="R1862" s="98"/>
      <c r="S1862" s="98"/>
      <c r="T1862" s="98"/>
      <c r="U1862" s="98"/>
      <c r="V1862" s="98"/>
      <c r="W1862" s="98"/>
      <c r="X1862" s="98"/>
      <c r="Y1862" s="98"/>
      <c r="Z1862" s="98"/>
      <c r="AA1862" s="98"/>
      <c r="AB1862" s="98"/>
      <c r="AC1862" s="98"/>
      <c r="AD1862" s="98"/>
      <c r="AE1862" s="98"/>
      <c r="AF1862" s="98"/>
      <c r="AG1862" s="98"/>
      <c r="AH1862" s="98"/>
      <c r="AI1862" s="98"/>
      <c r="AJ1862" s="98"/>
      <c r="AK1862" s="98"/>
      <c r="AL1862" s="98"/>
      <c r="AM1862" s="98"/>
    </row>
    <row r="1863" spans="1:39" s="100" customFormat="1" ht="15.6" x14ac:dyDescent="0.3">
      <c r="A1863" s="97"/>
      <c r="B1863" s="98"/>
      <c r="C1863" s="98"/>
      <c r="D1863" s="98"/>
      <c r="E1863" s="98"/>
      <c r="F1863" s="98"/>
      <c r="G1863" s="99"/>
      <c r="H1863" s="99"/>
      <c r="I1863" s="99"/>
      <c r="J1863" s="99"/>
      <c r="K1863" s="98"/>
      <c r="L1863" s="98"/>
      <c r="M1863" s="98"/>
      <c r="N1863" s="98"/>
      <c r="O1863" s="98"/>
      <c r="P1863" s="98"/>
      <c r="Q1863" s="98"/>
      <c r="R1863" s="98"/>
      <c r="S1863" s="98"/>
      <c r="T1863" s="98"/>
      <c r="U1863" s="98"/>
      <c r="V1863" s="98"/>
      <c r="W1863" s="98"/>
      <c r="X1863" s="98"/>
      <c r="Y1863" s="98"/>
      <c r="Z1863" s="98"/>
      <c r="AA1863" s="98"/>
      <c r="AB1863" s="98"/>
      <c r="AC1863" s="98"/>
      <c r="AD1863" s="98"/>
      <c r="AE1863" s="98"/>
      <c r="AF1863" s="98"/>
      <c r="AG1863" s="98"/>
      <c r="AH1863" s="98"/>
      <c r="AI1863" s="98"/>
      <c r="AJ1863" s="98"/>
      <c r="AK1863" s="98"/>
      <c r="AL1863" s="98"/>
      <c r="AM1863" s="98"/>
    </row>
    <row r="1864" spans="1:39" s="100" customFormat="1" ht="15.6" x14ac:dyDescent="0.3">
      <c r="A1864" s="97"/>
      <c r="B1864" s="98"/>
      <c r="C1864" s="98"/>
      <c r="D1864" s="98"/>
      <c r="E1864" s="98"/>
      <c r="F1864" s="98"/>
      <c r="G1864" s="99"/>
      <c r="H1864" s="99"/>
      <c r="I1864" s="99"/>
      <c r="J1864" s="99"/>
      <c r="K1864" s="98"/>
      <c r="L1864" s="98"/>
      <c r="M1864" s="98"/>
      <c r="N1864" s="98"/>
      <c r="O1864" s="98"/>
      <c r="P1864" s="98"/>
      <c r="Q1864" s="98"/>
      <c r="R1864" s="98"/>
      <c r="S1864" s="98"/>
      <c r="T1864" s="98"/>
      <c r="U1864" s="98"/>
      <c r="V1864" s="98"/>
      <c r="W1864" s="98"/>
      <c r="X1864" s="98"/>
      <c r="Y1864" s="98"/>
      <c r="Z1864" s="98"/>
      <c r="AA1864" s="98"/>
      <c r="AB1864" s="98"/>
      <c r="AC1864" s="98"/>
      <c r="AD1864" s="98"/>
      <c r="AE1864" s="98"/>
      <c r="AF1864" s="98"/>
      <c r="AG1864" s="98"/>
      <c r="AH1864" s="98"/>
      <c r="AI1864" s="98"/>
      <c r="AJ1864" s="98"/>
      <c r="AK1864" s="98"/>
      <c r="AL1864" s="98"/>
      <c r="AM1864" s="98"/>
    </row>
    <row r="1865" spans="1:39" s="100" customFormat="1" ht="15.6" x14ac:dyDescent="0.3">
      <c r="A1865" s="97"/>
      <c r="B1865" s="98"/>
      <c r="C1865" s="98"/>
      <c r="D1865" s="98"/>
      <c r="E1865" s="98"/>
      <c r="F1865" s="98"/>
      <c r="G1865" s="99"/>
      <c r="H1865" s="99"/>
      <c r="I1865" s="99"/>
      <c r="J1865" s="99"/>
      <c r="K1865" s="98"/>
      <c r="L1865" s="98"/>
      <c r="M1865" s="98"/>
      <c r="N1865" s="98"/>
      <c r="O1865" s="98"/>
      <c r="P1865" s="98"/>
      <c r="Q1865" s="98"/>
      <c r="R1865" s="98"/>
      <c r="S1865" s="98"/>
      <c r="T1865" s="98"/>
      <c r="U1865" s="98"/>
      <c r="V1865" s="98"/>
      <c r="W1865" s="98"/>
      <c r="X1865" s="98"/>
      <c r="Y1865" s="98"/>
      <c r="Z1865" s="98"/>
      <c r="AA1865" s="98"/>
      <c r="AB1865" s="98"/>
      <c r="AC1865" s="98"/>
      <c r="AD1865" s="98"/>
      <c r="AE1865" s="98"/>
      <c r="AF1865" s="98"/>
      <c r="AG1865" s="98"/>
      <c r="AH1865" s="98"/>
      <c r="AI1865" s="98"/>
      <c r="AJ1865" s="98"/>
      <c r="AK1865" s="98"/>
      <c r="AL1865" s="98"/>
      <c r="AM1865" s="98"/>
    </row>
    <row r="1866" spans="1:39" s="100" customFormat="1" ht="15.6" x14ac:dyDescent="0.3">
      <c r="A1866" s="97"/>
      <c r="B1866" s="98"/>
      <c r="C1866" s="98"/>
      <c r="D1866" s="98"/>
      <c r="E1866" s="98"/>
      <c r="F1866" s="98"/>
      <c r="G1866" s="99"/>
      <c r="H1866" s="99"/>
      <c r="I1866" s="99"/>
      <c r="J1866" s="99"/>
      <c r="K1866" s="98"/>
      <c r="L1866" s="98"/>
      <c r="M1866" s="98"/>
      <c r="N1866" s="98"/>
      <c r="O1866" s="98"/>
      <c r="P1866" s="98"/>
      <c r="Q1866" s="98"/>
      <c r="R1866" s="98"/>
      <c r="S1866" s="98"/>
      <c r="T1866" s="98"/>
      <c r="U1866" s="98"/>
      <c r="V1866" s="98"/>
      <c r="W1866" s="98"/>
      <c r="X1866" s="98"/>
      <c r="Y1866" s="98"/>
      <c r="Z1866" s="98"/>
      <c r="AA1866" s="98"/>
      <c r="AB1866" s="98"/>
      <c r="AC1866" s="98"/>
      <c r="AD1866" s="98"/>
      <c r="AE1866" s="98"/>
      <c r="AF1866" s="98"/>
      <c r="AG1866" s="98"/>
      <c r="AH1866" s="98"/>
      <c r="AI1866" s="98"/>
      <c r="AJ1866" s="98"/>
      <c r="AK1866" s="98"/>
      <c r="AL1866" s="98"/>
      <c r="AM1866" s="98"/>
    </row>
    <row r="1867" spans="1:39" s="100" customFormat="1" ht="15.6" x14ac:dyDescent="0.3">
      <c r="A1867" s="97"/>
      <c r="B1867" s="98"/>
      <c r="C1867" s="98"/>
      <c r="D1867" s="98"/>
      <c r="E1867" s="98"/>
      <c r="F1867" s="98"/>
      <c r="G1867" s="99"/>
      <c r="H1867" s="99"/>
      <c r="I1867" s="99"/>
      <c r="J1867" s="99"/>
      <c r="K1867" s="98"/>
      <c r="L1867" s="98"/>
      <c r="M1867" s="98"/>
      <c r="N1867" s="98"/>
      <c r="O1867" s="98"/>
      <c r="P1867" s="98"/>
      <c r="Q1867" s="98"/>
      <c r="R1867" s="98"/>
      <c r="S1867" s="98"/>
      <c r="T1867" s="98"/>
      <c r="U1867" s="98"/>
      <c r="V1867" s="98"/>
      <c r="W1867" s="98"/>
      <c r="X1867" s="98"/>
      <c r="Y1867" s="98"/>
      <c r="Z1867" s="98"/>
      <c r="AA1867" s="98"/>
      <c r="AB1867" s="98"/>
      <c r="AC1867" s="98"/>
      <c r="AD1867" s="98"/>
      <c r="AE1867" s="98"/>
      <c r="AF1867" s="98"/>
      <c r="AG1867" s="98"/>
      <c r="AH1867" s="98"/>
      <c r="AI1867" s="98"/>
      <c r="AJ1867" s="98"/>
      <c r="AK1867" s="98"/>
      <c r="AL1867" s="98"/>
      <c r="AM1867" s="98"/>
    </row>
    <row r="1868" spans="1:39" s="100" customFormat="1" ht="15.6" x14ac:dyDescent="0.3">
      <c r="A1868" s="97"/>
      <c r="B1868" s="98"/>
      <c r="C1868" s="98"/>
      <c r="D1868" s="98"/>
      <c r="E1868" s="98"/>
      <c r="F1868" s="98"/>
      <c r="G1868" s="99"/>
      <c r="H1868" s="99"/>
      <c r="I1868" s="99"/>
      <c r="J1868" s="99"/>
      <c r="K1868" s="98"/>
      <c r="L1868" s="98"/>
      <c r="M1868" s="98"/>
      <c r="N1868" s="98"/>
      <c r="O1868" s="98"/>
      <c r="P1868" s="98"/>
      <c r="Q1868" s="98"/>
      <c r="R1868" s="98"/>
      <c r="S1868" s="98"/>
      <c r="T1868" s="98"/>
      <c r="U1868" s="98"/>
      <c r="V1868" s="98"/>
      <c r="W1868" s="98"/>
      <c r="X1868" s="98"/>
      <c r="Y1868" s="98"/>
      <c r="Z1868" s="98"/>
      <c r="AA1868" s="98"/>
      <c r="AB1868" s="98"/>
      <c r="AC1868" s="98"/>
      <c r="AD1868" s="98"/>
      <c r="AE1868" s="98"/>
      <c r="AF1868" s="98"/>
      <c r="AG1868" s="98"/>
      <c r="AH1868" s="98"/>
      <c r="AI1868" s="98"/>
      <c r="AJ1868" s="98"/>
      <c r="AK1868" s="98"/>
      <c r="AL1868" s="98"/>
      <c r="AM1868" s="98"/>
    </row>
    <row r="1869" spans="1:39" s="100" customFormat="1" ht="15.6" x14ac:dyDescent="0.3">
      <c r="A1869" s="97"/>
      <c r="B1869" s="98"/>
      <c r="C1869" s="98"/>
      <c r="D1869" s="98"/>
      <c r="E1869" s="98"/>
      <c r="F1869" s="98"/>
      <c r="G1869" s="99"/>
      <c r="H1869" s="99"/>
      <c r="I1869" s="99"/>
      <c r="J1869" s="99"/>
      <c r="K1869" s="98"/>
      <c r="L1869" s="98"/>
      <c r="M1869" s="98"/>
      <c r="N1869" s="98"/>
      <c r="O1869" s="98"/>
      <c r="P1869" s="98"/>
      <c r="Q1869" s="98"/>
      <c r="R1869" s="98"/>
      <c r="S1869" s="98"/>
      <c r="T1869" s="98"/>
      <c r="U1869" s="98"/>
      <c r="V1869" s="98"/>
      <c r="W1869" s="98"/>
      <c r="X1869" s="98"/>
      <c r="Y1869" s="98"/>
      <c r="Z1869" s="98"/>
      <c r="AA1869" s="98"/>
      <c r="AB1869" s="98"/>
      <c r="AC1869" s="98"/>
      <c r="AD1869" s="98"/>
      <c r="AE1869" s="98"/>
      <c r="AF1869" s="98"/>
      <c r="AG1869" s="98"/>
      <c r="AH1869" s="98"/>
      <c r="AI1869" s="98"/>
      <c r="AJ1869" s="98"/>
      <c r="AK1869" s="98"/>
      <c r="AL1869" s="98"/>
      <c r="AM1869" s="98"/>
    </row>
    <row r="1870" spans="1:39" s="100" customFormat="1" ht="15.6" x14ac:dyDescent="0.3">
      <c r="A1870" s="97"/>
      <c r="B1870" s="98"/>
      <c r="C1870" s="98"/>
      <c r="D1870" s="98"/>
      <c r="E1870" s="98"/>
      <c r="F1870" s="98"/>
      <c r="G1870" s="99"/>
      <c r="H1870" s="99"/>
      <c r="I1870" s="99"/>
      <c r="J1870" s="99"/>
      <c r="K1870" s="98"/>
      <c r="L1870" s="98"/>
      <c r="M1870" s="98"/>
      <c r="N1870" s="98"/>
      <c r="O1870" s="98"/>
      <c r="P1870" s="98"/>
      <c r="Q1870" s="98"/>
      <c r="R1870" s="98"/>
      <c r="S1870" s="98"/>
      <c r="T1870" s="98"/>
      <c r="U1870" s="98"/>
      <c r="V1870" s="98"/>
      <c r="W1870" s="98"/>
      <c r="X1870" s="98"/>
      <c r="Y1870" s="98"/>
      <c r="Z1870" s="98"/>
      <c r="AA1870" s="98"/>
      <c r="AB1870" s="98"/>
      <c r="AC1870" s="98"/>
      <c r="AD1870" s="98"/>
      <c r="AE1870" s="98"/>
      <c r="AF1870" s="98"/>
      <c r="AG1870" s="98"/>
      <c r="AH1870" s="98"/>
      <c r="AI1870" s="98"/>
      <c r="AJ1870" s="98"/>
      <c r="AK1870" s="98"/>
      <c r="AL1870" s="98"/>
      <c r="AM1870" s="98"/>
    </row>
    <row r="1871" spans="1:39" s="100" customFormat="1" ht="15.6" x14ac:dyDescent="0.3">
      <c r="A1871" s="97"/>
      <c r="B1871" s="98"/>
      <c r="C1871" s="98"/>
      <c r="D1871" s="98"/>
      <c r="E1871" s="98"/>
      <c r="F1871" s="98"/>
      <c r="G1871" s="99"/>
      <c r="H1871" s="99"/>
      <c r="I1871" s="99"/>
      <c r="J1871" s="99"/>
      <c r="K1871" s="98"/>
      <c r="L1871" s="98"/>
      <c r="M1871" s="98"/>
      <c r="N1871" s="98"/>
      <c r="O1871" s="98"/>
      <c r="P1871" s="98"/>
      <c r="Q1871" s="98"/>
      <c r="R1871" s="98"/>
      <c r="S1871" s="98"/>
      <c r="T1871" s="98"/>
      <c r="U1871" s="98"/>
      <c r="V1871" s="98"/>
      <c r="W1871" s="98"/>
      <c r="X1871" s="98"/>
      <c r="Y1871" s="98"/>
      <c r="Z1871" s="98"/>
      <c r="AA1871" s="98"/>
      <c r="AB1871" s="98"/>
      <c r="AC1871" s="98"/>
      <c r="AD1871" s="98"/>
      <c r="AE1871" s="98"/>
      <c r="AF1871" s="98"/>
      <c r="AG1871" s="98"/>
      <c r="AH1871" s="98"/>
      <c r="AI1871" s="98"/>
      <c r="AJ1871" s="98"/>
      <c r="AK1871" s="98"/>
      <c r="AL1871" s="98"/>
      <c r="AM1871" s="98"/>
    </row>
    <row r="1872" spans="1:39" s="100" customFormat="1" ht="15.6" x14ac:dyDescent="0.3">
      <c r="A1872" s="97"/>
      <c r="B1872" s="98"/>
      <c r="C1872" s="98"/>
      <c r="D1872" s="98"/>
      <c r="E1872" s="98"/>
      <c r="F1872" s="98"/>
      <c r="G1872" s="99"/>
      <c r="H1872" s="99"/>
      <c r="I1872" s="99"/>
      <c r="J1872" s="99"/>
      <c r="K1872" s="98"/>
      <c r="L1872" s="98"/>
      <c r="M1872" s="98"/>
      <c r="N1872" s="98"/>
      <c r="O1872" s="98"/>
      <c r="P1872" s="98"/>
      <c r="Q1872" s="98"/>
      <c r="R1872" s="98"/>
      <c r="S1872" s="98"/>
      <c r="T1872" s="98"/>
      <c r="U1872" s="98"/>
      <c r="V1872" s="98"/>
      <c r="W1872" s="98"/>
      <c r="X1872" s="98"/>
      <c r="Y1872" s="98"/>
      <c r="Z1872" s="98"/>
      <c r="AA1872" s="98"/>
      <c r="AB1872" s="98"/>
      <c r="AC1872" s="98"/>
      <c r="AD1872" s="98"/>
      <c r="AE1872" s="98"/>
      <c r="AF1872" s="98"/>
      <c r="AG1872" s="98"/>
      <c r="AH1872" s="98"/>
      <c r="AI1872" s="98"/>
      <c r="AJ1872" s="98"/>
      <c r="AK1872" s="98"/>
      <c r="AL1872" s="98"/>
      <c r="AM1872" s="98"/>
    </row>
    <row r="1873" spans="1:39" s="100" customFormat="1" ht="15.6" x14ac:dyDescent="0.3">
      <c r="A1873" s="97"/>
      <c r="B1873" s="98"/>
      <c r="C1873" s="98"/>
      <c r="D1873" s="98"/>
      <c r="E1873" s="98"/>
      <c r="F1873" s="98"/>
      <c r="G1873" s="99"/>
      <c r="H1873" s="99"/>
      <c r="I1873" s="99"/>
      <c r="J1873" s="99"/>
      <c r="K1873" s="98"/>
      <c r="L1873" s="98"/>
      <c r="M1873" s="98"/>
      <c r="N1873" s="98"/>
      <c r="O1873" s="98"/>
      <c r="P1873" s="98"/>
      <c r="Q1873" s="98"/>
      <c r="R1873" s="98"/>
      <c r="S1873" s="98"/>
      <c r="T1873" s="98"/>
      <c r="U1873" s="98"/>
      <c r="V1873" s="98"/>
      <c r="W1873" s="98"/>
      <c r="X1873" s="98"/>
      <c r="Y1873" s="98"/>
      <c r="Z1873" s="98"/>
      <c r="AA1873" s="98"/>
      <c r="AB1873" s="98"/>
      <c r="AC1873" s="98"/>
      <c r="AD1873" s="98"/>
      <c r="AE1873" s="98"/>
      <c r="AF1873" s="98"/>
      <c r="AG1873" s="98"/>
      <c r="AH1873" s="98"/>
      <c r="AI1873" s="98"/>
      <c r="AJ1873" s="98"/>
      <c r="AK1873" s="98"/>
      <c r="AL1873" s="98"/>
      <c r="AM1873" s="98"/>
    </row>
    <row r="1874" spans="1:39" s="100" customFormat="1" ht="15.6" x14ac:dyDescent="0.3">
      <c r="A1874" s="97"/>
      <c r="B1874" s="98"/>
      <c r="C1874" s="98"/>
      <c r="D1874" s="98"/>
      <c r="E1874" s="98"/>
      <c r="F1874" s="98"/>
      <c r="G1874" s="99"/>
      <c r="H1874" s="99"/>
      <c r="I1874" s="99"/>
      <c r="J1874" s="99"/>
      <c r="K1874" s="98"/>
      <c r="L1874" s="98"/>
      <c r="M1874" s="98"/>
      <c r="N1874" s="98"/>
      <c r="O1874" s="98"/>
      <c r="P1874" s="98"/>
      <c r="Q1874" s="98"/>
      <c r="R1874" s="98"/>
      <c r="S1874" s="98"/>
      <c r="T1874" s="98"/>
      <c r="U1874" s="98"/>
      <c r="V1874" s="98"/>
      <c r="W1874" s="98"/>
      <c r="X1874" s="98"/>
      <c r="Y1874" s="98"/>
      <c r="Z1874" s="98"/>
      <c r="AA1874" s="98"/>
      <c r="AB1874" s="98"/>
      <c r="AC1874" s="98"/>
      <c r="AD1874" s="98"/>
      <c r="AE1874" s="98"/>
      <c r="AF1874" s="98"/>
      <c r="AG1874" s="98"/>
      <c r="AH1874" s="98"/>
      <c r="AI1874" s="98"/>
      <c r="AJ1874" s="98"/>
      <c r="AK1874" s="98"/>
      <c r="AL1874" s="98"/>
      <c r="AM1874" s="98"/>
    </row>
    <row r="1875" spans="1:39" s="100" customFormat="1" ht="15.6" x14ac:dyDescent="0.3">
      <c r="A1875" s="97"/>
      <c r="B1875" s="98"/>
      <c r="C1875" s="98"/>
      <c r="D1875" s="98"/>
      <c r="E1875" s="98"/>
      <c r="F1875" s="98"/>
      <c r="G1875" s="99"/>
      <c r="H1875" s="99"/>
      <c r="I1875" s="99"/>
      <c r="J1875" s="99"/>
      <c r="K1875" s="98"/>
      <c r="L1875" s="98"/>
      <c r="M1875" s="98"/>
      <c r="N1875" s="98"/>
      <c r="O1875" s="98"/>
      <c r="P1875" s="98"/>
      <c r="Q1875" s="98"/>
      <c r="R1875" s="98"/>
      <c r="S1875" s="98"/>
      <c r="T1875" s="98"/>
      <c r="U1875" s="98"/>
      <c r="V1875" s="98"/>
      <c r="W1875" s="98"/>
      <c r="X1875" s="98"/>
      <c r="Y1875" s="98"/>
      <c r="Z1875" s="98"/>
      <c r="AA1875" s="98"/>
      <c r="AB1875" s="98"/>
      <c r="AC1875" s="98"/>
      <c r="AD1875" s="98"/>
      <c r="AE1875" s="98"/>
      <c r="AF1875" s="98"/>
      <c r="AG1875" s="98"/>
      <c r="AH1875" s="98"/>
      <c r="AI1875" s="98"/>
      <c r="AJ1875" s="98"/>
      <c r="AK1875" s="98"/>
      <c r="AL1875" s="98"/>
      <c r="AM1875" s="98"/>
    </row>
    <row r="1876" spans="1:39" s="100" customFormat="1" ht="15.6" x14ac:dyDescent="0.3">
      <c r="A1876" s="97"/>
      <c r="B1876" s="98"/>
      <c r="C1876" s="98"/>
      <c r="D1876" s="98"/>
      <c r="E1876" s="98"/>
      <c r="F1876" s="98"/>
      <c r="G1876" s="99"/>
      <c r="H1876" s="99"/>
      <c r="I1876" s="99"/>
      <c r="J1876" s="99"/>
      <c r="K1876" s="98"/>
      <c r="L1876" s="98"/>
      <c r="M1876" s="98"/>
      <c r="N1876" s="98"/>
      <c r="O1876" s="98"/>
      <c r="P1876" s="98"/>
      <c r="Q1876" s="98"/>
      <c r="R1876" s="98"/>
      <c r="S1876" s="98"/>
      <c r="T1876" s="98"/>
      <c r="U1876" s="98"/>
      <c r="V1876" s="98"/>
      <c r="W1876" s="98"/>
      <c r="X1876" s="98"/>
      <c r="Y1876" s="98"/>
      <c r="Z1876" s="98"/>
      <c r="AA1876" s="98"/>
      <c r="AB1876" s="98"/>
      <c r="AC1876" s="98"/>
      <c r="AD1876" s="98"/>
      <c r="AE1876" s="98"/>
      <c r="AF1876" s="98"/>
      <c r="AG1876" s="98"/>
      <c r="AH1876" s="98"/>
      <c r="AI1876" s="98"/>
      <c r="AJ1876" s="98"/>
      <c r="AK1876" s="98"/>
      <c r="AL1876" s="98"/>
      <c r="AM1876" s="98"/>
    </row>
    <row r="1877" spans="1:39" s="100" customFormat="1" ht="15.6" x14ac:dyDescent="0.3">
      <c r="A1877" s="97"/>
      <c r="B1877" s="98"/>
      <c r="C1877" s="98"/>
      <c r="D1877" s="98"/>
      <c r="E1877" s="98"/>
      <c r="F1877" s="98"/>
      <c r="G1877" s="99"/>
      <c r="H1877" s="99"/>
      <c r="I1877" s="99"/>
      <c r="J1877" s="99"/>
      <c r="K1877" s="98"/>
      <c r="L1877" s="98"/>
      <c r="M1877" s="98"/>
      <c r="N1877" s="98"/>
      <c r="O1877" s="98"/>
      <c r="P1877" s="98"/>
      <c r="Q1877" s="98"/>
      <c r="R1877" s="98"/>
      <c r="S1877" s="98"/>
      <c r="T1877" s="98"/>
      <c r="U1877" s="98"/>
      <c r="V1877" s="98"/>
      <c r="W1877" s="98"/>
      <c r="X1877" s="98"/>
      <c r="Y1877" s="98"/>
      <c r="Z1877" s="98"/>
      <c r="AA1877" s="98"/>
      <c r="AB1877" s="98"/>
      <c r="AC1877" s="98"/>
      <c r="AD1877" s="98"/>
      <c r="AE1877" s="98"/>
      <c r="AF1877" s="98"/>
      <c r="AG1877" s="98"/>
      <c r="AH1877" s="98"/>
      <c r="AI1877" s="98"/>
      <c r="AJ1877" s="98"/>
      <c r="AK1877" s="98"/>
      <c r="AL1877" s="98"/>
      <c r="AM1877" s="98"/>
    </row>
    <row r="1878" spans="1:39" s="100" customFormat="1" ht="15.6" x14ac:dyDescent="0.3">
      <c r="A1878" s="97"/>
      <c r="B1878" s="98"/>
      <c r="C1878" s="98"/>
      <c r="D1878" s="98"/>
      <c r="E1878" s="98"/>
      <c r="F1878" s="98"/>
      <c r="G1878" s="99"/>
      <c r="H1878" s="99"/>
      <c r="I1878" s="99"/>
      <c r="J1878" s="99"/>
      <c r="K1878" s="98"/>
      <c r="L1878" s="98"/>
      <c r="M1878" s="98"/>
      <c r="N1878" s="98"/>
      <c r="O1878" s="98"/>
      <c r="P1878" s="98"/>
      <c r="Q1878" s="98"/>
      <c r="R1878" s="98"/>
      <c r="S1878" s="98"/>
      <c r="T1878" s="98"/>
      <c r="U1878" s="98"/>
      <c r="V1878" s="98"/>
      <c r="W1878" s="98"/>
      <c r="X1878" s="98"/>
      <c r="Y1878" s="98"/>
      <c r="Z1878" s="98"/>
      <c r="AA1878" s="98"/>
      <c r="AB1878" s="98"/>
      <c r="AC1878" s="98"/>
      <c r="AD1878" s="98"/>
      <c r="AE1878" s="98"/>
      <c r="AF1878" s="98"/>
      <c r="AG1878" s="98"/>
      <c r="AH1878" s="98"/>
      <c r="AI1878" s="98"/>
      <c r="AJ1878" s="98"/>
      <c r="AK1878" s="98"/>
      <c r="AL1878" s="98"/>
      <c r="AM1878" s="98"/>
    </row>
    <row r="1879" spans="1:39" s="100" customFormat="1" ht="15.6" x14ac:dyDescent="0.3">
      <c r="A1879" s="97"/>
      <c r="B1879" s="98"/>
      <c r="C1879" s="98"/>
      <c r="D1879" s="98"/>
      <c r="E1879" s="98"/>
      <c r="F1879" s="98"/>
      <c r="G1879" s="99"/>
      <c r="H1879" s="99"/>
      <c r="I1879" s="99"/>
      <c r="J1879" s="99"/>
      <c r="K1879" s="98"/>
      <c r="L1879" s="98"/>
      <c r="M1879" s="98"/>
      <c r="N1879" s="98"/>
      <c r="O1879" s="98"/>
      <c r="P1879" s="98"/>
      <c r="Q1879" s="98"/>
      <c r="R1879" s="98"/>
      <c r="S1879" s="98"/>
      <c r="T1879" s="98"/>
      <c r="U1879" s="98"/>
      <c r="V1879" s="98"/>
      <c r="W1879" s="98"/>
      <c r="X1879" s="98"/>
      <c r="Y1879" s="98"/>
      <c r="Z1879" s="98"/>
      <c r="AA1879" s="98"/>
      <c r="AB1879" s="98"/>
      <c r="AC1879" s="98"/>
      <c r="AD1879" s="98"/>
      <c r="AE1879" s="98"/>
      <c r="AF1879" s="98"/>
      <c r="AG1879" s="98"/>
      <c r="AH1879" s="98"/>
      <c r="AI1879" s="98"/>
      <c r="AJ1879" s="98"/>
      <c r="AK1879" s="98"/>
      <c r="AL1879" s="98"/>
      <c r="AM1879" s="98"/>
    </row>
    <row r="1880" spans="1:39" s="100" customFormat="1" ht="15.6" x14ac:dyDescent="0.3">
      <c r="A1880" s="97"/>
      <c r="B1880" s="98"/>
      <c r="C1880" s="98"/>
      <c r="D1880" s="98"/>
      <c r="E1880" s="98"/>
      <c r="F1880" s="98"/>
      <c r="G1880" s="99"/>
      <c r="H1880" s="99"/>
      <c r="I1880" s="99"/>
      <c r="J1880" s="99"/>
      <c r="K1880" s="98"/>
      <c r="L1880" s="98"/>
      <c r="M1880" s="98"/>
      <c r="N1880" s="98"/>
      <c r="O1880" s="98"/>
      <c r="P1880" s="98"/>
      <c r="Q1880" s="98"/>
      <c r="R1880" s="98"/>
      <c r="S1880" s="98"/>
      <c r="T1880" s="98"/>
      <c r="U1880" s="98"/>
      <c r="V1880" s="98"/>
      <c r="W1880" s="98"/>
      <c r="X1880" s="98"/>
      <c r="Y1880" s="98"/>
      <c r="Z1880" s="98"/>
      <c r="AA1880" s="98"/>
      <c r="AB1880" s="98"/>
      <c r="AC1880" s="98"/>
      <c r="AD1880" s="98"/>
      <c r="AE1880" s="98"/>
      <c r="AF1880" s="98"/>
      <c r="AG1880" s="98"/>
      <c r="AH1880" s="98"/>
      <c r="AI1880" s="98"/>
      <c r="AJ1880" s="98"/>
      <c r="AK1880" s="98"/>
      <c r="AL1880" s="98"/>
      <c r="AM1880" s="98"/>
    </row>
    <row r="1881" spans="1:39" s="100" customFormat="1" ht="15.6" x14ac:dyDescent="0.3">
      <c r="A1881" s="97"/>
      <c r="B1881" s="98"/>
      <c r="C1881" s="98"/>
      <c r="D1881" s="98"/>
      <c r="E1881" s="98"/>
      <c r="F1881" s="98"/>
      <c r="G1881" s="99"/>
      <c r="H1881" s="99"/>
      <c r="I1881" s="99"/>
      <c r="J1881" s="99"/>
      <c r="K1881" s="98"/>
      <c r="L1881" s="98"/>
      <c r="M1881" s="98"/>
      <c r="N1881" s="98"/>
      <c r="O1881" s="98"/>
      <c r="P1881" s="98"/>
      <c r="Q1881" s="98"/>
      <c r="R1881" s="98"/>
      <c r="S1881" s="98"/>
      <c r="T1881" s="98"/>
      <c r="U1881" s="98"/>
      <c r="V1881" s="98"/>
      <c r="W1881" s="98"/>
      <c r="X1881" s="98"/>
      <c r="Y1881" s="98"/>
      <c r="Z1881" s="98"/>
      <c r="AA1881" s="98"/>
      <c r="AB1881" s="98"/>
      <c r="AC1881" s="98"/>
      <c r="AD1881" s="98"/>
      <c r="AE1881" s="98"/>
      <c r="AF1881" s="98"/>
      <c r="AG1881" s="98"/>
      <c r="AH1881" s="98"/>
      <c r="AI1881" s="98"/>
      <c r="AJ1881" s="98"/>
      <c r="AK1881" s="98"/>
      <c r="AL1881" s="98"/>
      <c r="AM1881" s="98"/>
    </row>
    <row r="1882" spans="1:39" s="100" customFormat="1" ht="15.6" x14ac:dyDescent="0.3">
      <c r="A1882" s="97"/>
      <c r="B1882" s="98"/>
      <c r="C1882" s="98"/>
      <c r="D1882" s="98"/>
      <c r="E1882" s="98"/>
      <c r="F1882" s="98"/>
      <c r="G1882" s="99"/>
      <c r="H1882" s="99"/>
      <c r="I1882" s="99"/>
      <c r="J1882" s="99"/>
      <c r="K1882" s="98"/>
      <c r="L1882" s="98"/>
      <c r="M1882" s="98"/>
      <c r="N1882" s="98"/>
      <c r="O1882" s="98"/>
      <c r="P1882" s="98"/>
      <c r="Q1882" s="98"/>
      <c r="R1882" s="98"/>
      <c r="S1882" s="98"/>
      <c r="T1882" s="98"/>
      <c r="U1882" s="98"/>
      <c r="V1882" s="98"/>
      <c r="W1882" s="98"/>
      <c r="X1882" s="98"/>
      <c r="Y1882" s="98"/>
      <c r="Z1882" s="98"/>
      <c r="AA1882" s="98"/>
      <c r="AB1882" s="98"/>
      <c r="AC1882" s="98"/>
      <c r="AD1882" s="98"/>
      <c r="AE1882" s="98"/>
      <c r="AF1882" s="98"/>
      <c r="AG1882" s="98"/>
      <c r="AH1882" s="98"/>
      <c r="AI1882" s="98"/>
      <c r="AJ1882" s="98"/>
      <c r="AK1882" s="98"/>
      <c r="AL1882" s="98"/>
      <c r="AM1882" s="98"/>
    </row>
    <row r="1883" spans="1:39" s="100" customFormat="1" ht="15.6" x14ac:dyDescent="0.3">
      <c r="A1883" s="97"/>
      <c r="B1883" s="98"/>
      <c r="C1883" s="98"/>
      <c r="D1883" s="98"/>
      <c r="E1883" s="98"/>
      <c r="F1883" s="98"/>
      <c r="G1883" s="99"/>
      <c r="H1883" s="99"/>
      <c r="I1883" s="99"/>
      <c r="J1883" s="99"/>
      <c r="K1883" s="98"/>
      <c r="L1883" s="98"/>
      <c r="M1883" s="98"/>
      <c r="N1883" s="98"/>
      <c r="O1883" s="98"/>
      <c r="P1883" s="98"/>
      <c r="Q1883" s="98"/>
      <c r="R1883" s="98"/>
      <c r="S1883" s="98"/>
      <c r="T1883" s="98"/>
      <c r="U1883" s="98"/>
      <c r="V1883" s="98"/>
      <c r="W1883" s="98"/>
      <c r="X1883" s="98"/>
      <c r="Y1883" s="98"/>
      <c r="Z1883" s="98"/>
      <c r="AA1883" s="98"/>
      <c r="AB1883" s="98"/>
      <c r="AC1883" s="98"/>
      <c r="AD1883" s="98"/>
      <c r="AE1883" s="98"/>
      <c r="AF1883" s="98"/>
      <c r="AG1883" s="98"/>
      <c r="AH1883" s="98"/>
      <c r="AI1883" s="98"/>
      <c r="AJ1883" s="98"/>
      <c r="AK1883" s="98"/>
      <c r="AL1883" s="98"/>
      <c r="AM1883" s="98"/>
    </row>
    <row r="1884" spans="1:39" s="100" customFormat="1" ht="15.6" x14ac:dyDescent="0.3">
      <c r="A1884" s="97"/>
      <c r="B1884" s="98"/>
      <c r="C1884" s="98"/>
      <c r="D1884" s="98"/>
      <c r="E1884" s="98"/>
      <c r="F1884" s="98"/>
      <c r="G1884" s="99"/>
      <c r="H1884" s="99"/>
      <c r="I1884" s="99"/>
      <c r="J1884" s="99"/>
      <c r="K1884" s="98"/>
      <c r="L1884" s="98"/>
      <c r="M1884" s="98"/>
      <c r="N1884" s="98"/>
      <c r="O1884" s="98"/>
      <c r="P1884" s="98"/>
      <c r="Q1884" s="98"/>
      <c r="R1884" s="98"/>
      <c r="S1884" s="98"/>
      <c r="T1884" s="98"/>
      <c r="U1884" s="98"/>
      <c r="V1884" s="98"/>
      <c r="W1884" s="98"/>
      <c r="X1884" s="98"/>
      <c r="Y1884" s="98"/>
      <c r="Z1884" s="98"/>
      <c r="AA1884" s="98"/>
      <c r="AB1884" s="98"/>
      <c r="AC1884" s="98"/>
      <c r="AD1884" s="98"/>
      <c r="AE1884" s="98"/>
      <c r="AF1884" s="98"/>
      <c r="AG1884" s="98"/>
      <c r="AH1884" s="98"/>
      <c r="AI1884" s="98"/>
      <c r="AJ1884" s="98"/>
      <c r="AK1884" s="98"/>
      <c r="AL1884" s="98"/>
      <c r="AM1884" s="98"/>
    </row>
    <row r="1885" spans="1:39" s="100" customFormat="1" ht="15.6" x14ac:dyDescent="0.3">
      <c r="A1885" s="97"/>
      <c r="B1885" s="98"/>
      <c r="C1885" s="98"/>
      <c r="D1885" s="98"/>
      <c r="E1885" s="98"/>
      <c r="F1885" s="98"/>
      <c r="G1885" s="99"/>
      <c r="H1885" s="99"/>
      <c r="I1885" s="99"/>
      <c r="J1885" s="99"/>
      <c r="K1885" s="98"/>
      <c r="L1885" s="98"/>
      <c r="M1885" s="98"/>
      <c r="N1885" s="98"/>
      <c r="O1885" s="98"/>
      <c r="P1885" s="98"/>
      <c r="Q1885" s="98"/>
      <c r="R1885" s="98"/>
      <c r="S1885" s="98"/>
      <c r="T1885" s="98"/>
      <c r="U1885" s="98"/>
      <c r="V1885" s="98"/>
      <c r="W1885" s="98"/>
      <c r="X1885" s="98"/>
      <c r="Y1885" s="98"/>
      <c r="Z1885" s="98"/>
      <c r="AA1885" s="98"/>
      <c r="AB1885" s="98"/>
      <c r="AC1885" s="98"/>
      <c r="AD1885" s="98"/>
      <c r="AE1885" s="98"/>
      <c r="AF1885" s="98"/>
      <c r="AG1885" s="98"/>
      <c r="AH1885" s="98"/>
      <c r="AI1885" s="98"/>
      <c r="AJ1885" s="98"/>
      <c r="AK1885" s="98"/>
      <c r="AL1885" s="98"/>
      <c r="AM1885" s="98"/>
    </row>
    <row r="1886" spans="1:39" s="100" customFormat="1" ht="15.6" x14ac:dyDescent="0.3">
      <c r="A1886" s="97"/>
      <c r="B1886" s="98"/>
      <c r="C1886" s="98"/>
      <c r="D1886" s="98"/>
      <c r="E1886" s="98"/>
      <c r="F1886" s="98"/>
      <c r="G1886" s="99"/>
      <c r="H1886" s="99"/>
      <c r="I1886" s="99"/>
      <c r="J1886" s="99"/>
      <c r="K1886" s="98"/>
      <c r="L1886" s="98"/>
      <c r="M1886" s="98"/>
      <c r="N1886" s="98"/>
      <c r="O1886" s="98"/>
      <c r="P1886" s="98"/>
      <c r="Q1886" s="98"/>
      <c r="R1886" s="98"/>
      <c r="S1886" s="98"/>
      <c r="T1886" s="98"/>
      <c r="U1886" s="98"/>
      <c r="V1886" s="98"/>
      <c r="W1886" s="98"/>
      <c r="X1886" s="98"/>
      <c r="Y1886" s="98"/>
      <c r="Z1886" s="98"/>
      <c r="AA1886" s="98"/>
      <c r="AB1886" s="98"/>
      <c r="AC1886" s="98"/>
      <c r="AD1886" s="98"/>
      <c r="AE1886" s="98"/>
      <c r="AF1886" s="98"/>
      <c r="AG1886" s="98"/>
      <c r="AH1886" s="98"/>
      <c r="AI1886" s="98"/>
      <c r="AJ1886" s="98"/>
      <c r="AK1886" s="98"/>
      <c r="AL1886" s="98"/>
      <c r="AM1886" s="98"/>
    </row>
    <row r="1887" spans="1:39" s="100" customFormat="1" ht="15.6" x14ac:dyDescent="0.3">
      <c r="A1887" s="97"/>
      <c r="B1887" s="98"/>
      <c r="C1887" s="98"/>
      <c r="D1887" s="98"/>
      <c r="E1887" s="98"/>
      <c r="F1887" s="98"/>
      <c r="G1887" s="99"/>
      <c r="H1887" s="99"/>
      <c r="I1887" s="99"/>
      <c r="J1887" s="99"/>
      <c r="K1887" s="98"/>
      <c r="L1887" s="98"/>
      <c r="M1887" s="98"/>
      <c r="N1887" s="98"/>
      <c r="O1887" s="98"/>
      <c r="P1887" s="98"/>
      <c r="Q1887" s="98"/>
      <c r="R1887" s="98"/>
      <c r="S1887" s="98"/>
      <c r="T1887" s="98"/>
      <c r="U1887" s="98"/>
      <c r="V1887" s="98"/>
      <c r="W1887" s="98"/>
      <c r="X1887" s="98"/>
      <c r="Y1887" s="98"/>
      <c r="Z1887" s="98"/>
      <c r="AA1887" s="98"/>
      <c r="AB1887" s="98"/>
      <c r="AC1887" s="98"/>
      <c r="AD1887" s="98"/>
      <c r="AE1887" s="98"/>
      <c r="AF1887" s="98"/>
      <c r="AG1887" s="98"/>
      <c r="AH1887" s="98"/>
      <c r="AI1887" s="98"/>
      <c r="AJ1887" s="98"/>
      <c r="AK1887" s="98"/>
      <c r="AL1887" s="98"/>
      <c r="AM1887" s="98"/>
    </row>
    <row r="1888" spans="1:39" s="100" customFormat="1" ht="15.6" x14ac:dyDescent="0.3">
      <c r="A1888" s="97"/>
      <c r="B1888" s="98"/>
      <c r="C1888" s="98"/>
      <c r="D1888" s="98"/>
      <c r="E1888" s="98"/>
      <c r="F1888" s="98"/>
      <c r="G1888" s="99"/>
      <c r="H1888" s="99"/>
      <c r="I1888" s="99"/>
      <c r="J1888" s="99"/>
      <c r="K1888" s="98"/>
      <c r="L1888" s="98"/>
      <c r="M1888" s="98"/>
      <c r="N1888" s="98"/>
      <c r="O1888" s="98"/>
      <c r="P1888" s="98"/>
      <c r="Q1888" s="98"/>
      <c r="R1888" s="98"/>
      <c r="S1888" s="98"/>
      <c r="T1888" s="98"/>
      <c r="U1888" s="98"/>
      <c r="V1888" s="98"/>
      <c r="W1888" s="98"/>
      <c r="X1888" s="98"/>
      <c r="Y1888" s="98"/>
      <c r="Z1888" s="98"/>
      <c r="AA1888" s="98"/>
      <c r="AB1888" s="98"/>
      <c r="AC1888" s="98"/>
      <c r="AD1888" s="98"/>
      <c r="AE1888" s="98"/>
      <c r="AF1888" s="98"/>
      <c r="AG1888" s="98"/>
      <c r="AH1888" s="98"/>
      <c r="AI1888" s="98"/>
      <c r="AJ1888" s="98"/>
      <c r="AK1888" s="98"/>
      <c r="AL1888" s="98"/>
      <c r="AM1888" s="98"/>
    </row>
    <row r="1889" spans="1:39" s="100" customFormat="1" ht="15.6" x14ac:dyDescent="0.3">
      <c r="A1889" s="97"/>
      <c r="B1889" s="98"/>
      <c r="C1889" s="98"/>
      <c r="D1889" s="98"/>
      <c r="E1889" s="98"/>
      <c r="F1889" s="98"/>
      <c r="G1889" s="99"/>
      <c r="H1889" s="99"/>
      <c r="I1889" s="99"/>
      <c r="J1889" s="99"/>
      <c r="K1889" s="98"/>
      <c r="L1889" s="98"/>
      <c r="M1889" s="98"/>
      <c r="N1889" s="98"/>
      <c r="O1889" s="98"/>
      <c r="P1889" s="98"/>
      <c r="Q1889" s="98"/>
      <c r="R1889" s="98"/>
      <c r="S1889" s="98"/>
      <c r="T1889" s="98"/>
      <c r="U1889" s="98"/>
      <c r="V1889" s="98"/>
      <c r="W1889" s="98"/>
      <c r="X1889" s="98"/>
      <c r="Y1889" s="98"/>
      <c r="Z1889" s="98"/>
      <c r="AA1889" s="98"/>
      <c r="AB1889" s="98"/>
      <c r="AC1889" s="98"/>
      <c r="AD1889" s="98"/>
      <c r="AE1889" s="98"/>
      <c r="AF1889" s="98"/>
      <c r="AG1889" s="98"/>
      <c r="AH1889" s="98"/>
      <c r="AI1889" s="98"/>
      <c r="AJ1889" s="98"/>
      <c r="AK1889" s="98"/>
      <c r="AL1889" s="98"/>
      <c r="AM1889" s="98"/>
    </row>
    <row r="1890" spans="1:39" s="100" customFormat="1" ht="15.6" x14ac:dyDescent="0.3">
      <c r="A1890" s="97"/>
      <c r="B1890" s="98"/>
      <c r="C1890" s="98"/>
      <c r="D1890" s="98"/>
      <c r="E1890" s="98"/>
      <c r="F1890" s="98"/>
      <c r="G1890" s="99"/>
      <c r="H1890" s="99"/>
      <c r="I1890" s="99"/>
      <c r="J1890" s="99"/>
      <c r="K1890" s="98"/>
      <c r="L1890" s="98"/>
      <c r="M1890" s="98"/>
      <c r="N1890" s="98"/>
      <c r="O1890" s="98"/>
      <c r="P1890" s="98"/>
      <c r="Q1890" s="98"/>
      <c r="R1890" s="98"/>
      <c r="S1890" s="98"/>
      <c r="T1890" s="98"/>
      <c r="U1890" s="98"/>
      <c r="V1890" s="98"/>
      <c r="W1890" s="98"/>
      <c r="X1890" s="98"/>
      <c r="Y1890" s="98"/>
      <c r="Z1890" s="98"/>
      <c r="AA1890" s="98"/>
      <c r="AB1890" s="98"/>
      <c r="AC1890" s="98"/>
      <c r="AD1890" s="98"/>
      <c r="AE1890" s="98"/>
      <c r="AF1890" s="98"/>
      <c r="AG1890" s="98"/>
      <c r="AH1890" s="98"/>
      <c r="AI1890" s="98"/>
      <c r="AJ1890" s="98"/>
      <c r="AK1890" s="98"/>
      <c r="AL1890" s="98"/>
      <c r="AM1890" s="98"/>
    </row>
    <row r="1891" spans="1:39" s="100" customFormat="1" ht="15.6" x14ac:dyDescent="0.3">
      <c r="A1891" s="97"/>
      <c r="B1891" s="98"/>
      <c r="C1891" s="98"/>
      <c r="D1891" s="98"/>
      <c r="E1891" s="98"/>
      <c r="F1891" s="98"/>
      <c r="G1891" s="99"/>
      <c r="H1891" s="99"/>
      <c r="I1891" s="99"/>
      <c r="J1891" s="99"/>
      <c r="K1891" s="98"/>
      <c r="L1891" s="98"/>
      <c r="M1891" s="98"/>
      <c r="N1891" s="98"/>
      <c r="O1891" s="98"/>
      <c r="P1891" s="98"/>
      <c r="Q1891" s="98"/>
      <c r="R1891" s="98"/>
      <c r="S1891" s="98"/>
      <c r="T1891" s="98"/>
      <c r="U1891" s="98"/>
      <c r="V1891" s="98"/>
      <c r="W1891" s="98"/>
      <c r="X1891" s="98"/>
      <c r="Y1891" s="98"/>
      <c r="Z1891" s="98"/>
      <c r="AA1891" s="98"/>
      <c r="AB1891" s="98"/>
      <c r="AC1891" s="98"/>
      <c r="AD1891" s="98"/>
      <c r="AE1891" s="98"/>
      <c r="AF1891" s="98"/>
      <c r="AG1891" s="98"/>
      <c r="AH1891" s="98"/>
      <c r="AI1891" s="98"/>
      <c r="AJ1891" s="98"/>
      <c r="AK1891" s="98"/>
      <c r="AL1891" s="98"/>
      <c r="AM1891" s="98"/>
    </row>
    <row r="1892" spans="1:39" s="100" customFormat="1" ht="15.6" x14ac:dyDescent="0.3">
      <c r="A1892" s="97"/>
      <c r="B1892" s="98"/>
      <c r="C1892" s="98"/>
      <c r="D1892" s="98"/>
      <c r="E1892" s="98"/>
      <c r="F1892" s="98"/>
      <c r="G1892" s="99"/>
      <c r="H1892" s="99"/>
      <c r="I1892" s="99"/>
      <c r="J1892" s="99"/>
      <c r="K1892" s="98"/>
      <c r="L1892" s="98"/>
      <c r="M1892" s="98"/>
      <c r="N1892" s="98"/>
      <c r="O1892" s="98"/>
      <c r="P1892" s="98"/>
      <c r="Q1892" s="98"/>
      <c r="R1892" s="98"/>
      <c r="S1892" s="98"/>
      <c r="T1892" s="98"/>
      <c r="U1892" s="98"/>
      <c r="V1892" s="98"/>
      <c r="W1892" s="98"/>
      <c r="X1892" s="98"/>
      <c r="Y1892" s="98"/>
      <c r="Z1892" s="98"/>
      <c r="AA1892" s="98"/>
      <c r="AB1892" s="98"/>
      <c r="AC1892" s="98"/>
      <c r="AD1892" s="98"/>
      <c r="AE1892" s="98"/>
      <c r="AF1892" s="98"/>
      <c r="AG1892" s="98"/>
      <c r="AH1892" s="98"/>
      <c r="AI1892" s="98"/>
      <c r="AJ1892" s="98"/>
      <c r="AK1892" s="98"/>
      <c r="AL1892" s="98"/>
      <c r="AM1892" s="98"/>
    </row>
    <row r="1893" spans="1:39" s="100" customFormat="1" ht="15.6" x14ac:dyDescent="0.3">
      <c r="A1893" s="97"/>
      <c r="B1893" s="98"/>
      <c r="C1893" s="98"/>
      <c r="D1893" s="98"/>
      <c r="E1893" s="98"/>
      <c r="F1893" s="98"/>
      <c r="G1893" s="99"/>
      <c r="H1893" s="99"/>
      <c r="I1893" s="99"/>
      <c r="J1893" s="99"/>
      <c r="K1893" s="98"/>
      <c r="L1893" s="98"/>
      <c r="M1893" s="98"/>
      <c r="N1893" s="98"/>
      <c r="O1893" s="98"/>
      <c r="P1893" s="98"/>
      <c r="Q1893" s="98"/>
      <c r="R1893" s="98"/>
      <c r="S1893" s="98"/>
      <c r="T1893" s="98"/>
      <c r="U1893" s="98"/>
      <c r="V1893" s="98"/>
      <c r="W1893" s="98"/>
      <c r="X1893" s="98"/>
      <c r="Y1893" s="98"/>
      <c r="Z1893" s="98"/>
      <c r="AA1893" s="98"/>
      <c r="AB1893" s="98"/>
      <c r="AC1893" s="98"/>
      <c r="AD1893" s="98"/>
      <c r="AE1893" s="98"/>
      <c r="AF1893" s="98"/>
      <c r="AG1893" s="98"/>
      <c r="AH1893" s="98"/>
      <c r="AI1893" s="98"/>
      <c r="AJ1893" s="98"/>
      <c r="AK1893" s="98"/>
      <c r="AL1893" s="98"/>
      <c r="AM1893" s="98"/>
    </row>
    <row r="1894" spans="1:39" s="100" customFormat="1" ht="15.6" x14ac:dyDescent="0.3">
      <c r="A1894" s="97"/>
      <c r="B1894" s="98"/>
      <c r="C1894" s="98"/>
      <c r="D1894" s="98"/>
      <c r="E1894" s="98"/>
      <c r="F1894" s="98"/>
      <c r="G1894" s="99"/>
      <c r="H1894" s="99"/>
      <c r="I1894" s="99"/>
      <c r="J1894" s="99"/>
      <c r="K1894" s="98"/>
      <c r="L1894" s="98"/>
      <c r="M1894" s="98"/>
      <c r="N1894" s="98"/>
      <c r="O1894" s="98"/>
      <c r="P1894" s="98"/>
      <c r="Q1894" s="98"/>
      <c r="R1894" s="98"/>
      <c r="S1894" s="98"/>
      <c r="T1894" s="98"/>
      <c r="U1894" s="98"/>
      <c r="V1894" s="98"/>
      <c r="W1894" s="98"/>
      <c r="X1894" s="98"/>
      <c r="Y1894" s="98"/>
      <c r="Z1894" s="98"/>
      <c r="AA1894" s="98"/>
      <c r="AB1894" s="98"/>
      <c r="AC1894" s="98"/>
      <c r="AD1894" s="98"/>
      <c r="AE1894" s="98"/>
      <c r="AF1894" s="98"/>
      <c r="AG1894" s="98"/>
      <c r="AH1894" s="98"/>
      <c r="AI1894" s="98"/>
      <c r="AJ1894" s="98"/>
      <c r="AK1894" s="98"/>
      <c r="AL1894" s="98"/>
      <c r="AM1894" s="98"/>
    </row>
    <row r="1895" spans="1:39" s="100" customFormat="1" ht="15.6" x14ac:dyDescent="0.3">
      <c r="A1895" s="97"/>
      <c r="B1895" s="98"/>
      <c r="C1895" s="98"/>
      <c r="D1895" s="98"/>
      <c r="E1895" s="98"/>
      <c r="F1895" s="98"/>
      <c r="G1895" s="99"/>
      <c r="H1895" s="99"/>
      <c r="I1895" s="99"/>
      <c r="J1895" s="99"/>
      <c r="K1895" s="98"/>
      <c r="L1895" s="98"/>
      <c r="M1895" s="98"/>
      <c r="N1895" s="98"/>
      <c r="O1895" s="98"/>
      <c r="P1895" s="98"/>
      <c r="Q1895" s="98"/>
      <c r="R1895" s="98"/>
      <c r="S1895" s="98"/>
      <c r="T1895" s="98"/>
      <c r="U1895" s="98"/>
      <c r="V1895" s="98"/>
      <c r="W1895" s="98"/>
      <c r="X1895" s="98"/>
      <c r="Y1895" s="98"/>
      <c r="Z1895" s="98"/>
      <c r="AA1895" s="98"/>
      <c r="AB1895" s="98"/>
      <c r="AC1895" s="98"/>
      <c r="AD1895" s="98"/>
      <c r="AE1895" s="98"/>
      <c r="AF1895" s="98"/>
      <c r="AG1895" s="98"/>
      <c r="AH1895" s="98"/>
      <c r="AI1895" s="98"/>
      <c r="AJ1895" s="98"/>
      <c r="AK1895" s="98"/>
      <c r="AL1895" s="98"/>
      <c r="AM1895" s="98"/>
    </row>
    <row r="1896" spans="1:39" s="100" customFormat="1" ht="15.6" x14ac:dyDescent="0.3">
      <c r="A1896" s="97"/>
      <c r="B1896" s="98"/>
      <c r="C1896" s="98"/>
      <c r="D1896" s="98"/>
      <c r="E1896" s="98"/>
      <c r="F1896" s="98"/>
      <c r="G1896" s="99"/>
      <c r="H1896" s="99"/>
      <c r="I1896" s="99"/>
      <c r="J1896" s="99"/>
      <c r="K1896" s="98"/>
      <c r="L1896" s="98"/>
      <c r="M1896" s="98"/>
      <c r="N1896" s="98"/>
      <c r="O1896" s="98"/>
      <c r="P1896" s="98"/>
      <c r="Q1896" s="98"/>
      <c r="R1896" s="98"/>
      <c r="S1896" s="98"/>
      <c r="T1896" s="98"/>
      <c r="U1896" s="98"/>
      <c r="V1896" s="98"/>
      <c r="W1896" s="98"/>
      <c r="X1896" s="98"/>
      <c r="Y1896" s="98"/>
      <c r="Z1896" s="98"/>
      <c r="AA1896" s="98"/>
      <c r="AB1896" s="98"/>
      <c r="AC1896" s="98"/>
      <c r="AD1896" s="98"/>
      <c r="AE1896" s="98"/>
      <c r="AF1896" s="98"/>
      <c r="AG1896" s="98"/>
      <c r="AH1896" s="98"/>
      <c r="AI1896" s="98"/>
      <c r="AJ1896" s="98"/>
      <c r="AK1896" s="98"/>
      <c r="AL1896" s="98"/>
      <c r="AM1896" s="98"/>
    </row>
    <row r="1897" spans="1:39" s="100" customFormat="1" ht="15.6" x14ac:dyDescent="0.3">
      <c r="A1897" s="97"/>
      <c r="B1897" s="98"/>
      <c r="C1897" s="98"/>
      <c r="D1897" s="98"/>
      <c r="E1897" s="98"/>
      <c r="F1897" s="98"/>
      <c r="G1897" s="99"/>
      <c r="H1897" s="99"/>
      <c r="I1897" s="99"/>
      <c r="J1897" s="99"/>
      <c r="K1897" s="98"/>
      <c r="L1897" s="98"/>
      <c r="M1897" s="98"/>
      <c r="N1897" s="98"/>
      <c r="O1897" s="98"/>
      <c r="P1897" s="98"/>
      <c r="Q1897" s="98"/>
      <c r="R1897" s="98"/>
      <c r="S1897" s="98"/>
      <c r="T1897" s="98"/>
      <c r="U1897" s="98"/>
      <c r="V1897" s="98"/>
      <c r="W1897" s="98"/>
      <c r="X1897" s="98"/>
      <c r="Y1897" s="98"/>
      <c r="Z1897" s="98"/>
      <c r="AA1897" s="98"/>
      <c r="AB1897" s="98"/>
      <c r="AC1897" s="98"/>
      <c r="AD1897" s="98"/>
      <c r="AE1897" s="98"/>
      <c r="AF1897" s="98"/>
      <c r="AG1897" s="98"/>
      <c r="AH1897" s="98"/>
      <c r="AI1897" s="98"/>
      <c r="AJ1897" s="98"/>
      <c r="AK1897" s="98"/>
      <c r="AL1897" s="98"/>
      <c r="AM1897" s="98"/>
    </row>
    <row r="1898" spans="1:39" s="100" customFormat="1" ht="15.6" x14ac:dyDescent="0.3">
      <c r="A1898" s="97"/>
      <c r="B1898" s="98"/>
      <c r="C1898" s="98"/>
      <c r="D1898" s="98"/>
      <c r="E1898" s="98"/>
      <c r="F1898" s="98"/>
      <c r="G1898" s="99"/>
      <c r="H1898" s="99"/>
      <c r="I1898" s="99"/>
      <c r="J1898" s="99"/>
      <c r="K1898" s="98"/>
      <c r="L1898" s="98"/>
      <c r="M1898" s="98"/>
      <c r="N1898" s="98"/>
      <c r="O1898" s="98"/>
      <c r="P1898" s="98"/>
      <c r="Q1898" s="98"/>
      <c r="R1898" s="98"/>
      <c r="S1898" s="98"/>
      <c r="T1898" s="98"/>
      <c r="U1898" s="98"/>
      <c r="V1898" s="98"/>
      <c r="W1898" s="98"/>
      <c r="X1898" s="98"/>
      <c r="Y1898" s="98"/>
      <c r="Z1898" s="98"/>
      <c r="AA1898" s="98"/>
      <c r="AB1898" s="98"/>
      <c r="AC1898" s="98"/>
      <c r="AD1898" s="98"/>
      <c r="AE1898" s="98"/>
      <c r="AF1898" s="98"/>
      <c r="AG1898" s="98"/>
      <c r="AH1898" s="98"/>
      <c r="AI1898" s="98"/>
      <c r="AJ1898" s="98"/>
      <c r="AK1898" s="98"/>
      <c r="AL1898" s="98"/>
      <c r="AM1898" s="98"/>
    </row>
    <row r="1899" spans="1:39" s="100" customFormat="1" ht="15.6" x14ac:dyDescent="0.3">
      <c r="A1899" s="97"/>
      <c r="B1899" s="98"/>
      <c r="C1899" s="98"/>
      <c r="D1899" s="98"/>
      <c r="E1899" s="98"/>
      <c r="F1899" s="98"/>
      <c r="G1899" s="99"/>
      <c r="H1899" s="99"/>
      <c r="I1899" s="99"/>
      <c r="J1899" s="99"/>
      <c r="K1899" s="98"/>
      <c r="L1899" s="98"/>
      <c r="M1899" s="98"/>
      <c r="N1899" s="98"/>
      <c r="O1899" s="98"/>
      <c r="P1899" s="98"/>
      <c r="Q1899" s="98"/>
      <c r="R1899" s="98"/>
      <c r="S1899" s="98"/>
      <c r="T1899" s="98"/>
      <c r="U1899" s="98"/>
      <c r="V1899" s="98"/>
      <c r="W1899" s="98"/>
      <c r="X1899" s="98"/>
      <c r="Y1899" s="98"/>
      <c r="Z1899" s="98"/>
      <c r="AA1899" s="98"/>
      <c r="AB1899" s="98"/>
      <c r="AC1899" s="98"/>
      <c r="AD1899" s="98"/>
      <c r="AE1899" s="98"/>
      <c r="AF1899" s="98"/>
      <c r="AG1899" s="98"/>
      <c r="AH1899" s="98"/>
      <c r="AI1899" s="98"/>
      <c r="AJ1899" s="98"/>
      <c r="AK1899" s="98"/>
      <c r="AL1899" s="98"/>
      <c r="AM1899" s="98"/>
    </row>
    <row r="1900" spans="1:39" s="100" customFormat="1" ht="15.6" x14ac:dyDescent="0.3">
      <c r="A1900" s="97"/>
      <c r="B1900" s="98"/>
      <c r="C1900" s="98"/>
      <c r="D1900" s="98"/>
      <c r="E1900" s="98"/>
      <c r="F1900" s="98"/>
      <c r="G1900" s="99"/>
      <c r="H1900" s="99"/>
      <c r="I1900" s="99"/>
      <c r="J1900" s="99"/>
      <c r="K1900" s="98"/>
      <c r="L1900" s="98"/>
      <c r="M1900" s="98"/>
      <c r="N1900" s="98"/>
      <c r="O1900" s="98"/>
      <c r="P1900" s="98"/>
      <c r="Q1900" s="98"/>
      <c r="R1900" s="98"/>
      <c r="S1900" s="98"/>
      <c r="T1900" s="98"/>
      <c r="U1900" s="98"/>
      <c r="V1900" s="98"/>
      <c r="W1900" s="98"/>
      <c r="X1900" s="98"/>
      <c r="Y1900" s="98"/>
      <c r="Z1900" s="98"/>
      <c r="AA1900" s="98"/>
      <c r="AB1900" s="98"/>
      <c r="AC1900" s="98"/>
      <c r="AD1900" s="98"/>
      <c r="AE1900" s="98"/>
      <c r="AF1900" s="98"/>
      <c r="AG1900" s="98"/>
      <c r="AH1900" s="98"/>
      <c r="AI1900" s="98"/>
      <c r="AJ1900" s="98"/>
      <c r="AK1900" s="98"/>
      <c r="AL1900" s="98"/>
      <c r="AM1900" s="98"/>
    </row>
    <row r="1901" spans="1:39" s="100" customFormat="1" ht="15.6" x14ac:dyDescent="0.3">
      <c r="A1901" s="97"/>
      <c r="B1901" s="98"/>
      <c r="C1901" s="98"/>
      <c r="D1901" s="98"/>
      <c r="E1901" s="98"/>
      <c r="F1901" s="98"/>
      <c r="G1901" s="99"/>
      <c r="H1901" s="99"/>
      <c r="I1901" s="99"/>
      <c r="J1901" s="99"/>
      <c r="K1901" s="98"/>
      <c r="L1901" s="98"/>
      <c r="M1901" s="98"/>
      <c r="N1901" s="98"/>
      <c r="O1901" s="98"/>
      <c r="P1901" s="98"/>
      <c r="Q1901" s="98"/>
      <c r="R1901" s="98"/>
      <c r="S1901" s="98"/>
      <c r="T1901" s="98"/>
      <c r="U1901" s="98"/>
      <c r="V1901" s="98"/>
      <c r="W1901" s="98"/>
      <c r="X1901" s="98"/>
      <c r="Y1901" s="98"/>
      <c r="Z1901" s="98"/>
      <c r="AA1901" s="98"/>
      <c r="AB1901" s="98"/>
      <c r="AC1901" s="98"/>
      <c r="AD1901" s="98"/>
      <c r="AE1901" s="98"/>
      <c r="AF1901" s="98"/>
      <c r="AG1901" s="98"/>
      <c r="AH1901" s="98"/>
      <c r="AI1901" s="98"/>
      <c r="AJ1901" s="98"/>
      <c r="AK1901" s="98"/>
      <c r="AL1901" s="98"/>
      <c r="AM1901" s="98"/>
    </row>
    <row r="1902" spans="1:39" s="100" customFormat="1" ht="15.6" x14ac:dyDescent="0.3">
      <c r="A1902" s="97"/>
      <c r="B1902" s="98"/>
      <c r="C1902" s="98"/>
      <c r="D1902" s="98"/>
      <c r="E1902" s="98"/>
      <c r="F1902" s="98"/>
      <c r="G1902" s="99"/>
      <c r="H1902" s="99"/>
      <c r="I1902" s="99"/>
      <c r="J1902" s="99"/>
      <c r="K1902" s="98"/>
      <c r="L1902" s="98"/>
      <c r="M1902" s="98"/>
      <c r="N1902" s="98"/>
      <c r="O1902" s="98"/>
      <c r="P1902" s="98"/>
      <c r="Q1902" s="98"/>
      <c r="R1902" s="98"/>
      <c r="S1902" s="98"/>
      <c r="T1902" s="98"/>
      <c r="U1902" s="98"/>
      <c r="V1902" s="98"/>
      <c r="W1902" s="98"/>
      <c r="X1902" s="98"/>
      <c r="Y1902" s="98"/>
      <c r="Z1902" s="98"/>
      <c r="AA1902" s="98"/>
      <c r="AB1902" s="98"/>
      <c r="AC1902" s="98"/>
      <c r="AD1902" s="98"/>
      <c r="AE1902" s="98"/>
      <c r="AF1902" s="98"/>
      <c r="AG1902" s="98"/>
      <c r="AH1902" s="98"/>
      <c r="AI1902" s="98"/>
      <c r="AJ1902" s="98"/>
      <c r="AK1902" s="98"/>
      <c r="AL1902" s="98"/>
      <c r="AM1902" s="98"/>
    </row>
    <row r="1903" spans="1:39" s="100" customFormat="1" ht="15.6" x14ac:dyDescent="0.3">
      <c r="A1903" s="97"/>
      <c r="B1903" s="98"/>
      <c r="C1903" s="98"/>
      <c r="D1903" s="98"/>
      <c r="E1903" s="98"/>
      <c r="F1903" s="98"/>
      <c r="G1903" s="99"/>
      <c r="H1903" s="99"/>
      <c r="I1903" s="99"/>
      <c r="J1903" s="99"/>
      <c r="K1903" s="98"/>
      <c r="L1903" s="98"/>
      <c r="M1903" s="98"/>
      <c r="N1903" s="98"/>
      <c r="O1903" s="98"/>
      <c r="P1903" s="98"/>
      <c r="Q1903" s="98"/>
      <c r="R1903" s="98"/>
      <c r="S1903" s="98"/>
      <c r="T1903" s="98"/>
      <c r="U1903" s="98"/>
      <c r="V1903" s="98"/>
      <c r="W1903" s="98"/>
      <c r="X1903" s="98"/>
      <c r="Y1903" s="98"/>
      <c r="Z1903" s="98"/>
      <c r="AA1903" s="98"/>
      <c r="AB1903" s="98"/>
      <c r="AC1903" s="98"/>
      <c r="AD1903" s="98"/>
      <c r="AE1903" s="98"/>
      <c r="AF1903" s="98"/>
      <c r="AG1903" s="98"/>
      <c r="AH1903" s="98"/>
      <c r="AI1903" s="98"/>
      <c r="AJ1903" s="98"/>
      <c r="AK1903" s="98"/>
      <c r="AL1903" s="98"/>
      <c r="AM1903" s="98"/>
    </row>
    <row r="1904" spans="1:39" s="100" customFormat="1" ht="15.6" x14ac:dyDescent="0.3">
      <c r="A1904" s="97"/>
      <c r="B1904" s="98"/>
      <c r="C1904" s="98"/>
      <c r="D1904" s="98"/>
      <c r="E1904" s="98"/>
      <c r="F1904" s="98"/>
      <c r="G1904" s="99"/>
      <c r="H1904" s="99"/>
      <c r="I1904" s="99"/>
      <c r="J1904" s="99"/>
      <c r="K1904" s="98"/>
      <c r="L1904" s="98"/>
      <c r="M1904" s="98"/>
      <c r="N1904" s="98"/>
      <c r="O1904" s="98"/>
      <c r="P1904" s="98"/>
      <c r="Q1904" s="98"/>
      <c r="R1904" s="98"/>
      <c r="S1904" s="98"/>
      <c r="T1904" s="98"/>
      <c r="U1904" s="98"/>
      <c r="V1904" s="98"/>
      <c r="W1904" s="98"/>
      <c r="X1904" s="98"/>
      <c r="Y1904" s="98"/>
      <c r="Z1904" s="98"/>
      <c r="AA1904" s="98"/>
      <c r="AB1904" s="98"/>
      <c r="AC1904" s="98"/>
      <c r="AD1904" s="98"/>
      <c r="AE1904" s="98"/>
      <c r="AF1904" s="98"/>
      <c r="AG1904" s="98"/>
      <c r="AH1904" s="98"/>
      <c r="AI1904" s="98"/>
      <c r="AJ1904" s="98"/>
      <c r="AK1904" s="98"/>
      <c r="AL1904" s="98"/>
      <c r="AM1904" s="98"/>
    </row>
    <row r="1905" spans="1:39" s="100" customFormat="1" ht="15.6" x14ac:dyDescent="0.3">
      <c r="A1905" s="97"/>
      <c r="B1905" s="98"/>
      <c r="C1905" s="98"/>
      <c r="D1905" s="98"/>
      <c r="E1905" s="98"/>
      <c r="F1905" s="98"/>
      <c r="G1905" s="99"/>
      <c r="H1905" s="99"/>
      <c r="I1905" s="99"/>
      <c r="J1905" s="99"/>
      <c r="K1905" s="98"/>
      <c r="L1905" s="98"/>
      <c r="M1905" s="98"/>
      <c r="N1905" s="98"/>
      <c r="O1905" s="98"/>
      <c r="P1905" s="98"/>
      <c r="Q1905" s="98"/>
      <c r="R1905" s="98"/>
      <c r="S1905" s="98"/>
      <c r="T1905" s="98"/>
      <c r="U1905" s="98"/>
      <c r="V1905" s="98"/>
      <c r="W1905" s="98"/>
      <c r="X1905" s="98"/>
      <c r="Y1905" s="98"/>
      <c r="Z1905" s="98"/>
      <c r="AA1905" s="98"/>
      <c r="AB1905" s="98"/>
      <c r="AC1905" s="98"/>
      <c r="AD1905" s="98"/>
      <c r="AE1905" s="98"/>
      <c r="AF1905" s="98"/>
      <c r="AG1905" s="98"/>
      <c r="AH1905" s="98"/>
      <c r="AI1905" s="98"/>
      <c r="AJ1905" s="98"/>
      <c r="AK1905" s="98"/>
      <c r="AL1905" s="98"/>
      <c r="AM1905" s="98"/>
    </row>
    <row r="1906" spans="1:39" s="100" customFormat="1" ht="15.6" x14ac:dyDescent="0.3">
      <c r="A1906" s="97"/>
      <c r="B1906" s="98"/>
      <c r="C1906" s="98"/>
      <c r="D1906" s="98"/>
      <c r="E1906" s="98"/>
      <c r="F1906" s="98"/>
      <c r="G1906" s="99"/>
      <c r="H1906" s="99"/>
      <c r="I1906" s="99"/>
      <c r="J1906" s="99"/>
      <c r="K1906" s="98"/>
      <c r="L1906" s="98"/>
      <c r="M1906" s="98"/>
      <c r="N1906" s="98"/>
      <c r="O1906" s="98"/>
      <c r="P1906" s="98"/>
      <c r="Q1906" s="98"/>
      <c r="R1906" s="98"/>
      <c r="S1906" s="98"/>
      <c r="T1906" s="98"/>
      <c r="U1906" s="98"/>
      <c r="V1906" s="98"/>
      <c r="W1906" s="98"/>
      <c r="X1906" s="98"/>
      <c r="Y1906" s="98"/>
      <c r="Z1906" s="98"/>
      <c r="AA1906" s="98"/>
      <c r="AB1906" s="98"/>
      <c r="AC1906" s="98"/>
      <c r="AD1906" s="98"/>
      <c r="AE1906" s="98"/>
      <c r="AF1906" s="98"/>
      <c r="AG1906" s="98"/>
      <c r="AH1906" s="98"/>
      <c r="AI1906" s="98"/>
      <c r="AJ1906" s="98"/>
      <c r="AK1906" s="98"/>
      <c r="AL1906" s="98"/>
      <c r="AM1906" s="98"/>
    </row>
    <row r="1907" spans="1:39" s="100" customFormat="1" ht="15.6" x14ac:dyDescent="0.3">
      <c r="A1907" s="97"/>
      <c r="B1907" s="98"/>
      <c r="C1907" s="98"/>
      <c r="D1907" s="98"/>
      <c r="E1907" s="98"/>
      <c r="F1907" s="98"/>
      <c r="G1907" s="99"/>
      <c r="H1907" s="99"/>
      <c r="I1907" s="99"/>
      <c r="J1907" s="99"/>
      <c r="K1907" s="98"/>
      <c r="L1907" s="98"/>
      <c r="M1907" s="98"/>
      <c r="N1907" s="98"/>
      <c r="O1907" s="98"/>
      <c r="P1907" s="98"/>
      <c r="Q1907" s="98"/>
      <c r="R1907" s="98"/>
      <c r="S1907" s="98"/>
      <c r="T1907" s="98"/>
      <c r="U1907" s="98"/>
      <c r="V1907" s="98"/>
      <c r="W1907" s="98"/>
      <c r="X1907" s="98"/>
      <c r="Y1907" s="98"/>
      <c r="Z1907" s="98"/>
      <c r="AA1907" s="98"/>
      <c r="AB1907" s="98"/>
      <c r="AC1907" s="98"/>
      <c r="AD1907" s="98"/>
      <c r="AE1907" s="98"/>
      <c r="AF1907" s="98"/>
      <c r="AG1907" s="98"/>
      <c r="AH1907" s="98"/>
      <c r="AI1907" s="98"/>
      <c r="AJ1907" s="98"/>
      <c r="AK1907" s="98"/>
      <c r="AL1907" s="98"/>
      <c r="AM1907" s="98"/>
    </row>
    <row r="1908" spans="1:39" s="100" customFormat="1" ht="15.6" x14ac:dyDescent="0.3">
      <c r="A1908" s="97"/>
      <c r="B1908" s="98"/>
      <c r="C1908" s="98"/>
      <c r="D1908" s="98"/>
      <c r="E1908" s="98"/>
      <c r="F1908" s="98"/>
      <c r="G1908" s="99"/>
      <c r="H1908" s="99"/>
      <c r="I1908" s="99"/>
      <c r="J1908" s="99"/>
      <c r="K1908" s="98"/>
      <c r="L1908" s="98"/>
      <c r="M1908" s="98"/>
      <c r="N1908" s="98"/>
      <c r="O1908" s="98"/>
      <c r="P1908" s="98"/>
      <c r="Q1908" s="98"/>
      <c r="R1908" s="98"/>
      <c r="S1908" s="98"/>
      <c r="T1908" s="98"/>
      <c r="U1908" s="98"/>
      <c r="V1908" s="98"/>
      <c r="W1908" s="98"/>
      <c r="X1908" s="98"/>
      <c r="Y1908" s="98"/>
      <c r="Z1908" s="98"/>
      <c r="AA1908" s="98"/>
      <c r="AB1908" s="98"/>
      <c r="AC1908" s="98"/>
      <c r="AD1908" s="98"/>
      <c r="AE1908" s="98"/>
      <c r="AF1908" s="98"/>
      <c r="AG1908" s="98"/>
      <c r="AH1908" s="98"/>
      <c r="AI1908" s="98"/>
      <c r="AJ1908" s="98"/>
      <c r="AK1908" s="98"/>
      <c r="AL1908" s="98"/>
      <c r="AM1908" s="98"/>
    </row>
    <row r="1909" spans="1:39" s="100" customFormat="1" ht="15.6" x14ac:dyDescent="0.3">
      <c r="A1909" s="97"/>
      <c r="B1909" s="98"/>
      <c r="C1909" s="98"/>
      <c r="D1909" s="98"/>
      <c r="E1909" s="98"/>
      <c r="F1909" s="98"/>
      <c r="G1909" s="99"/>
      <c r="H1909" s="99"/>
      <c r="I1909" s="99"/>
      <c r="J1909" s="99"/>
      <c r="K1909" s="98"/>
      <c r="L1909" s="98"/>
      <c r="M1909" s="98"/>
      <c r="N1909" s="98"/>
      <c r="O1909" s="98"/>
      <c r="P1909" s="98"/>
      <c r="Q1909" s="98"/>
      <c r="R1909" s="98"/>
      <c r="S1909" s="98"/>
      <c r="T1909" s="98"/>
      <c r="U1909" s="98"/>
      <c r="V1909" s="98"/>
      <c r="W1909" s="98"/>
      <c r="X1909" s="98"/>
      <c r="Y1909" s="98"/>
      <c r="Z1909" s="98"/>
      <c r="AA1909" s="98"/>
      <c r="AB1909" s="98"/>
      <c r="AC1909" s="98"/>
      <c r="AD1909" s="98"/>
      <c r="AE1909" s="98"/>
      <c r="AF1909" s="98"/>
      <c r="AG1909" s="98"/>
      <c r="AH1909" s="98"/>
      <c r="AI1909" s="98"/>
      <c r="AJ1909" s="98"/>
      <c r="AK1909" s="98"/>
      <c r="AL1909" s="98"/>
      <c r="AM1909" s="98"/>
    </row>
    <row r="1910" spans="1:39" s="100" customFormat="1" ht="15.6" x14ac:dyDescent="0.3">
      <c r="A1910" s="97"/>
      <c r="B1910" s="98"/>
      <c r="C1910" s="98"/>
      <c r="D1910" s="98"/>
      <c r="E1910" s="98"/>
      <c r="F1910" s="98"/>
      <c r="G1910" s="99"/>
      <c r="H1910" s="99"/>
      <c r="I1910" s="99"/>
      <c r="J1910" s="99"/>
      <c r="K1910" s="98"/>
      <c r="L1910" s="98"/>
      <c r="M1910" s="98"/>
      <c r="N1910" s="98"/>
      <c r="O1910" s="98"/>
      <c r="P1910" s="98"/>
      <c r="Q1910" s="98"/>
      <c r="R1910" s="98"/>
      <c r="S1910" s="98"/>
      <c r="T1910" s="98"/>
      <c r="U1910" s="98"/>
      <c r="V1910" s="98"/>
      <c r="W1910" s="98"/>
      <c r="X1910" s="98"/>
      <c r="Y1910" s="98"/>
      <c r="Z1910" s="98"/>
      <c r="AA1910" s="98"/>
      <c r="AB1910" s="98"/>
      <c r="AC1910" s="98"/>
      <c r="AD1910" s="98"/>
      <c r="AE1910" s="98"/>
      <c r="AF1910" s="98"/>
      <c r="AG1910" s="98"/>
      <c r="AH1910" s="98"/>
      <c r="AI1910" s="98"/>
      <c r="AJ1910" s="98"/>
      <c r="AK1910" s="98"/>
      <c r="AL1910" s="98"/>
      <c r="AM1910" s="98"/>
    </row>
    <row r="1911" spans="1:39" s="100" customFormat="1" ht="15.6" x14ac:dyDescent="0.3">
      <c r="A1911" s="97"/>
      <c r="B1911" s="98"/>
      <c r="C1911" s="98"/>
      <c r="D1911" s="98"/>
      <c r="E1911" s="98"/>
      <c r="F1911" s="98"/>
      <c r="G1911" s="99"/>
      <c r="H1911" s="99"/>
      <c r="I1911" s="99"/>
      <c r="J1911" s="99"/>
      <c r="K1911" s="98"/>
      <c r="L1911" s="98"/>
      <c r="M1911" s="98"/>
      <c r="N1911" s="98"/>
      <c r="O1911" s="98"/>
      <c r="P1911" s="98"/>
      <c r="Q1911" s="98"/>
      <c r="R1911" s="98"/>
      <c r="S1911" s="98"/>
      <c r="T1911" s="98"/>
      <c r="U1911" s="98"/>
      <c r="V1911" s="98"/>
      <c r="W1911" s="98"/>
      <c r="X1911" s="98"/>
      <c r="Y1911" s="98"/>
      <c r="Z1911" s="98"/>
      <c r="AA1911" s="98"/>
      <c r="AB1911" s="98"/>
      <c r="AC1911" s="98"/>
      <c r="AD1911" s="98"/>
      <c r="AE1911" s="98"/>
      <c r="AF1911" s="98"/>
      <c r="AG1911" s="98"/>
      <c r="AH1911" s="98"/>
      <c r="AI1911" s="98"/>
      <c r="AJ1911" s="98"/>
      <c r="AK1911" s="98"/>
      <c r="AL1911" s="98"/>
      <c r="AM1911" s="98"/>
    </row>
    <row r="1912" spans="1:39" s="100" customFormat="1" ht="15.6" x14ac:dyDescent="0.3">
      <c r="A1912" s="97"/>
      <c r="B1912" s="98"/>
      <c r="C1912" s="98"/>
      <c r="D1912" s="98"/>
      <c r="E1912" s="98"/>
      <c r="F1912" s="98"/>
      <c r="G1912" s="99"/>
      <c r="H1912" s="99"/>
      <c r="I1912" s="99"/>
      <c r="J1912" s="99"/>
      <c r="K1912" s="98"/>
      <c r="L1912" s="98"/>
      <c r="M1912" s="98"/>
      <c r="N1912" s="98"/>
      <c r="O1912" s="98"/>
      <c r="P1912" s="98"/>
      <c r="Q1912" s="98"/>
      <c r="R1912" s="98"/>
      <c r="S1912" s="98"/>
      <c r="T1912" s="98"/>
      <c r="U1912" s="98"/>
      <c r="V1912" s="98"/>
      <c r="W1912" s="98"/>
      <c r="X1912" s="98"/>
      <c r="Y1912" s="98"/>
      <c r="Z1912" s="98"/>
      <c r="AA1912" s="98"/>
      <c r="AB1912" s="98"/>
      <c r="AC1912" s="98"/>
      <c r="AD1912" s="98"/>
      <c r="AE1912" s="98"/>
      <c r="AF1912" s="98"/>
      <c r="AG1912" s="98"/>
      <c r="AH1912" s="98"/>
      <c r="AI1912" s="98"/>
      <c r="AJ1912" s="98"/>
      <c r="AK1912" s="98"/>
      <c r="AL1912" s="98"/>
      <c r="AM1912" s="98"/>
    </row>
    <row r="1913" spans="1:39" s="100" customFormat="1" ht="15.6" x14ac:dyDescent="0.3">
      <c r="A1913" s="97"/>
      <c r="B1913" s="98"/>
      <c r="C1913" s="98"/>
      <c r="D1913" s="98"/>
      <c r="E1913" s="98"/>
      <c r="F1913" s="98"/>
      <c r="G1913" s="99"/>
      <c r="H1913" s="99"/>
      <c r="I1913" s="99"/>
      <c r="J1913" s="99"/>
      <c r="K1913" s="98"/>
      <c r="L1913" s="98"/>
      <c r="M1913" s="98"/>
      <c r="N1913" s="98"/>
      <c r="O1913" s="98"/>
      <c r="P1913" s="98"/>
      <c r="Q1913" s="98"/>
      <c r="R1913" s="98"/>
      <c r="S1913" s="98"/>
      <c r="T1913" s="98"/>
      <c r="U1913" s="98"/>
      <c r="V1913" s="98"/>
      <c r="W1913" s="98"/>
      <c r="X1913" s="98"/>
      <c r="Y1913" s="98"/>
      <c r="Z1913" s="98"/>
      <c r="AA1913" s="98"/>
      <c r="AB1913" s="98"/>
      <c r="AC1913" s="98"/>
      <c r="AD1913" s="98"/>
      <c r="AE1913" s="98"/>
      <c r="AF1913" s="98"/>
      <c r="AG1913" s="98"/>
      <c r="AH1913" s="98"/>
      <c r="AI1913" s="98"/>
      <c r="AJ1913" s="98"/>
      <c r="AK1913" s="98"/>
      <c r="AL1913" s="98"/>
      <c r="AM1913" s="98"/>
    </row>
    <row r="1914" spans="1:39" s="100" customFormat="1" ht="15.6" x14ac:dyDescent="0.3">
      <c r="A1914" s="97"/>
      <c r="B1914" s="98"/>
      <c r="C1914" s="98"/>
      <c r="D1914" s="98"/>
      <c r="E1914" s="98"/>
      <c r="F1914" s="98"/>
      <c r="G1914" s="99"/>
      <c r="H1914" s="99"/>
      <c r="I1914" s="99"/>
      <c r="J1914" s="99"/>
      <c r="K1914" s="98"/>
      <c r="L1914" s="98"/>
      <c r="M1914" s="98"/>
      <c r="N1914" s="98"/>
      <c r="O1914" s="98"/>
      <c r="P1914" s="98"/>
      <c r="Q1914" s="98"/>
      <c r="R1914" s="98"/>
      <c r="S1914" s="98"/>
      <c r="T1914" s="98"/>
      <c r="U1914" s="98"/>
      <c r="V1914" s="98"/>
      <c r="W1914" s="98"/>
      <c r="X1914" s="98"/>
      <c r="Y1914" s="98"/>
      <c r="Z1914" s="98"/>
      <c r="AA1914" s="98"/>
      <c r="AB1914" s="98"/>
      <c r="AC1914" s="98"/>
      <c r="AD1914" s="98"/>
      <c r="AE1914" s="98"/>
      <c r="AF1914" s="98"/>
      <c r="AG1914" s="98"/>
      <c r="AH1914" s="98"/>
      <c r="AI1914" s="98"/>
      <c r="AJ1914" s="98"/>
      <c r="AK1914" s="98"/>
      <c r="AL1914" s="98"/>
      <c r="AM1914" s="98"/>
    </row>
    <row r="1915" spans="1:39" s="100" customFormat="1" ht="15.6" x14ac:dyDescent="0.3">
      <c r="A1915" s="97"/>
      <c r="B1915" s="98"/>
      <c r="C1915" s="98"/>
      <c r="D1915" s="98"/>
      <c r="E1915" s="98"/>
      <c r="F1915" s="98"/>
      <c r="G1915" s="99"/>
      <c r="H1915" s="99"/>
      <c r="I1915" s="99"/>
      <c r="J1915" s="99"/>
      <c r="K1915" s="98"/>
      <c r="L1915" s="98"/>
      <c r="M1915" s="98"/>
      <c r="N1915" s="98"/>
      <c r="O1915" s="98"/>
      <c r="P1915" s="98"/>
      <c r="Q1915" s="98"/>
      <c r="R1915" s="98"/>
      <c r="S1915" s="98"/>
      <c r="T1915" s="98"/>
      <c r="U1915" s="98"/>
      <c r="V1915" s="98"/>
      <c r="W1915" s="98"/>
      <c r="X1915" s="98"/>
      <c r="Y1915" s="98"/>
      <c r="Z1915" s="98"/>
      <c r="AA1915" s="98"/>
      <c r="AB1915" s="98"/>
      <c r="AC1915" s="98"/>
      <c r="AD1915" s="98"/>
      <c r="AE1915" s="98"/>
      <c r="AF1915" s="98"/>
      <c r="AG1915" s="98"/>
      <c r="AH1915" s="98"/>
      <c r="AI1915" s="98"/>
      <c r="AJ1915" s="98"/>
      <c r="AK1915" s="98"/>
      <c r="AL1915" s="98"/>
      <c r="AM1915" s="98"/>
    </row>
    <row r="1916" spans="1:39" s="100" customFormat="1" ht="15.6" x14ac:dyDescent="0.3">
      <c r="A1916" s="97"/>
      <c r="B1916" s="98"/>
      <c r="C1916" s="98"/>
      <c r="D1916" s="98"/>
      <c r="E1916" s="98"/>
      <c r="F1916" s="98"/>
      <c r="G1916" s="99"/>
      <c r="H1916" s="99"/>
      <c r="I1916" s="99"/>
      <c r="J1916" s="99"/>
      <c r="K1916" s="98"/>
      <c r="L1916" s="98"/>
      <c r="M1916" s="98"/>
      <c r="N1916" s="98"/>
      <c r="O1916" s="98"/>
      <c r="P1916" s="98"/>
      <c r="Q1916" s="98"/>
      <c r="R1916" s="98"/>
      <c r="S1916" s="98"/>
      <c r="T1916" s="98"/>
      <c r="U1916" s="98"/>
      <c r="V1916" s="98"/>
      <c r="W1916" s="98"/>
      <c r="X1916" s="98"/>
      <c r="Y1916" s="98"/>
      <c r="Z1916" s="98"/>
      <c r="AA1916" s="98"/>
      <c r="AB1916" s="98"/>
      <c r="AC1916" s="98"/>
      <c r="AD1916" s="98"/>
      <c r="AE1916" s="98"/>
      <c r="AF1916" s="98"/>
      <c r="AG1916" s="98"/>
      <c r="AH1916" s="98"/>
      <c r="AI1916" s="98"/>
      <c r="AJ1916" s="98"/>
      <c r="AK1916" s="98"/>
      <c r="AL1916" s="98"/>
      <c r="AM1916" s="98"/>
    </row>
    <row r="1917" spans="1:39" s="100" customFormat="1" ht="15.6" x14ac:dyDescent="0.3">
      <c r="A1917" s="97"/>
      <c r="B1917" s="98"/>
      <c r="C1917" s="98"/>
      <c r="D1917" s="98"/>
      <c r="E1917" s="98"/>
      <c r="F1917" s="98"/>
      <c r="G1917" s="99"/>
      <c r="H1917" s="99"/>
      <c r="I1917" s="99"/>
      <c r="J1917" s="99"/>
      <c r="K1917" s="98"/>
      <c r="L1917" s="98"/>
      <c r="M1917" s="98"/>
      <c r="N1917" s="98"/>
      <c r="O1917" s="98"/>
      <c r="P1917" s="98"/>
      <c r="Q1917" s="98"/>
      <c r="R1917" s="98"/>
      <c r="S1917" s="98"/>
      <c r="T1917" s="98"/>
      <c r="U1917" s="98"/>
      <c r="V1917" s="98"/>
      <c r="W1917" s="98"/>
      <c r="X1917" s="98"/>
      <c r="Y1917" s="98"/>
      <c r="Z1917" s="98"/>
      <c r="AA1917" s="98"/>
      <c r="AB1917" s="98"/>
      <c r="AC1917" s="98"/>
      <c r="AD1917" s="98"/>
      <c r="AE1917" s="98"/>
      <c r="AF1917" s="98"/>
      <c r="AG1917" s="98"/>
      <c r="AH1917" s="98"/>
      <c r="AI1917" s="98"/>
      <c r="AJ1917" s="98"/>
      <c r="AK1917" s="98"/>
      <c r="AL1917" s="98"/>
      <c r="AM1917" s="98"/>
    </row>
    <row r="1918" spans="1:39" s="100" customFormat="1" ht="15.6" x14ac:dyDescent="0.3">
      <c r="A1918" s="97"/>
      <c r="B1918" s="98"/>
      <c r="C1918" s="98"/>
      <c r="D1918" s="98"/>
      <c r="E1918" s="98"/>
      <c r="F1918" s="98"/>
      <c r="G1918" s="99"/>
      <c r="H1918" s="99"/>
      <c r="I1918" s="99"/>
      <c r="J1918" s="99"/>
      <c r="K1918" s="98"/>
      <c r="L1918" s="98"/>
      <c r="M1918" s="98"/>
      <c r="N1918" s="98"/>
      <c r="O1918" s="98"/>
      <c r="P1918" s="98"/>
      <c r="Q1918" s="98"/>
      <c r="R1918" s="98"/>
      <c r="S1918" s="98"/>
      <c r="T1918" s="98"/>
      <c r="U1918" s="98"/>
      <c r="V1918" s="98"/>
      <c r="W1918" s="98"/>
      <c r="X1918" s="98"/>
      <c r="Y1918" s="98"/>
      <c r="Z1918" s="98"/>
      <c r="AA1918" s="98"/>
      <c r="AB1918" s="98"/>
      <c r="AC1918" s="98"/>
      <c r="AD1918" s="98"/>
      <c r="AE1918" s="98"/>
      <c r="AF1918" s="98"/>
      <c r="AG1918" s="98"/>
      <c r="AH1918" s="98"/>
      <c r="AI1918" s="98"/>
      <c r="AJ1918" s="98"/>
      <c r="AK1918" s="98"/>
      <c r="AL1918" s="98"/>
      <c r="AM1918" s="98"/>
    </row>
    <row r="1919" spans="1:39" s="100" customFormat="1" ht="15.6" x14ac:dyDescent="0.3">
      <c r="A1919" s="97"/>
      <c r="B1919" s="98"/>
      <c r="C1919" s="98"/>
      <c r="D1919" s="98"/>
      <c r="E1919" s="98"/>
      <c r="F1919" s="98"/>
      <c r="G1919" s="99"/>
      <c r="H1919" s="99"/>
      <c r="I1919" s="99"/>
      <c r="J1919" s="99"/>
      <c r="K1919" s="98"/>
      <c r="L1919" s="98"/>
      <c r="M1919" s="98"/>
      <c r="N1919" s="98"/>
      <c r="O1919" s="98"/>
      <c r="P1919" s="98"/>
      <c r="Q1919" s="98"/>
      <c r="R1919" s="98"/>
      <c r="S1919" s="98"/>
      <c r="T1919" s="98"/>
      <c r="U1919" s="98"/>
      <c r="V1919" s="98"/>
      <c r="W1919" s="98"/>
      <c r="X1919" s="98"/>
      <c r="Y1919" s="98"/>
      <c r="Z1919" s="98"/>
      <c r="AA1919" s="98"/>
      <c r="AB1919" s="98"/>
      <c r="AC1919" s="98"/>
      <c r="AD1919" s="98"/>
      <c r="AE1919" s="98"/>
      <c r="AF1919" s="98"/>
      <c r="AG1919" s="98"/>
      <c r="AH1919" s="98"/>
      <c r="AI1919" s="98"/>
      <c r="AJ1919" s="98"/>
      <c r="AK1919" s="98"/>
      <c r="AL1919" s="98"/>
      <c r="AM1919" s="98"/>
    </row>
    <row r="1920" spans="1:39" s="100" customFormat="1" ht="15.6" x14ac:dyDescent="0.3">
      <c r="A1920" s="97"/>
      <c r="B1920" s="98"/>
      <c r="C1920" s="98"/>
      <c r="D1920" s="98"/>
      <c r="E1920" s="98"/>
      <c r="F1920" s="98"/>
      <c r="G1920" s="99"/>
      <c r="H1920" s="99"/>
      <c r="I1920" s="99"/>
      <c r="J1920" s="99"/>
      <c r="K1920" s="98"/>
      <c r="L1920" s="98"/>
      <c r="M1920" s="98"/>
      <c r="N1920" s="98"/>
      <c r="O1920" s="98"/>
      <c r="P1920" s="98"/>
      <c r="Q1920" s="98"/>
      <c r="R1920" s="98"/>
      <c r="S1920" s="98"/>
      <c r="T1920" s="98"/>
      <c r="U1920" s="98"/>
      <c r="V1920" s="98"/>
      <c r="W1920" s="98"/>
      <c r="X1920" s="98"/>
      <c r="Y1920" s="98"/>
      <c r="Z1920" s="98"/>
      <c r="AA1920" s="98"/>
      <c r="AB1920" s="98"/>
      <c r="AC1920" s="98"/>
      <c r="AD1920" s="98"/>
      <c r="AE1920" s="98"/>
      <c r="AF1920" s="98"/>
      <c r="AG1920" s="98"/>
      <c r="AH1920" s="98"/>
      <c r="AI1920" s="98"/>
      <c r="AJ1920" s="98"/>
      <c r="AK1920" s="98"/>
      <c r="AL1920" s="98"/>
      <c r="AM1920" s="98"/>
    </row>
    <row r="1921" spans="1:39" s="100" customFormat="1" ht="15.6" x14ac:dyDescent="0.3">
      <c r="A1921" s="97"/>
      <c r="B1921" s="98"/>
      <c r="C1921" s="98"/>
      <c r="D1921" s="98"/>
      <c r="E1921" s="98"/>
      <c r="F1921" s="98"/>
      <c r="G1921" s="99"/>
      <c r="H1921" s="99"/>
      <c r="I1921" s="99"/>
      <c r="J1921" s="99"/>
      <c r="K1921" s="98"/>
      <c r="L1921" s="98"/>
      <c r="M1921" s="98"/>
      <c r="N1921" s="98"/>
      <c r="O1921" s="98"/>
      <c r="P1921" s="98"/>
      <c r="Q1921" s="98"/>
      <c r="R1921" s="98"/>
      <c r="S1921" s="98"/>
      <c r="T1921" s="98"/>
      <c r="U1921" s="98"/>
      <c r="V1921" s="98"/>
      <c r="W1921" s="98"/>
      <c r="X1921" s="98"/>
      <c r="Y1921" s="98"/>
      <c r="Z1921" s="98"/>
      <c r="AA1921" s="98"/>
      <c r="AB1921" s="98"/>
      <c r="AC1921" s="98"/>
      <c r="AD1921" s="98"/>
      <c r="AE1921" s="98"/>
      <c r="AF1921" s="98"/>
      <c r="AG1921" s="98"/>
      <c r="AH1921" s="98"/>
      <c r="AI1921" s="98"/>
      <c r="AJ1921" s="98"/>
      <c r="AK1921" s="98"/>
      <c r="AL1921" s="98"/>
      <c r="AM1921" s="98"/>
    </row>
    <row r="1922" spans="1:39" s="100" customFormat="1" ht="15.6" x14ac:dyDescent="0.3">
      <c r="A1922" s="97"/>
      <c r="B1922" s="98"/>
      <c r="C1922" s="98"/>
      <c r="D1922" s="98"/>
      <c r="E1922" s="98"/>
      <c r="F1922" s="98"/>
      <c r="G1922" s="99"/>
      <c r="H1922" s="99"/>
      <c r="I1922" s="99"/>
      <c r="J1922" s="99"/>
      <c r="K1922" s="98"/>
      <c r="L1922" s="98"/>
      <c r="M1922" s="98"/>
      <c r="N1922" s="98"/>
      <c r="O1922" s="98"/>
      <c r="P1922" s="98"/>
      <c r="Q1922" s="98"/>
      <c r="R1922" s="98"/>
      <c r="S1922" s="98"/>
      <c r="T1922" s="98"/>
      <c r="U1922" s="98"/>
      <c r="V1922" s="98"/>
      <c r="W1922" s="98"/>
      <c r="X1922" s="98"/>
      <c r="Y1922" s="98"/>
      <c r="Z1922" s="98"/>
      <c r="AA1922" s="98"/>
      <c r="AB1922" s="98"/>
      <c r="AC1922" s="98"/>
      <c r="AD1922" s="98"/>
      <c r="AE1922" s="98"/>
      <c r="AF1922" s="98"/>
      <c r="AG1922" s="98"/>
      <c r="AH1922" s="98"/>
      <c r="AI1922" s="98"/>
      <c r="AJ1922" s="98"/>
      <c r="AK1922" s="98"/>
      <c r="AL1922" s="98"/>
      <c r="AM1922" s="98"/>
    </row>
    <row r="1923" spans="1:39" s="100" customFormat="1" ht="15.6" x14ac:dyDescent="0.3">
      <c r="A1923" s="97"/>
      <c r="B1923" s="98"/>
      <c r="C1923" s="98"/>
      <c r="D1923" s="98"/>
      <c r="E1923" s="98"/>
      <c r="F1923" s="98"/>
      <c r="G1923" s="99"/>
      <c r="H1923" s="99"/>
      <c r="I1923" s="99"/>
      <c r="J1923" s="99"/>
      <c r="K1923" s="98"/>
      <c r="L1923" s="98"/>
      <c r="M1923" s="98"/>
      <c r="N1923" s="98"/>
      <c r="O1923" s="98"/>
      <c r="P1923" s="98"/>
      <c r="Q1923" s="98"/>
      <c r="R1923" s="98"/>
      <c r="S1923" s="98"/>
      <c r="T1923" s="98"/>
      <c r="U1923" s="98"/>
      <c r="V1923" s="98"/>
      <c r="W1923" s="98"/>
      <c r="X1923" s="98"/>
      <c r="Y1923" s="98"/>
      <c r="Z1923" s="98"/>
      <c r="AA1923" s="98"/>
      <c r="AB1923" s="98"/>
      <c r="AC1923" s="98"/>
      <c r="AD1923" s="98"/>
      <c r="AE1923" s="98"/>
      <c r="AF1923" s="98"/>
      <c r="AG1923" s="98"/>
      <c r="AH1923" s="98"/>
      <c r="AI1923" s="98"/>
      <c r="AJ1923" s="98"/>
      <c r="AK1923" s="98"/>
      <c r="AL1923" s="98"/>
      <c r="AM1923" s="98"/>
    </row>
    <row r="1924" spans="1:39" s="100" customFormat="1" ht="15.6" x14ac:dyDescent="0.3">
      <c r="A1924" s="97"/>
      <c r="B1924" s="98"/>
      <c r="C1924" s="98"/>
      <c r="D1924" s="98"/>
      <c r="E1924" s="98"/>
      <c r="F1924" s="98"/>
      <c r="G1924" s="99"/>
      <c r="H1924" s="99"/>
      <c r="I1924" s="99"/>
      <c r="J1924" s="99"/>
      <c r="K1924" s="98"/>
      <c r="L1924" s="98"/>
      <c r="M1924" s="98"/>
      <c r="N1924" s="98"/>
      <c r="O1924" s="98"/>
      <c r="P1924" s="98"/>
      <c r="Q1924" s="98"/>
      <c r="R1924" s="98"/>
      <c r="S1924" s="98"/>
      <c r="T1924" s="98"/>
      <c r="U1924" s="98"/>
      <c r="V1924" s="98"/>
      <c r="W1924" s="98"/>
      <c r="X1924" s="98"/>
      <c r="Y1924" s="98"/>
      <c r="Z1924" s="98"/>
      <c r="AA1924" s="98"/>
      <c r="AB1924" s="98"/>
      <c r="AC1924" s="98"/>
      <c r="AD1924" s="98"/>
      <c r="AE1924" s="98"/>
      <c r="AF1924" s="98"/>
      <c r="AG1924" s="98"/>
      <c r="AH1924" s="98"/>
      <c r="AI1924" s="98"/>
      <c r="AJ1924" s="98"/>
      <c r="AK1924" s="98"/>
      <c r="AL1924" s="98"/>
      <c r="AM1924" s="98"/>
    </row>
    <row r="1925" spans="1:39" s="100" customFormat="1" ht="15.6" x14ac:dyDescent="0.3">
      <c r="A1925" s="97"/>
      <c r="B1925" s="98"/>
      <c r="C1925" s="98"/>
      <c r="D1925" s="98"/>
      <c r="E1925" s="98"/>
      <c r="F1925" s="98"/>
      <c r="G1925" s="99"/>
      <c r="H1925" s="99"/>
      <c r="I1925" s="99"/>
      <c r="J1925" s="99"/>
      <c r="K1925" s="98"/>
      <c r="L1925" s="98"/>
      <c r="M1925" s="98"/>
      <c r="N1925" s="98"/>
      <c r="O1925" s="98"/>
      <c r="P1925" s="98"/>
      <c r="Q1925" s="98"/>
      <c r="R1925" s="98"/>
      <c r="S1925" s="98"/>
      <c r="T1925" s="98"/>
      <c r="U1925" s="98"/>
      <c r="V1925" s="98"/>
      <c r="W1925" s="98"/>
      <c r="X1925" s="98"/>
      <c r="Y1925" s="98"/>
      <c r="Z1925" s="98"/>
      <c r="AA1925" s="98"/>
      <c r="AB1925" s="98"/>
      <c r="AC1925" s="98"/>
      <c r="AD1925" s="98"/>
      <c r="AE1925" s="98"/>
      <c r="AF1925" s="98"/>
      <c r="AG1925" s="98"/>
      <c r="AH1925" s="98"/>
      <c r="AI1925" s="98"/>
      <c r="AJ1925" s="98"/>
      <c r="AK1925" s="98"/>
      <c r="AL1925" s="98"/>
      <c r="AM1925" s="98"/>
    </row>
    <row r="1926" spans="1:39" s="100" customFormat="1" ht="15.6" x14ac:dyDescent="0.3">
      <c r="A1926" s="97"/>
      <c r="B1926" s="98"/>
      <c r="C1926" s="98"/>
      <c r="D1926" s="98"/>
      <c r="E1926" s="98"/>
      <c r="F1926" s="98"/>
      <c r="G1926" s="99"/>
      <c r="H1926" s="99"/>
      <c r="I1926" s="99"/>
      <c r="J1926" s="99"/>
      <c r="K1926" s="98"/>
      <c r="L1926" s="98"/>
      <c r="M1926" s="98"/>
      <c r="N1926" s="98"/>
      <c r="O1926" s="98"/>
      <c r="P1926" s="98"/>
      <c r="Q1926" s="98"/>
      <c r="R1926" s="98"/>
      <c r="S1926" s="98"/>
      <c r="T1926" s="98"/>
      <c r="U1926" s="98"/>
      <c r="V1926" s="98"/>
      <c r="W1926" s="98"/>
      <c r="X1926" s="98"/>
      <c r="Y1926" s="98"/>
      <c r="Z1926" s="98"/>
      <c r="AA1926" s="98"/>
      <c r="AB1926" s="98"/>
      <c r="AC1926" s="98"/>
      <c r="AD1926" s="98"/>
      <c r="AE1926" s="98"/>
      <c r="AF1926" s="98"/>
      <c r="AG1926" s="98"/>
      <c r="AH1926" s="98"/>
      <c r="AI1926" s="98"/>
      <c r="AJ1926" s="98"/>
      <c r="AK1926" s="98"/>
      <c r="AL1926" s="98"/>
      <c r="AM1926" s="98"/>
    </row>
    <row r="1927" spans="1:39" s="100" customFormat="1" ht="15.6" x14ac:dyDescent="0.3">
      <c r="A1927" s="97"/>
      <c r="B1927" s="98"/>
      <c r="C1927" s="98"/>
      <c r="D1927" s="98"/>
      <c r="E1927" s="98"/>
      <c r="F1927" s="98"/>
      <c r="G1927" s="99"/>
      <c r="H1927" s="99"/>
      <c r="I1927" s="99"/>
      <c r="J1927" s="99"/>
      <c r="K1927" s="98"/>
      <c r="L1927" s="98"/>
      <c r="M1927" s="98"/>
      <c r="N1927" s="98"/>
      <c r="O1927" s="98"/>
      <c r="P1927" s="98"/>
      <c r="Q1927" s="98"/>
      <c r="R1927" s="98"/>
      <c r="S1927" s="98"/>
      <c r="T1927" s="98"/>
      <c r="U1927" s="98"/>
      <c r="V1927" s="98"/>
      <c r="W1927" s="98"/>
      <c r="X1927" s="98"/>
      <c r="Y1927" s="98"/>
      <c r="Z1927" s="98"/>
      <c r="AA1927" s="98"/>
      <c r="AB1927" s="98"/>
      <c r="AC1927" s="98"/>
      <c r="AD1927" s="98"/>
      <c r="AE1927" s="98"/>
      <c r="AF1927" s="98"/>
      <c r="AG1927" s="98"/>
      <c r="AH1927" s="98"/>
      <c r="AI1927" s="98"/>
      <c r="AJ1927" s="98"/>
      <c r="AK1927" s="98"/>
      <c r="AL1927" s="98"/>
      <c r="AM1927" s="98"/>
    </row>
    <row r="1928" spans="1:39" s="100" customFormat="1" ht="15.6" x14ac:dyDescent="0.3">
      <c r="A1928" s="97"/>
      <c r="B1928" s="98"/>
      <c r="C1928" s="98"/>
      <c r="D1928" s="98"/>
      <c r="E1928" s="98"/>
      <c r="F1928" s="98"/>
      <c r="G1928" s="99"/>
      <c r="H1928" s="99"/>
      <c r="I1928" s="99"/>
      <c r="J1928" s="99"/>
      <c r="K1928" s="98"/>
      <c r="L1928" s="98"/>
      <c r="M1928" s="98"/>
      <c r="N1928" s="98"/>
      <c r="O1928" s="98"/>
      <c r="P1928" s="98"/>
      <c r="Q1928" s="98"/>
      <c r="R1928" s="98"/>
      <c r="S1928" s="98"/>
      <c r="T1928" s="98"/>
      <c r="U1928" s="98"/>
      <c r="V1928" s="98"/>
      <c r="W1928" s="98"/>
      <c r="X1928" s="98"/>
      <c r="Y1928" s="98"/>
      <c r="Z1928" s="98"/>
      <c r="AA1928" s="98"/>
      <c r="AB1928" s="98"/>
      <c r="AC1928" s="98"/>
      <c r="AD1928" s="98"/>
      <c r="AE1928" s="98"/>
      <c r="AF1928" s="98"/>
      <c r="AG1928" s="98"/>
      <c r="AH1928" s="98"/>
      <c r="AI1928" s="98"/>
      <c r="AJ1928" s="98"/>
      <c r="AK1928" s="98"/>
      <c r="AL1928" s="98"/>
      <c r="AM1928" s="98"/>
    </row>
    <row r="1929" spans="1:39" s="100" customFormat="1" ht="15.6" x14ac:dyDescent="0.3">
      <c r="A1929" s="97"/>
      <c r="B1929" s="98"/>
      <c r="C1929" s="98"/>
      <c r="D1929" s="98"/>
      <c r="E1929" s="98"/>
      <c r="F1929" s="98"/>
      <c r="G1929" s="99"/>
      <c r="H1929" s="99"/>
      <c r="I1929" s="99"/>
      <c r="J1929" s="99"/>
      <c r="K1929" s="98"/>
      <c r="L1929" s="98"/>
      <c r="M1929" s="98"/>
      <c r="N1929" s="98"/>
      <c r="O1929" s="98"/>
      <c r="P1929" s="98"/>
      <c r="Q1929" s="98"/>
      <c r="R1929" s="98"/>
      <c r="S1929" s="98"/>
      <c r="T1929" s="98"/>
      <c r="U1929" s="98"/>
      <c r="V1929" s="98"/>
      <c r="W1929" s="98"/>
      <c r="X1929" s="98"/>
      <c r="Y1929" s="98"/>
      <c r="Z1929" s="98"/>
      <c r="AA1929" s="98"/>
      <c r="AB1929" s="98"/>
      <c r="AC1929" s="98"/>
      <c r="AD1929" s="98"/>
      <c r="AE1929" s="98"/>
      <c r="AF1929" s="98"/>
      <c r="AG1929" s="98"/>
      <c r="AH1929" s="98"/>
      <c r="AI1929" s="98"/>
      <c r="AJ1929" s="98"/>
      <c r="AK1929" s="98"/>
      <c r="AL1929" s="98"/>
      <c r="AM1929" s="98"/>
    </row>
    <row r="1930" spans="1:39" s="100" customFormat="1" ht="15.6" x14ac:dyDescent="0.3">
      <c r="A1930" s="97"/>
      <c r="B1930" s="98"/>
      <c r="C1930" s="98"/>
      <c r="D1930" s="98"/>
      <c r="E1930" s="98"/>
      <c r="F1930" s="98"/>
      <c r="G1930" s="99"/>
      <c r="H1930" s="99"/>
      <c r="I1930" s="99"/>
      <c r="J1930" s="99"/>
      <c r="K1930" s="98"/>
      <c r="L1930" s="98"/>
      <c r="M1930" s="98"/>
      <c r="N1930" s="98"/>
      <c r="O1930" s="98"/>
      <c r="P1930" s="98"/>
      <c r="Q1930" s="98"/>
      <c r="R1930" s="98"/>
      <c r="S1930" s="98"/>
      <c r="T1930" s="98"/>
      <c r="U1930" s="98"/>
      <c r="V1930" s="98"/>
      <c r="W1930" s="98"/>
      <c r="X1930" s="98"/>
      <c r="Y1930" s="98"/>
      <c r="Z1930" s="98"/>
      <c r="AA1930" s="98"/>
      <c r="AB1930" s="98"/>
      <c r="AC1930" s="98"/>
      <c r="AD1930" s="98"/>
      <c r="AE1930" s="98"/>
      <c r="AF1930" s="98"/>
      <c r="AG1930" s="98"/>
      <c r="AH1930" s="98"/>
      <c r="AI1930" s="98"/>
      <c r="AJ1930" s="98"/>
      <c r="AK1930" s="98"/>
      <c r="AL1930" s="98"/>
      <c r="AM1930" s="98"/>
    </row>
    <row r="1931" spans="1:39" s="100" customFormat="1" ht="15.6" x14ac:dyDescent="0.3">
      <c r="A1931" s="97"/>
      <c r="B1931" s="98"/>
      <c r="C1931" s="98"/>
      <c r="D1931" s="98"/>
      <c r="E1931" s="98"/>
      <c r="F1931" s="98"/>
      <c r="G1931" s="99"/>
      <c r="H1931" s="99"/>
      <c r="I1931" s="99"/>
      <c r="J1931" s="99"/>
      <c r="K1931" s="98"/>
      <c r="L1931" s="98"/>
      <c r="M1931" s="98"/>
      <c r="N1931" s="98"/>
      <c r="O1931" s="98"/>
      <c r="P1931" s="98"/>
      <c r="Q1931" s="98"/>
      <c r="R1931" s="98"/>
      <c r="S1931" s="98"/>
      <c r="T1931" s="98"/>
      <c r="U1931" s="98"/>
      <c r="V1931" s="98"/>
      <c r="W1931" s="98"/>
      <c r="X1931" s="98"/>
      <c r="Y1931" s="98"/>
      <c r="Z1931" s="98"/>
      <c r="AA1931" s="98"/>
      <c r="AB1931" s="98"/>
      <c r="AC1931" s="98"/>
      <c r="AD1931" s="98"/>
      <c r="AE1931" s="98"/>
      <c r="AF1931" s="98"/>
      <c r="AG1931" s="98"/>
      <c r="AH1931" s="98"/>
      <c r="AI1931" s="98"/>
      <c r="AJ1931" s="98"/>
      <c r="AK1931" s="98"/>
      <c r="AL1931" s="98"/>
      <c r="AM1931" s="98"/>
    </row>
    <row r="1932" spans="1:39" s="100" customFormat="1" ht="15.6" x14ac:dyDescent="0.3">
      <c r="A1932" s="97"/>
      <c r="B1932" s="98"/>
      <c r="C1932" s="98"/>
      <c r="D1932" s="98"/>
      <c r="E1932" s="98"/>
      <c r="F1932" s="98"/>
      <c r="G1932" s="99"/>
      <c r="H1932" s="99"/>
      <c r="I1932" s="99"/>
      <c r="J1932" s="99"/>
      <c r="K1932" s="98"/>
      <c r="L1932" s="98"/>
      <c r="M1932" s="98"/>
      <c r="N1932" s="98"/>
      <c r="O1932" s="98"/>
      <c r="P1932" s="98"/>
      <c r="Q1932" s="98"/>
      <c r="R1932" s="98"/>
      <c r="S1932" s="98"/>
      <c r="T1932" s="98"/>
      <c r="U1932" s="98"/>
      <c r="V1932" s="98"/>
      <c r="W1932" s="98"/>
      <c r="X1932" s="98"/>
      <c r="Y1932" s="98"/>
      <c r="Z1932" s="98"/>
      <c r="AA1932" s="98"/>
      <c r="AB1932" s="98"/>
      <c r="AC1932" s="98"/>
      <c r="AD1932" s="98"/>
      <c r="AE1932" s="98"/>
      <c r="AF1932" s="98"/>
      <c r="AG1932" s="98"/>
      <c r="AH1932" s="98"/>
      <c r="AI1932" s="98"/>
      <c r="AJ1932" s="98"/>
      <c r="AK1932" s="98"/>
      <c r="AL1932" s="98"/>
      <c r="AM1932" s="98"/>
    </row>
    <row r="1933" spans="1:39" s="100" customFormat="1" ht="15.6" x14ac:dyDescent="0.3">
      <c r="A1933" s="97"/>
      <c r="B1933" s="98"/>
      <c r="C1933" s="98"/>
      <c r="D1933" s="98"/>
      <c r="E1933" s="98"/>
      <c r="F1933" s="98"/>
      <c r="G1933" s="99"/>
      <c r="H1933" s="99"/>
      <c r="I1933" s="99"/>
      <c r="J1933" s="99"/>
      <c r="K1933" s="98"/>
      <c r="L1933" s="98"/>
      <c r="M1933" s="98"/>
      <c r="N1933" s="98"/>
      <c r="O1933" s="98"/>
      <c r="P1933" s="98"/>
      <c r="Q1933" s="98"/>
      <c r="R1933" s="98"/>
      <c r="S1933" s="98"/>
      <c r="T1933" s="98"/>
      <c r="U1933" s="98"/>
      <c r="V1933" s="98"/>
      <c r="W1933" s="98"/>
      <c r="X1933" s="98"/>
      <c r="Y1933" s="98"/>
      <c r="Z1933" s="98"/>
      <c r="AA1933" s="98"/>
      <c r="AB1933" s="98"/>
      <c r="AC1933" s="98"/>
      <c r="AD1933" s="98"/>
      <c r="AE1933" s="98"/>
      <c r="AF1933" s="98"/>
      <c r="AG1933" s="98"/>
      <c r="AH1933" s="98"/>
      <c r="AI1933" s="98"/>
      <c r="AJ1933" s="98"/>
      <c r="AK1933" s="98"/>
      <c r="AL1933" s="98"/>
      <c r="AM1933" s="98"/>
    </row>
    <row r="1934" spans="1:39" s="100" customFormat="1" ht="15.6" x14ac:dyDescent="0.3">
      <c r="A1934" s="97"/>
      <c r="B1934" s="98"/>
      <c r="C1934" s="98"/>
      <c r="D1934" s="98"/>
      <c r="E1934" s="98"/>
      <c r="F1934" s="98"/>
      <c r="G1934" s="99"/>
      <c r="H1934" s="99"/>
      <c r="I1934" s="99"/>
      <c r="J1934" s="99"/>
      <c r="K1934" s="98"/>
      <c r="L1934" s="98"/>
      <c r="M1934" s="98"/>
      <c r="N1934" s="98"/>
      <c r="O1934" s="98"/>
      <c r="P1934" s="98"/>
      <c r="Q1934" s="98"/>
      <c r="R1934" s="98"/>
      <c r="S1934" s="98"/>
      <c r="T1934" s="98"/>
      <c r="U1934" s="98"/>
      <c r="V1934" s="98"/>
      <c r="W1934" s="98"/>
      <c r="X1934" s="98"/>
      <c r="Y1934" s="98"/>
      <c r="Z1934" s="98"/>
      <c r="AA1934" s="98"/>
      <c r="AB1934" s="98"/>
      <c r="AC1934" s="98"/>
      <c r="AD1934" s="98"/>
      <c r="AE1934" s="98"/>
      <c r="AF1934" s="98"/>
      <c r="AG1934" s="98"/>
      <c r="AH1934" s="98"/>
      <c r="AI1934" s="98"/>
      <c r="AJ1934" s="98"/>
      <c r="AK1934" s="98"/>
      <c r="AL1934" s="98"/>
      <c r="AM1934" s="98"/>
    </row>
    <row r="1935" spans="1:39" s="100" customFormat="1" ht="15.6" x14ac:dyDescent="0.3">
      <c r="A1935" s="97"/>
      <c r="B1935" s="98"/>
      <c r="C1935" s="98"/>
      <c r="D1935" s="98"/>
      <c r="E1935" s="98"/>
      <c r="F1935" s="98"/>
      <c r="G1935" s="99"/>
      <c r="H1935" s="99"/>
      <c r="I1935" s="99"/>
      <c r="J1935" s="99"/>
      <c r="K1935" s="98"/>
      <c r="L1935" s="98"/>
      <c r="M1935" s="98"/>
      <c r="N1935" s="98"/>
      <c r="O1935" s="98"/>
      <c r="P1935" s="98"/>
      <c r="Q1935" s="98"/>
      <c r="R1935" s="98"/>
      <c r="S1935" s="98"/>
      <c r="T1935" s="98"/>
      <c r="U1935" s="98"/>
      <c r="V1935" s="98"/>
      <c r="W1935" s="98"/>
      <c r="X1935" s="98"/>
      <c r="Y1935" s="98"/>
      <c r="Z1935" s="98"/>
      <c r="AA1935" s="98"/>
      <c r="AB1935" s="98"/>
      <c r="AC1935" s="98"/>
      <c r="AD1935" s="98"/>
      <c r="AE1935" s="98"/>
      <c r="AF1935" s="98"/>
      <c r="AG1935" s="98"/>
      <c r="AH1935" s="98"/>
      <c r="AI1935" s="98"/>
      <c r="AJ1935" s="98"/>
      <c r="AK1935" s="98"/>
      <c r="AL1935" s="98"/>
      <c r="AM1935" s="98"/>
    </row>
    <row r="1936" spans="1:39" s="100" customFormat="1" ht="15.6" x14ac:dyDescent="0.3">
      <c r="A1936" s="97"/>
      <c r="B1936" s="98"/>
      <c r="C1936" s="98"/>
      <c r="D1936" s="98"/>
      <c r="E1936" s="98"/>
      <c r="F1936" s="98"/>
      <c r="G1936" s="99"/>
      <c r="H1936" s="99"/>
      <c r="I1936" s="99"/>
      <c r="J1936" s="99"/>
      <c r="K1936" s="98"/>
      <c r="L1936" s="98"/>
      <c r="M1936" s="98"/>
      <c r="N1936" s="98"/>
      <c r="O1936" s="98"/>
      <c r="P1936" s="98"/>
      <c r="Q1936" s="98"/>
      <c r="R1936" s="98"/>
      <c r="S1936" s="98"/>
      <c r="T1936" s="98"/>
      <c r="U1936" s="98"/>
      <c r="V1936" s="98"/>
      <c r="W1936" s="98"/>
      <c r="X1936" s="98"/>
      <c r="Y1936" s="98"/>
      <c r="Z1936" s="98"/>
      <c r="AA1936" s="98"/>
      <c r="AB1936" s="98"/>
      <c r="AC1936" s="98"/>
      <c r="AD1936" s="98"/>
      <c r="AE1936" s="98"/>
      <c r="AF1936" s="98"/>
      <c r="AG1936" s="98"/>
      <c r="AH1936" s="98"/>
      <c r="AI1936" s="98"/>
      <c r="AJ1936" s="98"/>
      <c r="AK1936" s="98"/>
      <c r="AL1936" s="98"/>
      <c r="AM1936" s="98"/>
    </row>
    <row r="1937" spans="1:39" s="100" customFormat="1" ht="15.6" x14ac:dyDescent="0.3">
      <c r="A1937" s="97"/>
      <c r="B1937" s="98"/>
      <c r="C1937" s="98"/>
      <c r="D1937" s="98"/>
      <c r="E1937" s="98"/>
      <c r="F1937" s="98"/>
      <c r="G1937" s="99"/>
      <c r="H1937" s="99"/>
      <c r="I1937" s="99"/>
      <c r="J1937" s="99"/>
      <c r="K1937" s="98"/>
      <c r="L1937" s="98"/>
      <c r="M1937" s="98"/>
      <c r="N1937" s="98"/>
      <c r="O1937" s="98"/>
      <c r="P1937" s="98"/>
      <c r="Q1937" s="98"/>
      <c r="R1937" s="98"/>
      <c r="S1937" s="98"/>
      <c r="T1937" s="98"/>
      <c r="U1937" s="98"/>
      <c r="V1937" s="98"/>
      <c r="W1937" s="98"/>
      <c r="X1937" s="98"/>
      <c r="Y1937" s="98"/>
      <c r="Z1937" s="98"/>
      <c r="AA1937" s="98"/>
      <c r="AB1937" s="98"/>
      <c r="AC1937" s="98"/>
      <c r="AD1937" s="98"/>
      <c r="AE1937" s="98"/>
      <c r="AF1937" s="98"/>
      <c r="AG1937" s="98"/>
      <c r="AH1937" s="98"/>
      <c r="AI1937" s="98"/>
      <c r="AJ1937" s="98"/>
      <c r="AK1937" s="98"/>
      <c r="AL1937" s="98"/>
      <c r="AM1937" s="98"/>
    </row>
    <row r="1938" spans="1:39" s="100" customFormat="1" ht="15.6" x14ac:dyDescent="0.3">
      <c r="A1938" s="97"/>
      <c r="B1938" s="98"/>
      <c r="C1938" s="98"/>
      <c r="D1938" s="98"/>
      <c r="E1938" s="98"/>
      <c r="F1938" s="98"/>
      <c r="G1938" s="99"/>
      <c r="H1938" s="99"/>
      <c r="I1938" s="99"/>
      <c r="J1938" s="99"/>
      <c r="K1938" s="98"/>
      <c r="L1938" s="98"/>
      <c r="M1938" s="98"/>
      <c r="N1938" s="98"/>
      <c r="O1938" s="98"/>
      <c r="P1938" s="98"/>
      <c r="Q1938" s="98"/>
      <c r="R1938" s="98"/>
      <c r="S1938" s="98"/>
      <c r="T1938" s="98"/>
      <c r="U1938" s="98"/>
      <c r="V1938" s="98"/>
      <c r="W1938" s="98"/>
      <c r="X1938" s="98"/>
      <c r="Y1938" s="98"/>
      <c r="Z1938" s="98"/>
      <c r="AA1938" s="98"/>
      <c r="AB1938" s="98"/>
      <c r="AC1938" s="98"/>
      <c r="AD1938" s="98"/>
      <c r="AE1938" s="98"/>
      <c r="AF1938" s="98"/>
      <c r="AG1938" s="98"/>
      <c r="AH1938" s="98"/>
      <c r="AI1938" s="98"/>
      <c r="AJ1938" s="98"/>
      <c r="AK1938" s="98"/>
      <c r="AL1938" s="98"/>
      <c r="AM1938" s="98"/>
    </row>
    <row r="1939" spans="1:39" s="100" customFormat="1" ht="15.6" x14ac:dyDescent="0.3">
      <c r="A1939" s="97"/>
      <c r="B1939" s="98"/>
      <c r="C1939" s="98"/>
      <c r="D1939" s="98"/>
      <c r="E1939" s="98"/>
      <c r="F1939" s="98"/>
      <c r="G1939" s="99"/>
      <c r="H1939" s="99"/>
      <c r="I1939" s="99"/>
      <c r="J1939" s="99"/>
      <c r="K1939" s="98"/>
      <c r="L1939" s="98"/>
      <c r="M1939" s="98"/>
      <c r="N1939" s="98"/>
      <c r="O1939" s="98"/>
      <c r="P1939" s="98"/>
      <c r="Q1939" s="98"/>
      <c r="R1939" s="98"/>
      <c r="S1939" s="98"/>
      <c r="T1939" s="98"/>
      <c r="U1939" s="98"/>
      <c r="V1939" s="98"/>
      <c r="W1939" s="98"/>
      <c r="X1939" s="98"/>
      <c r="Y1939" s="98"/>
      <c r="Z1939" s="98"/>
      <c r="AA1939" s="98"/>
      <c r="AB1939" s="98"/>
      <c r="AC1939" s="98"/>
      <c r="AD1939" s="98"/>
      <c r="AE1939" s="98"/>
      <c r="AF1939" s="98"/>
      <c r="AG1939" s="98"/>
      <c r="AH1939" s="98"/>
      <c r="AI1939" s="98"/>
      <c r="AJ1939" s="98"/>
      <c r="AK1939" s="98"/>
      <c r="AL1939" s="98"/>
      <c r="AM1939" s="98"/>
    </row>
    <row r="1940" spans="1:39" s="100" customFormat="1" ht="15.6" x14ac:dyDescent="0.3">
      <c r="A1940" s="97"/>
      <c r="B1940" s="98"/>
      <c r="C1940" s="98"/>
      <c r="D1940" s="98"/>
      <c r="E1940" s="98"/>
      <c r="F1940" s="98"/>
      <c r="G1940" s="99"/>
      <c r="H1940" s="99"/>
      <c r="I1940" s="99"/>
      <c r="J1940" s="99"/>
      <c r="K1940" s="98"/>
      <c r="L1940" s="98"/>
      <c r="M1940" s="98"/>
      <c r="N1940" s="98"/>
      <c r="O1940" s="98"/>
      <c r="P1940" s="98"/>
      <c r="Q1940" s="98"/>
      <c r="R1940" s="98"/>
      <c r="S1940" s="98"/>
      <c r="T1940" s="98"/>
      <c r="U1940" s="98"/>
      <c r="V1940" s="98"/>
      <c r="W1940" s="98"/>
      <c r="X1940" s="98"/>
      <c r="Y1940" s="98"/>
      <c r="Z1940" s="98"/>
      <c r="AA1940" s="98"/>
      <c r="AB1940" s="98"/>
      <c r="AC1940" s="98"/>
      <c r="AD1940" s="98"/>
      <c r="AE1940" s="98"/>
      <c r="AF1940" s="98"/>
      <c r="AG1940" s="98"/>
      <c r="AH1940" s="98"/>
      <c r="AI1940" s="98"/>
      <c r="AJ1940" s="98"/>
      <c r="AK1940" s="98"/>
      <c r="AL1940" s="98"/>
      <c r="AM1940" s="98"/>
    </row>
    <row r="1941" spans="1:39" s="100" customFormat="1" ht="15.6" x14ac:dyDescent="0.3">
      <c r="A1941" s="97"/>
      <c r="B1941" s="98"/>
      <c r="C1941" s="98"/>
      <c r="D1941" s="98"/>
      <c r="E1941" s="98"/>
      <c r="F1941" s="98"/>
      <c r="G1941" s="99"/>
      <c r="H1941" s="99"/>
      <c r="I1941" s="99"/>
      <c r="J1941" s="99"/>
      <c r="K1941" s="98"/>
      <c r="L1941" s="98"/>
      <c r="M1941" s="98"/>
      <c r="N1941" s="98"/>
      <c r="O1941" s="98"/>
      <c r="P1941" s="98"/>
      <c r="Q1941" s="98"/>
      <c r="R1941" s="98"/>
      <c r="S1941" s="98"/>
      <c r="T1941" s="98"/>
      <c r="U1941" s="98"/>
      <c r="V1941" s="98"/>
      <c r="W1941" s="98"/>
      <c r="X1941" s="98"/>
      <c r="Y1941" s="98"/>
      <c r="Z1941" s="98"/>
      <c r="AA1941" s="98"/>
      <c r="AB1941" s="98"/>
      <c r="AC1941" s="98"/>
      <c r="AD1941" s="98"/>
      <c r="AE1941" s="98"/>
      <c r="AF1941" s="98"/>
      <c r="AG1941" s="98"/>
      <c r="AH1941" s="98"/>
      <c r="AI1941" s="98"/>
      <c r="AJ1941" s="98"/>
      <c r="AK1941" s="98"/>
      <c r="AL1941" s="98"/>
      <c r="AM1941" s="98"/>
    </row>
    <row r="1942" spans="1:39" s="100" customFormat="1" ht="15.6" x14ac:dyDescent="0.3">
      <c r="A1942" s="97"/>
      <c r="B1942" s="98"/>
      <c r="C1942" s="98"/>
      <c r="D1942" s="98"/>
      <c r="E1942" s="98"/>
      <c r="F1942" s="98"/>
      <c r="G1942" s="99"/>
      <c r="H1942" s="99"/>
      <c r="I1942" s="99"/>
      <c r="J1942" s="99"/>
      <c r="K1942" s="98"/>
      <c r="L1942" s="98"/>
      <c r="M1942" s="98"/>
      <c r="N1942" s="98"/>
      <c r="O1942" s="98"/>
      <c r="P1942" s="98"/>
      <c r="Q1942" s="98"/>
      <c r="R1942" s="98"/>
      <c r="S1942" s="98"/>
      <c r="T1942" s="98"/>
      <c r="U1942" s="98"/>
      <c r="V1942" s="98"/>
      <c r="W1942" s="98"/>
      <c r="X1942" s="98"/>
      <c r="Y1942" s="98"/>
      <c r="Z1942" s="98"/>
      <c r="AA1942" s="98"/>
      <c r="AB1942" s="98"/>
      <c r="AC1942" s="98"/>
      <c r="AD1942" s="98"/>
      <c r="AE1942" s="98"/>
      <c r="AF1942" s="98"/>
      <c r="AG1942" s="98"/>
      <c r="AH1942" s="98"/>
      <c r="AI1942" s="98"/>
      <c r="AJ1942" s="98"/>
      <c r="AK1942" s="98"/>
      <c r="AL1942" s="98"/>
      <c r="AM1942" s="98"/>
    </row>
    <row r="1943" spans="1:39" s="100" customFormat="1" ht="15.6" x14ac:dyDescent="0.3">
      <c r="A1943" s="97"/>
      <c r="B1943" s="98"/>
      <c r="C1943" s="98"/>
      <c r="D1943" s="98"/>
      <c r="E1943" s="98"/>
      <c r="F1943" s="98"/>
      <c r="G1943" s="99"/>
      <c r="H1943" s="99"/>
      <c r="I1943" s="99"/>
      <c r="J1943" s="99"/>
      <c r="K1943" s="98"/>
      <c r="L1943" s="98"/>
      <c r="M1943" s="98"/>
      <c r="N1943" s="98"/>
      <c r="O1943" s="98"/>
      <c r="P1943" s="98"/>
      <c r="Q1943" s="98"/>
      <c r="R1943" s="98"/>
      <c r="S1943" s="98"/>
      <c r="T1943" s="98"/>
      <c r="U1943" s="98"/>
      <c r="V1943" s="98"/>
      <c r="W1943" s="98"/>
      <c r="X1943" s="98"/>
      <c r="Y1943" s="98"/>
      <c r="Z1943" s="98"/>
      <c r="AA1943" s="98"/>
      <c r="AB1943" s="98"/>
      <c r="AC1943" s="98"/>
      <c r="AD1943" s="98"/>
      <c r="AE1943" s="98"/>
      <c r="AF1943" s="98"/>
      <c r="AG1943" s="98"/>
      <c r="AH1943" s="98"/>
      <c r="AI1943" s="98"/>
      <c r="AJ1943" s="98"/>
      <c r="AK1943" s="98"/>
      <c r="AL1943" s="98"/>
      <c r="AM1943" s="98"/>
    </row>
    <row r="1944" spans="1:39" s="100" customFormat="1" ht="15.6" x14ac:dyDescent="0.3">
      <c r="A1944" s="97"/>
      <c r="B1944" s="98"/>
      <c r="C1944" s="98"/>
      <c r="D1944" s="98"/>
      <c r="E1944" s="98"/>
      <c r="F1944" s="98"/>
      <c r="G1944" s="99"/>
      <c r="H1944" s="99"/>
      <c r="I1944" s="99"/>
      <c r="J1944" s="99"/>
      <c r="K1944" s="98"/>
      <c r="L1944" s="98"/>
      <c r="M1944" s="98"/>
      <c r="N1944" s="98"/>
      <c r="O1944" s="98"/>
      <c r="P1944" s="98"/>
      <c r="Q1944" s="98"/>
      <c r="R1944" s="98"/>
      <c r="S1944" s="98"/>
      <c r="T1944" s="98"/>
      <c r="U1944" s="98"/>
      <c r="V1944" s="98"/>
      <c r="W1944" s="98"/>
      <c r="X1944" s="98"/>
      <c r="Y1944" s="98"/>
      <c r="Z1944" s="98"/>
      <c r="AA1944" s="98"/>
      <c r="AB1944" s="98"/>
      <c r="AC1944" s="98"/>
      <c r="AD1944" s="98"/>
      <c r="AE1944" s="98"/>
      <c r="AF1944" s="98"/>
      <c r="AG1944" s="98"/>
      <c r="AH1944" s="98"/>
      <c r="AI1944" s="98"/>
      <c r="AJ1944" s="98"/>
      <c r="AK1944" s="98"/>
      <c r="AL1944" s="98"/>
      <c r="AM1944" s="98"/>
    </row>
    <row r="1945" spans="1:39" s="100" customFormat="1" ht="15.6" x14ac:dyDescent="0.3">
      <c r="A1945" s="97"/>
      <c r="B1945" s="98"/>
      <c r="C1945" s="98"/>
      <c r="D1945" s="98"/>
      <c r="E1945" s="98"/>
      <c r="F1945" s="98"/>
      <c r="G1945" s="99"/>
      <c r="H1945" s="99"/>
      <c r="I1945" s="99"/>
      <c r="J1945" s="99"/>
      <c r="K1945" s="98"/>
      <c r="L1945" s="98"/>
      <c r="M1945" s="98"/>
      <c r="N1945" s="98"/>
      <c r="O1945" s="98"/>
      <c r="P1945" s="98"/>
      <c r="Q1945" s="98"/>
      <c r="R1945" s="98"/>
      <c r="S1945" s="98"/>
      <c r="T1945" s="98"/>
      <c r="U1945" s="98"/>
      <c r="V1945" s="98"/>
      <c r="W1945" s="98"/>
      <c r="X1945" s="98"/>
      <c r="Y1945" s="98"/>
      <c r="Z1945" s="98"/>
      <c r="AA1945" s="98"/>
      <c r="AB1945" s="98"/>
      <c r="AC1945" s="98"/>
      <c r="AD1945" s="98"/>
      <c r="AE1945" s="98"/>
      <c r="AF1945" s="98"/>
      <c r="AG1945" s="98"/>
      <c r="AH1945" s="98"/>
      <c r="AI1945" s="98"/>
      <c r="AJ1945" s="98"/>
      <c r="AK1945" s="98"/>
      <c r="AL1945" s="98"/>
      <c r="AM1945" s="98"/>
    </row>
    <row r="1946" spans="1:39" s="100" customFormat="1" ht="15.6" x14ac:dyDescent="0.3">
      <c r="A1946" s="97"/>
      <c r="B1946" s="98"/>
      <c r="C1946" s="98"/>
      <c r="D1946" s="98"/>
      <c r="E1946" s="98"/>
      <c r="F1946" s="98"/>
      <c r="G1946" s="99"/>
      <c r="H1946" s="99"/>
      <c r="I1946" s="99"/>
      <c r="J1946" s="99"/>
      <c r="K1946" s="98"/>
      <c r="L1946" s="98"/>
      <c r="M1946" s="98"/>
      <c r="N1946" s="98"/>
      <c r="O1946" s="98"/>
      <c r="P1946" s="98"/>
      <c r="Q1946" s="98"/>
      <c r="R1946" s="98"/>
      <c r="S1946" s="98"/>
      <c r="T1946" s="98"/>
      <c r="U1946" s="98"/>
      <c r="V1946" s="98"/>
      <c r="W1946" s="98"/>
      <c r="X1946" s="98"/>
      <c r="Y1946" s="98"/>
      <c r="Z1946" s="98"/>
      <c r="AA1946" s="98"/>
      <c r="AB1946" s="98"/>
      <c r="AC1946" s="98"/>
      <c r="AD1946" s="98"/>
      <c r="AE1946" s="98"/>
      <c r="AF1946" s="98"/>
      <c r="AG1946" s="98"/>
      <c r="AH1946" s="98"/>
      <c r="AI1946" s="98"/>
      <c r="AJ1946" s="98"/>
      <c r="AK1946" s="98"/>
      <c r="AL1946" s="98"/>
      <c r="AM1946" s="98"/>
    </row>
    <row r="1947" spans="1:39" s="100" customFormat="1" ht="15.6" x14ac:dyDescent="0.3">
      <c r="A1947" s="97"/>
      <c r="B1947" s="98"/>
      <c r="C1947" s="98"/>
      <c r="D1947" s="98"/>
      <c r="E1947" s="98"/>
      <c r="F1947" s="98"/>
      <c r="G1947" s="99"/>
      <c r="H1947" s="99"/>
      <c r="I1947" s="99"/>
      <c r="J1947" s="99"/>
      <c r="K1947" s="98"/>
      <c r="L1947" s="98"/>
      <c r="M1947" s="98"/>
      <c r="N1947" s="98"/>
      <c r="O1947" s="98"/>
      <c r="P1947" s="98"/>
      <c r="Q1947" s="98"/>
      <c r="R1947" s="98"/>
      <c r="S1947" s="98"/>
      <c r="T1947" s="98"/>
      <c r="U1947" s="98"/>
      <c r="V1947" s="98"/>
      <c r="W1947" s="98"/>
      <c r="X1947" s="98"/>
      <c r="Y1947" s="98"/>
      <c r="Z1947" s="98"/>
      <c r="AA1947" s="98"/>
      <c r="AB1947" s="98"/>
      <c r="AC1947" s="98"/>
      <c r="AD1947" s="98"/>
      <c r="AE1947" s="98"/>
      <c r="AF1947" s="98"/>
      <c r="AG1947" s="98"/>
      <c r="AH1947" s="98"/>
      <c r="AI1947" s="98"/>
      <c r="AJ1947" s="98"/>
      <c r="AK1947" s="98"/>
      <c r="AL1947" s="98"/>
      <c r="AM1947" s="98"/>
    </row>
    <row r="1948" spans="1:39" s="100" customFormat="1" ht="15.6" x14ac:dyDescent="0.3">
      <c r="A1948" s="97"/>
      <c r="B1948" s="98"/>
      <c r="C1948" s="98"/>
      <c r="D1948" s="98"/>
      <c r="E1948" s="98"/>
      <c r="F1948" s="98"/>
      <c r="G1948" s="99"/>
      <c r="H1948" s="99"/>
      <c r="I1948" s="99"/>
      <c r="J1948" s="99"/>
      <c r="K1948" s="98"/>
      <c r="L1948" s="98"/>
      <c r="M1948" s="98"/>
      <c r="N1948" s="98"/>
      <c r="O1948" s="98"/>
      <c r="P1948" s="98"/>
      <c r="Q1948" s="98"/>
      <c r="R1948" s="98"/>
      <c r="S1948" s="98"/>
      <c r="T1948" s="98"/>
      <c r="U1948" s="98"/>
      <c r="V1948" s="98"/>
      <c r="W1948" s="98"/>
      <c r="X1948" s="98"/>
      <c r="Y1948" s="98"/>
      <c r="Z1948" s="98"/>
      <c r="AA1948" s="98"/>
      <c r="AB1948" s="98"/>
      <c r="AC1948" s="98"/>
      <c r="AD1948" s="98"/>
      <c r="AE1948" s="98"/>
      <c r="AF1948" s="98"/>
      <c r="AG1948" s="98"/>
      <c r="AH1948" s="98"/>
      <c r="AI1948" s="98"/>
      <c r="AJ1948" s="98"/>
      <c r="AK1948" s="98"/>
      <c r="AL1948" s="98"/>
      <c r="AM1948" s="98"/>
    </row>
    <row r="1949" spans="1:39" s="100" customFormat="1" ht="15.6" x14ac:dyDescent="0.3">
      <c r="A1949" s="97"/>
      <c r="B1949" s="98"/>
      <c r="C1949" s="98"/>
      <c r="D1949" s="98"/>
      <c r="E1949" s="98"/>
      <c r="F1949" s="98"/>
      <c r="G1949" s="99"/>
      <c r="H1949" s="99"/>
      <c r="I1949" s="99"/>
      <c r="J1949" s="99"/>
      <c r="K1949" s="98"/>
      <c r="L1949" s="98"/>
      <c r="M1949" s="98"/>
      <c r="N1949" s="98"/>
      <c r="O1949" s="98"/>
      <c r="P1949" s="98"/>
      <c r="Q1949" s="98"/>
      <c r="R1949" s="98"/>
      <c r="S1949" s="98"/>
      <c r="T1949" s="98"/>
      <c r="U1949" s="98"/>
      <c r="V1949" s="98"/>
      <c r="W1949" s="98"/>
      <c r="X1949" s="98"/>
      <c r="Y1949" s="98"/>
      <c r="Z1949" s="98"/>
      <c r="AA1949" s="98"/>
      <c r="AB1949" s="98"/>
      <c r="AC1949" s="98"/>
      <c r="AD1949" s="98"/>
      <c r="AE1949" s="98"/>
      <c r="AF1949" s="98"/>
      <c r="AG1949" s="98"/>
      <c r="AH1949" s="98"/>
      <c r="AI1949" s="98"/>
      <c r="AJ1949" s="98"/>
      <c r="AK1949" s="98"/>
      <c r="AL1949" s="98"/>
      <c r="AM1949" s="98"/>
    </row>
    <row r="1950" spans="1:39" s="100" customFormat="1" ht="15.6" x14ac:dyDescent="0.3">
      <c r="A1950" s="97"/>
      <c r="B1950" s="98"/>
      <c r="C1950" s="98"/>
      <c r="D1950" s="98"/>
      <c r="E1950" s="98"/>
      <c r="F1950" s="98"/>
      <c r="G1950" s="99"/>
      <c r="H1950" s="99"/>
      <c r="I1950" s="99"/>
      <c r="J1950" s="99"/>
      <c r="K1950" s="98"/>
      <c r="L1950" s="98"/>
      <c r="M1950" s="98"/>
      <c r="N1950" s="98"/>
      <c r="O1950" s="98"/>
      <c r="P1950" s="98"/>
      <c r="Q1950" s="98"/>
      <c r="R1950" s="98"/>
      <c r="S1950" s="98"/>
      <c r="T1950" s="98"/>
      <c r="U1950" s="98"/>
      <c r="V1950" s="98"/>
      <c r="W1950" s="98"/>
      <c r="X1950" s="98"/>
      <c r="Y1950" s="98"/>
      <c r="Z1950" s="98"/>
      <c r="AA1950" s="98"/>
      <c r="AB1950" s="98"/>
      <c r="AC1950" s="98"/>
      <c r="AD1950" s="98"/>
      <c r="AE1950" s="98"/>
      <c r="AF1950" s="98"/>
      <c r="AG1950" s="98"/>
      <c r="AH1950" s="98"/>
      <c r="AI1950" s="98"/>
      <c r="AJ1950" s="98"/>
      <c r="AK1950" s="98"/>
      <c r="AL1950" s="98"/>
      <c r="AM1950" s="98"/>
    </row>
    <row r="1951" spans="1:39" s="100" customFormat="1" ht="15.6" x14ac:dyDescent="0.3">
      <c r="A1951" s="97"/>
      <c r="B1951" s="98"/>
      <c r="C1951" s="98"/>
      <c r="D1951" s="98"/>
      <c r="E1951" s="98"/>
      <c r="F1951" s="98"/>
      <c r="G1951" s="99"/>
      <c r="H1951" s="99"/>
      <c r="I1951" s="99"/>
      <c r="J1951" s="99"/>
      <c r="K1951" s="98"/>
      <c r="L1951" s="98"/>
      <c r="M1951" s="98"/>
      <c r="N1951" s="98"/>
      <c r="O1951" s="98"/>
      <c r="P1951" s="98"/>
      <c r="Q1951" s="98"/>
      <c r="R1951" s="98"/>
      <c r="S1951" s="98"/>
      <c r="T1951" s="98"/>
      <c r="U1951" s="98"/>
      <c r="V1951" s="98"/>
      <c r="W1951" s="98"/>
      <c r="X1951" s="98"/>
      <c r="Y1951" s="98"/>
      <c r="Z1951" s="98"/>
      <c r="AA1951" s="98"/>
      <c r="AB1951" s="98"/>
      <c r="AC1951" s="98"/>
      <c r="AD1951" s="98"/>
      <c r="AE1951" s="98"/>
      <c r="AF1951" s="98"/>
      <c r="AG1951" s="98"/>
      <c r="AH1951" s="98"/>
      <c r="AI1951" s="98"/>
      <c r="AJ1951" s="98"/>
      <c r="AK1951" s="98"/>
      <c r="AL1951" s="98"/>
      <c r="AM1951" s="98"/>
    </row>
    <row r="1952" spans="1:39" s="100" customFormat="1" ht="15.6" x14ac:dyDescent="0.3">
      <c r="A1952" s="97"/>
      <c r="B1952" s="98"/>
      <c r="C1952" s="98"/>
      <c r="D1952" s="98"/>
      <c r="E1952" s="98"/>
      <c r="F1952" s="98"/>
      <c r="G1952" s="99"/>
      <c r="H1952" s="99"/>
      <c r="I1952" s="99"/>
      <c r="J1952" s="99"/>
      <c r="K1952" s="98"/>
      <c r="L1952" s="98"/>
      <c r="M1952" s="98"/>
      <c r="N1952" s="98"/>
      <c r="O1952" s="98"/>
      <c r="P1952" s="98"/>
      <c r="Q1952" s="98"/>
      <c r="R1952" s="98"/>
      <c r="S1952" s="98"/>
      <c r="T1952" s="98"/>
      <c r="U1952" s="98"/>
      <c r="V1952" s="98"/>
      <c r="W1952" s="98"/>
      <c r="X1952" s="98"/>
      <c r="Y1952" s="98"/>
      <c r="Z1952" s="98"/>
      <c r="AA1952" s="98"/>
      <c r="AB1952" s="98"/>
      <c r="AC1952" s="98"/>
      <c r="AD1952" s="98"/>
      <c r="AE1952" s="98"/>
      <c r="AF1952" s="98"/>
      <c r="AG1952" s="98"/>
      <c r="AH1952" s="98"/>
      <c r="AI1952" s="98"/>
      <c r="AJ1952" s="98"/>
      <c r="AK1952" s="98"/>
      <c r="AL1952" s="98"/>
      <c r="AM1952" s="98"/>
    </row>
    <row r="1953" spans="1:39" s="100" customFormat="1" ht="15.6" x14ac:dyDescent="0.3">
      <c r="A1953" s="97"/>
      <c r="B1953" s="98"/>
      <c r="C1953" s="98"/>
      <c r="D1953" s="98"/>
      <c r="E1953" s="98"/>
      <c r="F1953" s="98"/>
      <c r="G1953" s="99"/>
      <c r="H1953" s="99"/>
      <c r="I1953" s="99"/>
      <c r="J1953" s="99"/>
      <c r="K1953" s="98"/>
      <c r="L1953" s="98"/>
      <c r="M1953" s="98"/>
      <c r="N1953" s="98"/>
      <c r="O1953" s="98"/>
      <c r="P1953" s="98"/>
      <c r="Q1953" s="98"/>
      <c r="R1953" s="98"/>
      <c r="S1953" s="98"/>
      <c r="T1953" s="98"/>
      <c r="U1953" s="98"/>
      <c r="V1953" s="98"/>
      <c r="W1953" s="98"/>
      <c r="X1953" s="98"/>
      <c r="Y1953" s="98"/>
      <c r="Z1953" s="98"/>
      <c r="AA1953" s="98"/>
      <c r="AB1953" s="98"/>
      <c r="AC1953" s="98"/>
      <c r="AD1953" s="98"/>
      <c r="AE1953" s="98"/>
      <c r="AF1953" s="98"/>
      <c r="AG1953" s="98"/>
      <c r="AH1953" s="98"/>
      <c r="AI1953" s="98"/>
      <c r="AJ1953" s="98"/>
      <c r="AK1953" s="98"/>
      <c r="AL1953" s="98"/>
      <c r="AM1953" s="98"/>
    </row>
    <row r="1954" spans="1:39" s="100" customFormat="1" ht="15.6" x14ac:dyDescent="0.3">
      <c r="A1954" s="97"/>
      <c r="B1954" s="98"/>
      <c r="C1954" s="98"/>
      <c r="D1954" s="98"/>
      <c r="E1954" s="98"/>
      <c r="F1954" s="98"/>
      <c r="G1954" s="99"/>
      <c r="H1954" s="99"/>
      <c r="I1954" s="99"/>
      <c r="J1954" s="99"/>
      <c r="K1954" s="98"/>
      <c r="L1954" s="98"/>
      <c r="M1954" s="98"/>
      <c r="N1954" s="98"/>
      <c r="O1954" s="98"/>
      <c r="P1954" s="98"/>
      <c r="Q1954" s="98"/>
      <c r="R1954" s="98"/>
      <c r="S1954" s="98"/>
      <c r="T1954" s="98"/>
      <c r="U1954" s="98"/>
      <c r="V1954" s="98"/>
      <c r="W1954" s="98"/>
      <c r="X1954" s="98"/>
      <c r="Y1954" s="98"/>
      <c r="Z1954" s="98"/>
      <c r="AA1954" s="98"/>
      <c r="AB1954" s="98"/>
      <c r="AC1954" s="98"/>
      <c r="AD1954" s="98"/>
      <c r="AE1954" s="98"/>
      <c r="AF1954" s="98"/>
      <c r="AG1954" s="98"/>
      <c r="AH1954" s="98"/>
      <c r="AI1954" s="98"/>
      <c r="AJ1954" s="98"/>
      <c r="AK1954" s="98"/>
      <c r="AL1954" s="98"/>
      <c r="AM1954" s="98"/>
    </row>
    <row r="1955" spans="1:39" s="100" customFormat="1" ht="15.6" x14ac:dyDescent="0.3">
      <c r="A1955" s="97"/>
      <c r="B1955" s="98"/>
      <c r="C1955" s="98"/>
      <c r="D1955" s="98"/>
      <c r="E1955" s="98"/>
      <c r="F1955" s="98"/>
      <c r="G1955" s="99"/>
      <c r="H1955" s="99"/>
      <c r="I1955" s="99"/>
      <c r="J1955" s="99"/>
      <c r="K1955" s="98"/>
      <c r="L1955" s="98"/>
      <c r="M1955" s="98"/>
      <c r="N1955" s="98"/>
      <c r="O1955" s="98"/>
      <c r="P1955" s="98"/>
      <c r="Q1955" s="98"/>
      <c r="R1955" s="98"/>
      <c r="S1955" s="98"/>
      <c r="T1955" s="98"/>
      <c r="U1955" s="98"/>
      <c r="V1955" s="98"/>
      <c r="W1955" s="98"/>
      <c r="X1955" s="98"/>
      <c r="Y1955" s="98"/>
      <c r="Z1955" s="98"/>
      <c r="AA1955" s="98"/>
      <c r="AB1955" s="98"/>
      <c r="AC1955" s="98"/>
      <c r="AD1955" s="98"/>
      <c r="AE1955" s="98"/>
      <c r="AF1955" s="98"/>
      <c r="AG1955" s="98"/>
      <c r="AH1955" s="98"/>
      <c r="AI1955" s="98"/>
      <c r="AJ1955" s="98"/>
      <c r="AK1955" s="98"/>
      <c r="AL1955" s="98"/>
      <c r="AM1955" s="98"/>
    </row>
    <row r="1956" spans="1:39" s="100" customFormat="1" ht="15.6" x14ac:dyDescent="0.3">
      <c r="A1956" s="97"/>
      <c r="B1956" s="98"/>
      <c r="C1956" s="98"/>
      <c r="D1956" s="98"/>
      <c r="E1956" s="98"/>
      <c r="F1956" s="98"/>
      <c r="G1956" s="99"/>
      <c r="H1956" s="99"/>
      <c r="I1956" s="99"/>
      <c r="J1956" s="99"/>
      <c r="K1956" s="98"/>
      <c r="L1956" s="98"/>
      <c r="M1956" s="98"/>
      <c r="N1956" s="98"/>
      <c r="O1956" s="98"/>
      <c r="P1956" s="98"/>
      <c r="Q1956" s="98"/>
      <c r="R1956" s="98"/>
      <c r="S1956" s="98"/>
      <c r="T1956" s="98"/>
      <c r="U1956" s="98"/>
      <c r="V1956" s="98"/>
      <c r="W1956" s="98"/>
      <c r="X1956" s="98"/>
      <c r="Y1956" s="98"/>
      <c r="Z1956" s="98"/>
      <c r="AA1956" s="98"/>
      <c r="AB1956" s="98"/>
      <c r="AC1956" s="98"/>
      <c r="AD1956" s="98"/>
      <c r="AE1956" s="98"/>
      <c r="AF1956" s="98"/>
      <c r="AG1956" s="98"/>
      <c r="AH1956" s="98"/>
      <c r="AI1956" s="98"/>
      <c r="AJ1956" s="98"/>
      <c r="AK1956" s="98"/>
      <c r="AL1956" s="98"/>
      <c r="AM1956" s="98"/>
    </row>
    <row r="1957" spans="1:39" s="100" customFormat="1" ht="15.6" x14ac:dyDescent="0.3">
      <c r="A1957" s="97"/>
      <c r="B1957" s="98"/>
      <c r="C1957" s="98"/>
      <c r="D1957" s="98"/>
      <c r="E1957" s="98"/>
      <c r="F1957" s="98"/>
      <c r="G1957" s="99"/>
      <c r="H1957" s="99"/>
      <c r="I1957" s="99"/>
      <c r="J1957" s="99"/>
      <c r="K1957" s="98"/>
      <c r="L1957" s="98"/>
      <c r="M1957" s="98"/>
      <c r="N1957" s="98"/>
      <c r="O1957" s="98"/>
      <c r="P1957" s="98"/>
      <c r="Q1957" s="98"/>
      <c r="R1957" s="98"/>
      <c r="S1957" s="98"/>
      <c r="T1957" s="98"/>
      <c r="U1957" s="98"/>
      <c r="V1957" s="98"/>
      <c r="W1957" s="98"/>
      <c r="X1957" s="98"/>
      <c r="Y1957" s="98"/>
      <c r="Z1957" s="98"/>
      <c r="AA1957" s="98"/>
      <c r="AB1957" s="98"/>
      <c r="AC1957" s="98"/>
      <c r="AD1957" s="98"/>
      <c r="AE1957" s="98"/>
      <c r="AF1957" s="98"/>
      <c r="AG1957" s="98"/>
      <c r="AH1957" s="98"/>
      <c r="AI1957" s="98"/>
      <c r="AJ1957" s="98"/>
      <c r="AK1957" s="98"/>
      <c r="AL1957" s="98"/>
      <c r="AM1957" s="98"/>
    </row>
    <row r="1958" spans="1:39" s="100" customFormat="1" ht="15.6" x14ac:dyDescent="0.3">
      <c r="A1958" s="97"/>
      <c r="B1958" s="98"/>
      <c r="C1958" s="98"/>
      <c r="D1958" s="98"/>
      <c r="E1958" s="98"/>
      <c r="F1958" s="98"/>
      <c r="G1958" s="99"/>
      <c r="H1958" s="99"/>
      <c r="I1958" s="99"/>
      <c r="J1958" s="99"/>
      <c r="K1958" s="98"/>
      <c r="L1958" s="98"/>
      <c r="M1958" s="98"/>
      <c r="N1958" s="98"/>
      <c r="O1958" s="98"/>
      <c r="P1958" s="98"/>
      <c r="Q1958" s="98"/>
      <c r="R1958" s="98"/>
      <c r="S1958" s="98"/>
      <c r="T1958" s="98"/>
      <c r="U1958" s="98"/>
      <c r="V1958" s="98"/>
      <c r="W1958" s="98"/>
      <c r="X1958" s="98"/>
      <c r="Y1958" s="98"/>
      <c r="Z1958" s="98"/>
      <c r="AA1958" s="98"/>
      <c r="AB1958" s="98"/>
      <c r="AC1958" s="98"/>
      <c r="AD1958" s="98"/>
      <c r="AE1958" s="98"/>
      <c r="AF1958" s="98"/>
      <c r="AG1958" s="98"/>
      <c r="AH1958" s="98"/>
      <c r="AI1958" s="98"/>
      <c r="AJ1958" s="98"/>
      <c r="AK1958" s="98"/>
      <c r="AL1958" s="98"/>
      <c r="AM1958" s="98"/>
    </row>
    <row r="1959" spans="1:39" s="100" customFormat="1" ht="15.6" x14ac:dyDescent="0.3">
      <c r="A1959" s="97"/>
      <c r="B1959" s="98"/>
      <c r="C1959" s="98"/>
      <c r="D1959" s="98"/>
      <c r="E1959" s="98"/>
      <c r="F1959" s="98"/>
      <c r="G1959" s="99"/>
      <c r="H1959" s="99"/>
      <c r="I1959" s="99"/>
      <c r="J1959" s="99"/>
      <c r="K1959" s="98"/>
      <c r="L1959" s="98"/>
      <c r="M1959" s="98"/>
      <c r="N1959" s="98"/>
      <c r="O1959" s="98"/>
      <c r="P1959" s="98"/>
      <c r="Q1959" s="98"/>
      <c r="R1959" s="98"/>
      <c r="S1959" s="98"/>
      <c r="T1959" s="98"/>
      <c r="U1959" s="98"/>
      <c r="V1959" s="98"/>
      <c r="W1959" s="98"/>
      <c r="X1959" s="98"/>
      <c r="Y1959" s="98"/>
      <c r="Z1959" s="98"/>
      <c r="AA1959" s="98"/>
      <c r="AB1959" s="98"/>
      <c r="AC1959" s="98"/>
      <c r="AD1959" s="98"/>
      <c r="AE1959" s="98"/>
      <c r="AF1959" s="98"/>
      <c r="AG1959" s="98"/>
      <c r="AH1959" s="98"/>
      <c r="AI1959" s="98"/>
      <c r="AJ1959" s="98"/>
      <c r="AK1959" s="98"/>
      <c r="AL1959" s="98"/>
      <c r="AM1959" s="98"/>
    </row>
    <row r="1960" spans="1:39" s="100" customFormat="1" ht="15.6" x14ac:dyDescent="0.3">
      <c r="A1960" s="97"/>
      <c r="B1960" s="98"/>
      <c r="C1960" s="98"/>
      <c r="D1960" s="98"/>
      <c r="E1960" s="98"/>
      <c r="F1960" s="98"/>
      <c r="G1960" s="99"/>
      <c r="H1960" s="99"/>
      <c r="I1960" s="99"/>
      <c r="J1960" s="99"/>
      <c r="K1960" s="98"/>
      <c r="L1960" s="98"/>
      <c r="M1960" s="98"/>
      <c r="N1960" s="98"/>
      <c r="O1960" s="98"/>
      <c r="P1960" s="98"/>
      <c r="Q1960" s="98"/>
      <c r="R1960" s="98"/>
      <c r="S1960" s="98"/>
      <c r="T1960" s="98"/>
      <c r="U1960" s="98"/>
      <c r="V1960" s="98"/>
      <c r="W1960" s="98"/>
      <c r="X1960" s="98"/>
      <c r="Y1960" s="98"/>
      <c r="Z1960" s="98"/>
      <c r="AA1960" s="98"/>
      <c r="AB1960" s="98"/>
      <c r="AC1960" s="98"/>
      <c r="AD1960" s="98"/>
      <c r="AE1960" s="98"/>
      <c r="AF1960" s="98"/>
      <c r="AG1960" s="98"/>
      <c r="AH1960" s="98"/>
      <c r="AI1960" s="98"/>
      <c r="AJ1960" s="98"/>
      <c r="AK1960" s="98"/>
      <c r="AL1960" s="98"/>
      <c r="AM1960" s="98"/>
    </row>
    <row r="1961" spans="1:39" s="100" customFormat="1" ht="15.6" x14ac:dyDescent="0.3">
      <c r="A1961" s="97"/>
      <c r="B1961" s="98"/>
      <c r="C1961" s="98"/>
      <c r="D1961" s="98"/>
      <c r="E1961" s="98"/>
      <c r="F1961" s="98"/>
      <c r="G1961" s="99"/>
      <c r="H1961" s="99"/>
      <c r="I1961" s="99"/>
      <c r="J1961" s="99"/>
      <c r="K1961" s="98"/>
      <c r="L1961" s="98"/>
      <c r="M1961" s="98"/>
      <c r="N1961" s="98"/>
      <c r="O1961" s="98"/>
      <c r="P1961" s="98"/>
      <c r="Q1961" s="98"/>
      <c r="R1961" s="98"/>
      <c r="S1961" s="98"/>
      <c r="T1961" s="98"/>
      <c r="U1961" s="98"/>
      <c r="V1961" s="98"/>
      <c r="W1961" s="98"/>
      <c r="X1961" s="98"/>
      <c r="Y1961" s="98"/>
      <c r="Z1961" s="98"/>
      <c r="AA1961" s="98"/>
      <c r="AB1961" s="98"/>
      <c r="AC1961" s="98"/>
      <c r="AD1961" s="98"/>
      <c r="AE1961" s="98"/>
      <c r="AF1961" s="98"/>
      <c r="AG1961" s="98"/>
      <c r="AH1961" s="98"/>
      <c r="AI1961" s="98"/>
      <c r="AJ1961" s="98"/>
      <c r="AK1961" s="98"/>
      <c r="AL1961" s="98"/>
      <c r="AM1961" s="98"/>
    </row>
    <row r="1962" spans="1:39" s="100" customFormat="1" ht="15.6" x14ac:dyDescent="0.3">
      <c r="A1962" s="97"/>
      <c r="B1962" s="98"/>
      <c r="C1962" s="98"/>
      <c r="D1962" s="98"/>
      <c r="E1962" s="98"/>
      <c r="F1962" s="98"/>
      <c r="G1962" s="99"/>
      <c r="H1962" s="99"/>
      <c r="I1962" s="99"/>
      <c r="J1962" s="99"/>
      <c r="K1962" s="98"/>
      <c r="L1962" s="98"/>
      <c r="M1962" s="98"/>
      <c r="N1962" s="98"/>
      <c r="O1962" s="98"/>
      <c r="P1962" s="98"/>
      <c r="Q1962" s="98"/>
      <c r="R1962" s="98"/>
      <c r="S1962" s="98"/>
      <c r="T1962" s="98"/>
      <c r="U1962" s="98"/>
      <c r="V1962" s="98"/>
      <c r="W1962" s="98"/>
      <c r="X1962" s="98"/>
      <c r="Y1962" s="98"/>
      <c r="Z1962" s="98"/>
      <c r="AA1962" s="98"/>
      <c r="AB1962" s="98"/>
      <c r="AC1962" s="98"/>
      <c r="AD1962" s="98"/>
      <c r="AE1962" s="98"/>
      <c r="AF1962" s="98"/>
      <c r="AG1962" s="98"/>
      <c r="AH1962" s="98"/>
      <c r="AI1962" s="98"/>
      <c r="AJ1962" s="98"/>
      <c r="AK1962" s="98"/>
      <c r="AL1962" s="98"/>
      <c r="AM1962" s="98"/>
    </row>
    <row r="1963" spans="1:39" s="100" customFormat="1" ht="15.6" x14ac:dyDescent="0.3">
      <c r="A1963" s="97"/>
      <c r="B1963" s="98"/>
      <c r="C1963" s="98"/>
      <c r="D1963" s="98"/>
      <c r="E1963" s="98"/>
      <c r="F1963" s="98"/>
      <c r="G1963" s="99"/>
      <c r="H1963" s="99"/>
      <c r="I1963" s="99"/>
      <c r="J1963" s="99"/>
      <c r="K1963" s="98"/>
      <c r="L1963" s="98"/>
      <c r="M1963" s="98"/>
      <c r="N1963" s="98"/>
      <c r="O1963" s="98"/>
      <c r="P1963" s="98"/>
      <c r="Q1963" s="98"/>
      <c r="R1963" s="98"/>
      <c r="S1963" s="98"/>
      <c r="T1963" s="98"/>
      <c r="U1963" s="98"/>
      <c r="V1963" s="98"/>
      <c r="W1963" s="98"/>
      <c r="X1963" s="98"/>
      <c r="Y1963" s="98"/>
      <c r="Z1963" s="98"/>
      <c r="AA1963" s="98"/>
      <c r="AB1963" s="98"/>
      <c r="AC1963" s="98"/>
      <c r="AD1963" s="98"/>
      <c r="AE1963" s="98"/>
      <c r="AF1963" s="98"/>
      <c r="AG1963" s="98"/>
      <c r="AH1963" s="98"/>
      <c r="AI1963" s="98"/>
      <c r="AJ1963" s="98"/>
      <c r="AK1963" s="98"/>
      <c r="AL1963" s="98"/>
      <c r="AM1963" s="98"/>
    </row>
    <row r="1964" spans="1:39" s="100" customFormat="1" ht="15.6" x14ac:dyDescent="0.3">
      <c r="A1964" s="97"/>
      <c r="B1964" s="98"/>
      <c r="C1964" s="98"/>
      <c r="D1964" s="98"/>
      <c r="E1964" s="98"/>
      <c r="F1964" s="98"/>
      <c r="G1964" s="99"/>
      <c r="H1964" s="99"/>
      <c r="I1964" s="99"/>
      <c r="J1964" s="99"/>
      <c r="K1964" s="98"/>
      <c r="L1964" s="98"/>
      <c r="M1964" s="98"/>
      <c r="N1964" s="98"/>
      <c r="O1964" s="98"/>
      <c r="P1964" s="98"/>
      <c r="Q1964" s="98"/>
      <c r="R1964" s="98"/>
      <c r="S1964" s="98"/>
      <c r="T1964" s="98"/>
      <c r="U1964" s="98"/>
      <c r="V1964" s="98"/>
      <c r="W1964" s="98"/>
      <c r="X1964" s="98"/>
      <c r="Y1964" s="98"/>
      <c r="Z1964" s="98"/>
      <c r="AA1964" s="98"/>
      <c r="AB1964" s="98"/>
      <c r="AC1964" s="98"/>
      <c r="AD1964" s="98"/>
      <c r="AE1964" s="98"/>
      <c r="AF1964" s="98"/>
      <c r="AG1964" s="98"/>
      <c r="AH1964" s="98"/>
      <c r="AI1964" s="98"/>
      <c r="AJ1964" s="98"/>
      <c r="AK1964" s="98"/>
      <c r="AL1964" s="98"/>
      <c r="AM1964" s="98"/>
    </row>
    <row r="1965" spans="1:39" s="100" customFormat="1" ht="15.6" x14ac:dyDescent="0.3">
      <c r="A1965" s="97"/>
      <c r="B1965" s="98"/>
      <c r="C1965" s="98"/>
      <c r="D1965" s="98"/>
      <c r="E1965" s="98"/>
      <c r="F1965" s="98"/>
      <c r="G1965" s="99"/>
      <c r="H1965" s="99"/>
      <c r="I1965" s="99"/>
      <c r="J1965" s="99"/>
      <c r="K1965" s="98"/>
      <c r="L1965" s="98"/>
      <c r="M1965" s="98"/>
      <c r="N1965" s="98"/>
      <c r="O1965" s="98"/>
      <c r="P1965" s="98"/>
      <c r="Q1965" s="98"/>
      <c r="R1965" s="98"/>
      <c r="S1965" s="98"/>
      <c r="T1965" s="98"/>
      <c r="U1965" s="98"/>
      <c r="V1965" s="98"/>
      <c r="W1965" s="98"/>
      <c r="X1965" s="98"/>
      <c r="Y1965" s="98"/>
      <c r="Z1965" s="98"/>
      <c r="AA1965" s="98"/>
      <c r="AB1965" s="98"/>
      <c r="AC1965" s="98"/>
      <c r="AD1965" s="98"/>
      <c r="AE1965" s="98"/>
      <c r="AF1965" s="98"/>
      <c r="AG1965" s="98"/>
      <c r="AH1965" s="98"/>
      <c r="AI1965" s="98"/>
      <c r="AJ1965" s="98"/>
      <c r="AK1965" s="98"/>
      <c r="AL1965" s="98"/>
      <c r="AM1965" s="98"/>
    </row>
    <row r="1966" spans="1:39" s="100" customFormat="1" ht="15.6" x14ac:dyDescent="0.3">
      <c r="A1966" s="97"/>
      <c r="B1966" s="98"/>
      <c r="C1966" s="98"/>
      <c r="D1966" s="98"/>
      <c r="E1966" s="98"/>
      <c r="F1966" s="98"/>
      <c r="G1966" s="99"/>
      <c r="H1966" s="99"/>
      <c r="I1966" s="99"/>
      <c r="J1966" s="99"/>
      <c r="K1966" s="98"/>
      <c r="L1966" s="98"/>
      <c r="M1966" s="98"/>
      <c r="N1966" s="98"/>
      <c r="O1966" s="98"/>
      <c r="P1966" s="98"/>
      <c r="Q1966" s="98"/>
      <c r="R1966" s="98"/>
      <c r="S1966" s="98"/>
      <c r="T1966" s="98"/>
      <c r="U1966" s="98"/>
      <c r="V1966" s="98"/>
      <c r="W1966" s="98"/>
      <c r="X1966" s="98"/>
      <c r="Y1966" s="98"/>
      <c r="Z1966" s="98"/>
      <c r="AA1966" s="98"/>
      <c r="AB1966" s="98"/>
      <c r="AC1966" s="98"/>
      <c r="AD1966" s="98"/>
      <c r="AE1966" s="98"/>
      <c r="AF1966" s="98"/>
      <c r="AG1966" s="98"/>
      <c r="AH1966" s="98"/>
      <c r="AI1966" s="98"/>
      <c r="AJ1966" s="98"/>
      <c r="AK1966" s="98"/>
      <c r="AL1966" s="98"/>
      <c r="AM1966" s="98"/>
    </row>
    <row r="1967" spans="1:39" s="100" customFormat="1" ht="15.6" x14ac:dyDescent="0.3">
      <c r="A1967" s="97"/>
      <c r="B1967" s="98"/>
      <c r="C1967" s="98"/>
      <c r="D1967" s="98"/>
      <c r="E1967" s="98"/>
      <c r="F1967" s="98"/>
      <c r="G1967" s="99"/>
      <c r="H1967" s="99"/>
      <c r="I1967" s="99"/>
      <c r="J1967" s="99"/>
      <c r="K1967" s="98"/>
      <c r="L1967" s="98"/>
      <c r="M1967" s="98"/>
      <c r="N1967" s="98"/>
      <c r="O1967" s="98"/>
      <c r="P1967" s="98"/>
      <c r="Q1967" s="98"/>
      <c r="R1967" s="98"/>
      <c r="S1967" s="98"/>
      <c r="T1967" s="98"/>
      <c r="U1967" s="98"/>
      <c r="V1967" s="98"/>
      <c r="W1967" s="98"/>
      <c r="X1967" s="98"/>
      <c r="Y1967" s="98"/>
      <c r="Z1967" s="98"/>
      <c r="AA1967" s="98"/>
      <c r="AB1967" s="98"/>
      <c r="AC1967" s="98"/>
      <c r="AD1967" s="98"/>
      <c r="AE1967" s="98"/>
      <c r="AF1967" s="98"/>
      <c r="AG1967" s="98"/>
      <c r="AH1967" s="98"/>
      <c r="AI1967" s="98"/>
      <c r="AJ1967" s="98"/>
      <c r="AK1967" s="98"/>
      <c r="AL1967" s="98"/>
      <c r="AM1967" s="98"/>
    </row>
    <row r="1968" spans="1:39" s="100" customFormat="1" ht="15.6" x14ac:dyDescent="0.3">
      <c r="A1968" s="97"/>
      <c r="B1968" s="98"/>
      <c r="C1968" s="98"/>
      <c r="D1968" s="98"/>
      <c r="E1968" s="98"/>
      <c r="F1968" s="98"/>
      <c r="G1968" s="99"/>
      <c r="H1968" s="99"/>
      <c r="I1968" s="99"/>
      <c r="J1968" s="99"/>
      <c r="K1968" s="98"/>
      <c r="L1968" s="98"/>
      <c r="M1968" s="98"/>
      <c r="N1968" s="98"/>
      <c r="O1968" s="98"/>
      <c r="P1968" s="98"/>
      <c r="Q1968" s="98"/>
      <c r="R1968" s="98"/>
      <c r="S1968" s="98"/>
      <c r="T1968" s="98"/>
      <c r="U1968" s="98"/>
      <c r="V1968" s="98"/>
      <c r="W1968" s="98"/>
      <c r="X1968" s="98"/>
      <c r="Y1968" s="98"/>
      <c r="Z1968" s="98"/>
      <c r="AA1968" s="98"/>
      <c r="AB1968" s="98"/>
      <c r="AC1968" s="98"/>
      <c r="AD1968" s="98"/>
      <c r="AE1968" s="98"/>
      <c r="AF1968" s="98"/>
      <c r="AG1968" s="98"/>
      <c r="AH1968" s="98"/>
      <c r="AI1968" s="98"/>
      <c r="AJ1968" s="98"/>
      <c r="AK1968" s="98"/>
      <c r="AL1968" s="98"/>
      <c r="AM1968" s="98"/>
    </row>
    <row r="1969" spans="1:39" s="100" customFormat="1" ht="15.6" x14ac:dyDescent="0.3">
      <c r="A1969" s="97"/>
      <c r="B1969" s="98"/>
      <c r="C1969" s="98"/>
      <c r="D1969" s="98"/>
      <c r="E1969" s="98"/>
      <c r="F1969" s="98"/>
      <c r="G1969" s="99"/>
      <c r="H1969" s="99"/>
      <c r="I1969" s="99"/>
      <c r="J1969" s="99"/>
      <c r="K1969" s="98"/>
      <c r="L1969" s="98"/>
      <c r="M1969" s="98"/>
      <c r="N1969" s="98"/>
      <c r="O1969" s="98"/>
      <c r="P1969" s="98"/>
      <c r="Q1969" s="98"/>
      <c r="R1969" s="98"/>
      <c r="S1969" s="98"/>
      <c r="T1969" s="98"/>
      <c r="U1969" s="98"/>
      <c r="V1969" s="98"/>
      <c r="W1969" s="98"/>
      <c r="X1969" s="98"/>
      <c r="Y1969" s="98"/>
      <c r="Z1969" s="98"/>
      <c r="AA1969" s="98"/>
      <c r="AB1969" s="98"/>
      <c r="AC1969" s="98"/>
      <c r="AD1969" s="98"/>
      <c r="AE1969" s="98"/>
      <c r="AF1969" s="98"/>
      <c r="AG1969" s="98"/>
      <c r="AH1969" s="98"/>
      <c r="AI1969" s="98"/>
      <c r="AJ1969" s="98"/>
      <c r="AK1969" s="98"/>
      <c r="AL1969" s="98"/>
      <c r="AM1969" s="98"/>
    </row>
    <row r="1970" spans="1:39" s="100" customFormat="1" ht="15.6" x14ac:dyDescent="0.3">
      <c r="A1970" s="97"/>
      <c r="B1970" s="98"/>
      <c r="C1970" s="98"/>
      <c r="D1970" s="98"/>
      <c r="E1970" s="98"/>
      <c r="F1970" s="98"/>
      <c r="G1970" s="99"/>
      <c r="H1970" s="99"/>
      <c r="I1970" s="99"/>
      <c r="J1970" s="99"/>
      <c r="K1970" s="98"/>
      <c r="L1970" s="98"/>
      <c r="M1970" s="98"/>
      <c r="N1970" s="98"/>
      <c r="O1970" s="98"/>
      <c r="P1970" s="98"/>
      <c r="Q1970" s="98"/>
      <c r="R1970" s="98"/>
      <c r="S1970" s="98"/>
      <c r="T1970" s="98"/>
      <c r="U1970" s="98"/>
      <c r="V1970" s="98"/>
      <c r="W1970" s="98"/>
      <c r="X1970" s="98"/>
      <c r="Y1970" s="98"/>
      <c r="Z1970" s="98"/>
      <c r="AA1970" s="98"/>
      <c r="AB1970" s="98"/>
      <c r="AC1970" s="98"/>
      <c r="AD1970" s="98"/>
      <c r="AE1970" s="98"/>
      <c r="AF1970" s="98"/>
      <c r="AG1970" s="98"/>
      <c r="AH1970" s="98"/>
      <c r="AI1970" s="98"/>
      <c r="AJ1970" s="98"/>
      <c r="AK1970" s="98"/>
      <c r="AL1970" s="98"/>
      <c r="AM1970" s="98"/>
    </row>
    <row r="1971" spans="1:39" s="100" customFormat="1" ht="15.6" x14ac:dyDescent="0.3">
      <c r="A1971" s="97"/>
      <c r="B1971" s="98"/>
      <c r="C1971" s="98"/>
      <c r="D1971" s="98"/>
      <c r="E1971" s="98"/>
      <c r="F1971" s="98"/>
      <c r="G1971" s="99"/>
      <c r="H1971" s="99"/>
      <c r="I1971" s="99"/>
      <c r="J1971" s="99"/>
      <c r="K1971" s="98"/>
      <c r="L1971" s="98"/>
      <c r="M1971" s="98"/>
      <c r="N1971" s="98"/>
      <c r="O1971" s="98"/>
      <c r="P1971" s="98"/>
      <c r="Q1971" s="98"/>
      <c r="R1971" s="98"/>
      <c r="S1971" s="98"/>
      <c r="T1971" s="98"/>
      <c r="U1971" s="98"/>
      <c r="V1971" s="98"/>
      <c r="W1971" s="98"/>
      <c r="X1971" s="98"/>
      <c r="Y1971" s="98"/>
      <c r="Z1971" s="98"/>
      <c r="AA1971" s="98"/>
      <c r="AB1971" s="98"/>
      <c r="AC1971" s="98"/>
      <c r="AD1971" s="98"/>
      <c r="AE1971" s="98"/>
      <c r="AF1971" s="98"/>
      <c r="AG1971" s="98"/>
      <c r="AH1971" s="98"/>
      <c r="AI1971" s="98"/>
      <c r="AJ1971" s="98"/>
      <c r="AK1971" s="98"/>
      <c r="AL1971" s="98"/>
      <c r="AM1971" s="98"/>
    </row>
    <row r="1972" spans="1:39" s="100" customFormat="1" ht="15.6" x14ac:dyDescent="0.3">
      <c r="A1972" s="97"/>
      <c r="B1972" s="98"/>
      <c r="C1972" s="98"/>
      <c r="D1972" s="98"/>
      <c r="E1972" s="98"/>
      <c r="F1972" s="98"/>
      <c r="G1972" s="99"/>
      <c r="H1972" s="99"/>
      <c r="I1972" s="99"/>
      <c r="J1972" s="99"/>
      <c r="K1972" s="98"/>
      <c r="L1972" s="98"/>
      <c r="M1972" s="98"/>
      <c r="N1972" s="98"/>
      <c r="O1972" s="98"/>
      <c r="P1972" s="98"/>
      <c r="Q1972" s="98"/>
      <c r="R1972" s="98"/>
      <c r="S1972" s="98"/>
      <c r="T1972" s="98"/>
      <c r="U1972" s="98"/>
      <c r="V1972" s="98"/>
      <c r="W1972" s="98"/>
      <c r="X1972" s="98"/>
      <c r="Y1972" s="98"/>
      <c r="Z1972" s="98"/>
      <c r="AA1972" s="98"/>
      <c r="AB1972" s="98"/>
      <c r="AC1972" s="98"/>
      <c r="AD1972" s="98"/>
      <c r="AE1972" s="98"/>
      <c r="AF1972" s="98"/>
      <c r="AG1972" s="98"/>
      <c r="AH1972" s="98"/>
      <c r="AI1972" s="98"/>
      <c r="AJ1972" s="98"/>
      <c r="AK1972" s="98"/>
      <c r="AL1972" s="98"/>
      <c r="AM1972" s="98"/>
    </row>
    <row r="1973" spans="1:39" s="100" customFormat="1" ht="15.6" x14ac:dyDescent="0.3">
      <c r="A1973" s="97"/>
      <c r="B1973" s="98"/>
      <c r="C1973" s="98"/>
      <c r="D1973" s="98"/>
      <c r="E1973" s="98"/>
      <c r="F1973" s="98"/>
      <c r="G1973" s="99"/>
      <c r="H1973" s="99"/>
      <c r="I1973" s="99"/>
      <c r="J1973" s="99"/>
      <c r="K1973" s="98"/>
      <c r="L1973" s="98"/>
      <c r="M1973" s="98"/>
      <c r="N1973" s="98"/>
      <c r="O1973" s="98"/>
      <c r="P1973" s="98"/>
      <c r="Q1973" s="98"/>
      <c r="R1973" s="98"/>
      <c r="S1973" s="98"/>
      <c r="T1973" s="98"/>
      <c r="U1973" s="98"/>
      <c r="V1973" s="98"/>
      <c r="W1973" s="98"/>
      <c r="X1973" s="98"/>
      <c r="Y1973" s="98"/>
      <c r="Z1973" s="98"/>
      <c r="AA1973" s="98"/>
      <c r="AB1973" s="98"/>
      <c r="AC1973" s="98"/>
      <c r="AD1973" s="98"/>
      <c r="AE1973" s="98"/>
      <c r="AF1973" s="98"/>
      <c r="AG1973" s="98"/>
      <c r="AH1973" s="98"/>
      <c r="AI1973" s="98"/>
      <c r="AJ1973" s="98"/>
      <c r="AK1973" s="98"/>
      <c r="AL1973" s="98"/>
      <c r="AM1973" s="98"/>
    </row>
    <row r="1974" spans="1:39" s="100" customFormat="1" ht="15.6" x14ac:dyDescent="0.3">
      <c r="A1974" s="97"/>
      <c r="B1974" s="98"/>
      <c r="C1974" s="98"/>
      <c r="D1974" s="98"/>
      <c r="E1974" s="98"/>
      <c r="F1974" s="98"/>
      <c r="G1974" s="99"/>
      <c r="H1974" s="99"/>
      <c r="I1974" s="99"/>
      <c r="J1974" s="99"/>
      <c r="K1974" s="98"/>
      <c r="L1974" s="98"/>
      <c r="M1974" s="98"/>
      <c r="N1974" s="98"/>
      <c r="O1974" s="98"/>
      <c r="P1974" s="98"/>
      <c r="Q1974" s="98"/>
      <c r="R1974" s="98"/>
      <c r="S1974" s="98"/>
      <c r="T1974" s="98"/>
      <c r="U1974" s="98"/>
      <c r="V1974" s="98"/>
      <c r="W1974" s="98"/>
      <c r="X1974" s="98"/>
      <c r="Y1974" s="98"/>
      <c r="Z1974" s="98"/>
      <c r="AA1974" s="98"/>
      <c r="AB1974" s="98"/>
      <c r="AC1974" s="98"/>
      <c r="AD1974" s="98"/>
      <c r="AE1974" s="98"/>
      <c r="AF1974" s="98"/>
      <c r="AG1974" s="98"/>
      <c r="AH1974" s="98"/>
      <c r="AI1974" s="98"/>
      <c r="AJ1974" s="98"/>
      <c r="AK1974" s="98"/>
      <c r="AL1974" s="98"/>
      <c r="AM1974" s="98"/>
    </row>
    <row r="1975" spans="1:39" s="100" customFormat="1" ht="15.6" x14ac:dyDescent="0.3">
      <c r="A1975" s="97"/>
      <c r="B1975" s="98"/>
      <c r="C1975" s="98"/>
      <c r="D1975" s="98"/>
      <c r="E1975" s="98"/>
      <c r="F1975" s="98"/>
      <c r="G1975" s="99"/>
      <c r="H1975" s="99"/>
      <c r="I1975" s="99"/>
      <c r="J1975" s="99"/>
      <c r="K1975" s="98"/>
      <c r="L1975" s="98"/>
      <c r="M1975" s="98"/>
      <c r="N1975" s="98"/>
      <c r="O1975" s="98"/>
      <c r="P1975" s="98"/>
      <c r="Q1975" s="98"/>
      <c r="R1975" s="98"/>
      <c r="S1975" s="98"/>
      <c r="T1975" s="98"/>
      <c r="U1975" s="98"/>
      <c r="V1975" s="98"/>
      <c r="W1975" s="98"/>
      <c r="X1975" s="98"/>
      <c r="Y1975" s="98"/>
      <c r="Z1975" s="98"/>
      <c r="AA1975" s="98"/>
      <c r="AB1975" s="98"/>
      <c r="AC1975" s="98"/>
      <c r="AD1975" s="98"/>
      <c r="AE1975" s="98"/>
      <c r="AF1975" s="98"/>
      <c r="AG1975" s="98"/>
      <c r="AH1975" s="98"/>
      <c r="AI1975" s="98"/>
      <c r="AJ1975" s="98"/>
      <c r="AK1975" s="98"/>
      <c r="AL1975" s="98"/>
      <c r="AM1975" s="98"/>
    </row>
    <row r="1976" spans="1:39" s="100" customFormat="1" ht="15.6" x14ac:dyDescent="0.3">
      <c r="A1976" s="97"/>
      <c r="B1976" s="98"/>
      <c r="C1976" s="98"/>
      <c r="D1976" s="98"/>
      <c r="E1976" s="98"/>
      <c r="F1976" s="98"/>
      <c r="G1976" s="99"/>
      <c r="H1976" s="99"/>
      <c r="I1976" s="99"/>
      <c r="J1976" s="99"/>
      <c r="K1976" s="98"/>
      <c r="L1976" s="98"/>
      <c r="M1976" s="98"/>
      <c r="N1976" s="98"/>
      <c r="O1976" s="98"/>
      <c r="P1976" s="98"/>
      <c r="Q1976" s="98"/>
      <c r="R1976" s="98"/>
      <c r="S1976" s="98"/>
      <c r="T1976" s="98"/>
      <c r="U1976" s="98"/>
      <c r="V1976" s="98"/>
      <c r="W1976" s="98"/>
      <c r="X1976" s="98"/>
      <c r="Y1976" s="98"/>
      <c r="Z1976" s="98"/>
      <c r="AA1976" s="98"/>
      <c r="AB1976" s="98"/>
      <c r="AC1976" s="98"/>
      <c r="AD1976" s="98"/>
      <c r="AE1976" s="98"/>
      <c r="AF1976" s="98"/>
      <c r="AG1976" s="98"/>
      <c r="AH1976" s="98"/>
      <c r="AI1976" s="98"/>
      <c r="AJ1976" s="98"/>
      <c r="AK1976" s="98"/>
      <c r="AL1976" s="98"/>
      <c r="AM1976" s="98"/>
    </row>
    <row r="1977" spans="1:39" s="100" customFormat="1" ht="15.6" x14ac:dyDescent="0.3">
      <c r="A1977" s="97"/>
      <c r="B1977" s="98"/>
      <c r="C1977" s="98"/>
      <c r="D1977" s="98"/>
      <c r="E1977" s="98"/>
      <c r="F1977" s="98"/>
      <c r="G1977" s="99"/>
      <c r="H1977" s="99"/>
      <c r="I1977" s="99"/>
      <c r="J1977" s="99"/>
      <c r="K1977" s="98"/>
      <c r="L1977" s="98"/>
      <c r="M1977" s="98"/>
      <c r="N1977" s="98"/>
      <c r="O1977" s="98"/>
      <c r="P1977" s="98"/>
      <c r="Q1977" s="98"/>
      <c r="R1977" s="98"/>
      <c r="S1977" s="98"/>
      <c r="T1977" s="98"/>
      <c r="U1977" s="98"/>
      <c r="V1977" s="98"/>
      <c r="W1977" s="98"/>
      <c r="X1977" s="98"/>
      <c r="Y1977" s="98"/>
      <c r="Z1977" s="98"/>
      <c r="AA1977" s="98"/>
      <c r="AB1977" s="98"/>
      <c r="AC1977" s="98"/>
      <c r="AD1977" s="98"/>
      <c r="AE1977" s="98"/>
      <c r="AF1977" s="98"/>
      <c r="AG1977" s="98"/>
      <c r="AH1977" s="98"/>
      <c r="AI1977" s="98"/>
      <c r="AJ1977" s="98"/>
      <c r="AK1977" s="98"/>
      <c r="AL1977" s="98"/>
      <c r="AM1977" s="98"/>
    </row>
    <row r="1978" spans="1:39" s="100" customFormat="1" ht="15.6" x14ac:dyDescent="0.3">
      <c r="A1978" s="97"/>
      <c r="B1978" s="98"/>
      <c r="C1978" s="98"/>
      <c r="D1978" s="98"/>
      <c r="E1978" s="98"/>
      <c r="F1978" s="98"/>
      <c r="G1978" s="99"/>
      <c r="H1978" s="99"/>
      <c r="I1978" s="99"/>
      <c r="J1978" s="99"/>
      <c r="K1978" s="98"/>
      <c r="L1978" s="98"/>
      <c r="M1978" s="98"/>
      <c r="N1978" s="98"/>
      <c r="O1978" s="98"/>
      <c r="P1978" s="98"/>
      <c r="Q1978" s="98"/>
      <c r="R1978" s="98"/>
      <c r="S1978" s="98"/>
      <c r="T1978" s="98"/>
      <c r="U1978" s="98"/>
      <c r="V1978" s="98"/>
      <c r="W1978" s="98"/>
      <c r="X1978" s="98"/>
      <c r="Y1978" s="98"/>
      <c r="Z1978" s="98"/>
      <c r="AA1978" s="98"/>
      <c r="AB1978" s="98"/>
      <c r="AC1978" s="98"/>
      <c r="AD1978" s="98"/>
      <c r="AE1978" s="98"/>
      <c r="AF1978" s="98"/>
      <c r="AG1978" s="98"/>
      <c r="AH1978" s="98"/>
      <c r="AI1978" s="98"/>
      <c r="AJ1978" s="98"/>
      <c r="AK1978" s="98"/>
      <c r="AL1978" s="98"/>
      <c r="AM1978" s="98"/>
    </row>
    <row r="1979" spans="1:39" s="100" customFormat="1" ht="15.6" x14ac:dyDescent="0.3">
      <c r="A1979" s="97"/>
      <c r="B1979" s="98"/>
      <c r="C1979" s="98"/>
      <c r="D1979" s="98"/>
      <c r="E1979" s="98"/>
      <c r="F1979" s="98"/>
      <c r="G1979" s="99"/>
      <c r="H1979" s="99"/>
      <c r="I1979" s="99"/>
      <c r="J1979" s="99"/>
      <c r="K1979" s="98"/>
      <c r="L1979" s="98"/>
      <c r="M1979" s="98"/>
      <c r="N1979" s="98"/>
      <c r="O1979" s="98"/>
      <c r="P1979" s="98"/>
      <c r="Q1979" s="98"/>
      <c r="R1979" s="98"/>
      <c r="S1979" s="98"/>
      <c r="T1979" s="98"/>
      <c r="U1979" s="98"/>
      <c r="V1979" s="98"/>
      <c r="W1979" s="98"/>
      <c r="X1979" s="98"/>
      <c r="Y1979" s="98"/>
      <c r="Z1979" s="98"/>
      <c r="AA1979" s="98"/>
      <c r="AB1979" s="98"/>
      <c r="AC1979" s="98"/>
      <c r="AD1979" s="98"/>
      <c r="AE1979" s="98"/>
      <c r="AF1979" s="98"/>
      <c r="AG1979" s="98"/>
      <c r="AH1979" s="98"/>
      <c r="AI1979" s="98"/>
      <c r="AJ1979" s="98"/>
      <c r="AK1979" s="98"/>
      <c r="AL1979" s="98"/>
      <c r="AM1979" s="98"/>
    </row>
    <row r="1980" spans="1:39" s="100" customFormat="1" ht="15.6" x14ac:dyDescent="0.3">
      <c r="A1980" s="97"/>
      <c r="B1980" s="98"/>
      <c r="C1980" s="98"/>
      <c r="D1980" s="98"/>
      <c r="E1980" s="98"/>
      <c r="F1980" s="98"/>
      <c r="G1980" s="99"/>
      <c r="H1980" s="99"/>
      <c r="I1980" s="99"/>
      <c r="J1980" s="99"/>
      <c r="K1980" s="98"/>
      <c r="L1980" s="98"/>
      <c r="M1980" s="98"/>
      <c r="N1980" s="98"/>
      <c r="O1980" s="98"/>
      <c r="P1980" s="98"/>
      <c r="Q1980" s="98"/>
      <c r="R1980" s="98"/>
      <c r="S1980" s="98"/>
      <c r="T1980" s="98"/>
      <c r="U1980" s="98"/>
      <c r="V1980" s="98"/>
      <c r="W1980" s="98"/>
      <c r="X1980" s="98"/>
      <c r="Y1980" s="98"/>
      <c r="Z1980" s="98"/>
      <c r="AA1980" s="98"/>
      <c r="AB1980" s="98"/>
      <c r="AC1980" s="98"/>
      <c r="AD1980" s="98"/>
      <c r="AE1980" s="98"/>
      <c r="AF1980" s="98"/>
      <c r="AG1980" s="98"/>
      <c r="AH1980" s="98"/>
      <c r="AI1980" s="98"/>
      <c r="AJ1980" s="98"/>
      <c r="AK1980" s="98"/>
      <c r="AL1980" s="98"/>
      <c r="AM1980" s="98"/>
    </row>
    <row r="1981" spans="1:39" s="100" customFormat="1" ht="15.6" x14ac:dyDescent="0.3">
      <c r="A1981" s="97"/>
      <c r="B1981" s="98"/>
      <c r="C1981" s="98"/>
      <c r="D1981" s="98"/>
      <c r="E1981" s="98"/>
      <c r="F1981" s="98"/>
      <c r="G1981" s="99"/>
      <c r="H1981" s="99"/>
      <c r="I1981" s="99"/>
      <c r="J1981" s="99"/>
      <c r="K1981" s="98"/>
      <c r="L1981" s="98"/>
      <c r="M1981" s="98"/>
      <c r="N1981" s="98"/>
      <c r="O1981" s="98"/>
      <c r="P1981" s="98"/>
      <c r="Q1981" s="98"/>
      <c r="R1981" s="98"/>
      <c r="S1981" s="98"/>
      <c r="T1981" s="98"/>
      <c r="U1981" s="98"/>
      <c r="V1981" s="98"/>
      <c r="W1981" s="98"/>
      <c r="X1981" s="98"/>
      <c r="Y1981" s="98"/>
      <c r="Z1981" s="98"/>
      <c r="AA1981" s="98"/>
      <c r="AB1981" s="98"/>
      <c r="AC1981" s="98"/>
      <c r="AD1981" s="98"/>
      <c r="AE1981" s="98"/>
      <c r="AF1981" s="98"/>
      <c r="AG1981" s="98"/>
      <c r="AH1981" s="98"/>
      <c r="AI1981" s="98"/>
      <c r="AJ1981" s="98"/>
      <c r="AK1981" s="98"/>
      <c r="AL1981" s="98"/>
      <c r="AM1981" s="98"/>
    </row>
    <row r="1982" spans="1:39" s="100" customFormat="1" ht="15.6" x14ac:dyDescent="0.3">
      <c r="A1982" s="97"/>
      <c r="B1982" s="98"/>
      <c r="C1982" s="98"/>
      <c r="D1982" s="98"/>
      <c r="E1982" s="98"/>
      <c r="F1982" s="98"/>
      <c r="G1982" s="99"/>
      <c r="H1982" s="99"/>
      <c r="I1982" s="99"/>
      <c r="J1982" s="99"/>
      <c r="K1982" s="98"/>
      <c r="L1982" s="98"/>
      <c r="M1982" s="98"/>
      <c r="N1982" s="98"/>
      <c r="O1982" s="98"/>
      <c r="P1982" s="98"/>
      <c r="Q1982" s="98"/>
      <c r="R1982" s="98"/>
      <c r="S1982" s="98"/>
      <c r="T1982" s="98"/>
      <c r="U1982" s="98"/>
      <c r="V1982" s="98"/>
      <c r="W1982" s="98"/>
      <c r="X1982" s="98"/>
      <c r="Y1982" s="98"/>
      <c r="Z1982" s="98"/>
      <c r="AA1982" s="98"/>
      <c r="AB1982" s="98"/>
      <c r="AC1982" s="98"/>
      <c r="AD1982" s="98"/>
      <c r="AE1982" s="98"/>
      <c r="AF1982" s="98"/>
      <c r="AG1982" s="98"/>
      <c r="AH1982" s="98"/>
      <c r="AI1982" s="98"/>
      <c r="AJ1982" s="98"/>
      <c r="AK1982" s="98"/>
      <c r="AL1982" s="98"/>
      <c r="AM1982" s="98"/>
    </row>
    <row r="1983" spans="1:39" s="100" customFormat="1" ht="15.6" x14ac:dyDescent="0.3">
      <c r="A1983" s="97"/>
      <c r="B1983" s="98"/>
      <c r="C1983" s="98"/>
      <c r="D1983" s="98"/>
      <c r="E1983" s="98"/>
      <c r="F1983" s="98"/>
      <c r="G1983" s="99"/>
      <c r="H1983" s="99"/>
      <c r="I1983" s="99"/>
      <c r="J1983" s="99"/>
      <c r="K1983" s="98"/>
      <c r="L1983" s="98"/>
      <c r="M1983" s="98"/>
      <c r="N1983" s="98"/>
      <c r="O1983" s="98"/>
      <c r="P1983" s="98"/>
      <c r="Q1983" s="98"/>
      <c r="R1983" s="98"/>
      <c r="S1983" s="98"/>
      <c r="T1983" s="98"/>
      <c r="U1983" s="98"/>
      <c r="V1983" s="98"/>
      <c r="W1983" s="98"/>
      <c r="X1983" s="98"/>
      <c r="Y1983" s="98"/>
      <c r="Z1983" s="98"/>
      <c r="AA1983" s="98"/>
      <c r="AB1983" s="98"/>
      <c r="AC1983" s="98"/>
      <c r="AD1983" s="98"/>
      <c r="AE1983" s="98"/>
      <c r="AF1983" s="98"/>
      <c r="AG1983" s="98"/>
      <c r="AH1983" s="98"/>
      <c r="AI1983" s="98"/>
      <c r="AJ1983" s="98"/>
      <c r="AK1983" s="98"/>
      <c r="AL1983" s="98"/>
      <c r="AM1983" s="98"/>
    </row>
    <row r="1984" spans="1:39" s="100" customFormat="1" ht="15.6" x14ac:dyDescent="0.3">
      <c r="A1984" s="97"/>
      <c r="B1984" s="98"/>
      <c r="C1984" s="98"/>
      <c r="D1984" s="98"/>
      <c r="E1984" s="98"/>
      <c r="F1984" s="98"/>
      <c r="G1984" s="99"/>
      <c r="H1984" s="99"/>
      <c r="I1984" s="99"/>
      <c r="J1984" s="99"/>
      <c r="K1984" s="98"/>
      <c r="L1984" s="98"/>
      <c r="M1984" s="98"/>
      <c r="N1984" s="98"/>
      <c r="O1984" s="98"/>
      <c r="P1984" s="98"/>
      <c r="Q1984" s="98"/>
      <c r="R1984" s="98"/>
      <c r="S1984" s="98"/>
      <c r="T1984" s="98"/>
      <c r="U1984" s="98"/>
      <c r="V1984" s="98"/>
      <c r="W1984" s="98"/>
      <c r="X1984" s="98"/>
      <c r="Y1984" s="98"/>
      <c r="Z1984" s="98"/>
      <c r="AA1984" s="98"/>
      <c r="AB1984" s="98"/>
      <c r="AC1984" s="98"/>
      <c r="AD1984" s="98"/>
      <c r="AE1984" s="98"/>
      <c r="AF1984" s="98"/>
      <c r="AG1984" s="98"/>
      <c r="AH1984" s="98"/>
      <c r="AI1984" s="98"/>
      <c r="AJ1984" s="98"/>
      <c r="AK1984" s="98"/>
      <c r="AL1984" s="98"/>
      <c r="AM1984" s="98"/>
    </row>
    <row r="1985" spans="1:39" s="100" customFormat="1" ht="15.6" x14ac:dyDescent="0.3">
      <c r="A1985" s="97"/>
      <c r="B1985" s="98"/>
      <c r="C1985" s="98"/>
      <c r="D1985" s="98"/>
      <c r="E1985" s="98"/>
      <c r="F1985" s="98"/>
      <c r="G1985" s="99"/>
      <c r="H1985" s="99"/>
      <c r="I1985" s="99"/>
      <c r="J1985" s="99"/>
      <c r="K1985" s="98"/>
      <c r="L1985" s="98"/>
      <c r="M1985" s="98"/>
      <c r="N1985" s="98"/>
      <c r="O1985" s="98"/>
      <c r="P1985" s="98"/>
      <c r="Q1985" s="98"/>
      <c r="R1985" s="98"/>
      <c r="S1985" s="98"/>
      <c r="T1985" s="98"/>
      <c r="U1985" s="98"/>
      <c r="V1985" s="98"/>
      <c r="W1985" s="98"/>
      <c r="X1985" s="98"/>
      <c r="Y1985" s="98"/>
      <c r="Z1985" s="98"/>
      <c r="AA1985" s="98"/>
      <c r="AB1985" s="98"/>
      <c r="AC1985" s="98"/>
      <c r="AD1985" s="98"/>
      <c r="AE1985" s="98"/>
      <c r="AF1985" s="98"/>
      <c r="AG1985" s="98"/>
      <c r="AH1985" s="98"/>
      <c r="AI1985" s="98"/>
      <c r="AJ1985" s="98"/>
      <c r="AK1985" s="98"/>
      <c r="AL1985" s="98"/>
      <c r="AM1985" s="98"/>
    </row>
    <row r="1986" spans="1:39" s="100" customFormat="1" ht="15.6" x14ac:dyDescent="0.3">
      <c r="A1986" s="97"/>
      <c r="B1986" s="98"/>
      <c r="C1986" s="98"/>
      <c r="D1986" s="98"/>
      <c r="E1986" s="98"/>
      <c r="F1986" s="98"/>
      <c r="G1986" s="99"/>
      <c r="H1986" s="99"/>
      <c r="I1986" s="99"/>
      <c r="J1986" s="99"/>
      <c r="K1986" s="98"/>
      <c r="L1986" s="98"/>
      <c r="M1986" s="98"/>
      <c r="N1986" s="98"/>
      <c r="O1986" s="98"/>
      <c r="P1986" s="98"/>
      <c r="Q1986" s="98"/>
      <c r="R1986" s="98"/>
      <c r="S1986" s="98"/>
      <c r="T1986" s="98"/>
      <c r="U1986" s="98"/>
      <c r="V1986" s="98"/>
      <c r="W1986" s="98"/>
      <c r="X1986" s="98"/>
      <c r="Y1986" s="98"/>
      <c r="Z1986" s="98"/>
      <c r="AA1986" s="98"/>
      <c r="AB1986" s="98"/>
      <c r="AC1986" s="98"/>
      <c r="AD1986" s="98"/>
      <c r="AE1986" s="98"/>
      <c r="AF1986" s="98"/>
      <c r="AG1986" s="98"/>
      <c r="AH1986" s="98"/>
      <c r="AI1986" s="98"/>
      <c r="AJ1986" s="98"/>
      <c r="AK1986" s="98"/>
      <c r="AL1986" s="98"/>
      <c r="AM1986" s="98"/>
    </row>
    <row r="1987" spans="1:39" s="100" customFormat="1" ht="15.6" x14ac:dyDescent="0.3">
      <c r="A1987" s="97"/>
      <c r="B1987" s="98"/>
      <c r="C1987" s="98"/>
      <c r="D1987" s="98"/>
      <c r="E1987" s="98"/>
      <c r="F1987" s="98"/>
      <c r="G1987" s="99"/>
      <c r="H1987" s="99"/>
      <c r="I1987" s="99"/>
      <c r="J1987" s="99"/>
      <c r="K1987" s="98"/>
      <c r="L1987" s="98"/>
      <c r="M1987" s="98"/>
      <c r="N1987" s="98"/>
      <c r="O1987" s="98"/>
      <c r="P1987" s="98"/>
      <c r="Q1987" s="98"/>
      <c r="R1987" s="98"/>
      <c r="S1987" s="98"/>
      <c r="T1987" s="98"/>
      <c r="U1987" s="98"/>
      <c r="V1987" s="98"/>
      <c r="W1987" s="98"/>
      <c r="X1987" s="98"/>
      <c r="Y1987" s="98"/>
      <c r="Z1987" s="98"/>
      <c r="AA1987" s="98"/>
      <c r="AB1987" s="98"/>
      <c r="AC1987" s="98"/>
      <c r="AD1987" s="98"/>
      <c r="AE1987" s="98"/>
      <c r="AF1987" s="98"/>
      <c r="AG1987" s="98"/>
      <c r="AH1987" s="98"/>
      <c r="AI1987" s="98"/>
      <c r="AJ1987" s="98"/>
      <c r="AK1987" s="98"/>
      <c r="AL1987" s="98"/>
      <c r="AM1987" s="98"/>
    </row>
    <row r="1988" spans="1:39" s="100" customFormat="1" ht="15.6" x14ac:dyDescent="0.3">
      <c r="A1988" s="97"/>
      <c r="B1988" s="98"/>
      <c r="C1988" s="98"/>
      <c r="D1988" s="98"/>
      <c r="E1988" s="98"/>
      <c r="F1988" s="98"/>
      <c r="G1988" s="99"/>
      <c r="H1988" s="99"/>
      <c r="I1988" s="99"/>
      <c r="J1988" s="99"/>
      <c r="K1988" s="98"/>
      <c r="L1988" s="98"/>
      <c r="M1988" s="98"/>
      <c r="N1988" s="98"/>
      <c r="O1988" s="98"/>
      <c r="P1988" s="98"/>
      <c r="Q1988" s="98"/>
      <c r="R1988" s="98"/>
      <c r="S1988" s="98"/>
      <c r="T1988" s="98"/>
      <c r="U1988" s="98"/>
      <c r="V1988" s="98"/>
      <c r="W1988" s="98"/>
      <c r="X1988" s="98"/>
      <c r="Y1988" s="98"/>
      <c r="Z1988" s="98"/>
      <c r="AA1988" s="98"/>
      <c r="AB1988" s="98"/>
      <c r="AC1988" s="98"/>
      <c r="AD1988" s="98"/>
      <c r="AE1988" s="98"/>
      <c r="AF1988" s="98"/>
      <c r="AG1988" s="98"/>
      <c r="AH1988" s="98"/>
      <c r="AI1988" s="98"/>
      <c r="AJ1988" s="98"/>
      <c r="AK1988" s="98"/>
      <c r="AL1988" s="98"/>
      <c r="AM1988" s="98"/>
    </row>
    <row r="1989" spans="1:39" s="100" customFormat="1" ht="15.6" x14ac:dyDescent="0.3">
      <c r="A1989" s="97"/>
      <c r="B1989" s="98"/>
      <c r="C1989" s="98"/>
      <c r="D1989" s="98"/>
      <c r="E1989" s="98"/>
      <c r="F1989" s="98"/>
      <c r="G1989" s="99"/>
      <c r="H1989" s="99"/>
      <c r="I1989" s="99"/>
      <c r="J1989" s="99"/>
      <c r="K1989" s="98"/>
      <c r="L1989" s="98"/>
      <c r="M1989" s="98"/>
      <c r="N1989" s="98"/>
      <c r="O1989" s="98"/>
      <c r="P1989" s="98"/>
      <c r="Q1989" s="98"/>
      <c r="R1989" s="98"/>
      <c r="S1989" s="98"/>
      <c r="T1989" s="98"/>
      <c r="U1989" s="98"/>
      <c r="V1989" s="98"/>
      <c r="W1989" s="98"/>
      <c r="X1989" s="98"/>
      <c r="Y1989" s="98"/>
      <c r="Z1989" s="98"/>
      <c r="AA1989" s="98"/>
      <c r="AB1989" s="98"/>
      <c r="AC1989" s="98"/>
      <c r="AD1989" s="98"/>
      <c r="AE1989" s="98"/>
      <c r="AF1989" s="98"/>
      <c r="AG1989" s="98"/>
      <c r="AH1989" s="98"/>
      <c r="AI1989" s="98"/>
      <c r="AJ1989" s="98"/>
      <c r="AK1989" s="98"/>
      <c r="AL1989" s="98"/>
      <c r="AM1989" s="98"/>
    </row>
    <row r="1990" spans="1:39" s="100" customFormat="1" ht="15.6" x14ac:dyDescent="0.3">
      <c r="A1990" s="97"/>
      <c r="B1990" s="98"/>
      <c r="C1990" s="98"/>
      <c r="D1990" s="98"/>
      <c r="E1990" s="98"/>
      <c r="F1990" s="98"/>
      <c r="G1990" s="99"/>
      <c r="H1990" s="99"/>
      <c r="I1990" s="99"/>
      <c r="J1990" s="99"/>
      <c r="K1990" s="98"/>
      <c r="L1990" s="98"/>
      <c r="M1990" s="98"/>
      <c r="N1990" s="98"/>
      <c r="O1990" s="98"/>
      <c r="P1990" s="98"/>
      <c r="Q1990" s="98"/>
      <c r="R1990" s="98"/>
      <c r="S1990" s="98"/>
      <c r="T1990" s="98"/>
      <c r="U1990" s="98"/>
      <c r="V1990" s="98"/>
      <c r="W1990" s="98"/>
      <c r="X1990" s="98"/>
      <c r="Y1990" s="98"/>
      <c r="Z1990" s="98"/>
      <c r="AA1990" s="98"/>
      <c r="AB1990" s="98"/>
      <c r="AC1990" s="98"/>
      <c r="AD1990" s="98"/>
      <c r="AE1990" s="98"/>
      <c r="AF1990" s="98"/>
      <c r="AG1990" s="98"/>
      <c r="AH1990" s="98"/>
      <c r="AI1990" s="98"/>
      <c r="AJ1990" s="98"/>
      <c r="AK1990" s="98"/>
      <c r="AL1990" s="98"/>
      <c r="AM1990" s="98"/>
    </row>
    <row r="1991" spans="1:39" s="100" customFormat="1" ht="15.6" x14ac:dyDescent="0.3">
      <c r="A1991" s="97"/>
      <c r="B1991" s="98"/>
      <c r="C1991" s="98"/>
      <c r="D1991" s="98"/>
      <c r="E1991" s="98"/>
      <c r="F1991" s="98"/>
      <c r="G1991" s="99"/>
      <c r="H1991" s="99"/>
      <c r="I1991" s="99"/>
      <c r="J1991" s="99"/>
      <c r="K1991" s="98"/>
      <c r="L1991" s="98"/>
      <c r="M1991" s="98"/>
      <c r="N1991" s="98"/>
      <c r="O1991" s="98"/>
      <c r="P1991" s="98"/>
      <c r="Q1991" s="98"/>
      <c r="R1991" s="98"/>
      <c r="S1991" s="98"/>
      <c r="T1991" s="98"/>
      <c r="U1991" s="98"/>
      <c r="V1991" s="98"/>
      <c r="W1991" s="98"/>
      <c r="X1991" s="98"/>
      <c r="Y1991" s="98"/>
      <c r="Z1991" s="98"/>
      <c r="AA1991" s="98"/>
      <c r="AB1991" s="98"/>
      <c r="AC1991" s="98"/>
      <c r="AD1991" s="98"/>
      <c r="AE1991" s="98"/>
      <c r="AF1991" s="98"/>
      <c r="AG1991" s="98"/>
      <c r="AH1991" s="98"/>
      <c r="AI1991" s="98"/>
      <c r="AJ1991" s="98"/>
      <c r="AK1991" s="98"/>
      <c r="AL1991" s="98"/>
      <c r="AM1991" s="98"/>
    </row>
    <row r="1992" spans="1:39" s="100" customFormat="1" ht="15.6" x14ac:dyDescent="0.3">
      <c r="A1992" s="97"/>
      <c r="B1992" s="98"/>
      <c r="C1992" s="98"/>
      <c r="D1992" s="98"/>
      <c r="E1992" s="98"/>
      <c r="F1992" s="98"/>
      <c r="G1992" s="99"/>
      <c r="H1992" s="99"/>
      <c r="I1992" s="99"/>
      <c r="J1992" s="99"/>
      <c r="K1992" s="98"/>
      <c r="L1992" s="98"/>
      <c r="M1992" s="98"/>
      <c r="N1992" s="98"/>
      <c r="O1992" s="98"/>
      <c r="P1992" s="98"/>
      <c r="Q1992" s="98"/>
      <c r="R1992" s="98"/>
      <c r="S1992" s="98"/>
      <c r="T1992" s="98"/>
      <c r="U1992" s="98"/>
      <c r="V1992" s="98"/>
      <c r="W1992" s="98"/>
      <c r="X1992" s="98"/>
      <c r="Y1992" s="98"/>
      <c r="Z1992" s="98"/>
      <c r="AA1992" s="98"/>
      <c r="AB1992" s="98"/>
      <c r="AC1992" s="98"/>
      <c r="AD1992" s="98"/>
      <c r="AE1992" s="98"/>
      <c r="AF1992" s="98"/>
      <c r="AG1992" s="98"/>
      <c r="AH1992" s="98"/>
      <c r="AI1992" s="98"/>
      <c r="AJ1992" s="98"/>
      <c r="AK1992" s="98"/>
      <c r="AL1992" s="98"/>
      <c r="AM1992" s="98"/>
    </row>
    <row r="1993" spans="1:39" s="100" customFormat="1" ht="15.6" x14ac:dyDescent="0.3">
      <c r="A1993" s="97"/>
      <c r="B1993" s="98"/>
      <c r="C1993" s="98"/>
      <c r="D1993" s="98"/>
      <c r="E1993" s="98"/>
      <c r="F1993" s="98"/>
      <c r="G1993" s="99"/>
      <c r="H1993" s="99"/>
      <c r="I1993" s="99"/>
      <c r="J1993" s="99"/>
      <c r="K1993" s="98"/>
      <c r="L1993" s="98"/>
      <c r="M1993" s="98"/>
      <c r="N1993" s="98"/>
      <c r="O1993" s="98"/>
      <c r="P1993" s="98"/>
      <c r="Q1993" s="98"/>
      <c r="R1993" s="98"/>
      <c r="S1993" s="98"/>
      <c r="T1993" s="98"/>
      <c r="U1993" s="98"/>
      <c r="V1993" s="98"/>
      <c r="W1993" s="98"/>
      <c r="X1993" s="98"/>
      <c r="Y1993" s="98"/>
      <c r="Z1993" s="98"/>
      <c r="AA1993" s="98"/>
      <c r="AB1993" s="98"/>
      <c r="AC1993" s="98"/>
      <c r="AD1993" s="98"/>
      <c r="AE1993" s="98"/>
      <c r="AF1993" s="98"/>
      <c r="AG1993" s="98"/>
      <c r="AH1993" s="98"/>
      <c r="AI1993" s="98"/>
      <c r="AJ1993" s="98"/>
      <c r="AK1993" s="98"/>
      <c r="AL1993" s="98"/>
      <c r="AM1993" s="98"/>
    </row>
    <row r="1994" spans="1:39" s="100" customFormat="1" ht="15.6" x14ac:dyDescent="0.3">
      <c r="A1994" s="97"/>
      <c r="B1994" s="98"/>
      <c r="C1994" s="98"/>
      <c r="D1994" s="98"/>
      <c r="E1994" s="98"/>
      <c r="F1994" s="98"/>
      <c r="G1994" s="99"/>
      <c r="H1994" s="99"/>
      <c r="I1994" s="99"/>
      <c r="J1994" s="99"/>
      <c r="K1994" s="98"/>
      <c r="L1994" s="98"/>
      <c r="M1994" s="98"/>
      <c r="N1994" s="98"/>
      <c r="O1994" s="98"/>
      <c r="P1994" s="98"/>
      <c r="Q1994" s="98"/>
      <c r="R1994" s="98"/>
      <c r="S1994" s="98"/>
      <c r="T1994" s="98"/>
      <c r="U1994" s="98"/>
      <c r="V1994" s="98"/>
      <c r="W1994" s="98"/>
      <c r="X1994" s="98"/>
      <c r="Y1994" s="98"/>
      <c r="Z1994" s="98"/>
      <c r="AA1994" s="98"/>
      <c r="AB1994" s="98"/>
      <c r="AC1994" s="98"/>
      <c r="AD1994" s="98"/>
      <c r="AE1994" s="98"/>
      <c r="AF1994" s="98"/>
      <c r="AG1994" s="98"/>
      <c r="AH1994" s="98"/>
      <c r="AI1994" s="98"/>
      <c r="AJ1994" s="98"/>
      <c r="AK1994" s="98"/>
      <c r="AL1994" s="98"/>
      <c r="AM1994" s="98"/>
    </row>
    <row r="1995" spans="1:39" s="100" customFormat="1" ht="15.6" x14ac:dyDescent="0.3">
      <c r="A1995" s="97"/>
      <c r="B1995" s="98"/>
      <c r="C1995" s="98"/>
      <c r="D1995" s="98"/>
      <c r="E1995" s="98"/>
      <c r="F1995" s="98"/>
      <c r="G1995" s="99"/>
      <c r="H1995" s="99"/>
      <c r="I1995" s="99"/>
      <c r="J1995" s="99"/>
      <c r="K1995" s="98"/>
      <c r="L1995" s="98"/>
      <c r="M1995" s="98"/>
      <c r="N1995" s="98"/>
      <c r="O1995" s="98"/>
      <c r="P1995" s="98"/>
      <c r="Q1995" s="98"/>
      <c r="R1995" s="98"/>
      <c r="S1995" s="98"/>
      <c r="T1995" s="98"/>
      <c r="U1995" s="98"/>
      <c r="V1995" s="98"/>
      <c r="W1995" s="98"/>
      <c r="X1995" s="98"/>
      <c r="Y1995" s="98"/>
      <c r="Z1995" s="98"/>
      <c r="AA1995" s="98"/>
      <c r="AB1995" s="98"/>
      <c r="AC1995" s="98"/>
      <c r="AD1995" s="98"/>
      <c r="AE1995" s="98"/>
      <c r="AF1995" s="98"/>
      <c r="AG1995" s="98"/>
      <c r="AH1995" s="98"/>
      <c r="AI1995" s="98"/>
      <c r="AJ1995" s="98"/>
      <c r="AK1995" s="98"/>
      <c r="AL1995" s="98"/>
      <c r="AM1995" s="98"/>
    </row>
    <row r="1996" spans="1:39" s="100" customFormat="1" ht="15.6" x14ac:dyDescent="0.3">
      <c r="A1996" s="97"/>
      <c r="B1996" s="98"/>
      <c r="C1996" s="98"/>
      <c r="D1996" s="98"/>
      <c r="E1996" s="98"/>
      <c r="F1996" s="98"/>
      <c r="G1996" s="99"/>
      <c r="H1996" s="99"/>
      <c r="I1996" s="99"/>
      <c r="J1996" s="99"/>
      <c r="K1996" s="98"/>
      <c r="L1996" s="98"/>
      <c r="M1996" s="98"/>
      <c r="N1996" s="98"/>
      <c r="O1996" s="98"/>
      <c r="P1996" s="98"/>
      <c r="Q1996" s="98"/>
      <c r="R1996" s="98"/>
      <c r="S1996" s="98"/>
      <c r="T1996" s="98"/>
      <c r="U1996" s="98"/>
      <c r="V1996" s="98"/>
      <c r="W1996" s="98"/>
      <c r="X1996" s="98"/>
      <c r="Y1996" s="98"/>
      <c r="Z1996" s="98"/>
      <c r="AA1996" s="98"/>
      <c r="AB1996" s="98"/>
      <c r="AC1996" s="98"/>
      <c r="AD1996" s="98"/>
      <c r="AE1996" s="98"/>
      <c r="AF1996" s="98"/>
      <c r="AG1996" s="98"/>
      <c r="AH1996" s="98"/>
      <c r="AI1996" s="98"/>
      <c r="AJ1996" s="98"/>
      <c r="AK1996" s="98"/>
      <c r="AL1996" s="98"/>
      <c r="AM1996" s="98"/>
    </row>
    <row r="1997" spans="1:39" s="100" customFormat="1" ht="15.6" x14ac:dyDescent="0.3">
      <c r="A1997" s="97"/>
      <c r="B1997" s="98"/>
      <c r="C1997" s="98"/>
      <c r="D1997" s="98"/>
      <c r="E1997" s="98"/>
      <c r="F1997" s="98"/>
      <c r="G1997" s="99"/>
      <c r="H1997" s="99"/>
      <c r="I1997" s="99"/>
      <c r="J1997" s="99"/>
      <c r="K1997" s="98"/>
      <c r="L1997" s="98"/>
      <c r="M1997" s="98"/>
      <c r="N1997" s="98"/>
      <c r="O1997" s="98"/>
      <c r="P1997" s="98"/>
      <c r="Q1997" s="98"/>
      <c r="R1997" s="98"/>
      <c r="S1997" s="98"/>
      <c r="T1997" s="98"/>
      <c r="U1997" s="98"/>
      <c r="V1997" s="98"/>
      <c r="W1997" s="98"/>
      <c r="X1997" s="98"/>
      <c r="Y1997" s="98"/>
      <c r="Z1997" s="98"/>
      <c r="AA1997" s="98"/>
      <c r="AB1997" s="98"/>
      <c r="AC1997" s="98"/>
      <c r="AD1997" s="98"/>
      <c r="AE1997" s="98"/>
      <c r="AF1997" s="98"/>
      <c r="AG1997" s="98"/>
      <c r="AH1997" s="98"/>
      <c r="AI1997" s="98"/>
      <c r="AJ1997" s="98"/>
      <c r="AK1997" s="98"/>
      <c r="AL1997" s="98"/>
      <c r="AM1997" s="98"/>
    </row>
    <row r="1998" spans="1:39" s="100" customFormat="1" ht="15.6" x14ac:dyDescent="0.3">
      <c r="A1998" s="97"/>
      <c r="B1998" s="98"/>
      <c r="C1998" s="98"/>
      <c r="D1998" s="98"/>
      <c r="E1998" s="98"/>
      <c r="F1998" s="98"/>
      <c r="G1998" s="99"/>
      <c r="H1998" s="99"/>
      <c r="I1998" s="99"/>
      <c r="J1998" s="99"/>
      <c r="K1998" s="98"/>
      <c r="L1998" s="98"/>
      <c r="M1998" s="98"/>
      <c r="N1998" s="98"/>
      <c r="O1998" s="98"/>
      <c r="P1998" s="98"/>
      <c r="Q1998" s="98"/>
      <c r="R1998" s="98"/>
      <c r="S1998" s="98"/>
      <c r="T1998" s="98"/>
      <c r="U1998" s="98"/>
      <c r="V1998" s="98"/>
      <c r="W1998" s="98"/>
      <c r="X1998" s="98"/>
      <c r="Y1998" s="98"/>
      <c r="Z1998" s="98"/>
      <c r="AA1998" s="98"/>
      <c r="AB1998" s="98"/>
      <c r="AC1998" s="98"/>
      <c r="AD1998" s="98"/>
      <c r="AE1998" s="98"/>
      <c r="AF1998" s="98"/>
      <c r="AG1998" s="98"/>
      <c r="AH1998" s="98"/>
      <c r="AI1998" s="98"/>
      <c r="AJ1998" s="98"/>
      <c r="AK1998" s="98"/>
      <c r="AL1998" s="98"/>
      <c r="AM1998" s="98"/>
    </row>
    <row r="1999" spans="1:39" s="100" customFormat="1" ht="15.6" x14ac:dyDescent="0.3">
      <c r="A1999" s="97"/>
      <c r="B1999" s="98"/>
      <c r="C1999" s="98"/>
      <c r="D1999" s="98"/>
      <c r="E1999" s="98"/>
      <c r="F1999" s="98"/>
      <c r="G1999" s="99"/>
      <c r="H1999" s="99"/>
      <c r="I1999" s="99"/>
      <c r="J1999" s="99"/>
      <c r="K1999" s="98"/>
      <c r="L1999" s="98"/>
      <c r="M1999" s="98"/>
      <c r="N1999" s="98"/>
      <c r="O1999" s="98"/>
      <c r="P1999" s="98"/>
      <c r="Q1999" s="98"/>
      <c r="R1999" s="98"/>
      <c r="S1999" s="98"/>
      <c r="T1999" s="98"/>
      <c r="U1999" s="98"/>
      <c r="V1999" s="98"/>
      <c r="W1999" s="98"/>
      <c r="X1999" s="98"/>
      <c r="Y1999" s="98"/>
      <c r="Z1999" s="98"/>
      <c r="AA1999" s="98"/>
      <c r="AB1999" s="98"/>
      <c r="AC1999" s="98"/>
      <c r="AD1999" s="98"/>
      <c r="AE1999" s="98"/>
      <c r="AF1999" s="98"/>
      <c r="AG1999" s="98"/>
      <c r="AH1999" s="98"/>
      <c r="AI1999" s="98"/>
      <c r="AJ1999" s="98"/>
      <c r="AK1999" s="98"/>
      <c r="AL1999" s="98"/>
      <c r="AM1999" s="98"/>
    </row>
    <row r="2000" spans="1:39" s="100" customFormat="1" ht="15.6" x14ac:dyDescent="0.3">
      <c r="A2000" s="97"/>
      <c r="B2000" s="98"/>
      <c r="C2000" s="98"/>
      <c r="D2000" s="98"/>
      <c r="E2000" s="98"/>
      <c r="F2000" s="98"/>
      <c r="G2000" s="99"/>
      <c r="H2000" s="99"/>
      <c r="I2000" s="99"/>
      <c r="J2000" s="99"/>
      <c r="K2000" s="98"/>
      <c r="L2000" s="98"/>
      <c r="M2000" s="98"/>
      <c r="N2000" s="98"/>
      <c r="O2000" s="98"/>
      <c r="P2000" s="98"/>
      <c r="Q2000" s="98"/>
      <c r="R2000" s="98"/>
      <c r="S2000" s="98"/>
      <c r="T2000" s="98"/>
      <c r="U2000" s="98"/>
      <c r="V2000" s="98"/>
      <c r="W2000" s="98"/>
      <c r="X2000" s="98"/>
      <c r="Y2000" s="98"/>
      <c r="Z2000" s="98"/>
      <c r="AA2000" s="98"/>
      <c r="AB2000" s="98"/>
      <c r="AC2000" s="98"/>
      <c r="AD2000" s="98"/>
      <c r="AE2000" s="98"/>
      <c r="AF2000" s="98"/>
      <c r="AG2000" s="98"/>
      <c r="AH2000" s="98"/>
      <c r="AI2000" s="98"/>
      <c r="AJ2000" s="98"/>
      <c r="AK2000" s="98"/>
      <c r="AL2000" s="98"/>
      <c r="AM2000" s="98"/>
    </row>
    <row r="2001" spans="1:39" s="100" customFormat="1" ht="15.6" x14ac:dyDescent="0.3">
      <c r="A2001" s="97"/>
      <c r="B2001" s="98"/>
      <c r="C2001" s="98"/>
      <c r="D2001" s="98"/>
      <c r="E2001" s="98"/>
      <c r="F2001" s="98"/>
      <c r="G2001" s="99"/>
      <c r="H2001" s="99"/>
      <c r="I2001" s="99"/>
      <c r="J2001" s="99"/>
      <c r="K2001" s="98"/>
      <c r="L2001" s="98"/>
      <c r="M2001" s="98"/>
      <c r="N2001" s="98"/>
      <c r="O2001" s="98"/>
      <c r="P2001" s="98"/>
      <c r="Q2001" s="98"/>
      <c r="R2001" s="98"/>
      <c r="S2001" s="98"/>
      <c r="T2001" s="98"/>
      <c r="U2001" s="98"/>
      <c r="V2001" s="98"/>
      <c r="W2001" s="98"/>
      <c r="X2001" s="98"/>
      <c r="Y2001" s="98"/>
      <c r="Z2001" s="98"/>
      <c r="AA2001" s="98"/>
      <c r="AB2001" s="98"/>
      <c r="AC2001" s="98"/>
      <c r="AD2001" s="98"/>
      <c r="AE2001" s="98"/>
      <c r="AF2001" s="98"/>
      <c r="AG2001" s="98"/>
      <c r="AH2001" s="98"/>
      <c r="AI2001" s="98"/>
      <c r="AJ2001" s="98"/>
      <c r="AK2001" s="98"/>
      <c r="AL2001" s="98"/>
      <c r="AM2001" s="98"/>
    </row>
    <row r="2002" spans="1:39" s="100" customFormat="1" ht="15.6" x14ac:dyDescent="0.3">
      <c r="A2002" s="97"/>
      <c r="B2002" s="98"/>
      <c r="C2002" s="98"/>
      <c r="D2002" s="98"/>
      <c r="E2002" s="98"/>
      <c r="F2002" s="98"/>
      <c r="G2002" s="99"/>
      <c r="H2002" s="99"/>
      <c r="I2002" s="99"/>
      <c r="J2002" s="99"/>
      <c r="K2002" s="98"/>
      <c r="L2002" s="98"/>
      <c r="M2002" s="98"/>
      <c r="N2002" s="98"/>
      <c r="O2002" s="98"/>
      <c r="P2002" s="98"/>
      <c r="Q2002" s="98"/>
      <c r="R2002" s="98"/>
      <c r="S2002" s="98"/>
      <c r="T2002" s="98"/>
      <c r="U2002" s="98"/>
      <c r="V2002" s="98"/>
      <c r="W2002" s="98"/>
      <c r="X2002" s="98"/>
      <c r="Y2002" s="98"/>
      <c r="Z2002" s="98"/>
      <c r="AA2002" s="98"/>
      <c r="AB2002" s="98"/>
      <c r="AC2002" s="98"/>
      <c r="AD2002" s="98"/>
      <c r="AE2002" s="98"/>
      <c r="AF2002" s="98"/>
      <c r="AG2002" s="98"/>
      <c r="AH2002" s="98"/>
      <c r="AI2002" s="98"/>
      <c r="AJ2002" s="98"/>
      <c r="AK2002" s="98"/>
      <c r="AL2002" s="98"/>
      <c r="AM2002" s="98"/>
    </row>
    <row r="2003" spans="1:39" s="100" customFormat="1" ht="15.6" x14ac:dyDescent="0.3">
      <c r="A2003" s="97"/>
      <c r="B2003" s="98"/>
      <c r="C2003" s="98"/>
      <c r="D2003" s="98"/>
      <c r="E2003" s="98"/>
      <c r="F2003" s="98"/>
      <c r="G2003" s="99"/>
      <c r="H2003" s="99"/>
      <c r="I2003" s="99"/>
      <c r="J2003" s="99"/>
      <c r="K2003" s="98"/>
      <c r="L2003" s="98"/>
      <c r="M2003" s="98"/>
      <c r="N2003" s="98"/>
      <c r="O2003" s="98"/>
      <c r="P2003" s="98"/>
      <c r="Q2003" s="98"/>
      <c r="R2003" s="98"/>
      <c r="S2003" s="98"/>
      <c r="T2003" s="98"/>
      <c r="U2003" s="98"/>
      <c r="V2003" s="98"/>
      <c r="W2003" s="98"/>
      <c r="X2003" s="98"/>
      <c r="Y2003" s="98"/>
      <c r="Z2003" s="98"/>
      <c r="AA2003" s="98"/>
      <c r="AB2003" s="98"/>
      <c r="AC2003" s="98"/>
      <c r="AD2003" s="98"/>
      <c r="AE2003" s="98"/>
      <c r="AF2003" s="98"/>
      <c r="AG2003" s="98"/>
      <c r="AH2003" s="98"/>
      <c r="AI2003" s="98"/>
      <c r="AJ2003" s="98"/>
      <c r="AK2003" s="98"/>
      <c r="AL2003" s="98"/>
      <c r="AM2003" s="98"/>
    </row>
    <row r="2004" spans="1:39" s="100" customFormat="1" ht="15.6" x14ac:dyDescent="0.3">
      <c r="A2004" s="97"/>
      <c r="B2004" s="98"/>
      <c r="C2004" s="98"/>
      <c r="D2004" s="98"/>
      <c r="E2004" s="98"/>
      <c r="F2004" s="98"/>
      <c r="G2004" s="99"/>
      <c r="H2004" s="99"/>
      <c r="I2004" s="99"/>
      <c r="J2004" s="99"/>
      <c r="K2004" s="98"/>
      <c r="L2004" s="98"/>
      <c r="M2004" s="98"/>
      <c r="N2004" s="98"/>
      <c r="O2004" s="98"/>
      <c r="P2004" s="98"/>
      <c r="Q2004" s="98"/>
      <c r="R2004" s="98"/>
      <c r="S2004" s="98"/>
      <c r="T2004" s="98"/>
      <c r="U2004" s="98"/>
      <c r="V2004" s="98"/>
      <c r="W2004" s="98"/>
      <c r="X2004" s="98"/>
      <c r="Y2004" s="98"/>
      <c r="Z2004" s="98"/>
      <c r="AA2004" s="98"/>
      <c r="AB2004" s="98"/>
      <c r="AC2004" s="98"/>
      <c r="AD2004" s="98"/>
      <c r="AE2004" s="98"/>
      <c r="AF2004" s="98"/>
      <c r="AG2004" s="98"/>
      <c r="AH2004" s="98"/>
      <c r="AI2004" s="98"/>
      <c r="AJ2004" s="98"/>
      <c r="AK2004" s="98"/>
      <c r="AL2004" s="98"/>
      <c r="AM2004" s="98"/>
    </row>
    <row r="2005" spans="1:39" s="100" customFormat="1" ht="15.6" x14ac:dyDescent="0.3">
      <c r="A2005" s="97"/>
      <c r="B2005" s="98"/>
      <c r="C2005" s="98"/>
      <c r="D2005" s="98"/>
      <c r="E2005" s="98"/>
      <c r="F2005" s="98"/>
      <c r="G2005" s="99"/>
      <c r="H2005" s="99"/>
      <c r="I2005" s="99"/>
      <c r="J2005" s="99"/>
      <c r="K2005" s="98"/>
      <c r="L2005" s="98"/>
      <c r="M2005" s="98"/>
      <c r="N2005" s="98"/>
      <c r="O2005" s="98"/>
      <c r="P2005" s="98"/>
      <c r="Q2005" s="98"/>
      <c r="R2005" s="98"/>
      <c r="S2005" s="98"/>
      <c r="T2005" s="98"/>
      <c r="U2005" s="98"/>
      <c r="V2005" s="98"/>
      <c r="W2005" s="98"/>
      <c r="X2005" s="98"/>
      <c r="Y2005" s="98"/>
      <c r="Z2005" s="98"/>
      <c r="AA2005" s="98"/>
      <c r="AB2005" s="98"/>
      <c r="AC2005" s="98"/>
      <c r="AD2005" s="98"/>
      <c r="AE2005" s="98"/>
      <c r="AF2005" s="98"/>
      <c r="AG2005" s="98"/>
      <c r="AH2005" s="98"/>
      <c r="AI2005" s="98"/>
      <c r="AJ2005" s="98"/>
      <c r="AK2005" s="98"/>
      <c r="AL2005" s="98"/>
      <c r="AM2005" s="98"/>
    </row>
    <row r="2006" spans="1:39" s="100" customFormat="1" ht="15.6" x14ac:dyDescent="0.3">
      <c r="A2006" s="97"/>
      <c r="B2006" s="98"/>
      <c r="C2006" s="98"/>
      <c r="D2006" s="98"/>
      <c r="E2006" s="98"/>
      <c r="F2006" s="98"/>
      <c r="G2006" s="99"/>
      <c r="H2006" s="99"/>
      <c r="I2006" s="99"/>
      <c r="J2006" s="99"/>
      <c r="K2006" s="98"/>
      <c r="L2006" s="98"/>
      <c r="M2006" s="98"/>
      <c r="N2006" s="98"/>
      <c r="O2006" s="98"/>
      <c r="P2006" s="98"/>
      <c r="Q2006" s="98"/>
      <c r="R2006" s="98"/>
      <c r="S2006" s="98"/>
      <c r="T2006" s="98"/>
      <c r="U2006" s="98"/>
      <c r="V2006" s="98"/>
      <c r="W2006" s="98"/>
      <c r="X2006" s="98"/>
      <c r="Y2006" s="98"/>
      <c r="Z2006" s="98"/>
      <c r="AA2006" s="98"/>
      <c r="AB2006" s="98"/>
      <c r="AC2006" s="98"/>
      <c r="AD2006" s="98"/>
      <c r="AE2006" s="98"/>
      <c r="AF2006" s="98"/>
      <c r="AG2006" s="98"/>
      <c r="AH2006" s="98"/>
      <c r="AI2006" s="98"/>
      <c r="AJ2006" s="98"/>
      <c r="AK2006" s="98"/>
      <c r="AL2006" s="98"/>
      <c r="AM2006" s="98"/>
    </row>
    <row r="2007" spans="1:39" s="100" customFormat="1" ht="15.6" x14ac:dyDescent="0.3">
      <c r="A2007" s="97"/>
      <c r="B2007" s="98"/>
      <c r="C2007" s="98"/>
      <c r="D2007" s="98"/>
      <c r="E2007" s="98"/>
      <c r="F2007" s="98"/>
      <c r="G2007" s="99"/>
      <c r="H2007" s="99"/>
      <c r="I2007" s="99"/>
      <c r="J2007" s="99"/>
      <c r="K2007" s="98"/>
      <c r="L2007" s="98"/>
      <c r="M2007" s="98"/>
      <c r="N2007" s="98"/>
      <c r="O2007" s="98"/>
      <c r="P2007" s="98"/>
      <c r="Q2007" s="98"/>
      <c r="R2007" s="98"/>
      <c r="S2007" s="98"/>
      <c r="T2007" s="98"/>
      <c r="U2007" s="98"/>
      <c r="V2007" s="98"/>
      <c r="W2007" s="98"/>
      <c r="X2007" s="98"/>
      <c r="Y2007" s="98"/>
      <c r="Z2007" s="98"/>
      <c r="AA2007" s="98"/>
      <c r="AB2007" s="98"/>
      <c r="AC2007" s="98"/>
      <c r="AD2007" s="98"/>
      <c r="AE2007" s="98"/>
      <c r="AF2007" s="98"/>
      <c r="AG2007" s="98"/>
      <c r="AH2007" s="98"/>
      <c r="AI2007" s="98"/>
      <c r="AJ2007" s="98"/>
      <c r="AK2007" s="98"/>
      <c r="AL2007" s="98"/>
      <c r="AM2007" s="98"/>
    </row>
    <row r="2008" spans="1:39" s="100" customFormat="1" ht="15.6" x14ac:dyDescent="0.3">
      <c r="A2008" s="97"/>
      <c r="B2008" s="98"/>
      <c r="C2008" s="98"/>
      <c r="D2008" s="98"/>
      <c r="E2008" s="98"/>
      <c r="F2008" s="98"/>
      <c r="G2008" s="99"/>
      <c r="H2008" s="99"/>
      <c r="I2008" s="99"/>
      <c r="J2008" s="99"/>
      <c r="K2008" s="98"/>
      <c r="L2008" s="98"/>
      <c r="M2008" s="98"/>
      <c r="N2008" s="98"/>
      <c r="O2008" s="98"/>
      <c r="P2008" s="98"/>
      <c r="Q2008" s="98"/>
      <c r="R2008" s="98"/>
      <c r="S2008" s="98"/>
      <c r="T2008" s="98"/>
      <c r="U2008" s="98"/>
      <c r="V2008" s="98"/>
      <c r="W2008" s="98"/>
      <c r="X2008" s="98"/>
      <c r="Y2008" s="98"/>
      <c r="Z2008" s="98"/>
      <c r="AA2008" s="98"/>
      <c r="AB2008" s="98"/>
      <c r="AC2008" s="98"/>
      <c r="AD2008" s="98"/>
      <c r="AE2008" s="98"/>
      <c r="AF2008" s="98"/>
      <c r="AG2008" s="98"/>
      <c r="AH2008" s="98"/>
      <c r="AI2008" s="98"/>
      <c r="AJ2008" s="98"/>
      <c r="AK2008" s="98"/>
      <c r="AL2008" s="98"/>
      <c r="AM2008" s="98"/>
    </row>
    <row r="2009" spans="1:39" s="100" customFormat="1" ht="15.6" x14ac:dyDescent="0.3">
      <c r="A2009" s="97"/>
      <c r="B2009" s="98"/>
      <c r="C2009" s="98"/>
      <c r="D2009" s="98"/>
      <c r="E2009" s="98"/>
      <c r="F2009" s="98"/>
      <c r="G2009" s="99"/>
      <c r="H2009" s="99"/>
      <c r="I2009" s="99"/>
      <c r="J2009" s="99"/>
      <c r="K2009" s="98"/>
      <c r="L2009" s="98"/>
      <c r="M2009" s="98"/>
      <c r="N2009" s="98"/>
      <c r="O2009" s="98"/>
      <c r="P2009" s="98"/>
      <c r="Q2009" s="98"/>
      <c r="R2009" s="98"/>
      <c r="S2009" s="98"/>
      <c r="T2009" s="98"/>
      <c r="U2009" s="98"/>
      <c r="V2009" s="98"/>
      <c r="W2009" s="98"/>
      <c r="X2009" s="98"/>
      <c r="Y2009" s="98"/>
      <c r="Z2009" s="98"/>
      <c r="AA2009" s="98"/>
      <c r="AB2009" s="98"/>
      <c r="AC2009" s="98"/>
      <c r="AD2009" s="98"/>
      <c r="AE2009" s="98"/>
      <c r="AF2009" s="98"/>
      <c r="AG2009" s="98"/>
      <c r="AH2009" s="98"/>
      <c r="AI2009" s="98"/>
      <c r="AJ2009" s="98"/>
      <c r="AK2009" s="98"/>
      <c r="AL2009" s="98"/>
      <c r="AM2009" s="98"/>
    </row>
    <row r="2010" spans="1:39" s="100" customFormat="1" ht="15.6" x14ac:dyDescent="0.3">
      <c r="A2010" s="97"/>
      <c r="B2010" s="98"/>
      <c r="C2010" s="98"/>
      <c r="D2010" s="98"/>
      <c r="E2010" s="98"/>
      <c r="F2010" s="98"/>
      <c r="G2010" s="99"/>
      <c r="H2010" s="99"/>
      <c r="I2010" s="99"/>
      <c r="J2010" s="99"/>
      <c r="K2010" s="98"/>
      <c r="L2010" s="98"/>
      <c r="M2010" s="98"/>
      <c r="N2010" s="98"/>
      <c r="O2010" s="98"/>
      <c r="P2010" s="98"/>
      <c r="Q2010" s="98"/>
      <c r="R2010" s="98"/>
      <c r="S2010" s="98"/>
      <c r="T2010" s="98"/>
      <c r="U2010" s="98"/>
      <c r="V2010" s="98"/>
      <c r="W2010" s="98"/>
      <c r="X2010" s="98"/>
      <c r="Y2010" s="98"/>
      <c r="Z2010" s="98"/>
      <c r="AA2010" s="98"/>
      <c r="AB2010" s="98"/>
      <c r="AC2010" s="98"/>
      <c r="AD2010" s="98"/>
      <c r="AE2010" s="98"/>
      <c r="AF2010" s="98"/>
      <c r="AG2010" s="98"/>
      <c r="AH2010" s="98"/>
      <c r="AI2010" s="98"/>
      <c r="AJ2010" s="98"/>
      <c r="AK2010" s="98"/>
      <c r="AL2010" s="98"/>
      <c r="AM2010" s="98"/>
    </row>
    <row r="2011" spans="1:39" s="100" customFormat="1" ht="15.6" x14ac:dyDescent="0.3">
      <c r="A2011" s="97"/>
      <c r="B2011" s="98"/>
      <c r="C2011" s="98"/>
      <c r="D2011" s="98"/>
      <c r="E2011" s="98"/>
      <c r="F2011" s="98"/>
      <c r="G2011" s="99"/>
      <c r="H2011" s="99"/>
      <c r="I2011" s="99"/>
      <c r="J2011" s="99"/>
      <c r="K2011" s="98"/>
      <c r="L2011" s="98"/>
      <c r="M2011" s="98"/>
      <c r="N2011" s="98"/>
      <c r="O2011" s="98"/>
      <c r="P2011" s="98"/>
      <c r="Q2011" s="98"/>
      <c r="R2011" s="98"/>
      <c r="S2011" s="98"/>
      <c r="T2011" s="98"/>
      <c r="U2011" s="98"/>
      <c r="V2011" s="98"/>
      <c r="W2011" s="98"/>
      <c r="X2011" s="98"/>
      <c r="Y2011" s="98"/>
      <c r="Z2011" s="98"/>
      <c r="AA2011" s="98"/>
      <c r="AB2011" s="98"/>
      <c r="AC2011" s="98"/>
      <c r="AD2011" s="98"/>
      <c r="AE2011" s="98"/>
      <c r="AF2011" s="98"/>
      <c r="AG2011" s="98"/>
      <c r="AH2011" s="98"/>
      <c r="AI2011" s="98"/>
      <c r="AJ2011" s="98"/>
      <c r="AK2011" s="98"/>
      <c r="AL2011" s="98"/>
      <c r="AM2011" s="98"/>
    </row>
    <row r="2012" spans="1:39" s="100" customFormat="1" ht="15.6" x14ac:dyDescent="0.3">
      <c r="A2012" s="97"/>
      <c r="B2012" s="98"/>
      <c r="C2012" s="98"/>
      <c r="D2012" s="98"/>
      <c r="E2012" s="98"/>
      <c r="F2012" s="98"/>
      <c r="G2012" s="99"/>
      <c r="H2012" s="99"/>
      <c r="I2012" s="99"/>
      <c r="J2012" s="99"/>
      <c r="K2012" s="98"/>
      <c r="L2012" s="98"/>
      <c r="M2012" s="98"/>
      <c r="N2012" s="98"/>
      <c r="O2012" s="98"/>
      <c r="P2012" s="98"/>
      <c r="Q2012" s="98"/>
      <c r="R2012" s="98"/>
      <c r="S2012" s="98"/>
      <c r="T2012" s="98"/>
      <c r="U2012" s="98"/>
      <c r="V2012" s="98"/>
      <c r="W2012" s="98"/>
      <c r="X2012" s="98"/>
      <c r="Y2012" s="98"/>
      <c r="Z2012" s="98"/>
      <c r="AA2012" s="98"/>
      <c r="AB2012" s="98"/>
      <c r="AC2012" s="98"/>
      <c r="AD2012" s="98"/>
      <c r="AE2012" s="98"/>
      <c r="AF2012" s="98"/>
      <c r="AG2012" s="98"/>
      <c r="AH2012" s="98"/>
      <c r="AI2012" s="98"/>
      <c r="AJ2012" s="98"/>
      <c r="AK2012" s="98"/>
      <c r="AL2012" s="98"/>
      <c r="AM2012" s="98"/>
    </row>
    <row r="2013" spans="1:39" s="100" customFormat="1" ht="15.6" x14ac:dyDescent="0.3">
      <c r="A2013" s="97"/>
      <c r="B2013" s="98"/>
      <c r="C2013" s="98"/>
      <c r="D2013" s="98"/>
      <c r="E2013" s="98"/>
      <c r="F2013" s="98"/>
      <c r="G2013" s="99"/>
      <c r="H2013" s="99"/>
      <c r="I2013" s="99"/>
      <c r="J2013" s="99"/>
      <c r="K2013" s="98"/>
      <c r="L2013" s="98"/>
      <c r="M2013" s="98"/>
      <c r="N2013" s="98"/>
      <c r="O2013" s="98"/>
      <c r="P2013" s="98"/>
      <c r="Q2013" s="98"/>
      <c r="R2013" s="98"/>
      <c r="S2013" s="98"/>
      <c r="T2013" s="98"/>
      <c r="U2013" s="98"/>
      <c r="V2013" s="98"/>
      <c r="W2013" s="98"/>
      <c r="X2013" s="98"/>
      <c r="Y2013" s="98"/>
      <c r="Z2013" s="98"/>
      <c r="AA2013" s="98"/>
      <c r="AB2013" s="98"/>
      <c r="AC2013" s="98"/>
      <c r="AD2013" s="98"/>
      <c r="AE2013" s="98"/>
      <c r="AF2013" s="98"/>
      <c r="AG2013" s="98"/>
      <c r="AH2013" s="98"/>
      <c r="AI2013" s="98"/>
      <c r="AJ2013" s="98"/>
      <c r="AK2013" s="98"/>
      <c r="AL2013" s="98"/>
      <c r="AM2013" s="98"/>
    </row>
    <row r="2014" spans="1:39" s="100" customFormat="1" ht="15.6" x14ac:dyDescent="0.3">
      <c r="A2014" s="97"/>
      <c r="B2014" s="98"/>
      <c r="C2014" s="98"/>
      <c r="D2014" s="98"/>
      <c r="E2014" s="98"/>
      <c r="F2014" s="98"/>
      <c r="G2014" s="99"/>
      <c r="H2014" s="99"/>
      <c r="I2014" s="99"/>
      <c r="J2014" s="99"/>
      <c r="K2014" s="98"/>
      <c r="L2014" s="98"/>
      <c r="M2014" s="98"/>
      <c r="N2014" s="98"/>
      <c r="O2014" s="98"/>
      <c r="P2014" s="98"/>
      <c r="Q2014" s="98"/>
      <c r="R2014" s="98"/>
      <c r="S2014" s="98"/>
      <c r="T2014" s="98"/>
      <c r="U2014" s="98"/>
      <c r="V2014" s="98"/>
      <c r="W2014" s="98"/>
      <c r="X2014" s="98"/>
      <c r="Y2014" s="98"/>
      <c r="Z2014" s="98"/>
      <c r="AA2014" s="98"/>
      <c r="AB2014" s="98"/>
      <c r="AC2014" s="98"/>
      <c r="AD2014" s="98"/>
      <c r="AE2014" s="98"/>
      <c r="AF2014" s="98"/>
      <c r="AG2014" s="98"/>
      <c r="AH2014" s="98"/>
      <c r="AI2014" s="98"/>
      <c r="AJ2014" s="98"/>
      <c r="AK2014" s="98"/>
      <c r="AL2014" s="98"/>
      <c r="AM2014" s="98"/>
    </row>
    <row r="2015" spans="1:39" s="100" customFormat="1" ht="15.6" x14ac:dyDescent="0.3">
      <c r="A2015" s="97"/>
      <c r="B2015" s="98"/>
      <c r="C2015" s="98"/>
      <c r="D2015" s="98"/>
      <c r="E2015" s="98"/>
      <c r="F2015" s="98"/>
      <c r="G2015" s="99"/>
      <c r="H2015" s="99"/>
      <c r="I2015" s="99"/>
      <c r="J2015" s="99"/>
      <c r="K2015" s="98"/>
      <c r="L2015" s="98"/>
      <c r="M2015" s="98"/>
      <c r="N2015" s="98"/>
      <c r="O2015" s="98"/>
      <c r="P2015" s="98"/>
      <c r="Q2015" s="98"/>
      <c r="R2015" s="98"/>
      <c r="S2015" s="98"/>
      <c r="T2015" s="98"/>
      <c r="U2015" s="98"/>
      <c r="V2015" s="98"/>
      <c r="W2015" s="98"/>
      <c r="X2015" s="98"/>
      <c r="Y2015" s="98"/>
      <c r="Z2015" s="98"/>
      <c r="AA2015" s="98"/>
      <c r="AB2015" s="98"/>
      <c r="AC2015" s="98"/>
      <c r="AD2015" s="98"/>
      <c r="AE2015" s="98"/>
      <c r="AF2015" s="98"/>
      <c r="AG2015" s="98"/>
      <c r="AH2015" s="98"/>
      <c r="AI2015" s="98"/>
      <c r="AJ2015" s="98"/>
      <c r="AK2015" s="98"/>
      <c r="AL2015" s="98"/>
      <c r="AM2015" s="98"/>
    </row>
    <row r="2016" spans="1:39" s="100" customFormat="1" ht="15.6" x14ac:dyDescent="0.3">
      <c r="A2016" s="97"/>
      <c r="B2016" s="98"/>
      <c r="C2016" s="98"/>
      <c r="D2016" s="98"/>
      <c r="E2016" s="98"/>
      <c r="F2016" s="98"/>
      <c r="G2016" s="99"/>
      <c r="H2016" s="99"/>
      <c r="I2016" s="99"/>
      <c r="J2016" s="99"/>
      <c r="K2016" s="98"/>
      <c r="L2016" s="98"/>
      <c r="M2016" s="98"/>
      <c r="N2016" s="98"/>
      <c r="O2016" s="98"/>
      <c r="P2016" s="98"/>
      <c r="Q2016" s="98"/>
      <c r="R2016" s="98"/>
      <c r="S2016" s="98"/>
      <c r="T2016" s="98"/>
      <c r="U2016" s="98"/>
      <c r="V2016" s="98"/>
      <c r="W2016" s="98"/>
      <c r="X2016" s="98"/>
      <c r="Y2016" s="98"/>
      <c r="Z2016" s="98"/>
      <c r="AA2016" s="98"/>
      <c r="AB2016" s="98"/>
      <c r="AC2016" s="98"/>
      <c r="AD2016" s="98"/>
      <c r="AE2016" s="98"/>
      <c r="AF2016" s="98"/>
      <c r="AG2016" s="98"/>
      <c r="AH2016" s="98"/>
      <c r="AI2016" s="98"/>
      <c r="AJ2016" s="98"/>
      <c r="AK2016" s="98"/>
      <c r="AL2016" s="98"/>
      <c r="AM2016" s="98"/>
    </row>
    <row r="2017" spans="1:39" s="100" customFormat="1" ht="15.6" x14ac:dyDescent="0.3">
      <c r="A2017" s="97"/>
      <c r="B2017" s="98"/>
      <c r="C2017" s="98"/>
      <c r="D2017" s="98"/>
      <c r="E2017" s="98"/>
      <c r="F2017" s="98"/>
      <c r="G2017" s="99"/>
      <c r="H2017" s="99"/>
      <c r="I2017" s="99"/>
      <c r="J2017" s="99"/>
      <c r="K2017" s="98"/>
      <c r="L2017" s="98"/>
      <c r="M2017" s="98"/>
      <c r="N2017" s="98"/>
      <c r="O2017" s="98"/>
      <c r="P2017" s="98"/>
      <c r="Q2017" s="98"/>
      <c r="R2017" s="98"/>
      <c r="S2017" s="98"/>
      <c r="T2017" s="98"/>
      <c r="U2017" s="98"/>
      <c r="V2017" s="98"/>
      <c r="W2017" s="98"/>
      <c r="X2017" s="98"/>
      <c r="Y2017" s="98"/>
      <c r="Z2017" s="98"/>
      <c r="AA2017" s="98"/>
      <c r="AB2017" s="98"/>
      <c r="AC2017" s="98"/>
      <c r="AD2017" s="98"/>
      <c r="AE2017" s="98"/>
      <c r="AF2017" s="98"/>
      <c r="AG2017" s="98"/>
      <c r="AH2017" s="98"/>
      <c r="AI2017" s="98"/>
      <c r="AJ2017" s="98"/>
      <c r="AK2017" s="98"/>
      <c r="AL2017" s="98"/>
      <c r="AM2017" s="98"/>
    </row>
    <row r="2018" spans="1:39" s="100" customFormat="1" ht="15.6" x14ac:dyDescent="0.3">
      <c r="A2018" s="97"/>
      <c r="B2018" s="98"/>
      <c r="C2018" s="98"/>
      <c r="D2018" s="98"/>
      <c r="E2018" s="98"/>
      <c r="F2018" s="98"/>
      <c r="G2018" s="99"/>
      <c r="H2018" s="99"/>
      <c r="I2018" s="99"/>
      <c r="J2018" s="99"/>
      <c r="K2018" s="98"/>
      <c r="L2018" s="98"/>
      <c r="M2018" s="98"/>
      <c r="N2018" s="98"/>
      <c r="O2018" s="98"/>
      <c r="P2018" s="98"/>
      <c r="Q2018" s="98"/>
      <c r="R2018" s="98"/>
      <c r="S2018" s="98"/>
      <c r="T2018" s="98"/>
      <c r="U2018" s="98"/>
      <c r="V2018" s="98"/>
      <c r="W2018" s="98"/>
      <c r="X2018" s="98"/>
      <c r="Y2018" s="98"/>
      <c r="Z2018" s="98"/>
      <c r="AA2018" s="98"/>
      <c r="AB2018" s="98"/>
      <c r="AC2018" s="98"/>
      <c r="AD2018" s="98"/>
      <c r="AE2018" s="98"/>
      <c r="AF2018" s="98"/>
      <c r="AG2018" s="98"/>
      <c r="AH2018" s="98"/>
      <c r="AI2018" s="98"/>
      <c r="AJ2018" s="98"/>
      <c r="AK2018" s="98"/>
      <c r="AL2018" s="98"/>
      <c r="AM2018" s="98"/>
    </row>
    <row r="2019" spans="1:39" s="100" customFormat="1" ht="15.6" x14ac:dyDescent="0.3">
      <c r="A2019" s="97"/>
      <c r="B2019" s="98"/>
      <c r="C2019" s="98"/>
      <c r="D2019" s="98"/>
      <c r="E2019" s="98"/>
      <c r="F2019" s="98"/>
      <c r="G2019" s="99"/>
      <c r="H2019" s="99"/>
      <c r="I2019" s="99"/>
      <c r="J2019" s="99"/>
      <c r="K2019" s="98"/>
      <c r="L2019" s="98"/>
      <c r="M2019" s="98"/>
      <c r="N2019" s="98"/>
      <c r="O2019" s="98"/>
      <c r="P2019" s="98"/>
      <c r="Q2019" s="98"/>
      <c r="R2019" s="98"/>
      <c r="S2019" s="98"/>
      <c r="T2019" s="98"/>
      <c r="U2019" s="98"/>
      <c r="V2019" s="98"/>
      <c r="W2019" s="98"/>
      <c r="X2019" s="98"/>
      <c r="Y2019" s="98"/>
      <c r="Z2019" s="98"/>
      <c r="AA2019" s="98"/>
      <c r="AB2019" s="98"/>
      <c r="AC2019" s="98"/>
      <c r="AD2019" s="98"/>
      <c r="AE2019" s="98"/>
      <c r="AF2019" s="98"/>
      <c r="AG2019" s="98"/>
      <c r="AH2019" s="98"/>
      <c r="AI2019" s="98"/>
      <c r="AJ2019" s="98"/>
      <c r="AK2019" s="98"/>
      <c r="AL2019" s="98"/>
      <c r="AM2019" s="98"/>
    </row>
    <row r="2020" spans="1:39" s="100" customFormat="1" ht="15.6" x14ac:dyDescent="0.3">
      <c r="A2020" s="97"/>
      <c r="B2020" s="98"/>
      <c r="C2020" s="98"/>
      <c r="D2020" s="98"/>
      <c r="E2020" s="98"/>
      <c r="F2020" s="98"/>
      <c r="G2020" s="99"/>
      <c r="H2020" s="99"/>
      <c r="I2020" s="99"/>
      <c r="J2020" s="99"/>
      <c r="K2020" s="98"/>
      <c r="L2020" s="98"/>
      <c r="M2020" s="98"/>
      <c r="N2020" s="98"/>
      <c r="O2020" s="98"/>
      <c r="P2020" s="98"/>
      <c r="Q2020" s="98"/>
      <c r="R2020" s="98"/>
      <c r="S2020" s="98"/>
      <c r="T2020" s="98"/>
      <c r="U2020" s="98"/>
      <c r="V2020" s="98"/>
      <c r="W2020" s="98"/>
      <c r="X2020" s="98"/>
      <c r="Y2020" s="98"/>
      <c r="Z2020" s="98"/>
      <c r="AA2020" s="98"/>
      <c r="AB2020" s="98"/>
      <c r="AC2020" s="98"/>
      <c r="AD2020" s="98"/>
      <c r="AE2020" s="98"/>
      <c r="AF2020" s="98"/>
      <c r="AG2020" s="98"/>
      <c r="AH2020" s="98"/>
      <c r="AI2020" s="98"/>
      <c r="AJ2020" s="98"/>
      <c r="AK2020" s="98"/>
      <c r="AL2020" s="98"/>
      <c r="AM2020" s="98"/>
    </row>
    <row r="2021" spans="1:39" s="100" customFormat="1" ht="15.6" x14ac:dyDescent="0.3">
      <c r="A2021" s="97"/>
      <c r="B2021" s="98"/>
      <c r="C2021" s="98"/>
      <c r="D2021" s="98"/>
      <c r="E2021" s="98"/>
      <c r="F2021" s="98"/>
      <c r="G2021" s="99"/>
      <c r="H2021" s="99"/>
      <c r="I2021" s="99"/>
      <c r="J2021" s="99"/>
      <c r="K2021" s="98"/>
      <c r="L2021" s="98"/>
      <c r="M2021" s="98"/>
      <c r="N2021" s="98"/>
      <c r="O2021" s="98"/>
      <c r="P2021" s="98"/>
      <c r="Q2021" s="98"/>
      <c r="R2021" s="98"/>
      <c r="S2021" s="98"/>
      <c r="T2021" s="98"/>
      <c r="U2021" s="98"/>
      <c r="V2021" s="98"/>
      <c r="W2021" s="98"/>
      <c r="X2021" s="98"/>
      <c r="Y2021" s="98"/>
      <c r="Z2021" s="98"/>
      <c r="AA2021" s="98"/>
      <c r="AB2021" s="98"/>
      <c r="AC2021" s="98"/>
      <c r="AD2021" s="98"/>
      <c r="AE2021" s="98"/>
      <c r="AF2021" s="98"/>
      <c r="AG2021" s="98"/>
      <c r="AH2021" s="98"/>
      <c r="AI2021" s="98"/>
      <c r="AJ2021" s="98"/>
      <c r="AK2021" s="98"/>
      <c r="AL2021" s="98"/>
      <c r="AM2021" s="98"/>
    </row>
    <row r="2022" spans="1:39" s="100" customFormat="1" ht="15.6" x14ac:dyDescent="0.3">
      <c r="A2022" s="97"/>
      <c r="B2022" s="98"/>
      <c r="C2022" s="98"/>
      <c r="D2022" s="98"/>
      <c r="E2022" s="98"/>
      <c r="F2022" s="98"/>
      <c r="G2022" s="99"/>
      <c r="H2022" s="99"/>
      <c r="I2022" s="99"/>
      <c r="J2022" s="99"/>
      <c r="K2022" s="98"/>
      <c r="L2022" s="98"/>
      <c r="M2022" s="98"/>
      <c r="N2022" s="98"/>
      <c r="O2022" s="98"/>
      <c r="P2022" s="98"/>
      <c r="Q2022" s="98"/>
      <c r="R2022" s="98"/>
      <c r="S2022" s="98"/>
      <c r="T2022" s="98"/>
      <c r="U2022" s="98"/>
      <c r="V2022" s="98"/>
      <c r="W2022" s="98"/>
      <c r="X2022" s="98"/>
      <c r="Y2022" s="98"/>
      <c r="Z2022" s="98"/>
      <c r="AA2022" s="98"/>
      <c r="AB2022" s="98"/>
      <c r="AC2022" s="98"/>
      <c r="AD2022" s="98"/>
      <c r="AE2022" s="98"/>
      <c r="AF2022" s="98"/>
      <c r="AG2022" s="98"/>
      <c r="AH2022" s="98"/>
      <c r="AI2022" s="98"/>
      <c r="AJ2022" s="98"/>
      <c r="AK2022" s="98"/>
      <c r="AL2022" s="98"/>
      <c r="AM2022" s="98"/>
    </row>
    <row r="2023" spans="1:39" s="100" customFormat="1" ht="15.6" x14ac:dyDescent="0.3">
      <c r="A2023" s="97"/>
      <c r="B2023" s="98"/>
      <c r="C2023" s="98"/>
      <c r="D2023" s="98"/>
      <c r="E2023" s="98"/>
      <c r="F2023" s="98"/>
      <c r="G2023" s="99"/>
      <c r="H2023" s="99"/>
      <c r="I2023" s="99"/>
      <c r="J2023" s="99"/>
      <c r="K2023" s="98"/>
      <c r="L2023" s="98"/>
      <c r="M2023" s="98"/>
      <c r="N2023" s="98"/>
      <c r="O2023" s="98"/>
      <c r="P2023" s="98"/>
      <c r="Q2023" s="98"/>
      <c r="R2023" s="98"/>
      <c r="S2023" s="98"/>
      <c r="T2023" s="98"/>
      <c r="U2023" s="98"/>
      <c r="V2023" s="98"/>
      <c r="W2023" s="98"/>
      <c r="X2023" s="98"/>
      <c r="Y2023" s="98"/>
      <c r="Z2023" s="98"/>
      <c r="AA2023" s="98"/>
      <c r="AB2023" s="98"/>
      <c r="AC2023" s="98"/>
      <c r="AD2023" s="98"/>
      <c r="AE2023" s="98"/>
      <c r="AF2023" s="98"/>
      <c r="AG2023" s="98"/>
      <c r="AH2023" s="98"/>
      <c r="AI2023" s="98"/>
      <c r="AJ2023" s="98"/>
      <c r="AK2023" s="98"/>
      <c r="AL2023" s="98"/>
      <c r="AM2023" s="98"/>
    </row>
    <row r="2024" spans="1:39" s="100" customFormat="1" ht="15.6" x14ac:dyDescent="0.3">
      <c r="A2024" s="97"/>
      <c r="B2024" s="98"/>
      <c r="C2024" s="98"/>
      <c r="D2024" s="98"/>
      <c r="E2024" s="98"/>
      <c r="F2024" s="98"/>
      <c r="G2024" s="99"/>
      <c r="H2024" s="99"/>
      <c r="I2024" s="99"/>
      <c r="J2024" s="99"/>
      <c r="K2024" s="98"/>
      <c r="L2024" s="98"/>
      <c r="M2024" s="98"/>
      <c r="N2024" s="98"/>
      <c r="O2024" s="98"/>
      <c r="P2024" s="98"/>
      <c r="Q2024" s="98"/>
      <c r="R2024" s="98"/>
      <c r="S2024" s="98"/>
      <c r="T2024" s="98"/>
      <c r="U2024" s="98"/>
      <c r="V2024" s="98"/>
      <c r="W2024" s="98"/>
      <c r="X2024" s="98"/>
      <c r="Y2024" s="98"/>
      <c r="Z2024" s="98"/>
      <c r="AA2024" s="98"/>
      <c r="AB2024" s="98"/>
      <c r="AC2024" s="98"/>
      <c r="AD2024" s="98"/>
      <c r="AE2024" s="98"/>
      <c r="AF2024" s="98"/>
      <c r="AG2024" s="98"/>
      <c r="AH2024" s="98"/>
      <c r="AI2024" s="98"/>
      <c r="AJ2024" s="98"/>
      <c r="AK2024" s="98"/>
      <c r="AL2024" s="98"/>
      <c r="AM2024" s="98"/>
    </row>
    <row r="2025" spans="1:39" s="100" customFormat="1" ht="15.6" x14ac:dyDescent="0.3">
      <c r="A2025" s="97"/>
      <c r="B2025" s="98"/>
      <c r="C2025" s="98"/>
      <c r="D2025" s="98"/>
      <c r="E2025" s="98"/>
      <c r="F2025" s="98"/>
      <c r="G2025" s="99"/>
      <c r="H2025" s="99"/>
      <c r="I2025" s="99"/>
      <c r="J2025" s="99"/>
      <c r="K2025" s="98"/>
      <c r="L2025" s="98"/>
      <c r="M2025" s="98"/>
      <c r="N2025" s="98"/>
      <c r="O2025" s="98"/>
      <c r="P2025" s="98"/>
      <c r="Q2025" s="98"/>
      <c r="R2025" s="98"/>
      <c r="S2025" s="98"/>
      <c r="T2025" s="98"/>
      <c r="U2025" s="98"/>
      <c r="V2025" s="98"/>
      <c r="W2025" s="98"/>
      <c r="X2025" s="98"/>
      <c r="Y2025" s="98"/>
      <c r="Z2025" s="98"/>
      <c r="AA2025" s="98"/>
      <c r="AB2025" s="98"/>
      <c r="AC2025" s="98"/>
      <c r="AD2025" s="98"/>
      <c r="AE2025" s="98"/>
      <c r="AF2025" s="98"/>
      <c r="AG2025" s="98"/>
      <c r="AH2025" s="98"/>
      <c r="AI2025" s="98"/>
      <c r="AJ2025" s="98"/>
      <c r="AK2025" s="98"/>
      <c r="AL2025" s="98"/>
      <c r="AM2025" s="98"/>
    </row>
    <row r="2026" spans="1:39" s="100" customFormat="1" ht="15.6" x14ac:dyDescent="0.3">
      <c r="A2026" s="97"/>
      <c r="B2026" s="98"/>
      <c r="C2026" s="98"/>
      <c r="D2026" s="98"/>
      <c r="E2026" s="98"/>
      <c r="F2026" s="98"/>
      <c r="G2026" s="99"/>
      <c r="H2026" s="99"/>
      <c r="I2026" s="99"/>
      <c r="J2026" s="99"/>
      <c r="K2026" s="98"/>
      <c r="L2026" s="98"/>
      <c r="M2026" s="98"/>
      <c r="N2026" s="98"/>
      <c r="O2026" s="98"/>
      <c r="P2026" s="98"/>
      <c r="Q2026" s="98"/>
      <c r="R2026" s="98"/>
      <c r="S2026" s="98"/>
      <c r="T2026" s="98"/>
      <c r="U2026" s="98"/>
      <c r="V2026" s="98"/>
      <c r="W2026" s="98"/>
      <c r="X2026" s="98"/>
      <c r="Y2026" s="98"/>
      <c r="Z2026" s="98"/>
      <c r="AA2026" s="98"/>
      <c r="AB2026" s="98"/>
      <c r="AC2026" s="98"/>
      <c r="AD2026" s="98"/>
      <c r="AE2026" s="98"/>
      <c r="AF2026" s="98"/>
      <c r="AG2026" s="98"/>
      <c r="AH2026" s="98"/>
      <c r="AI2026" s="98"/>
      <c r="AJ2026" s="98"/>
      <c r="AK2026" s="98"/>
      <c r="AL2026" s="98"/>
      <c r="AM2026" s="98"/>
    </row>
    <row r="2027" spans="1:39" s="100" customFormat="1" ht="15.6" x14ac:dyDescent="0.3">
      <c r="A2027" s="97"/>
      <c r="B2027" s="98"/>
      <c r="C2027" s="98"/>
      <c r="D2027" s="98"/>
      <c r="E2027" s="98"/>
      <c r="F2027" s="98"/>
      <c r="G2027" s="99"/>
      <c r="H2027" s="99"/>
      <c r="I2027" s="99"/>
      <c r="J2027" s="99"/>
      <c r="K2027" s="98"/>
      <c r="L2027" s="98"/>
      <c r="M2027" s="98"/>
      <c r="N2027" s="98"/>
      <c r="O2027" s="98"/>
      <c r="P2027" s="98"/>
      <c r="Q2027" s="98"/>
      <c r="R2027" s="98"/>
      <c r="S2027" s="98"/>
      <c r="T2027" s="98"/>
      <c r="U2027" s="98"/>
      <c r="V2027" s="98"/>
      <c r="W2027" s="98"/>
      <c r="X2027" s="98"/>
      <c r="Y2027" s="98"/>
      <c r="Z2027" s="98"/>
      <c r="AA2027" s="98"/>
      <c r="AB2027" s="98"/>
      <c r="AC2027" s="98"/>
      <c r="AD2027" s="98"/>
      <c r="AE2027" s="98"/>
      <c r="AF2027" s="98"/>
      <c r="AG2027" s="98"/>
      <c r="AH2027" s="98"/>
      <c r="AI2027" s="98"/>
      <c r="AJ2027" s="98"/>
      <c r="AK2027" s="98"/>
      <c r="AL2027" s="98"/>
      <c r="AM2027" s="98"/>
    </row>
    <row r="2028" spans="1:39" s="100" customFormat="1" ht="15.6" x14ac:dyDescent="0.3">
      <c r="A2028" s="97"/>
      <c r="B2028" s="98"/>
      <c r="C2028" s="98"/>
      <c r="D2028" s="98"/>
      <c r="E2028" s="98"/>
      <c r="F2028" s="98"/>
      <c r="G2028" s="99"/>
      <c r="H2028" s="99"/>
      <c r="I2028" s="99"/>
      <c r="J2028" s="99"/>
      <c r="K2028" s="98"/>
      <c r="L2028" s="98"/>
      <c r="M2028" s="98"/>
      <c r="N2028" s="98"/>
      <c r="O2028" s="98"/>
      <c r="P2028" s="98"/>
      <c r="Q2028" s="98"/>
      <c r="R2028" s="98"/>
      <c r="S2028" s="98"/>
      <c r="T2028" s="98"/>
      <c r="U2028" s="98"/>
      <c r="V2028" s="98"/>
      <c r="W2028" s="98"/>
      <c r="X2028" s="98"/>
      <c r="Y2028" s="98"/>
      <c r="Z2028" s="98"/>
      <c r="AA2028" s="98"/>
      <c r="AB2028" s="98"/>
      <c r="AC2028" s="98"/>
      <c r="AD2028" s="98"/>
      <c r="AE2028" s="98"/>
      <c r="AF2028" s="98"/>
      <c r="AG2028" s="98"/>
      <c r="AH2028" s="98"/>
      <c r="AI2028" s="98"/>
      <c r="AJ2028" s="98"/>
      <c r="AK2028" s="98"/>
      <c r="AL2028" s="98"/>
      <c r="AM2028" s="98"/>
    </row>
    <row r="2029" spans="1:39" s="100" customFormat="1" ht="15.6" x14ac:dyDescent="0.3">
      <c r="A2029" s="97"/>
      <c r="B2029" s="98"/>
      <c r="C2029" s="98"/>
      <c r="D2029" s="98"/>
      <c r="E2029" s="98"/>
      <c r="F2029" s="98"/>
      <c r="G2029" s="99"/>
      <c r="H2029" s="99"/>
      <c r="I2029" s="99"/>
      <c r="J2029" s="99"/>
      <c r="K2029" s="98"/>
      <c r="L2029" s="98"/>
      <c r="M2029" s="98"/>
      <c r="N2029" s="98"/>
      <c r="O2029" s="98"/>
      <c r="P2029" s="98"/>
      <c r="Q2029" s="98"/>
      <c r="R2029" s="98"/>
      <c r="S2029" s="98"/>
      <c r="T2029" s="98"/>
      <c r="U2029" s="98"/>
      <c r="V2029" s="98"/>
      <c r="W2029" s="98"/>
      <c r="X2029" s="98"/>
      <c r="Y2029" s="98"/>
      <c r="Z2029" s="98"/>
      <c r="AA2029" s="98"/>
      <c r="AB2029" s="98"/>
      <c r="AC2029" s="98"/>
      <c r="AD2029" s="98"/>
      <c r="AE2029" s="98"/>
      <c r="AF2029" s="98"/>
      <c r="AG2029" s="98"/>
      <c r="AH2029" s="98"/>
      <c r="AI2029" s="98"/>
      <c r="AJ2029" s="98"/>
      <c r="AK2029" s="98"/>
      <c r="AL2029" s="98"/>
      <c r="AM2029" s="98"/>
    </row>
    <row r="2030" spans="1:39" s="100" customFormat="1" ht="15.6" x14ac:dyDescent="0.3">
      <c r="A2030" s="97"/>
      <c r="B2030" s="98"/>
      <c r="C2030" s="98"/>
      <c r="D2030" s="98"/>
      <c r="E2030" s="98"/>
      <c r="F2030" s="98"/>
      <c r="G2030" s="99"/>
      <c r="H2030" s="99"/>
      <c r="I2030" s="99"/>
      <c r="J2030" s="99"/>
      <c r="K2030" s="98"/>
      <c r="L2030" s="98"/>
      <c r="M2030" s="98"/>
      <c r="N2030" s="98"/>
      <c r="O2030" s="98"/>
      <c r="P2030" s="98"/>
      <c r="Q2030" s="98"/>
      <c r="R2030" s="98"/>
      <c r="S2030" s="98"/>
      <c r="T2030" s="98"/>
      <c r="U2030" s="98"/>
      <c r="V2030" s="98"/>
      <c r="W2030" s="98"/>
      <c r="X2030" s="98"/>
      <c r="Y2030" s="98"/>
      <c r="Z2030" s="98"/>
      <c r="AA2030" s="98"/>
      <c r="AB2030" s="98"/>
      <c r="AC2030" s="98"/>
      <c r="AD2030" s="98"/>
      <c r="AE2030" s="98"/>
      <c r="AF2030" s="98"/>
      <c r="AG2030" s="98"/>
      <c r="AH2030" s="98"/>
      <c r="AI2030" s="98"/>
      <c r="AJ2030" s="98"/>
      <c r="AK2030" s="98"/>
      <c r="AL2030" s="98"/>
      <c r="AM2030" s="98"/>
    </row>
    <row r="2031" spans="1:39" s="100" customFormat="1" ht="15.6" x14ac:dyDescent="0.3">
      <c r="A2031" s="97"/>
      <c r="B2031" s="98"/>
      <c r="C2031" s="98"/>
      <c r="D2031" s="98"/>
      <c r="E2031" s="98"/>
      <c r="F2031" s="98"/>
      <c r="G2031" s="99"/>
      <c r="H2031" s="99"/>
      <c r="I2031" s="99"/>
      <c r="J2031" s="99"/>
      <c r="K2031" s="98"/>
      <c r="L2031" s="98"/>
      <c r="M2031" s="98"/>
      <c r="N2031" s="98"/>
      <c r="O2031" s="98"/>
      <c r="P2031" s="98"/>
      <c r="Q2031" s="98"/>
      <c r="R2031" s="98"/>
      <c r="S2031" s="98"/>
      <c r="T2031" s="98"/>
      <c r="U2031" s="98"/>
      <c r="V2031" s="98"/>
      <c r="W2031" s="98"/>
      <c r="X2031" s="98"/>
      <c r="Y2031" s="98"/>
      <c r="Z2031" s="98"/>
      <c r="AA2031" s="98"/>
      <c r="AB2031" s="98"/>
      <c r="AC2031" s="98"/>
      <c r="AD2031" s="98"/>
      <c r="AE2031" s="98"/>
      <c r="AF2031" s="98"/>
      <c r="AG2031" s="98"/>
      <c r="AH2031" s="98"/>
      <c r="AI2031" s="98"/>
      <c r="AJ2031" s="98"/>
      <c r="AK2031" s="98"/>
      <c r="AL2031" s="98"/>
      <c r="AM2031" s="98"/>
    </row>
    <row r="2032" spans="1:39" s="100" customFormat="1" ht="15.6" x14ac:dyDescent="0.3">
      <c r="A2032" s="97"/>
      <c r="B2032" s="98"/>
      <c r="C2032" s="98"/>
      <c r="D2032" s="98"/>
      <c r="E2032" s="98"/>
      <c r="F2032" s="98"/>
      <c r="G2032" s="99"/>
      <c r="H2032" s="99"/>
      <c r="I2032" s="99"/>
      <c r="J2032" s="99"/>
      <c r="K2032" s="98"/>
      <c r="L2032" s="98"/>
      <c r="M2032" s="98"/>
      <c r="N2032" s="98"/>
      <c r="O2032" s="98"/>
      <c r="P2032" s="98"/>
      <c r="Q2032" s="98"/>
      <c r="R2032" s="98"/>
      <c r="S2032" s="98"/>
      <c r="T2032" s="98"/>
      <c r="U2032" s="98"/>
      <c r="V2032" s="98"/>
      <c r="W2032" s="98"/>
      <c r="X2032" s="98"/>
      <c r="Y2032" s="98"/>
      <c r="Z2032" s="98"/>
      <c r="AA2032" s="98"/>
      <c r="AB2032" s="98"/>
      <c r="AC2032" s="98"/>
      <c r="AD2032" s="98"/>
      <c r="AE2032" s="98"/>
      <c r="AF2032" s="98"/>
      <c r="AG2032" s="98"/>
      <c r="AH2032" s="98"/>
      <c r="AI2032" s="98"/>
      <c r="AJ2032" s="98"/>
      <c r="AK2032" s="98"/>
      <c r="AL2032" s="98"/>
      <c r="AM2032" s="98"/>
    </row>
    <row r="2033" spans="1:39" s="100" customFormat="1" ht="15.6" x14ac:dyDescent="0.3">
      <c r="A2033" s="97"/>
      <c r="B2033" s="98"/>
      <c r="C2033" s="98"/>
      <c r="D2033" s="98"/>
      <c r="E2033" s="98"/>
      <c r="F2033" s="98"/>
      <c r="G2033" s="99"/>
      <c r="H2033" s="99"/>
      <c r="I2033" s="99"/>
      <c r="J2033" s="99"/>
      <c r="K2033" s="98"/>
      <c r="L2033" s="98"/>
      <c r="M2033" s="98"/>
      <c r="N2033" s="98"/>
      <c r="O2033" s="98"/>
      <c r="P2033" s="98"/>
      <c r="Q2033" s="98"/>
      <c r="R2033" s="98"/>
      <c r="S2033" s="98"/>
      <c r="T2033" s="98"/>
      <c r="U2033" s="98"/>
      <c r="V2033" s="98"/>
      <c r="W2033" s="98"/>
      <c r="X2033" s="98"/>
      <c r="Y2033" s="98"/>
      <c r="Z2033" s="98"/>
      <c r="AA2033" s="98"/>
      <c r="AB2033" s="98"/>
      <c r="AC2033" s="98"/>
      <c r="AD2033" s="98"/>
      <c r="AE2033" s="98"/>
      <c r="AF2033" s="98"/>
      <c r="AG2033" s="98"/>
      <c r="AH2033" s="98"/>
      <c r="AI2033" s="98"/>
      <c r="AJ2033" s="98"/>
      <c r="AK2033" s="98"/>
      <c r="AL2033" s="98"/>
      <c r="AM2033" s="98"/>
    </row>
    <row r="2034" spans="1:39" s="100" customFormat="1" ht="15.6" x14ac:dyDescent="0.3">
      <c r="A2034" s="97"/>
      <c r="B2034" s="98"/>
      <c r="C2034" s="98"/>
      <c r="D2034" s="98"/>
      <c r="E2034" s="98"/>
      <c r="F2034" s="98"/>
      <c r="G2034" s="99"/>
      <c r="H2034" s="99"/>
      <c r="I2034" s="99"/>
      <c r="J2034" s="99"/>
      <c r="K2034" s="98"/>
      <c r="L2034" s="98"/>
      <c r="M2034" s="98"/>
      <c r="N2034" s="98"/>
      <c r="O2034" s="98"/>
      <c r="P2034" s="98"/>
      <c r="Q2034" s="98"/>
      <c r="R2034" s="98"/>
      <c r="S2034" s="98"/>
      <c r="T2034" s="98"/>
      <c r="U2034" s="98"/>
      <c r="V2034" s="98"/>
      <c r="W2034" s="98"/>
      <c r="X2034" s="98"/>
      <c r="Y2034" s="98"/>
      <c r="Z2034" s="98"/>
      <c r="AA2034" s="98"/>
      <c r="AB2034" s="98"/>
      <c r="AC2034" s="98"/>
      <c r="AD2034" s="98"/>
      <c r="AE2034" s="98"/>
      <c r="AF2034" s="98"/>
      <c r="AG2034" s="98"/>
      <c r="AH2034" s="98"/>
      <c r="AI2034" s="98"/>
      <c r="AJ2034" s="98"/>
      <c r="AK2034" s="98"/>
      <c r="AL2034" s="98"/>
      <c r="AM2034" s="98"/>
    </row>
    <row r="2035" spans="1:39" s="100" customFormat="1" ht="15.6" x14ac:dyDescent="0.3">
      <c r="A2035" s="97"/>
      <c r="B2035" s="98"/>
      <c r="C2035" s="98"/>
      <c r="D2035" s="98"/>
      <c r="E2035" s="98"/>
      <c r="F2035" s="98"/>
      <c r="G2035" s="99"/>
      <c r="H2035" s="99"/>
      <c r="I2035" s="99"/>
      <c r="J2035" s="99"/>
      <c r="K2035" s="98"/>
      <c r="L2035" s="98"/>
      <c r="M2035" s="98"/>
      <c r="N2035" s="98"/>
      <c r="O2035" s="98"/>
      <c r="P2035" s="98"/>
      <c r="Q2035" s="98"/>
      <c r="R2035" s="98"/>
      <c r="S2035" s="98"/>
      <c r="T2035" s="98"/>
      <c r="U2035" s="98"/>
      <c r="V2035" s="98"/>
      <c r="W2035" s="98"/>
      <c r="X2035" s="98"/>
      <c r="Y2035" s="98"/>
      <c r="Z2035" s="98"/>
      <c r="AA2035" s="98"/>
      <c r="AB2035" s="98"/>
      <c r="AC2035" s="98"/>
      <c r="AD2035" s="98"/>
      <c r="AE2035" s="98"/>
      <c r="AF2035" s="98"/>
      <c r="AG2035" s="98"/>
      <c r="AH2035" s="98"/>
      <c r="AI2035" s="98"/>
      <c r="AJ2035" s="98"/>
      <c r="AK2035" s="98"/>
      <c r="AL2035" s="98"/>
      <c r="AM2035" s="98"/>
    </row>
    <row r="2036" spans="1:39" s="100" customFormat="1" ht="15.6" x14ac:dyDescent="0.3">
      <c r="A2036" s="97"/>
      <c r="B2036" s="98"/>
      <c r="C2036" s="98"/>
      <c r="D2036" s="98"/>
      <c r="E2036" s="98"/>
      <c r="F2036" s="98"/>
      <c r="G2036" s="99"/>
      <c r="H2036" s="99"/>
      <c r="I2036" s="99"/>
      <c r="J2036" s="99"/>
      <c r="K2036" s="98"/>
      <c r="L2036" s="98"/>
      <c r="M2036" s="98"/>
      <c r="N2036" s="98"/>
      <c r="O2036" s="98"/>
      <c r="P2036" s="98"/>
      <c r="Q2036" s="98"/>
      <c r="R2036" s="98"/>
      <c r="S2036" s="98"/>
      <c r="T2036" s="98"/>
      <c r="U2036" s="98"/>
      <c r="V2036" s="98"/>
      <c r="W2036" s="98"/>
      <c r="X2036" s="98"/>
      <c r="Y2036" s="98"/>
      <c r="Z2036" s="98"/>
      <c r="AA2036" s="98"/>
      <c r="AB2036" s="98"/>
      <c r="AC2036" s="98"/>
      <c r="AD2036" s="98"/>
      <c r="AE2036" s="98"/>
      <c r="AF2036" s="98"/>
      <c r="AG2036" s="98"/>
      <c r="AH2036" s="98"/>
      <c r="AI2036" s="98"/>
      <c r="AJ2036" s="98"/>
      <c r="AK2036" s="98"/>
      <c r="AL2036" s="98"/>
      <c r="AM2036" s="98"/>
    </row>
    <row r="2037" spans="1:39" s="100" customFormat="1" ht="15.6" x14ac:dyDescent="0.3">
      <c r="A2037" s="97"/>
      <c r="B2037" s="98"/>
      <c r="C2037" s="98"/>
      <c r="D2037" s="98"/>
      <c r="E2037" s="98"/>
      <c r="F2037" s="98"/>
      <c r="G2037" s="99"/>
      <c r="H2037" s="99"/>
      <c r="I2037" s="99"/>
      <c r="J2037" s="99"/>
      <c r="K2037" s="98"/>
      <c r="L2037" s="98"/>
      <c r="M2037" s="98"/>
      <c r="N2037" s="98"/>
      <c r="O2037" s="98"/>
      <c r="P2037" s="98"/>
      <c r="Q2037" s="98"/>
      <c r="R2037" s="98"/>
      <c r="S2037" s="98"/>
      <c r="T2037" s="98"/>
      <c r="U2037" s="98"/>
      <c r="V2037" s="98"/>
      <c r="W2037" s="98"/>
      <c r="X2037" s="98"/>
      <c r="Y2037" s="98"/>
      <c r="Z2037" s="98"/>
      <c r="AA2037" s="98"/>
      <c r="AB2037" s="98"/>
      <c r="AC2037" s="98"/>
      <c r="AD2037" s="98"/>
      <c r="AE2037" s="98"/>
      <c r="AF2037" s="98"/>
      <c r="AG2037" s="98"/>
      <c r="AH2037" s="98"/>
      <c r="AI2037" s="98"/>
      <c r="AJ2037" s="98"/>
      <c r="AK2037" s="98"/>
      <c r="AL2037" s="98"/>
      <c r="AM2037" s="98"/>
    </row>
    <row r="2038" spans="1:39" s="100" customFormat="1" ht="15.6" x14ac:dyDescent="0.3">
      <c r="A2038" s="97"/>
      <c r="B2038" s="98"/>
      <c r="C2038" s="98"/>
      <c r="D2038" s="98"/>
      <c r="E2038" s="98"/>
      <c r="F2038" s="98"/>
      <c r="G2038" s="99"/>
      <c r="H2038" s="99"/>
      <c r="I2038" s="99"/>
      <c r="J2038" s="99"/>
      <c r="K2038" s="98"/>
      <c r="L2038" s="98"/>
      <c r="M2038" s="98"/>
      <c r="N2038" s="98"/>
      <c r="O2038" s="98"/>
      <c r="P2038" s="98"/>
      <c r="Q2038" s="98"/>
      <c r="R2038" s="98"/>
      <c r="S2038" s="98"/>
      <c r="T2038" s="98"/>
      <c r="U2038" s="98"/>
      <c r="V2038" s="98"/>
      <c r="W2038" s="98"/>
      <c r="X2038" s="98"/>
      <c r="Y2038" s="98"/>
      <c r="Z2038" s="98"/>
      <c r="AA2038" s="98"/>
      <c r="AB2038" s="98"/>
      <c r="AC2038" s="98"/>
      <c r="AD2038" s="98"/>
      <c r="AE2038" s="98"/>
      <c r="AF2038" s="98"/>
      <c r="AG2038" s="98"/>
      <c r="AH2038" s="98"/>
      <c r="AI2038" s="98"/>
      <c r="AJ2038" s="98"/>
      <c r="AK2038" s="98"/>
      <c r="AL2038" s="98"/>
      <c r="AM2038" s="98"/>
    </row>
    <row r="2039" spans="1:39" s="100" customFormat="1" ht="15.6" x14ac:dyDescent="0.3">
      <c r="A2039" s="97"/>
      <c r="B2039" s="98"/>
      <c r="C2039" s="98"/>
      <c r="D2039" s="98"/>
      <c r="E2039" s="98"/>
      <c r="F2039" s="98"/>
      <c r="G2039" s="99"/>
      <c r="H2039" s="99"/>
      <c r="I2039" s="99"/>
      <c r="J2039" s="99"/>
      <c r="K2039" s="98"/>
      <c r="L2039" s="98"/>
      <c r="M2039" s="98"/>
      <c r="N2039" s="98"/>
      <c r="O2039" s="98"/>
      <c r="P2039" s="98"/>
      <c r="Q2039" s="98"/>
      <c r="R2039" s="98"/>
      <c r="S2039" s="98"/>
      <c r="T2039" s="98"/>
      <c r="U2039" s="98"/>
      <c r="V2039" s="98"/>
      <c r="W2039" s="98"/>
      <c r="X2039" s="98"/>
      <c r="Y2039" s="98"/>
      <c r="Z2039" s="98"/>
      <c r="AA2039" s="98"/>
      <c r="AB2039" s="98"/>
      <c r="AC2039" s="98"/>
      <c r="AD2039" s="98"/>
      <c r="AE2039" s="98"/>
      <c r="AF2039" s="98"/>
      <c r="AG2039" s="98"/>
      <c r="AH2039" s="98"/>
      <c r="AI2039" s="98"/>
      <c r="AJ2039" s="98"/>
      <c r="AK2039" s="98"/>
      <c r="AL2039" s="98"/>
      <c r="AM2039" s="98"/>
    </row>
    <row r="2040" spans="1:39" s="100" customFormat="1" ht="15.6" x14ac:dyDescent="0.3">
      <c r="A2040" s="97"/>
      <c r="B2040" s="98"/>
      <c r="C2040" s="98"/>
      <c r="D2040" s="98"/>
      <c r="E2040" s="98"/>
      <c r="F2040" s="98"/>
      <c r="G2040" s="99"/>
      <c r="H2040" s="99"/>
      <c r="I2040" s="99"/>
      <c r="J2040" s="99"/>
      <c r="K2040" s="98"/>
      <c r="L2040" s="98"/>
      <c r="M2040" s="98"/>
      <c r="N2040" s="98"/>
      <c r="O2040" s="98"/>
      <c r="P2040" s="98"/>
      <c r="Q2040" s="98"/>
      <c r="R2040" s="98"/>
      <c r="S2040" s="98"/>
      <c r="T2040" s="98"/>
      <c r="U2040" s="98"/>
      <c r="V2040" s="98"/>
      <c r="W2040" s="98"/>
      <c r="X2040" s="98"/>
      <c r="Y2040" s="98"/>
      <c r="Z2040" s="98"/>
      <c r="AA2040" s="98"/>
      <c r="AB2040" s="98"/>
      <c r="AC2040" s="98"/>
      <c r="AD2040" s="98"/>
      <c r="AE2040" s="98"/>
      <c r="AF2040" s="98"/>
      <c r="AG2040" s="98"/>
      <c r="AH2040" s="98"/>
      <c r="AI2040" s="98"/>
      <c r="AJ2040" s="98"/>
      <c r="AK2040" s="98"/>
      <c r="AL2040" s="98"/>
      <c r="AM2040" s="98"/>
    </row>
    <row r="2041" spans="1:39" s="100" customFormat="1" ht="15.6" x14ac:dyDescent="0.3">
      <c r="A2041" s="97"/>
      <c r="B2041" s="98"/>
      <c r="C2041" s="98"/>
      <c r="D2041" s="98"/>
      <c r="E2041" s="98"/>
      <c r="F2041" s="98"/>
      <c r="G2041" s="99"/>
      <c r="H2041" s="99"/>
      <c r="I2041" s="99"/>
      <c r="J2041" s="99"/>
      <c r="K2041" s="98"/>
      <c r="L2041" s="98"/>
      <c r="M2041" s="98"/>
      <c r="N2041" s="98"/>
      <c r="O2041" s="98"/>
      <c r="P2041" s="98"/>
      <c r="Q2041" s="98"/>
      <c r="R2041" s="98"/>
      <c r="S2041" s="98"/>
      <c r="T2041" s="98"/>
      <c r="U2041" s="98"/>
      <c r="V2041" s="98"/>
      <c r="W2041" s="98"/>
      <c r="X2041" s="98"/>
      <c r="Y2041" s="98"/>
      <c r="Z2041" s="98"/>
      <c r="AA2041" s="98"/>
      <c r="AB2041" s="98"/>
      <c r="AC2041" s="98"/>
      <c r="AD2041" s="98"/>
      <c r="AE2041" s="98"/>
      <c r="AF2041" s="98"/>
      <c r="AG2041" s="98"/>
      <c r="AH2041" s="98"/>
      <c r="AI2041" s="98"/>
      <c r="AJ2041" s="98"/>
      <c r="AK2041" s="98"/>
      <c r="AL2041" s="98"/>
      <c r="AM2041" s="98"/>
    </row>
    <row r="2042" spans="1:39" s="100" customFormat="1" ht="15.6" x14ac:dyDescent="0.3">
      <c r="A2042" s="97"/>
      <c r="B2042" s="98"/>
      <c r="C2042" s="98"/>
      <c r="D2042" s="98"/>
      <c r="E2042" s="98"/>
      <c r="F2042" s="98"/>
      <c r="G2042" s="99"/>
      <c r="H2042" s="99"/>
      <c r="I2042" s="99"/>
      <c r="J2042" s="99"/>
      <c r="K2042" s="98"/>
      <c r="L2042" s="98"/>
      <c r="M2042" s="98"/>
      <c r="N2042" s="98"/>
      <c r="O2042" s="98"/>
      <c r="P2042" s="98"/>
      <c r="Q2042" s="98"/>
      <c r="R2042" s="98"/>
      <c r="S2042" s="98"/>
      <c r="T2042" s="98"/>
      <c r="U2042" s="98"/>
      <c r="V2042" s="98"/>
      <c r="W2042" s="98"/>
      <c r="X2042" s="98"/>
      <c r="Y2042" s="98"/>
      <c r="Z2042" s="98"/>
      <c r="AA2042" s="98"/>
      <c r="AB2042" s="98"/>
      <c r="AC2042" s="98"/>
      <c r="AD2042" s="98"/>
      <c r="AE2042" s="98"/>
      <c r="AF2042" s="98"/>
      <c r="AG2042" s="98"/>
      <c r="AH2042" s="98"/>
      <c r="AI2042" s="98"/>
      <c r="AJ2042" s="98"/>
      <c r="AK2042" s="98"/>
      <c r="AL2042" s="98"/>
      <c r="AM2042" s="98"/>
    </row>
    <row r="2043" spans="1:39" s="100" customFormat="1" ht="15.6" x14ac:dyDescent="0.3">
      <c r="A2043" s="97"/>
      <c r="B2043" s="98"/>
      <c r="C2043" s="98"/>
      <c r="D2043" s="98"/>
      <c r="E2043" s="98"/>
      <c r="F2043" s="98"/>
      <c r="G2043" s="99"/>
      <c r="H2043" s="99"/>
      <c r="I2043" s="99"/>
      <c r="J2043" s="99"/>
      <c r="K2043" s="98"/>
      <c r="L2043" s="98"/>
      <c r="M2043" s="98"/>
      <c r="N2043" s="98"/>
      <c r="O2043" s="98"/>
      <c r="P2043" s="98"/>
      <c r="Q2043" s="98"/>
      <c r="R2043" s="98"/>
      <c r="S2043" s="98"/>
      <c r="T2043" s="98"/>
      <c r="U2043" s="98"/>
      <c r="V2043" s="98"/>
      <c r="W2043" s="98"/>
      <c r="X2043" s="98"/>
      <c r="Y2043" s="98"/>
      <c r="Z2043" s="98"/>
      <c r="AA2043" s="98"/>
      <c r="AB2043" s="98"/>
      <c r="AC2043" s="98"/>
      <c r="AD2043" s="98"/>
      <c r="AE2043" s="98"/>
      <c r="AF2043" s="98"/>
      <c r="AG2043" s="98"/>
      <c r="AH2043" s="98"/>
      <c r="AI2043" s="98"/>
      <c r="AJ2043" s="98"/>
      <c r="AK2043" s="98"/>
      <c r="AL2043" s="98"/>
      <c r="AM2043" s="98"/>
    </row>
    <row r="2044" spans="1:39" s="100" customFormat="1" ht="15.6" x14ac:dyDescent="0.3">
      <c r="A2044" s="97"/>
      <c r="B2044" s="98"/>
      <c r="C2044" s="98"/>
      <c r="D2044" s="98"/>
      <c r="E2044" s="98"/>
      <c r="F2044" s="98"/>
      <c r="G2044" s="99"/>
      <c r="H2044" s="99"/>
      <c r="I2044" s="99"/>
      <c r="J2044" s="99"/>
      <c r="K2044" s="98"/>
      <c r="L2044" s="98"/>
      <c r="M2044" s="98"/>
      <c r="N2044" s="98"/>
      <c r="O2044" s="98"/>
      <c r="P2044" s="98"/>
      <c r="Q2044" s="98"/>
      <c r="R2044" s="98"/>
      <c r="S2044" s="98"/>
      <c r="T2044" s="98"/>
      <c r="U2044" s="98"/>
      <c r="V2044" s="98"/>
      <c r="W2044" s="98"/>
      <c r="X2044" s="98"/>
      <c r="Y2044" s="98"/>
      <c r="Z2044" s="98"/>
      <c r="AA2044" s="98"/>
      <c r="AB2044" s="98"/>
      <c r="AC2044" s="98"/>
      <c r="AD2044" s="98"/>
      <c r="AE2044" s="98"/>
      <c r="AF2044" s="98"/>
      <c r="AG2044" s="98"/>
      <c r="AH2044" s="98"/>
      <c r="AI2044" s="98"/>
      <c r="AJ2044" s="98"/>
      <c r="AK2044" s="98"/>
      <c r="AL2044" s="98"/>
      <c r="AM2044" s="98"/>
    </row>
    <row r="2045" spans="1:39" s="100" customFormat="1" ht="15.6" x14ac:dyDescent="0.3">
      <c r="A2045" s="97"/>
      <c r="B2045" s="98"/>
      <c r="C2045" s="98"/>
      <c r="D2045" s="98"/>
      <c r="E2045" s="98"/>
      <c r="F2045" s="98"/>
      <c r="G2045" s="99"/>
      <c r="H2045" s="99"/>
      <c r="I2045" s="99"/>
      <c r="J2045" s="99"/>
      <c r="K2045" s="98"/>
      <c r="L2045" s="98"/>
      <c r="M2045" s="98"/>
      <c r="N2045" s="98"/>
      <c r="O2045" s="98"/>
      <c r="P2045" s="98"/>
      <c r="Q2045" s="98"/>
      <c r="R2045" s="98"/>
      <c r="S2045" s="98"/>
      <c r="T2045" s="98"/>
      <c r="U2045" s="98"/>
      <c r="V2045" s="98"/>
      <c r="W2045" s="98"/>
      <c r="X2045" s="98"/>
      <c r="Y2045" s="98"/>
      <c r="Z2045" s="98"/>
      <c r="AA2045" s="98"/>
      <c r="AB2045" s="98"/>
      <c r="AC2045" s="98"/>
      <c r="AD2045" s="98"/>
      <c r="AE2045" s="98"/>
      <c r="AF2045" s="98"/>
      <c r="AG2045" s="98"/>
      <c r="AH2045" s="98"/>
      <c r="AI2045" s="98"/>
      <c r="AJ2045" s="98"/>
      <c r="AK2045" s="98"/>
      <c r="AL2045" s="98"/>
      <c r="AM2045" s="98"/>
    </row>
    <row r="2046" spans="1:39" s="100" customFormat="1" ht="15.6" x14ac:dyDescent="0.3">
      <c r="A2046" s="97"/>
      <c r="B2046" s="98"/>
      <c r="C2046" s="98"/>
      <c r="D2046" s="98"/>
      <c r="E2046" s="98"/>
      <c r="F2046" s="98"/>
      <c r="G2046" s="99"/>
      <c r="H2046" s="99"/>
      <c r="I2046" s="99"/>
      <c r="J2046" s="99"/>
      <c r="K2046" s="98"/>
      <c r="L2046" s="98"/>
      <c r="M2046" s="98"/>
      <c r="N2046" s="98"/>
      <c r="O2046" s="98"/>
      <c r="P2046" s="98"/>
      <c r="Q2046" s="98"/>
      <c r="R2046" s="98"/>
      <c r="S2046" s="98"/>
      <c r="T2046" s="98"/>
      <c r="U2046" s="98"/>
      <c r="V2046" s="98"/>
      <c r="W2046" s="98"/>
      <c r="X2046" s="98"/>
      <c r="Y2046" s="98"/>
      <c r="Z2046" s="98"/>
      <c r="AA2046" s="98"/>
      <c r="AB2046" s="98"/>
      <c r="AC2046" s="98"/>
      <c r="AD2046" s="98"/>
      <c r="AE2046" s="98"/>
      <c r="AF2046" s="98"/>
      <c r="AG2046" s="98"/>
      <c r="AH2046" s="98"/>
      <c r="AI2046" s="98"/>
      <c r="AJ2046" s="98"/>
      <c r="AK2046" s="98"/>
      <c r="AL2046" s="98"/>
      <c r="AM2046" s="98"/>
    </row>
    <row r="2047" spans="1:39" s="100" customFormat="1" ht="15.6" x14ac:dyDescent="0.3">
      <c r="A2047" s="97"/>
      <c r="B2047" s="98"/>
      <c r="C2047" s="98"/>
      <c r="D2047" s="98"/>
      <c r="E2047" s="98"/>
      <c r="F2047" s="98"/>
      <c r="G2047" s="99"/>
      <c r="H2047" s="99"/>
      <c r="I2047" s="99"/>
      <c r="J2047" s="99"/>
      <c r="K2047" s="98"/>
      <c r="L2047" s="98"/>
      <c r="M2047" s="98"/>
      <c r="N2047" s="98"/>
      <c r="O2047" s="98"/>
      <c r="P2047" s="98"/>
      <c r="Q2047" s="98"/>
      <c r="R2047" s="98"/>
      <c r="S2047" s="98"/>
      <c r="T2047" s="98"/>
      <c r="U2047" s="98"/>
      <c r="V2047" s="98"/>
      <c r="W2047" s="98"/>
      <c r="X2047" s="98"/>
      <c r="Y2047" s="98"/>
      <c r="Z2047" s="98"/>
      <c r="AA2047" s="98"/>
      <c r="AB2047" s="98"/>
      <c r="AC2047" s="98"/>
      <c r="AD2047" s="98"/>
      <c r="AE2047" s="98"/>
      <c r="AF2047" s="98"/>
      <c r="AG2047" s="98"/>
      <c r="AH2047" s="98"/>
      <c r="AI2047" s="98"/>
      <c r="AJ2047" s="98"/>
      <c r="AK2047" s="98"/>
      <c r="AL2047" s="98"/>
      <c r="AM2047" s="98"/>
    </row>
    <row r="2048" spans="1:39" s="100" customFormat="1" ht="15.6" x14ac:dyDescent="0.3">
      <c r="A2048" s="97"/>
      <c r="B2048" s="98"/>
      <c r="C2048" s="98"/>
      <c r="D2048" s="98"/>
      <c r="E2048" s="98"/>
      <c r="F2048" s="98"/>
      <c r="G2048" s="99"/>
      <c r="H2048" s="99"/>
      <c r="I2048" s="99"/>
      <c r="J2048" s="99"/>
      <c r="K2048" s="98"/>
      <c r="L2048" s="98"/>
      <c r="M2048" s="98"/>
      <c r="N2048" s="98"/>
      <c r="O2048" s="98"/>
      <c r="P2048" s="98"/>
      <c r="Q2048" s="98"/>
      <c r="R2048" s="98"/>
      <c r="S2048" s="98"/>
      <c r="T2048" s="98"/>
      <c r="U2048" s="98"/>
      <c r="V2048" s="98"/>
      <c r="W2048" s="98"/>
      <c r="X2048" s="98"/>
      <c r="Y2048" s="98"/>
      <c r="Z2048" s="98"/>
      <c r="AA2048" s="98"/>
      <c r="AB2048" s="98"/>
      <c r="AC2048" s="98"/>
      <c r="AD2048" s="98"/>
      <c r="AE2048" s="98"/>
      <c r="AF2048" s="98"/>
      <c r="AG2048" s="98"/>
      <c r="AH2048" s="98"/>
      <c r="AI2048" s="98"/>
      <c r="AJ2048" s="98"/>
      <c r="AK2048" s="98"/>
      <c r="AL2048" s="98"/>
      <c r="AM2048" s="98"/>
    </row>
    <row r="2049" spans="1:39" s="100" customFormat="1" ht="15.6" x14ac:dyDescent="0.3">
      <c r="A2049" s="97"/>
      <c r="B2049" s="98"/>
      <c r="C2049" s="98"/>
      <c r="D2049" s="98"/>
      <c r="E2049" s="98"/>
      <c r="F2049" s="98"/>
      <c r="G2049" s="99"/>
      <c r="H2049" s="99"/>
      <c r="I2049" s="99"/>
      <c r="J2049" s="99"/>
      <c r="K2049" s="98"/>
      <c r="L2049" s="98"/>
      <c r="M2049" s="98"/>
      <c r="N2049" s="98"/>
      <c r="O2049" s="98"/>
      <c r="P2049" s="98"/>
      <c r="Q2049" s="98"/>
      <c r="R2049" s="98"/>
      <c r="S2049" s="98"/>
      <c r="T2049" s="98"/>
      <c r="U2049" s="98"/>
      <c r="V2049" s="98"/>
      <c r="W2049" s="98"/>
      <c r="X2049" s="98"/>
      <c r="Y2049" s="98"/>
      <c r="Z2049" s="98"/>
      <c r="AA2049" s="98"/>
      <c r="AB2049" s="98"/>
      <c r="AC2049" s="98"/>
      <c r="AD2049" s="98"/>
      <c r="AE2049" s="98"/>
      <c r="AF2049" s="98"/>
      <c r="AG2049" s="98"/>
      <c r="AH2049" s="98"/>
      <c r="AI2049" s="98"/>
      <c r="AJ2049" s="98"/>
      <c r="AK2049" s="98"/>
      <c r="AL2049" s="98"/>
      <c r="AM2049" s="98"/>
    </row>
    <row r="2050" spans="1:39" s="100" customFormat="1" ht="15.6" x14ac:dyDescent="0.3">
      <c r="A2050" s="97"/>
      <c r="B2050" s="98"/>
      <c r="C2050" s="98"/>
      <c r="D2050" s="98"/>
      <c r="E2050" s="98"/>
      <c r="F2050" s="98"/>
      <c r="G2050" s="99"/>
      <c r="H2050" s="99"/>
      <c r="I2050" s="99"/>
      <c r="J2050" s="99"/>
      <c r="K2050" s="98"/>
      <c r="L2050" s="98"/>
      <c r="M2050" s="98"/>
      <c r="N2050" s="98"/>
      <c r="O2050" s="98"/>
      <c r="P2050" s="98"/>
      <c r="Q2050" s="98"/>
      <c r="R2050" s="98"/>
      <c r="S2050" s="98"/>
      <c r="T2050" s="98"/>
      <c r="U2050" s="98"/>
      <c r="V2050" s="98"/>
      <c r="W2050" s="98"/>
      <c r="X2050" s="98"/>
      <c r="Y2050" s="98"/>
      <c r="Z2050" s="98"/>
      <c r="AA2050" s="98"/>
      <c r="AB2050" s="98"/>
      <c r="AC2050" s="98"/>
      <c r="AD2050" s="98"/>
      <c r="AE2050" s="98"/>
      <c r="AF2050" s="98"/>
      <c r="AG2050" s="98"/>
      <c r="AH2050" s="98"/>
      <c r="AI2050" s="98"/>
      <c r="AJ2050" s="98"/>
      <c r="AK2050" s="98"/>
      <c r="AL2050" s="98"/>
      <c r="AM2050" s="98"/>
    </row>
    <row r="2051" spans="1:39" s="100" customFormat="1" ht="15.6" x14ac:dyDescent="0.3">
      <c r="A2051" s="97"/>
      <c r="B2051" s="98"/>
      <c r="C2051" s="98"/>
      <c r="D2051" s="98"/>
      <c r="E2051" s="98"/>
      <c r="F2051" s="98"/>
      <c r="G2051" s="99"/>
      <c r="H2051" s="99"/>
      <c r="I2051" s="99"/>
      <c r="J2051" s="99"/>
      <c r="K2051" s="98"/>
      <c r="L2051" s="98"/>
      <c r="M2051" s="98"/>
      <c r="N2051" s="98"/>
      <c r="O2051" s="98"/>
      <c r="P2051" s="98"/>
      <c r="Q2051" s="98"/>
      <c r="R2051" s="98"/>
      <c r="S2051" s="98"/>
      <c r="T2051" s="98"/>
      <c r="U2051" s="98"/>
      <c r="V2051" s="98"/>
      <c r="W2051" s="98"/>
      <c r="X2051" s="98"/>
      <c r="Y2051" s="98"/>
      <c r="Z2051" s="98"/>
      <c r="AA2051" s="98"/>
      <c r="AB2051" s="98"/>
      <c r="AC2051" s="98"/>
      <c r="AD2051" s="98"/>
      <c r="AE2051" s="98"/>
      <c r="AF2051" s="98"/>
      <c r="AG2051" s="98"/>
      <c r="AH2051" s="98"/>
      <c r="AI2051" s="98"/>
      <c r="AJ2051" s="98"/>
      <c r="AK2051" s="98"/>
      <c r="AL2051" s="98"/>
      <c r="AM2051" s="98"/>
    </row>
    <row r="2052" spans="1:39" s="100" customFormat="1" ht="15.6" x14ac:dyDescent="0.3">
      <c r="A2052" s="97"/>
      <c r="B2052" s="98"/>
      <c r="C2052" s="98"/>
      <c r="D2052" s="98"/>
      <c r="E2052" s="98"/>
      <c r="F2052" s="98"/>
      <c r="G2052" s="99"/>
      <c r="H2052" s="99"/>
      <c r="I2052" s="99"/>
      <c r="J2052" s="99"/>
      <c r="K2052" s="98"/>
      <c r="L2052" s="98"/>
      <c r="M2052" s="98"/>
      <c r="N2052" s="98"/>
      <c r="O2052" s="98"/>
      <c r="P2052" s="98"/>
      <c r="Q2052" s="98"/>
      <c r="R2052" s="98"/>
      <c r="S2052" s="98"/>
      <c r="T2052" s="98"/>
      <c r="U2052" s="98"/>
      <c r="V2052" s="98"/>
      <c r="W2052" s="98"/>
      <c r="X2052" s="98"/>
      <c r="Y2052" s="98"/>
      <c r="Z2052" s="98"/>
      <c r="AA2052" s="98"/>
      <c r="AB2052" s="98"/>
      <c r="AC2052" s="98"/>
      <c r="AD2052" s="98"/>
      <c r="AE2052" s="98"/>
      <c r="AF2052" s="98"/>
      <c r="AG2052" s="98"/>
      <c r="AH2052" s="98"/>
      <c r="AI2052" s="98"/>
      <c r="AJ2052" s="98"/>
      <c r="AK2052" s="98"/>
      <c r="AL2052" s="98"/>
      <c r="AM2052" s="98"/>
    </row>
    <row r="2053" spans="1:39" s="100" customFormat="1" ht="15.6" x14ac:dyDescent="0.3">
      <c r="A2053" s="97"/>
      <c r="B2053" s="98"/>
      <c r="C2053" s="98"/>
      <c r="D2053" s="98"/>
      <c r="E2053" s="98"/>
      <c r="F2053" s="98"/>
      <c r="G2053" s="99"/>
      <c r="H2053" s="99"/>
      <c r="I2053" s="99"/>
      <c r="J2053" s="99"/>
      <c r="K2053" s="98"/>
      <c r="L2053" s="98"/>
      <c r="M2053" s="98"/>
      <c r="N2053" s="98"/>
      <c r="O2053" s="98"/>
      <c r="P2053" s="98"/>
      <c r="Q2053" s="98"/>
      <c r="R2053" s="98"/>
      <c r="S2053" s="98"/>
      <c r="T2053" s="98"/>
      <c r="U2053" s="98"/>
      <c r="V2053" s="98"/>
      <c r="W2053" s="98"/>
      <c r="X2053" s="98"/>
      <c r="Y2053" s="98"/>
      <c r="Z2053" s="98"/>
      <c r="AA2053" s="98"/>
      <c r="AB2053" s="98"/>
      <c r="AC2053" s="98"/>
      <c r="AD2053" s="98"/>
      <c r="AE2053" s="98"/>
      <c r="AF2053" s="98"/>
      <c r="AG2053" s="98"/>
      <c r="AH2053" s="98"/>
      <c r="AI2053" s="98"/>
      <c r="AJ2053" s="98"/>
      <c r="AK2053" s="98"/>
      <c r="AL2053" s="98"/>
      <c r="AM2053" s="98"/>
    </row>
    <row r="2054" spans="1:39" s="100" customFormat="1" ht="15.6" x14ac:dyDescent="0.3">
      <c r="A2054" s="97"/>
      <c r="B2054" s="98"/>
      <c r="C2054" s="98"/>
      <c r="D2054" s="98"/>
      <c r="E2054" s="98"/>
      <c r="F2054" s="98"/>
      <c r="G2054" s="99"/>
      <c r="H2054" s="99"/>
      <c r="I2054" s="99"/>
      <c r="J2054" s="99"/>
      <c r="K2054" s="98"/>
      <c r="L2054" s="98"/>
      <c r="M2054" s="98"/>
      <c r="N2054" s="98"/>
      <c r="O2054" s="98"/>
      <c r="P2054" s="98"/>
      <c r="Q2054" s="98"/>
      <c r="R2054" s="98"/>
      <c r="S2054" s="98"/>
      <c r="T2054" s="98"/>
      <c r="U2054" s="98"/>
      <c r="V2054" s="98"/>
      <c r="W2054" s="98"/>
      <c r="X2054" s="98"/>
      <c r="Y2054" s="98"/>
      <c r="Z2054" s="98"/>
      <c r="AA2054" s="98"/>
      <c r="AB2054" s="98"/>
      <c r="AC2054" s="98"/>
      <c r="AD2054" s="98"/>
      <c r="AE2054" s="98"/>
      <c r="AF2054" s="98"/>
      <c r="AG2054" s="98"/>
      <c r="AH2054" s="98"/>
      <c r="AI2054" s="98"/>
      <c r="AJ2054" s="98"/>
      <c r="AK2054" s="98"/>
      <c r="AL2054" s="98"/>
      <c r="AM2054" s="98"/>
    </row>
    <row r="2055" spans="1:39" s="100" customFormat="1" ht="15.6" x14ac:dyDescent="0.3">
      <c r="A2055" s="97"/>
      <c r="B2055" s="98"/>
      <c r="C2055" s="98"/>
      <c r="D2055" s="98"/>
      <c r="E2055" s="98"/>
      <c r="F2055" s="98"/>
      <c r="G2055" s="99"/>
      <c r="H2055" s="99"/>
      <c r="I2055" s="99"/>
      <c r="J2055" s="99"/>
      <c r="K2055" s="98"/>
      <c r="L2055" s="98"/>
      <c r="M2055" s="98"/>
      <c r="N2055" s="98"/>
      <c r="O2055" s="98"/>
      <c r="P2055" s="98"/>
      <c r="Q2055" s="98"/>
      <c r="R2055" s="98"/>
      <c r="S2055" s="98"/>
      <c r="T2055" s="98"/>
      <c r="U2055" s="98"/>
      <c r="V2055" s="98"/>
      <c r="W2055" s="98"/>
      <c r="X2055" s="98"/>
      <c r="Y2055" s="98"/>
      <c r="Z2055" s="98"/>
      <c r="AA2055" s="98"/>
      <c r="AB2055" s="98"/>
      <c r="AC2055" s="98"/>
      <c r="AD2055" s="98"/>
      <c r="AE2055" s="98"/>
      <c r="AF2055" s="98"/>
      <c r="AG2055" s="98"/>
      <c r="AH2055" s="98"/>
      <c r="AI2055" s="98"/>
      <c r="AJ2055" s="98"/>
      <c r="AK2055" s="98"/>
      <c r="AL2055" s="98"/>
      <c r="AM2055" s="98"/>
    </row>
    <row r="2056" spans="1:39" s="100" customFormat="1" ht="15.6" x14ac:dyDescent="0.3">
      <c r="A2056" s="97"/>
      <c r="B2056" s="98"/>
      <c r="C2056" s="98"/>
      <c r="D2056" s="98"/>
      <c r="E2056" s="98"/>
      <c r="F2056" s="98"/>
      <c r="G2056" s="99"/>
      <c r="H2056" s="99"/>
      <c r="I2056" s="99"/>
      <c r="J2056" s="99"/>
      <c r="K2056" s="98"/>
      <c r="L2056" s="98"/>
      <c r="M2056" s="98"/>
      <c r="N2056" s="98"/>
      <c r="O2056" s="98"/>
      <c r="P2056" s="98"/>
      <c r="Q2056" s="98"/>
      <c r="R2056" s="98"/>
      <c r="S2056" s="98"/>
      <c r="T2056" s="98"/>
      <c r="U2056" s="98"/>
      <c r="V2056" s="98"/>
      <c r="W2056" s="98"/>
      <c r="X2056" s="98"/>
      <c r="Y2056" s="98"/>
      <c r="Z2056" s="98"/>
      <c r="AA2056" s="98"/>
      <c r="AB2056" s="98"/>
      <c r="AC2056" s="98"/>
      <c r="AD2056" s="98"/>
      <c r="AE2056" s="98"/>
      <c r="AF2056" s="98"/>
      <c r="AG2056" s="98"/>
      <c r="AH2056" s="98"/>
      <c r="AI2056" s="98"/>
      <c r="AJ2056" s="98"/>
      <c r="AK2056" s="98"/>
      <c r="AL2056" s="98"/>
      <c r="AM2056" s="98"/>
    </row>
    <row r="2057" spans="1:39" s="100" customFormat="1" ht="15.6" x14ac:dyDescent="0.3">
      <c r="A2057" s="97"/>
      <c r="B2057" s="98"/>
      <c r="C2057" s="98"/>
      <c r="D2057" s="98"/>
      <c r="E2057" s="98"/>
      <c r="F2057" s="98"/>
      <c r="G2057" s="99"/>
      <c r="H2057" s="99"/>
      <c r="I2057" s="99"/>
      <c r="J2057" s="99"/>
      <c r="K2057" s="98"/>
      <c r="L2057" s="98"/>
      <c r="M2057" s="98"/>
      <c r="N2057" s="98"/>
      <c r="O2057" s="98"/>
      <c r="P2057" s="98"/>
      <c r="Q2057" s="98"/>
      <c r="R2057" s="98"/>
      <c r="S2057" s="98"/>
      <c r="T2057" s="98"/>
      <c r="U2057" s="98"/>
      <c r="V2057" s="98"/>
      <c r="W2057" s="98"/>
      <c r="X2057" s="98"/>
      <c r="Y2057" s="98"/>
      <c r="Z2057" s="98"/>
      <c r="AA2057" s="98"/>
      <c r="AB2057" s="98"/>
      <c r="AC2057" s="98"/>
      <c r="AD2057" s="98"/>
      <c r="AE2057" s="98"/>
      <c r="AF2057" s="98"/>
      <c r="AG2057" s="98"/>
      <c r="AH2057" s="98"/>
      <c r="AI2057" s="98"/>
      <c r="AJ2057" s="98"/>
      <c r="AK2057" s="98"/>
      <c r="AL2057" s="98"/>
      <c r="AM2057" s="98"/>
    </row>
    <row r="2058" spans="1:39" s="100" customFormat="1" ht="15.6" x14ac:dyDescent="0.3">
      <c r="A2058" s="97"/>
      <c r="B2058" s="98"/>
      <c r="C2058" s="98"/>
      <c r="D2058" s="98"/>
      <c r="E2058" s="98"/>
      <c r="F2058" s="98"/>
      <c r="G2058" s="99"/>
      <c r="H2058" s="99"/>
      <c r="I2058" s="99"/>
      <c r="J2058" s="99"/>
      <c r="K2058" s="98"/>
      <c r="L2058" s="98"/>
      <c r="M2058" s="98"/>
      <c r="N2058" s="98"/>
      <c r="O2058" s="98"/>
      <c r="P2058" s="98"/>
      <c r="Q2058" s="98"/>
      <c r="R2058" s="98"/>
      <c r="S2058" s="98"/>
      <c r="T2058" s="98"/>
      <c r="U2058" s="98"/>
      <c r="V2058" s="98"/>
      <c r="W2058" s="98"/>
      <c r="X2058" s="98"/>
      <c r="Y2058" s="98"/>
      <c r="Z2058" s="98"/>
      <c r="AA2058" s="98"/>
      <c r="AB2058" s="98"/>
      <c r="AC2058" s="98"/>
      <c r="AD2058" s="98"/>
      <c r="AE2058" s="98"/>
      <c r="AF2058" s="98"/>
      <c r="AG2058" s="98"/>
      <c r="AH2058" s="98"/>
      <c r="AI2058" s="98"/>
      <c r="AJ2058" s="98"/>
      <c r="AK2058" s="98"/>
      <c r="AL2058" s="98"/>
      <c r="AM2058" s="98"/>
    </row>
    <row r="2059" spans="1:39" s="100" customFormat="1" ht="15.6" x14ac:dyDescent="0.3">
      <c r="A2059" s="97"/>
      <c r="B2059" s="98"/>
      <c r="C2059" s="98"/>
      <c r="D2059" s="98"/>
      <c r="E2059" s="98"/>
      <c r="F2059" s="98"/>
      <c r="G2059" s="99"/>
      <c r="H2059" s="99"/>
      <c r="I2059" s="99"/>
      <c r="J2059" s="99"/>
      <c r="K2059" s="98"/>
      <c r="L2059" s="98"/>
      <c r="M2059" s="98"/>
      <c r="N2059" s="98"/>
      <c r="O2059" s="98"/>
      <c r="P2059" s="98"/>
      <c r="Q2059" s="98"/>
      <c r="R2059" s="98"/>
      <c r="S2059" s="98"/>
      <c r="T2059" s="98"/>
      <c r="U2059" s="98"/>
      <c r="V2059" s="98"/>
      <c r="W2059" s="98"/>
      <c r="X2059" s="98"/>
      <c r="Y2059" s="98"/>
      <c r="Z2059" s="98"/>
      <c r="AA2059" s="98"/>
      <c r="AB2059" s="98"/>
      <c r="AC2059" s="98"/>
      <c r="AD2059" s="98"/>
      <c r="AE2059" s="98"/>
      <c r="AF2059" s="98"/>
      <c r="AG2059" s="98"/>
      <c r="AH2059" s="98"/>
      <c r="AI2059" s="98"/>
      <c r="AJ2059" s="98"/>
      <c r="AK2059" s="98"/>
      <c r="AL2059" s="98"/>
      <c r="AM2059" s="98"/>
    </row>
    <row r="2060" spans="1:39" s="100" customFormat="1" ht="15.6" x14ac:dyDescent="0.3">
      <c r="A2060" s="97"/>
      <c r="B2060" s="98"/>
      <c r="C2060" s="98"/>
      <c r="D2060" s="98"/>
      <c r="E2060" s="98"/>
      <c r="F2060" s="98"/>
      <c r="G2060" s="99"/>
      <c r="H2060" s="99"/>
      <c r="I2060" s="99"/>
      <c r="J2060" s="99"/>
      <c r="K2060" s="98"/>
      <c r="L2060" s="98"/>
      <c r="M2060" s="98"/>
      <c r="N2060" s="98"/>
      <c r="O2060" s="98"/>
      <c r="P2060" s="98"/>
      <c r="Q2060" s="98"/>
      <c r="R2060" s="98"/>
      <c r="S2060" s="98"/>
      <c r="T2060" s="98"/>
      <c r="U2060" s="98"/>
      <c r="V2060" s="98"/>
      <c r="W2060" s="98"/>
      <c r="X2060" s="98"/>
      <c r="Y2060" s="98"/>
      <c r="Z2060" s="98"/>
      <c r="AA2060" s="98"/>
      <c r="AB2060" s="98"/>
      <c r="AC2060" s="98"/>
      <c r="AD2060" s="98"/>
      <c r="AE2060" s="98"/>
      <c r="AF2060" s="98"/>
      <c r="AG2060" s="98"/>
      <c r="AH2060" s="98"/>
      <c r="AI2060" s="98"/>
      <c r="AJ2060" s="98"/>
      <c r="AK2060" s="98"/>
      <c r="AL2060" s="98"/>
      <c r="AM2060" s="98"/>
    </row>
    <row r="2061" spans="1:39" s="100" customFormat="1" ht="15.6" x14ac:dyDescent="0.3">
      <c r="A2061" s="97"/>
      <c r="B2061" s="98"/>
      <c r="C2061" s="98"/>
      <c r="D2061" s="98"/>
      <c r="E2061" s="98"/>
      <c r="F2061" s="98"/>
      <c r="G2061" s="99"/>
      <c r="H2061" s="99"/>
      <c r="I2061" s="99"/>
      <c r="J2061" s="99"/>
      <c r="K2061" s="98"/>
      <c r="L2061" s="98"/>
      <c r="M2061" s="98"/>
      <c r="N2061" s="98"/>
      <c r="O2061" s="98"/>
      <c r="P2061" s="98"/>
      <c r="Q2061" s="98"/>
      <c r="R2061" s="98"/>
      <c r="S2061" s="98"/>
      <c r="T2061" s="98"/>
      <c r="U2061" s="98"/>
      <c r="V2061" s="98"/>
      <c r="W2061" s="98"/>
      <c r="X2061" s="98"/>
      <c r="Y2061" s="98"/>
      <c r="Z2061" s="98"/>
      <c r="AA2061" s="98"/>
      <c r="AB2061" s="98"/>
      <c r="AC2061" s="98"/>
      <c r="AD2061" s="98"/>
      <c r="AE2061" s="98"/>
      <c r="AF2061" s="98"/>
      <c r="AG2061" s="98"/>
      <c r="AH2061" s="98"/>
      <c r="AI2061" s="98"/>
      <c r="AJ2061" s="98"/>
      <c r="AK2061" s="98"/>
      <c r="AL2061" s="98"/>
      <c r="AM2061" s="98"/>
    </row>
    <row r="2062" spans="1:39" s="100" customFormat="1" ht="15.6" x14ac:dyDescent="0.3">
      <c r="A2062" s="97"/>
      <c r="B2062" s="98"/>
      <c r="C2062" s="98"/>
      <c r="D2062" s="98"/>
      <c r="E2062" s="98"/>
      <c r="F2062" s="98"/>
      <c r="G2062" s="99"/>
      <c r="H2062" s="99"/>
      <c r="I2062" s="99"/>
      <c r="J2062" s="99"/>
      <c r="K2062" s="98"/>
      <c r="L2062" s="98"/>
      <c r="M2062" s="98"/>
      <c r="N2062" s="98"/>
      <c r="O2062" s="98"/>
      <c r="P2062" s="98"/>
      <c r="Q2062" s="98"/>
      <c r="R2062" s="98"/>
      <c r="S2062" s="98"/>
      <c r="T2062" s="98"/>
      <c r="U2062" s="98"/>
      <c r="V2062" s="98"/>
      <c r="W2062" s="98"/>
      <c r="X2062" s="98"/>
      <c r="Y2062" s="98"/>
      <c r="Z2062" s="98"/>
      <c r="AA2062" s="98"/>
      <c r="AB2062" s="98"/>
      <c r="AC2062" s="98"/>
      <c r="AD2062" s="98"/>
      <c r="AE2062" s="98"/>
      <c r="AF2062" s="98"/>
      <c r="AG2062" s="98"/>
      <c r="AH2062" s="98"/>
      <c r="AI2062" s="98"/>
      <c r="AJ2062" s="98"/>
      <c r="AK2062" s="98"/>
      <c r="AL2062" s="98"/>
      <c r="AM2062" s="98"/>
    </row>
    <row r="2063" spans="1:39" s="100" customFormat="1" ht="15.6" x14ac:dyDescent="0.3">
      <c r="A2063" s="97"/>
      <c r="B2063" s="98"/>
      <c r="C2063" s="98"/>
      <c r="D2063" s="98"/>
      <c r="E2063" s="98"/>
      <c r="F2063" s="98"/>
      <c r="G2063" s="99"/>
      <c r="H2063" s="99"/>
      <c r="I2063" s="99"/>
      <c r="J2063" s="99"/>
      <c r="K2063" s="98"/>
      <c r="L2063" s="98"/>
      <c r="M2063" s="98"/>
      <c r="N2063" s="98"/>
      <c r="O2063" s="98"/>
      <c r="P2063" s="98"/>
      <c r="Q2063" s="98"/>
      <c r="R2063" s="98"/>
      <c r="S2063" s="98"/>
      <c r="T2063" s="98"/>
      <c r="U2063" s="98"/>
      <c r="V2063" s="98"/>
      <c r="W2063" s="98"/>
      <c r="X2063" s="98"/>
      <c r="Y2063" s="98"/>
      <c r="Z2063" s="98"/>
      <c r="AA2063" s="98"/>
      <c r="AB2063" s="98"/>
      <c r="AC2063" s="98"/>
      <c r="AD2063" s="98"/>
      <c r="AE2063" s="98"/>
      <c r="AF2063" s="98"/>
      <c r="AG2063" s="98"/>
      <c r="AH2063" s="98"/>
      <c r="AI2063" s="98"/>
      <c r="AJ2063" s="98"/>
      <c r="AK2063" s="98"/>
      <c r="AL2063" s="98"/>
      <c r="AM2063" s="98"/>
    </row>
    <row r="2064" spans="1:39" s="100" customFormat="1" ht="15.6" x14ac:dyDescent="0.3">
      <c r="A2064" s="97"/>
      <c r="B2064" s="98"/>
      <c r="C2064" s="98"/>
      <c r="D2064" s="98"/>
      <c r="E2064" s="98"/>
      <c r="F2064" s="98"/>
      <c r="G2064" s="99"/>
      <c r="H2064" s="99"/>
      <c r="I2064" s="99"/>
      <c r="J2064" s="99"/>
      <c r="K2064" s="98"/>
      <c r="L2064" s="98"/>
      <c r="M2064" s="98"/>
      <c r="N2064" s="98"/>
      <c r="O2064" s="98"/>
      <c r="P2064" s="98"/>
      <c r="Q2064" s="98"/>
      <c r="R2064" s="98"/>
      <c r="S2064" s="98"/>
      <c r="T2064" s="98"/>
      <c r="U2064" s="98"/>
      <c r="V2064" s="98"/>
      <c r="W2064" s="98"/>
      <c r="X2064" s="98"/>
      <c r="Y2064" s="98"/>
      <c r="Z2064" s="98"/>
      <c r="AA2064" s="98"/>
      <c r="AB2064" s="98"/>
      <c r="AC2064" s="98"/>
      <c r="AD2064" s="98"/>
      <c r="AE2064" s="98"/>
      <c r="AF2064" s="98"/>
      <c r="AG2064" s="98"/>
      <c r="AH2064" s="98"/>
      <c r="AI2064" s="98"/>
      <c r="AJ2064" s="98"/>
      <c r="AK2064" s="98"/>
      <c r="AL2064" s="98"/>
      <c r="AM2064" s="98"/>
    </row>
    <row r="2065" spans="1:39" s="100" customFormat="1" ht="15.6" x14ac:dyDescent="0.3">
      <c r="A2065" s="97"/>
      <c r="B2065" s="98"/>
      <c r="C2065" s="98"/>
      <c r="D2065" s="98"/>
      <c r="E2065" s="98"/>
      <c r="F2065" s="98"/>
      <c r="G2065" s="99"/>
      <c r="H2065" s="99"/>
      <c r="I2065" s="99"/>
      <c r="J2065" s="99"/>
      <c r="K2065" s="98"/>
      <c r="L2065" s="98"/>
      <c r="M2065" s="98"/>
      <c r="N2065" s="98"/>
      <c r="O2065" s="98"/>
      <c r="P2065" s="98"/>
      <c r="Q2065" s="98"/>
      <c r="R2065" s="98"/>
      <c r="S2065" s="98"/>
      <c r="T2065" s="98"/>
      <c r="U2065" s="98"/>
      <c r="V2065" s="98"/>
      <c r="W2065" s="98"/>
      <c r="X2065" s="98"/>
      <c r="Y2065" s="98"/>
      <c r="Z2065" s="98"/>
      <c r="AA2065" s="98"/>
      <c r="AB2065" s="98"/>
      <c r="AC2065" s="98"/>
      <c r="AD2065" s="98"/>
      <c r="AE2065" s="98"/>
      <c r="AF2065" s="98"/>
      <c r="AG2065" s="98"/>
      <c r="AH2065" s="98"/>
      <c r="AI2065" s="98"/>
      <c r="AJ2065" s="98"/>
      <c r="AK2065" s="98"/>
      <c r="AL2065" s="98"/>
      <c r="AM2065" s="98"/>
    </row>
    <row r="2066" spans="1:39" s="100" customFormat="1" ht="15.6" x14ac:dyDescent="0.3">
      <c r="A2066" s="97"/>
      <c r="B2066" s="98"/>
      <c r="C2066" s="98"/>
      <c r="D2066" s="98"/>
      <c r="E2066" s="98"/>
      <c r="F2066" s="98"/>
      <c r="G2066" s="99"/>
      <c r="H2066" s="99"/>
      <c r="I2066" s="99"/>
      <c r="J2066" s="99"/>
      <c r="K2066" s="98"/>
      <c r="L2066" s="98"/>
      <c r="M2066" s="98"/>
      <c r="N2066" s="98"/>
      <c r="O2066" s="98"/>
      <c r="P2066" s="98"/>
      <c r="Q2066" s="98"/>
      <c r="R2066" s="98"/>
      <c r="S2066" s="98"/>
      <c r="T2066" s="98"/>
      <c r="U2066" s="98"/>
      <c r="V2066" s="98"/>
      <c r="W2066" s="98"/>
      <c r="X2066" s="98"/>
      <c r="Y2066" s="98"/>
      <c r="Z2066" s="98"/>
      <c r="AA2066" s="98"/>
      <c r="AB2066" s="98"/>
      <c r="AC2066" s="98"/>
      <c r="AD2066" s="98"/>
      <c r="AE2066" s="98"/>
      <c r="AF2066" s="98"/>
      <c r="AG2066" s="98"/>
      <c r="AH2066" s="98"/>
      <c r="AI2066" s="98"/>
      <c r="AJ2066" s="98"/>
      <c r="AK2066" s="98"/>
      <c r="AL2066" s="98"/>
      <c r="AM2066" s="98"/>
    </row>
    <row r="2067" spans="1:39" s="100" customFormat="1" ht="15.6" x14ac:dyDescent="0.3">
      <c r="A2067" s="97"/>
      <c r="B2067" s="98"/>
      <c r="C2067" s="98"/>
      <c r="D2067" s="98"/>
      <c r="E2067" s="98"/>
      <c r="F2067" s="98"/>
      <c r="G2067" s="99"/>
      <c r="H2067" s="99"/>
      <c r="I2067" s="99"/>
      <c r="J2067" s="99"/>
      <c r="K2067" s="98"/>
      <c r="L2067" s="98"/>
      <c r="M2067" s="98"/>
      <c r="N2067" s="98"/>
      <c r="O2067" s="98"/>
      <c r="P2067" s="98"/>
      <c r="Q2067" s="98"/>
      <c r="R2067" s="98"/>
      <c r="S2067" s="98"/>
      <c r="T2067" s="98"/>
      <c r="U2067" s="98"/>
      <c r="V2067" s="98"/>
      <c r="W2067" s="98"/>
      <c r="X2067" s="98"/>
      <c r="Y2067" s="98"/>
      <c r="Z2067" s="98"/>
      <c r="AA2067" s="98"/>
      <c r="AB2067" s="98"/>
      <c r="AC2067" s="98"/>
      <c r="AD2067" s="98"/>
      <c r="AE2067" s="98"/>
      <c r="AF2067" s="98"/>
      <c r="AG2067" s="98"/>
      <c r="AH2067" s="98"/>
      <c r="AI2067" s="98"/>
      <c r="AJ2067" s="98"/>
      <c r="AK2067" s="98"/>
      <c r="AL2067" s="98"/>
      <c r="AM2067" s="98"/>
    </row>
    <row r="2068" spans="1:39" s="100" customFormat="1" ht="15.6" x14ac:dyDescent="0.3">
      <c r="A2068" s="97"/>
      <c r="B2068" s="98"/>
      <c r="C2068" s="98"/>
      <c r="D2068" s="98"/>
      <c r="E2068" s="98"/>
      <c r="F2068" s="98"/>
      <c r="G2068" s="99"/>
      <c r="H2068" s="99"/>
      <c r="I2068" s="99"/>
      <c r="J2068" s="99"/>
      <c r="K2068" s="98"/>
      <c r="L2068" s="98"/>
      <c r="M2068" s="98"/>
      <c r="N2068" s="98"/>
      <c r="O2068" s="98"/>
      <c r="P2068" s="98"/>
      <c r="Q2068" s="98"/>
      <c r="R2068" s="98"/>
      <c r="S2068" s="98"/>
      <c r="T2068" s="98"/>
      <c r="U2068" s="98"/>
      <c r="V2068" s="98"/>
      <c r="W2068" s="98"/>
      <c r="X2068" s="98"/>
      <c r="Y2068" s="98"/>
      <c r="Z2068" s="98"/>
      <c r="AA2068" s="98"/>
      <c r="AB2068" s="98"/>
      <c r="AC2068" s="98"/>
      <c r="AD2068" s="98"/>
      <c r="AE2068" s="98"/>
      <c r="AF2068" s="98"/>
      <c r="AG2068" s="98"/>
      <c r="AH2068" s="98"/>
      <c r="AI2068" s="98"/>
      <c r="AJ2068" s="98"/>
      <c r="AK2068" s="98"/>
      <c r="AL2068" s="98"/>
      <c r="AM2068" s="98"/>
    </row>
    <row r="2069" spans="1:39" s="100" customFormat="1" ht="15.6" x14ac:dyDescent="0.3">
      <c r="A2069" s="97"/>
      <c r="B2069" s="98"/>
      <c r="C2069" s="98"/>
      <c r="D2069" s="98"/>
      <c r="E2069" s="98"/>
      <c r="F2069" s="98"/>
      <c r="G2069" s="99"/>
      <c r="H2069" s="99"/>
      <c r="I2069" s="99"/>
      <c r="J2069" s="99"/>
      <c r="K2069" s="98"/>
      <c r="L2069" s="98"/>
      <c r="M2069" s="98"/>
      <c r="N2069" s="98"/>
      <c r="O2069" s="98"/>
      <c r="P2069" s="98"/>
      <c r="Q2069" s="98"/>
      <c r="R2069" s="98"/>
      <c r="S2069" s="98"/>
      <c r="T2069" s="98"/>
      <c r="U2069" s="98"/>
      <c r="V2069" s="98"/>
      <c r="W2069" s="98"/>
      <c r="X2069" s="98"/>
      <c r="Y2069" s="98"/>
      <c r="Z2069" s="98"/>
      <c r="AA2069" s="98"/>
      <c r="AB2069" s="98"/>
      <c r="AC2069" s="98"/>
      <c r="AD2069" s="98"/>
      <c r="AE2069" s="98"/>
      <c r="AF2069" s="98"/>
      <c r="AG2069" s="98"/>
      <c r="AH2069" s="98"/>
      <c r="AI2069" s="98"/>
      <c r="AJ2069" s="98"/>
      <c r="AK2069" s="98"/>
      <c r="AL2069" s="98"/>
      <c r="AM2069" s="98"/>
    </row>
    <row r="2070" spans="1:39" s="100" customFormat="1" ht="15.6" x14ac:dyDescent="0.3">
      <c r="A2070" s="97"/>
      <c r="B2070" s="98"/>
      <c r="C2070" s="98"/>
      <c r="D2070" s="98"/>
      <c r="E2070" s="98"/>
      <c r="F2070" s="98"/>
      <c r="G2070" s="99"/>
      <c r="H2070" s="99"/>
      <c r="I2070" s="99"/>
      <c r="J2070" s="99"/>
      <c r="K2070" s="98"/>
      <c r="L2070" s="98"/>
      <c r="M2070" s="98"/>
      <c r="N2070" s="98"/>
      <c r="O2070" s="98"/>
      <c r="P2070" s="98"/>
      <c r="Q2070" s="98"/>
      <c r="R2070" s="98"/>
      <c r="S2070" s="98"/>
      <c r="T2070" s="98"/>
      <c r="U2070" s="98"/>
      <c r="V2070" s="98"/>
      <c r="W2070" s="98"/>
      <c r="X2070" s="98"/>
      <c r="Y2070" s="98"/>
      <c r="Z2070" s="98"/>
      <c r="AA2070" s="98"/>
      <c r="AB2070" s="98"/>
      <c r="AC2070" s="98"/>
      <c r="AD2070" s="98"/>
      <c r="AE2070" s="98"/>
      <c r="AF2070" s="98"/>
      <c r="AG2070" s="98"/>
      <c r="AH2070" s="98"/>
      <c r="AI2070" s="98"/>
      <c r="AJ2070" s="98"/>
      <c r="AK2070" s="98"/>
      <c r="AL2070" s="98"/>
      <c r="AM2070" s="98"/>
    </row>
    <row r="2071" spans="1:39" s="100" customFormat="1" ht="15.6" x14ac:dyDescent="0.3">
      <c r="A2071" s="97"/>
      <c r="B2071" s="98"/>
      <c r="C2071" s="98"/>
      <c r="D2071" s="98"/>
      <c r="E2071" s="98"/>
      <c r="F2071" s="98"/>
      <c r="G2071" s="99"/>
      <c r="H2071" s="99"/>
      <c r="I2071" s="99"/>
      <c r="J2071" s="99"/>
      <c r="K2071" s="98"/>
      <c r="L2071" s="98"/>
      <c r="M2071" s="98"/>
      <c r="N2071" s="98"/>
      <c r="O2071" s="98"/>
      <c r="P2071" s="98"/>
      <c r="Q2071" s="98"/>
      <c r="R2071" s="98"/>
      <c r="S2071" s="98"/>
      <c r="T2071" s="98"/>
      <c r="U2071" s="98"/>
      <c r="V2071" s="98"/>
      <c r="W2071" s="98"/>
      <c r="X2071" s="98"/>
      <c r="Y2071" s="98"/>
      <c r="Z2071" s="98"/>
      <c r="AA2071" s="98"/>
      <c r="AB2071" s="98"/>
      <c r="AC2071" s="98"/>
      <c r="AD2071" s="98"/>
      <c r="AE2071" s="98"/>
      <c r="AF2071" s="98"/>
      <c r="AG2071" s="98"/>
      <c r="AH2071" s="98"/>
      <c r="AI2071" s="98"/>
      <c r="AJ2071" s="98"/>
      <c r="AK2071" s="98"/>
      <c r="AL2071" s="98"/>
      <c r="AM2071" s="98"/>
    </row>
    <row r="2072" spans="1:39" s="100" customFormat="1" ht="15.6" x14ac:dyDescent="0.3">
      <c r="A2072" s="97"/>
      <c r="B2072" s="98"/>
      <c r="C2072" s="98"/>
      <c r="D2072" s="98"/>
      <c r="E2072" s="98"/>
      <c r="F2072" s="98"/>
      <c r="G2072" s="99"/>
      <c r="H2072" s="99"/>
      <c r="I2072" s="99"/>
      <c r="J2072" s="99"/>
      <c r="K2072" s="98"/>
      <c r="L2072" s="98"/>
      <c r="M2072" s="98"/>
      <c r="N2072" s="98"/>
      <c r="O2072" s="98"/>
      <c r="P2072" s="98"/>
      <c r="Q2072" s="98"/>
      <c r="R2072" s="98"/>
      <c r="S2072" s="98"/>
      <c r="T2072" s="98"/>
      <c r="U2072" s="98"/>
      <c r="V2072" s="98"/>
      <c r="W2072" s="98"/>
      <c r="X2072" s="98"/>
      <c r="Y2072" s="98"/>
      <c r="Z2072" s="98"/>
      <c r="AA2072" s="98"/>
      <c r="AB2072" s="98"/>
      <c r="AC2072" s="98"/>
      <c r="AD2072" s="98"/>
      <c r="AE2072" s="98"/>
      <c r="AF2072" s="98"/>
      <c r="AG2072" s="98"/>
      <c r="AH2072" s="98"/>
      <c r="AI2072" s="98"/>
      <c r="AJ2072" s="98"/>
      <c r="AK2072" s="98"/>
      <c r="AL2072" s="98"/>
      <c r="AM2072" s="98"/>
    </row>
    <row r="2073" spans="1:39" s="100" customFormat="1" ht="15.6" x14ac:dyDescent="0.3">
      <c r="A2073" s="97"/>
      <c r="B2073" s="98"/>
      <c r="C2073" s="98"/>
      <c r="D2073" s="98"/>
      <c r="E2073" s="98"/>
      <c r="F2073" s="98"/>
      <c r="G2073" s="99"/>
      <c r="H2073" s="99"/>
      <c r="I2073" s="99"/>
      <c r="J2073" s="99"/>
      <c r="K2073" s="98"/>
      <c r="L2073" s="98"/>
      <c r="M2073" s="98"/>
      <c r="N2073" s="98"/>
      <c r="O2073" s="98"/>
      <c r="P2073" s="98"/>
      <c r="Q2073" s="98"/>
      <c r="R2073" s="98"/>
      <c r="S2073" s="98"/>
      <c r="T2073" s="98"/>
      <c r="U2073" s="98"/>
      <c r="V2073" s="98"/>
      <c r="W2073" s="98"/>
      <c r="X2073" s="98"/>
      <c r="Y2073" s="98"/>
      <c r="Z2073" s="98"/>
      <c r="AA2073" s="98"/>
      <c r="AB2073" s="98"/>
      <c r="AC2073" s="98"/>
      <c r="AD2073" s="98"/>
      <c r="AE2073" s="98"/>
      <c r="AF2073" s="98"/>
      <c r="AG2073" s="98"/>
      <c r="AH2073" s="98"/>
      <c r="AI2073" s="98"/>
      <c r="AJ2073" s="98"/>
      <c r="AK2073" s="98"/>
      <c r="AL2073" s="98"/>
      <c r="AM2073" s="98"/>
    </row>
    <row r="2074" spans="1:39" s="100" customFormat="1" ht="15.6" x14ac:dyDescent="0.3">
      <c r="A2074" s="97"/>
      <c r="B2074" s="98"/>
      <c r="C2074" s="98"/>
      <c r="D2074" s="98"/>
      <c r="E2074" s="98"/>
      <c r="F2074" s="98"/>
      <c r="G2074" s="99"/>
      <c r="H2074" s="99"/>
      <c r="I2074" s="99"/>
      <c r="J2074" s="99"/>
      <c r="K2074" s="98"/>
      <c r="L2074" s="98"/>
      <c r="M2074" s="98"/>
      <c r="N2074" s="98"/>
      <c r="O2074" s="98"/>
      <c r="P2074" s="98"/>
      <c r="Q2074" s="98"/>
      <c r="R2074" s="98"/>
      <c r="S2074" s="98"/>
      <c r="T2074" s="98"/>
      <c r="U2074" s="98"/>
      <c r="V2074" s="98"/>
      <c r="W2074" s="98"/>
      <c r="X2074" s="98"/>
      <c r="Y2074" s="98"/>
      <c r="Z2074" s="98"/>
      <c r="AA2074" s="98"/>
      <c r="AB2074" s="98"/>
      <c r="AC2074" s="98"/>
      <c r="AD2074" s="98"/>
      <c r="AE2074" s="98"/>
      <c r="AF2074" s="98"/>
      <c r="AG2074" s="98"/>
      <c r="AH2074" s="98"/>
      <c r="AI2074" s="98"/>
      <c r="AJ2074" s="98"/>
      <c r="AK2074" s="98"/>
      <c r="AL2074" s="98"/>
      <c r="AM2074" s="98"/>
    </row>
    <row r="2075" spans="1:39" s="100" customFormat="1" ht="15.6" x14ac:dyDescent="0.3">
      <c r="A2075" s="97"/>
      <c r="B2075" s="98"/>
      <c r="C2075" s="98"/>
      <c r="D2075" s="98"/>
      <c r="E2075" s="98"/>
      <c r="F2075" s="98"/>
      <c r="G2075" s="99"/>
      <c r="H2075" s="99"/>
      <c r="I2075" s="99"/>
      <c r="J2075" s="99"/>
      <c r="K2075" s="98"/>
      <c r="L2075" s="98"/>
      <c r="M2075" s="98"/>
      <c r="N2075" s="98"/>
      <c r="O2075" s="98"/>
      <c r="P2075" s="98"/>
      <c r="Q2075" s="98"/>
      <c r="R2075" s="98"/>
      <c r="S2075" s="98"/>
      <c r="T2075" s="98"/>
      <c r="U2075" s="98"/>
      <c r="V2075" s="98"/>
      <c r="W2075" s="98"/>
      <c r="X2075" s="98"/>
      <c r="Y2075" s="98"/>
      <c r="Z2075" s="98"/>
      <c r="AA2075" s="98"/>
      <c r="AB2075" s="98"/>
      <c r="AC2075" s="98"/>
      <c r="AD2075" s="98"/>
      <c r="AE2075" s="98"/>
      <c r="AF2075" s="98"/>
      <c r="AG2075" s="98"/>
      <c r="AH2075" s="98"/>
      <c r="AI2075" s="98"/>
      <c r="AJ2075" s="98"/>
      <c r="AK2075" s="98"/>
      <c r="AL2075" s="98"/>
      <c r="AM2075" s="98"/>
    </row>
    <row r="2076" spans="1:39" s="100" customFormat="1" ht="15.6" x14ac:dyDescent="0.3">
      <c r="A2076" s="97"/>
      <c r="B2076" s="98"/>
      <c r="C2076" s="98"/>
      <c r="D2076" s="98"/>
      <c r="E2076" s="98"/>
      <c r="F2076" s="98"/>
      <c r="G2076" s="99"/>
      <c r="H2076" s="99"/>
      <c r="I2076" s="99"/>
      <c r="J2076" s="99"/>
      <c r="K2076" s="98"/>
      <c r="L2076" s="98"/>
      <c r="M2076" s="98"/>
      <c r="N2076" s="98"/>
      <c r="O2076" s="98"/>
      <c r="P2076" s="98"/>
      <c r="Q2076" s="98"/>
      <c r="R2076" s="98"/>
      <c r="S2076" s="98"/>
      <c r="T2076" s="98"/>
      <c r="U2076" s="98"/>
      <c r="V2076" s="98"/>
      <c r="W2076" s="98"/>
      <c r="X2076" s="98"/>
      <c r="Y2076" s="98"/>
      <c r="Z2076" s="98"/>
      <c r="AA2076" s="98"/>
      <c r="AB2076" s="98"/>
      <c r="AC2076" s="98"/>
      <c r="AD2076" s="98"/>
      <c r="AE2076" s="98"/>
      <c r="AF2076" s="98"/>
      <c r="AG2076" s="98"/>
      <c r="AH2076" s="98"/>
      <c r="AI2076" s="98"/>
      <c r="AJ2076" s="98"/>
      <c r="AK2076" s="98"/>
      <c r="AL2076" s="98"/>
      <c r="AM2076" s="98"/>
    </row>
    <row r="2077" spans="1:39" s="100" customFormat="1" ht="15.6" x14ac:dyDescent="0.3">
      <c r="A2077" s="97"/>
      <c r="B2077" s="98"/>
      <c r="C2077" s="98"/>
      <c r="D2077" s="98"/>
      <c r="E2077" s="98"/>
      <c r="F2077" s="98"/>
      <c r="G2077" s="99"/>
      <c r="H2077" s="99"/>
      <c r="I2077" s="99"/>
      <c r="J2077" s="99"/>
      <c r="K2077" s="98"/>
      <c r="L2077" s="98"/>
      <c r="M2077" s="98"/>
      <c r="N2077" s="98"/>
      <c r="O2077" s="98"/>
      <c r="P2077" s="98"/>
      <c r="Q2077" s="98"/>
      <c r="R2077" s="98"/>
      <c r="S2077" s="98"/>
      <c r="T2077" s="98"/>
      <c r="U2077" s="98"/>
      <c r="V2077" s="98"/>
      <c r="W2077" s="98"/>
      <c r="X2077" s="98"/>
      <c r="Y2077" s="98"/>
      <c r="Z2077" s="98"/>
      <c r="AA2077" s="98"/>
      <c r="AB2077" s="98"/>
      <c r="AC2077" s="98"/>
      <c r="AD2077" s="98"/>
      <c r="AE2077" s="98"/>
      <c r="AF2077" s="98"/>
      <c r="AG2077" s="98"/>
      <c r="AH2077" s="98"/>
      <c r="AI2077" s="98"/>
      <c r="AJ2077" s="98"/>
      <c r="AK2077" s="98"/>
      <c r="AL2077" s="98"/>
      <c r="AM2077" s="98"/>
    </row>
    <row r="2078" spans="1:39" s="100" customFormat="1" ht="15.6" x14ac:dyDescent="0.3">
      <c r="A2078" s="97"/>
      <c r="B2078" s="98"/>
      <c r="C2078" s="98"/>
      <c r="D2078" s="98"/>
      <c r="E2078" s="98"/>
      <c r="F2078" s="98"/>
      <c r="G2078" s="99"/>
      <c r="H2078" s="99"/>
      <c r="I2078" s="99"/>
      <c r="J2078" s="99"/>
      <c r="K2078" s="98"/>
      <c r="L2078" s="98"/>
      <c r="M2078" s="98"/>
      <c r="N2078" s="98"/>
      <c r="O2078" s="98"/>
      <c r="P2078" s="98"/>
      <c r="Q2078" s="98"/>
      <c r="R2078" s="98"/>
      <c r="S2078" s="98"/>
      <c r="T2078" s="98"/>
      <c r="U2078" s="98"/>
      <c r="V2078" s="98"/>
      <c r="W2078" s="98"/>
      <c r="X2078" s="98"/>
      <c r="Y2078" s="98"/>
      <c r="Z2078" s="98"/>
      <c r="AA2078" s="98"/>
      <c r="AB2078" s="98"/>
      <c r="AC2078" s="98"/>
      <c r="AD2078" s="98"/>
      <c r="AE2078" s="98"/>
      <c r="AF2078" s="98"/>
      <c r="AG2078" s="98"/>
      <c r="AH2078" s="98"/>
      <c r="AI2078" s="98"/>
      <c r="AJ2078" s="98"/>
      <c r="AK2078" s="98"/>
      <c r="AL2078" s="98"/>
      <c r="AM2078" s="98"/>
    </row>
    <row r="2079" spans="1:39" s="100" customFormat="1" ht="15.6" x14ac:dyDescent="0.3">
      <c r="A2079" s="97"/>
      <c r="B2079" s="98"/>
      <c r="C2079" s="98"/>
      <c r="D2079" s="98"/>
      <c r="E2079" s="98"/>
      <c r="F2079" s="98"/>
      <c r="G2079" s="99"/>
      <c r="H2079" s="99"/>
      <c r="I2079" s="99"/>
      <c r="J2079" s="99"/>
      <c r="K2079" s="98"/>
      <c r="L2079" s="98"/>
      <c r="M2079" s="98"/>
      <c r="N2079" s="98"/>
      <c r="O2079" s="98"/>
      <c r="P2079" s="98"/>
      <c r="Q2079" s="98"/>
      <c r="R2079" s="98"/>
      <c r="S2079" s="98"/>
      <c r="T2079" s="98"/>
      <c r="U2079" s="98"/>
      <c r="V2079" s="98"/>
      <c r="W2079" s="98"/>
      <c r="X2079" s="98"/>
      <c r="Y2079" s="98"/>
      <c r="Z2079" s="98"/>
      <c r="AA2079" s="98"/>
      <c r="AB2079" s="98"/>
      <c r="AC2079" s="98"/>
      <c r="AD2079" s="98"/>
      <c r="AE2079" s="98"/>
      <c r="AF2079" s="98"/>
      <c r="AG2079" s="98"/>
      <c r="AH2079" s="98"/>
      <c r="AI2079" s="98"/>
      <c r="AJ2079" s="98"/>
      <c r="AK2079" s="98"/>
      <c r="AL2079" s="98"/>
      <c r="AM2079" s="98"/>
    </row>
    <row r="2080" spans="1:39" s="100" customFormat="1" ht="15.6" x14ac:dyDescent="0.3">
      <c r="A2080" s="97"/>
      <c r="B2080" s="98"/>
      <c r="C2080" s="98"/>
      <c r="D2080" s="98"/>
      <c r="E2080" s="98"/>
      <c r="F2080" s="98"/>
      <c r="G2080" s="99"/>
      <c r="H2080" s="99"/>
      <c r="I2080" s="99"/>
      <c r="J2080" s="99"/>
      <c r="K2080" s="98"/>
      <c r="L2080" s="98"/>
      <c r="M2080" s="98"/>
      <c r="N2080" s="98"/>
      <c r="O2080" s="98"/>
      <c r="P2080" s="98"/>
      <c r="Q2080" s="98"/>
      <c r="R2080" s="98"/>
      <c r="S2080" s="98"/>
      <c r="T2080" s="98"/>
      <c r="U2080" s="98"/>
      <c r="V2080" s="98"/>
      <c r="W2080" s="98"/>
      <c r="X2080" s="98"/>
      <c r="Y2080" s="98"/>
      <c r="Z2080" s="98"/>
      <c r="AA2080" s="98"/>
      <c r="AB2080" s="98"/>
      <c r="AC2080" s="98"/>
      <c r="AD2080" s="98"/>
      <c r="AE2080" s="98"/>
      <c r="AF2080" s="98"/>
      <c r="AG2080" s="98"/>
      <c r="AH2080" s="98"/>
      <c r="AI2080" s="98"/>
      <c r="AJ2080" s="98"/>
      <c r="AK2080" s="98"/>
      <c r="AL2080" s="98"/>
      <c r="AM2080" s="98"/>
    </row>
    <row r="2081" spans="1:39" s="100" customFormat="1" ht="15.6" x14ac:dyDescent="0.3">
      <c r="A2081" s="97"/>
      <c r="B2081" s="98"/>
      <c r="C2081" s="98"/>
      <c r="D2081" s="98"/>
      <c r="E2081" s="98"/>
      <c r="F2081" s="98"/>
      <c r="G2081" s="99"/>
      <c r="H2081" s="99"/>
      <c r="I2081" s="99"/>
      <c r="J2081" s="99"/>
      <c r="K2081" s="98"/>
      <c r="L2081" s="98"/>
      <c r="M2081" s="98"/>
      <c r="N2081" s="98"/>
      <c r="O2081" s="98"/>
      <c r="P2081" s="98"/>
      <c r="Q2081" s="98"/>
      <c r="R2081" s="98"/>
      <c r="S2081" s="98"/>
      <c r="T2081" s="98"/>
      <c r="U2081" s="98"/>
      <c r="V2081" s="98"/>
      <c r="W2081" s="98"/>
      <c r="X2081" s="98"/>
      <c r="Y2081" s="98"/>
      <c r="Z2081" s="98"/>
      <c r="AA2081" s="98"/>
      <c r="AB2081" s="98"/>
      <c r="AC2081" s="98"/>
      <c r="AD2081" s="98"/>
      <c r="AE2081" s="98"/>
      <c r="AF2081" s="98"/>
      <c r="AG2081" s="98"/>
      <c r="AH2081" s="98"/>
      <c r="AI2081" s="98"/>
      <c r="AJ2081" s="98"/>
      <c r="AK2081" s="98"/>
      <c r="AL2081" s="98"/>
      <c r="AM2081" s="98"/>
    </row>
    <row r="2082" spans="1:39" s="100" customFormat="1" ht="15.6" x14ac:dyDescent="0.3">
      <c r="A2082" s="97"/>
      <c r="B2082" s="98"/>
      <c r="C2082" s="98"/>
      <c r="D2082" s="98"/>
      <c r="E2082" s="98"/>
      <c r="F2082" s="98"/>
      <c r="G2082" s="99"/>
      <c r="H2082" s="99"/>
      <c r="I2082" s="99"/>
      <c r="J2082" s="99"/>
      <c r="K2082" s="98"/>
      <c r="L2082" s="98"/>
      <c r="M2082" s="98"/>
      <c r="N2082" s="98"/>
      <c r="O2082" s="98"/>
      <c r="P2082" s="98"/>
      <c r="Q2082" s="98"/>
      <c r="R2082" s="98"/>
      <c r="S2082" s="98"/>
      <c r="T2082" s="98"/>
      <c r="U2082" s="98"/>
      <c r="V2082" s="98"/>
      <c r="W2082" s="98"/>
      <c r="X2082" s="98"/>
      <c r="Y2082" s="98"/>
      <c r="Z2082" s="98"/>
      <c r="AA2082" s="98"/>
      <c r="AB2082" s="98"/>
      <c r="AC2082" s="98"/>
      <c r="AD2082" s="98"/>
      <c r="AE2082" s="98"/>
      <c r="AF2082" s="98"/>
      <c r="AG2082" s="98"/>
      <c r="AH2082" s="98"/>
      <c r="AI2082" s="98"/>
      <c r="AJ2082" s="98"/>
      <c r="AK2082" s="98"/>
      <c r="AL2082" s="98"/>
      <c r="AM2082" s="98"/>
    </row>
    <row r="2083" spans="1:39" s="100" customFormat="1" ht="15.6" x14ac:dyDescent="0.3">
      <c r="A2083" s="97"/>
      <c r="B2083" s="98"/>
      <c r="C2083" s="98"/>
      <c r="D2083" s="98"/>
      <c r="E2083" s="98"/>
      <c r="F2083" s="98"/>
      <c r="G2083" s="99"/>
      <c r="H2083" s="99"/>
      <c r="I2083" s="99"/>
      <c r="J2083" s="99"/>
      <c r="K2083" s="98"/>
      <c r="L2083" s="98"/>
      <c r="M2083" s="98"/>
      <c r="N2083" s="98"/>
      <c r="O2083" s="98"/>
      <c r="P2083" s="98"/>
      <c r="Q2083" s="98"/>
      <c r="R2083" s="98"/>
      <c r="S2083" s="98"/>
      <c r="T2083" s="98"/>
      <c r="U2083" s="98"/>
      <c r="V2083" s="98"/>
      <c r="W2083" s="98"/>
      <c r="X2083" s="98"/>
      <c r="Y2083" s="98"/>
      <c r="Z2083" s="98"/>
      <c r="AA2083" s="98"/>
      <c r="AB2083" s="98"/>
      <c r="AC2083" s="98"/>
      <c r="AD2083" s="98"/>
      <c r="AE2083" s="98"/>
      <c r="AF2083" s="98"/>
      <c r="AG2083" s="98"/>
      <c r="AH2083" s="98"/>
      <c r="AI2083" s="98"/>
      <c r="AJ2083" s="98"/>
      <c r="AK2083" s="98"/>
      <c r="AL2083" s="98"/>
      <c r="AM2083" s="98"/>
    </row>
    <row r="2084" spans="1:39" s="100" customFormat="1" ht="15.6" x14ac:dyDescent="0.3">
      <c r="A2084" s="97"/>
      <c r="B2084" s="98"/>
      <c r="C2084" s="98"/>
      <c r="D2084" s="98"/>
      <c r="E2084" s="98"/>
      <c r="F2084" s="98"/>
      <c r="G2084" s="99"/>
      <c r="H2084" s="99"/>
      <c r="I2084" s="99"/>
      <c r="J2084" s="99"/>
      <c r="K2084" s="98"/>
      <c r="L2084" s="98"/>
      <c r="M2084" s="98"/>
      <c r="N2084" s="98"/>
      <c r="O2084" s="98"/>
      <c r="P2084" s="98"/>
      <c r="Q2084" s="98"/>
      <c r="R2084" s="98"/>
      <c r="S2084" s="98"/>
      <c r="T2084" s="98"/>
      <c r="U2084" s="98"/>
      <c r="V2084" s="98"/>
      <c r="W2084" s="98"/>
      <c r="X2084" s="98"/>
      <c r="Y2084" s="98"/>
      <c r="Z2084" s="98"/>
      <c r="AA2084" s="98"/>
      <c r="AB2084" s="98"/>
      <c r="AC2084" s="98"/>
      <c r="AD2084" s="98"/>
      <c r="AE2084" s="98"/>
      <c r="AF2084" s="98"/>
      <c r="AG2084" s="98"/>
      <c r="AH2084" s="98"/>
      <c r="AI2084" s="98"/>
      <c r="AJ2084" s="98"/>
      <c r="AK2084" s="98"/>
      <c r="AL2084" s="98"/>
      <c r="AM2084" s="98"/>
    </row>
    <row r="2085" spans="1:39" s="100" customFormat="1" ht="15.6" x14ac:dyDescent="0.3">
      <c r="A2085" s="97"/>
      <c r="B2085" s="98"/>
      <c r="C2085" s="98"/>
      <c r="D2085" s="98"/>
      <c r="E2085" s="98"/>
      <c r="F2085" s="98"/>
      <c r="G2085" s="99"/>
      <c r="H2085" s="99"/>
      <c r="I2085" s="99"/>
      <c r="J2085" s="99"/>
      <c r="K2085" s="98"/>
      <c r="L2085" s="98"/>
      <c r="M2085" s="98"/>
      <c r="N2085" s="98"/>
      <c r="O2085" s="98"/>
      <c r="P2085" s="98"/>
      <c r="Q2085" s="98"/>
      <c r="R2085" s="98"/>
      <c r="S2085" s="98"/>
      <c r="T2085" s="98"/>
      <c r="U2085" s="98"/>
      <c r="V2085" s="98"/>
      <c r="W2085" s="98"/>
      <c r="X2085" s="98"/>
      <c r="Y2085" s="98"/>
      <c r="Z2085" s="98"/>
      <c r="AA2085" s="98"/>
      <c r="AB2085" s="98"/>
      <c r="AC2085" s="98"/>
      <c r="AD2085" s="98"/>
      <c r="AE2085" s="98"/>
      <c r="AF2085" s="98"/>
      <c r="AG2085" s="98"/>
      <c r="AH2085" s="98"/>
      <c r="AI2085" s="98"/>
      <c r="AJ2085" s="98"/>
      <c r="AK2085" s="98"/>
      <c r="AL2085" s="98"/>
      <c r="AM2085" s="98"/>
    </row>
    <row r="2086" spans="1:39" s="100" customFormat="1" ht="15.6" x14ac:dyDescent="0.3">
      <c r="A2086" s="97"/>
      <c r="B2086" s="98"/>
      <c r="C2086" s="98"/>
      <c r="D2086" s="98"/>
      <c r="E2086" s="98"/>
      <c r="F2086" s="98"/>
      <c r="G2086" s="99"/>
      <c r="H2086" s="99"/>
      <c r="I2086" s="99"/>
      <c r="J2086" s="99"/>
      <c r="K2086" s="98"/>
      <c r="L2086" s="98"/>
      <c r="M2086" s="98"/>
      <c r="N2086" s="98"/>
      <c r="O2086" s="98"/>
      <c r="P2086" s="98"/>
      <c r="Q2086" s="98"/>
      <c r="R2086" s="98"/>
      <c r="S2086" s="98"/>
      <c r="T2086" s="98"/>
      <c r="U2086" s="98"/>
      <c r="V2086" s="98"/>
      <c r="W2086" s="98"/>
      <c r="X2086" s="98"/>
      <c r="Y2086" s="98"/>
      <c r="Z2086" s="98"/>
      <c r="AA2086" s="98"/>
      <c r="AB2086" s="98"/>
      <c r="AC2086" s="98"/>
      <c r="AD2086" s="98"/>
      <c r="AE2086" s="98"/>
      <c r="AF2086" s="98"/>
      <c r="AG2086" s="98"/>
      <c r="AH2086" s="98"/>
      <c r="AI2086" s="98"/>
      <c r="AJ2086" s="98"/>
      <c r="AK2086" s="98"/>
      <c r="AL2086" s="98"/>
      <c r="AM2086" s="98"/>
    </row>
    <row r="2087" spans="1:39" s="100" customFormat="1" ht="15.6" x14ac:dyDescent="0.3">
      <c r="A2087" s="97"/>
      <c r="B2087" s="98"/>
      <c r="C2087" s="98"/>
      <c r="D2087" s="98"/>
      <c r="E2087" s="98"/>
      <c r="F2087" s="98"/>
      <c r="G2087" s="99"/>
      <c r="H2087" s="99"/>
      <c r="I2087" s="99"/>
      <c r="J2087" s="99"/>
      <c r="K2087" s="98"/>
      <c r="L2087" s="98"/>
      <c r="M2087" s="98"/>
      <c r="N2087" s="98"/>
      <c r="O2087" s="98"/>
      <c r="P2087" s="98"/>
      <c r="Q2087" s="98"/>
      <c r="R2087" s="98"/>
      <c r="S2087" s="98"/>
      <c r="T2087" s="98"/>
      <c r="U2087" s="98"/>
      <c r="V2087" s="98"/>
      <c r="W2087" s="98"/>
      <c r="X2087" s="98"/>
      <c r="Y2087" s="98"/>
      <c r="Z2087" s="98"/>
      <c r="AA2087" s="98"/>
      <c r="AB2087" s="98"/>
      <c r="AC2087" s="98"/>
      <c r="AD2087" s="98"/>
      <c r="AE2087" s="98"/>
      <c r="AF2087" s="98"/>
      <c r="AG2087" s="98"/>
      <c r="AH2087" s="98"/>
      <c r="AI2087" s="98"/>
      <c r="AJ2087" s="98"/>
      <c r="AK2087" s="98"/>
      <c r="AL2087" s="98"/>
      <c r="AM2087" s="98"/>
    </row>
    <row r="2088" spans="1:39" s="100" customFormat="1" ht="15.6" x14ac:dyDescent="0.3">
      <c r="A2088" s="97"/>
      <c r="B2088" s="98"/>
      <c r="C2088" s="98"/>
      <c r="D2088" s="98"/>
      <c r="E2088" s="98"/>
      <c r="F2088" s="98"/>
      <c r="G2088" s="99"/>
      <c r="H2088" s="99"/>
      <c r="I2088" s="99"/>
      <c r="J2088" s="99"/>
      <c r="K2088" s="98"/>
      <c r="L2088" s="98"/>
      <c r="M2088" s="98"/>
      <c r="N2088" s="98"/>
      <c r="O2088" s="98"/>
      <c r="P2088" s="98"/>
      <c r="Q2088" s="98"/>
      <c r="R2088" s="98"/>
      <c r="S2088" s="98"/>
      <c r="T2088" s="98"/>
      <c r="U2088" s="98"/>
      <c r="V2088" s="98"/>
      <c r="W2088" s="98"/>
      <c r="X2088" s="98"/>
      <c r="Y2088" s="98"/>
      <c r="Z2088" s="98"/>
      <c r="AA2088" s="98"/>
      <c r="AB2088" s="98"/>
      <c r="AC2088" s="98"/>
      <c r="AD2088" s="98"/>
      <c r="AE2088" s="98"/>
      <c r="AF2088" s="98"/>
      <c r="AG2088" s="98"/>
      <c r="AH2088" s="98"/>
      <c r="AI2088" s="98"/>
      <c r="AJ2088" s="98"/>
      <c r="AK2088" s="98"/>
      <c r="AL2088" s="98"/>
      <c r="AM2088" s="98"/>
    </row>
    <row r="2089" spans="1:39" s="100" customFormat="1" ht="15.6" x14ac:dyDescent="0.3">
      <c r="A2089" s="97"/>
      <c r="B2089" s="98"/>
      <c r="C2089" s="98"/>
      <c r="D2089" s="98"/>
      <c r="E2089" s="98"/>
      <c r="F2089" s="98"/>
      <c r="G2089" s="99"/>
      <c r="H2089" s="99"/>
      <c r="I2089" s="99"/>
      <c r="J2089" s="99"/>
      <c r="K2089" s="98"/>
      <c r="L2089" s="98"/>
      <c r="M2089" s="98"/>
      <c r="N2089" s="98"/>
      <c r="O2089" s="98"/>
      <c r="P2089" s="98"/>
      <c r="Q2089" s="98"/>
      <c r="R2089" s="98"/>
      <c r="S2089" s="98"/>
      <c r="T2089" s="98"/>
      <c r="U2089" s="98"/>
      <c r="V2089" s="98"/>
      <c r="W2089" s="98"/>
      <c r="X2089" s="98"/>
      <c r="Y2089" s="98"/>
      <c r="Z2089" s="98"/>
      <c r="AA2089" s="98"/>
      <c r="AB2089" s="98"/>
      <c r="AC2089" s="98"/>
      <c r="AD2089" s="98"/>
      <c r="AE2089" s="98"/>
      <c r="AF2089" s="98"/>
      <c r="AG2089" s="98"/>
      <c r="AH2089" s="98"/>
      <c r="AI2089" s="98"/>
      <c r="AJ2089" s="98"/>
      <c r="AK2089" s="98"/>
      <c r="AL2089" s="98"/>
      <c r="AM2089" s="98"/>
    </row>
    <row r="2090" spans="1:39" s="100" customFormat="1" ht="15.6" x14ac:dyDescent="0.3">
      <c r="A2090" s="97"/>
      <c r="B2090" s="98"/>
      <c r="C2090" s="98"/>
      <c r="D2090" s="98"/>
      <c r="E2090" s="98"/>
      <c r="F2090" s="98"/>
      <c r="G2090" s="99"/>
      <c r="H2090" s="99"/>
      <c r="I2090" s="99"/>
      <c r="J2090" s="99"/>
      <c r="K2090" s="98"/>
      <c r="L2090" s="98"/>
      <c r="M2090" s="98"/>
      <c r="N2090" s="98"/>
      <c r="O2090" s="98"/>
      <c r="P2090" s="98"/>
      <c r="Q2090" s="98"/>
      <c r="R2090" s="98"/>
      <c r="S2090" s="98"/>
      <c r="T2090" s="98"/>
      <c r="U2090" s="98"/>
      <c r="V2090" s="98"/>
      <c r="W2090" s="98"/>
      <c r="X2090" s="98"/>
      <c r="Y2090" s="98"/>
      <c r="Z2090" s="98"/>
      <c r="AA2090" s="98"/>
      <c r="AB2090" s="98"/>
      <c r="AC2090" s="98"/>
      <c r="AD2090" s="98"/>
      <c r="AE2090" s="98"/>
      <c r="AF2090" s="98"/>
      <c r="AG2090" s="98"/>
      <c r="AH2090" s="98"/>
      <c r="AI2090" s="98"/>
      <c r="AJ2090" s="98"/>
      <c r="AK2090" s="98"/>
      <c r="AL2090" s="98"/>
      <c r="AM2090" s="98"/>
    </row>
    <row r="2091" spans="1:39" s="100" customFormat="1" ht="15.6" x14ac:dyDescent="0.3">
      <c r="A2091" s="97"/>
      <c r="B2091" s="98"/>
      <c r="C2091" s="98"/>
      <c r="D2091" s="98"/>
      <c r="E2091" s="98"/>
      <c r="F2091" s="98"/>
      <c r="G2091" s="99"/>
      <c r="H2091" s="99"/>
      <c r="I2091" s="99"/>
      <c r="J2091" s="99"/>
      <c r="K2091" s="98"/>
      <c r="L2091" s="98"/>
      <c r="M2091" s="98"/>
      <c r="N2091" s="98"/>
      <c r="O2091" s="98"/>
      <c r="P2091" s="98"/>
      <c r="Q2091" s="98"/>
      <c r="R2091" s="98"/>
      <c r="S2091" s="98"/>
      <c r="T2091" s="98"/>
      <c r="U2091" s="98"/>
      <c r="V2091" s="98"/>
      <c r="W2091" s="98"/>
      <c r="X2091" s="98"/>
      <c r="Y2091" s="98"/>
      <c r="Z2091" s="98"/>
      <c r="AA2091" s="98"/>
      <c r="AB2091" s="98"/>
      <c r="AC2091" s="98"/>
      <c r="AD2091" s="98"/>
      <c r="AE2091" s="98"/>
      <c r="AF2091" s="98"/>
      <c r="AG2091" s="98"/>
      <c r="AH2091" s="98"/>
      <c r="AI2091" s="98"/>
      <c r="AJ2091" s="98"/>
      <c r="AK2091" s="98"/>
      <c r="AL2091" s="98"/>
      <c r="AM2091" s="98"/>
    </row>
    <row r="2092" spans="1:39" s="100" customFormat="1" ht="15.6" x14ac:dyDescent="0.3">
      <c r="A2092" s="97"/>
      <c r="B2092" s="98"/>
      <c r="C2092" s="98"/>
      <c r="D2092" s="98"/>
      <c r="E2092" s="98"/>
      <c r="F2092" s="98"/>
      <c r="G2092" s="99"/>
      <c r="H2092" s="99"/>
      <c r="I2092" s="99"/>
      <c r="J2092" s="99"/>
      <c r="K2092" s="98"/>
      <c r="L2092" s="98"/>
      <c r="M2092" s="98"/>
      <c r="N2092" s="98"/>
      <c r="O2092" s="98"/>
      <c r="P2092" s="98"/>
      <c r="Q2092" s="98"/>
      <c r="R2092" s="98"/>
      <c r="S2092" s="98"/>
      <c r="T2092" s="98"/>
      <c r="U2092" s="98"/>
      <c r="V2092" s="98"/>
      <c r="W2092" s="98"/>
      <c r="X2092" s="98"/>
      <c r="Y2092" s="98"/>
      <c r="Z2092" s="98"/>
      <c r="AA2092" s="98"/>
      <c r="AB2092" s="98"/>
      <c r="AC2092" s="98"/>
      <c r="AD2092" s="98"/>
      <c r="AE2092" s="98"/>
      <c r="AF2092" s="98"/>
      <c r="AG2092" s="98"/>
      <c r="AH2092" s="98"/>
      <c r="AI2092" s="98"/>
      <c r="AJ2092" s="98"/>
      <c r="AK2092" s="98"/>
      <c r="AL2092" s="98"/>
      <c r="AM2092" s="98"/>
    </row>
    <row r="2093" spans="1:39" s="100" customFormat="1" ht="15.6" x14ac:dyDescent="0.3">
      <c r="A2093" s="97"/>
      <c r="B2093" s="98"/>
      <c r="C2093" s="98"/>
      <c r="D2093" s="98"/>
      <c r="E2093" s="98"/>
      <c r="F2093" s="98"/>
      <c r="G2093" s="99"/>
      <c r="H2093" s="99"/>
      <c r="I2093" s="99"/>
      <c r="J2093" s="99"/>
      <c r="K2093" s="98"/>
      <c r="L2093" s="98"/>
      <c r="M2093" s="98"/>
      <c r="N2093" s="98"/>
      <c r="O2093" s="98"/>
      <c r="P2093" s="98"/>
      <c r="Q2093" s="98"/>
      <c r="R2093" s="98"/>
      <c r="S2093" s="98"/>
      <c r="T2093" s="98"/>
      <c r="U2093" s="98"/>
      <c r="V2093" s="98"/>
      <c r="W2093" s="98"/>
      <c r="X2093" s="98"/>
      <c r="Y2093" s="98"/>
      <c r="Z2093" s="98"/>
      <c r="AA2093" s="98"/>
      <c r="AB2093" s="98"/>
      <c r="AC2093" s="98"/>
      <c r="AD2093" s="98"/>
      <c r="AE2093" s="98"/>
      <c r="AF2093" s="98"/>
      <c r="AG2093" s="98"/>
      <c r="AH2093" s="98"/>
      <c r="AI2093" s="98"/>
      <c r="AJ2093" s="98"/>
      <c r="AK2093" s="98"/>
      <c r="AL2093" s="98"/>
      <c r="AM2093" s="98"/>
    </row>
    <row r="2094" spans="1:39" s="100" customFormat="1" ht="15.6" x14ac:dyDescent="0.3">
      <c r="A2094" s="97"/>
      <c r="B2094" s="98"/>
      <c r="C2094" s="98"/>
      <c r="D2094" s="98"/>
      <c r="E2094" s="98"/>
      <c r="F2094" s="98"/>
      <c r="G2094" s="99"/>
      <c r="H2094" s="99"/>
      <c r="I2094" s="99"/>
      <c r="J2094" s="99"/>
      <c r="K2094" s="98"/>
      <c r="L2094" s="98"/>
      <c r="M2094" s="98"/>
      <c r="N2094" s="98"/>
      <c r="O2094" s="98"/>
      <c r="P2094" s="98"/>
      <c r="Q2094" s="98"/>
      <c r="R2094" s="98"/>
      <c r="S2094" s="98"/>
      <c r="T2094" s="98"/>
      <c r="U2094" s="98"/>
      <c r="V2094" s="98"/>
      <c r="W2094" s="98"/>
      <c r="X2094" s="98"/>
      <c r="Y2094" s="98"/>
      <c r="Z2094" s="98"/>
      <c r="AA2094" s="98"/>
      <c r="AB2094" s="98"/>
      <c r="AC2094" s="98"/>
      <c r="AD2094" s="98"/>
      <c r="AE2094" s="98"/>
      <c r="AF2094" s="98"/>
      <c r="AG2094" s="98"/>
      <c r="AH2094" s="98"/>
      <c r="AI2094" s="98"/>
      <c r="AJ2094" s="98"/>
      <c r="AK2094" s="98"/>
      <c r="AL2094" s="98"/>
      <c r="AM2094" s="98"/>
    </row>
    <row r="2095" spans="1:39" s="100" customFormat="1" ht="15.6" x14ac:dyDescent="0.3">
      <c r="A2095" s="97"/>
      <c r="B2095" s="98"/>
      <c r="C2095" s="98"/>
      <c r="D2095" s="98"/>
      <c r="E2095" s="98"/>
      <c r="F2095" s="98"/>
      <c r="G2095" s="99"/>
      <c r="H2095" s="99"/>
      <c r="I2095" s="99"/>
      <c r="J2095" s="99"/>
      <c r="K2095" s="98"/>
      <c r="L2095" s="98"/>
      <c r="M2095" s="98"/>
      <c r="N2095" s="98"/>
      <c r="O2095" s="98"/>
      <c r="P2095" s="98"/>
      <c r="Q2095" s="98"/>
      <c r="R2095" s="98"/>
      <c r="S2095" s="98"/>
      <c r="T2095" s="98"/>
      <c r="U2095" s="98"/>
      <c r="V2095" s="98"/>
      <c r="W2095" s="98"/>
      <c r="X2095" s="98"/>
      <c r="Y2095" s="98"/>
      <c r="Z2095" s="98"/>
      <c r="AA2095" s="98"/>
      <c r="AB2095" s="98"/>
      <c r="AC2095" s="98"/>
      <c r="AD2095" s="98"/>
      <c r="AE2095" s="98"/>
      <c r="AF2095" s="98"/>
      <c r="AG2095" s="98"/>
      <c r="AH2095" s="98"/>
      <c r="AI2095" s="98"/>
      <c r="AJ2095" s="98"/>
      <c r="AK2095" s="98"/>
      <c r="AL2095" s="98"/>
      <c r="AM2095" s="98"/>
    </row>
    <row r="2096" spans="1:39" s="100" customFormat="1" ht="15.6" x14ac:dyDescent="0.3">
      <c r="A2096" s="97"/>
      <c r="B2096" s="98"/>
      <c r="C2096" s="98"/>
      <c r="D2096" s="98"/>
      <c r="E2096" s="98"/>
      <c r="F2096" s="98"/>
      <c r="G2096" s="99"/>
      <c r="H2096" s="99"/>
      <c r="I2096" s="99"/>
      <c r="J2096" s="99"/>
      <c r="K2096" s="98"/>
      <c r="L2096" s="98"/>
      <c r="M2096" s="98"/>
      <c r="N2096" s="98"/>
      <c r="O2096" s="98"/>
      <c r="P2096" s="98"/>
      <c r="Q2096" s="98"/>
      <c r="R2096" s="98"/>
      <c r="S2096" s="98"/>
      <c r="T2096" s="98"/>
      <c r="U2096" s="98"/>
      <c r="V2096" s="98"/>
      <c r="W2096" s="98"/>
      <c r="X2096" s="98"/>
      <c r="Y2096" s="98"/>
      <c r="Z2096" s="98"/>
      <c r="AA2096" s="98"/>
      <c r="AB2096" s="98"/>
      <c r="AC2096" s="98"/>
      <c r="AD2096" s="98"/>
      <c r="AE2096" s="98"/>
      <c r="AF2096" s="98"/>
      <c r="AG2096" s="98"/>
      <c r="AH2096" s="98"/>
      <c r="AI2096" s="98"/>
      <c r="AJ2096" s="98"/>
      <c r="AK2096" s="98"/>
      <c r="AL2096" s="98"/>
      <c r="AM2096" s="98"/>
    </row>
    <row r="2097" spans="1:39" s="100" customFormat="1" ht="15.6" x14ac:dyDescent="0.3">
      <c r="A2097" s="97"/>
      <c r="B2097" s="98"/>
      <c r="C2097" s="98"/>
      <c r="D2097" s="98"/>
      <c r="E2097" s="98"/>
      <c r="F2097" s="98"/>
      <c r="G2097" s="99"/>
      <c r="H2097" s="99"/>
      <c r="I2097" s="99"/>
      <c r="J2097" s="99"/>
      <c r="K2097" s="98"/>
      <c r="L2097" s="98"/>
      <c r="M2097" s="98"/>
      <c r="N2097" s="98"/>
      <c r="O2097" s="98"/>
      <c r="P2097" s="98"/>
      <c r="Q2097" s="98"/>
      <c r="R2097" s="98"/>
      <c r="S2097" s="98"/>
      <c r="T2097" s="98"/>
      <c r="U2097" s="98"/>
      <c r="V2097" s="98"/>
      <c r="W2097" s="98"/>
      <c r="X2097" s="98"/>
      <c r="Y2097" s="98"/>
      <c r="Z2097" s="98"/>
      <c r="AA2097" s="98"/>
      <c r="AB2097" s="98"/>
      <c r="AC2097" s="98"/>
      <c r="AD2097" s="98"/>
      <c r="AE2097" s="98"/>
      <c r="AF2097" s="98"/>
      <c r="AG2097" s="98"/>
      <c r="AH2097" s="98"/>
      <c r="AI2097" s="98"/>
      <c r="AJ2097" s="98"/>
      <c r="AK2097" s="98"/>
      <c r="AL2097" s="98"/>
      <c r="AM2097" s="98"/>
    </row>
    <row r="2098" spans="1:39" s="100" customFormat="1" ht="15.6" x14ac:dyDescent="0.3">
      <c r="A2098" s="97"/>
      <c r="B2098" s="98"/>
      <c r="C2098" s="98"/>
      <c r="D2098" s="98"/>
      <c r="E2098" s="98"/>
      <c r="F2098" s="98"/>
      <c r="G2098" s="99"/>
      <c r="H2098" s="99"/>
      <c r="I2098" s="99"/>
      <c r="J2098" s="99"/>
      <c r="K2098" s="98"/>
      <c r="L2098" s="98"/>
      <c r="M2098" s="98"/>
      <c r="N2098" s="98"/>
      <c r="O2098" s="98"/>
      <c r="P2098" s="98"/>
      <c r="Q2098" s="98"/>
      <c r="R2098" s="98"/>
      <c r="S2098" s="98"/>
      <c r="T2098" s="98"/>
      <c r="U2098" s="98"/>
      <c r="V2098" s="98"/>
      <c r="W2098" s="98"/>
      <c r="X2098" s="98"/>
      <c r="Y2098" s="98"/>
      <c r="Z2098" s="98"/>
      <c r="AA2098" s="98"/>
      <c r="AB2098" s="98"/>
      <c r="AC2098" s="98"/>
      <c r="AD2098" s="98"/>
      <c r="AE2098" s="98"/>
      <c r="AF2098" s="98"/>
      <c r="AG2098" s="98"/>
      <c r="AH2098" s="98"/>
      <c r="AI2098" s="98"/>
      <c r="AJ2098" s="98"/>
      <c r="AK2098" s="98"/>
      <c r="AL2098" s="98"/>
      <c r="AM2098" s="98"/>
    </row>
    <row r="2099" spans="1:39" s="100" customFormat="1" ht="15.6" x14ac:dyDescent="0.3">
      <c r="A2099" s="97"/>
      <c r="B2099" s="98"/>
      <c r="C2099" s="98"/>
      <c r="D2099" s="98"/>
      <c r="E2099" s="98"/>
      <c r="F2099" s="98"/>
      <c r="G2099" s="99"/>
      <c r="H2099" s="99"/>
      <c r="I2099" s="99"/>
      <c r="J2099" s="99"/>
      <c r="K2099" s="98"/>
      <c r="L2099" s="98"/>
      <c r="M2099" s="98"/>
      <c r="N2099" s="98"/>
      <c r="O2099" s="98"/>
      <c r="P2099" s="98"/>
      <c r="Q2099" s="98"/>
      <c r="R2099" s="98"/>
      <c r="S2099" s="98"/>
      <c r="T2099" s="98"/>
      <c r="U2099" s="98"/>
      <c r="V2099" s="98"/>
      <c r="W2099" s="98"/>
      <c r="X2099" s="98"/>
      <c r="Y2099" s="98"/>
      <c r="Z2099" s="98"/>
      <c r="AA2099" s="98"/>
      <c r="AB2099" s="98"/>
      <c r="AC2099" s="98"/>
      <c r="AD2099" s="98"/>
      <c r="AE2099" s="98"/>
      <c r="AF2099" s="98"/>
      <c r="AG2099" s="98"/>
      <c r="AH2099" s="98"/>
      <c r="AI2099" s="98"/>
      <c r="AJ2099" s="98"/>
      <c r="AK2099" s="98"/>
      <c r="AL2099" s="98"/>
      <c r="AM2099" s="98"/>
    </row>
    <row r="2100" spans="1:39" s="100" customFormat="1" ht="15.6" x14ac:dyDescent="0.3">
      <c r="A2100" s="97"/>
      <c r="B2100" s="98"/>
      <c r="C2100" s="98"/>
      <c r="D2100" s="98"/>
      <c r="E2100" s="98"/>
      <c r="F2100" s="98"/>
      <c r="G2100" s="99"/>
      <c r="H2100" s="99"/>
      <c r="I2100" s="99"/>
      <c r="J2100" s="99"/>
      <c r="K2100" s="98"/>
      <c r="L2100" s="98"/>
      <c r="M2100" s="98"/>
      <c r="N2100" s="98"/>
      <c r="O2100" s="98"/>
      <c r="P2100" s="98"/>
      <c r="Q2100" s="98"/>
      <c r="R2100" s="98"/>
      <c r="S2100" s="98"/>
      <c r="T2100" s="98"/>
      <c r="U2100" s="98"/>
      <c r="V2100" s="98"/>
      <c r="W2100" s="98"/>
      <c r="X2100" s="98"/>
      <c r="Y2100" s="98"/>
      <c r="Z2100" s="98"/>
      <c r="AA2100" s="98"/>
      <c r="AB2100" s="98"/>
      <c r="AC2100" s="98"/>
      <c r="AD2100" s="98"/>
      <c r="AE2100" s="98"/>
      <c r="AF2100" s="98"/>
      <c r="AG2100" s="98"/>
      <c r="AH2100" s="98"/>
      <c r="AI2100" s="98"/>
      <c r="AJ2100" s="98"/>
      <c r="AK2100" s="98"/>
      <c r="AL2100" s="98"/>
      <c r="AM2100" s="98"/>
    </row>
    <row r="2101" spans="1:39" s="100" customFormat="1" ht="15.6" x14ac:dyDescent="0.3">
      <c r="A2101" s="97"/>
      <c r="B2101" s="98"/>
      <c r="C2101" s="98"/>
      <c r="D2101" s="98"/>
      <c r="E2101" s="98"/>
      <c r="F2101" s="98"/>
      <c r="G2101" s="99"/>
      <c r="H2101" s="99"/>
      <c r="I2101" s="99"/>
      <c r="J2101" s="99"/>
      <c r="K2101" s="98"/>
      <c r="L2101" s="98"/>
      <c r="M2101" s="98"/>
      <c r="N2101" s="98"/>
      <c r="O2101" s="98"/>
      <c r="P2101" s="98"/>
      <c r="Q2101" s="98"/>
      <c r="R2101" s="98"/>
      <c r="S2101" s="98"/>
      <c r="T2101" s="98"/>
      <c r="U2101" s="98"/>
      <c r="V2101" s="98"/>
      <c r="W2101" s="98"/>
      <c r="X2101" s="98"/>
      <c r="Y2101" s="98"/>
      <c r="Z2101" s="98"/>
      <c r="AA2101" s="98"/>
      <c r="AB2101" s="98"/>
      <c r="AC2101" s="98"/>
      <c r="AD2101" s="98"/>
      <c r="AE2101" s="98"/>
      <c r="AF2101" s="98"/>
      <c r="AG2101" s="98"/>
      <c r="AH2101" s="98"/>
      <c r="AI2101" s="98"/>
      <c r="AJ2101" s="98"/>
      <c r="AK2101" s="98"/>
      <c r="AL2101" s="98"/>
      <c r="AM2101" s="98"/>
    </row>
    <row r="2102" spans="1:39" s="100" customFormat="1" ht="15.6" x14ac:dyDescent="0.3">
      <c r="A2102" s="97"/>
      <c r="B2102" s="98"/>
      <c r="C2102" s="98"/>
      <c r="D2102" s="98"/>
      <c r="E2102" s="98"/>
      <c r="F2102" s="98"/>
      <c r="G2102" s="99"/>
      <c r="H2102" s="99"/>
      <c r="I2102" s="99"/>
      <c r="J2102" s="99"/>
      <c r="K2102" s="98"/>
      <c r="L2102" s="98"/>
      <c r="M2102" s="98"/>
      <c r="N2102" s="98"/>
      <c r="O2102" s="98"/>
      <c r="P2102" s="98"/>
      <c r="Q2102" s="98"/>
      <c r="R2102" s="98"/>
      <c r="S2102" s="98"/>
      <c r="T2102" s="98"/>
      <c r="U2102" s="98"/>
      <c r="V2102" s="98"/>
      <c r="W2102" s="98"/>
      <c r="X2102" s="98"/>
      <c r="Y2102" s="98"/>
      <c r="Z2102" s="98"/>
      <c r="AA2102" s="98"/>
      <c r="AB2102" s="98"/>
      <c r="AC2102" s="98"/>
      <c r="AD2102" s="98"/>
      <c r="AE2102" s="98"/>
      <c r="AF2102" s="98"/>
      <c r="AG2102" s="98"/>
      <c r="AH2102" s="98"/>
      <c r="AI2102" s="98"/>
      <c r="AJ2102" s="98"/>
      <c r="AK2102" s="98"/>
      <c r="AL2102" s="98"/>
      <c r="AM2102" s="98"/>
    </row>
    <row r="2103" spans="1:39" s="100" customFormat="1" ht="15.6" x14ac:dyDescent="0.3">
      <c r="A2103" s="97"/>
      <c r="B2103" s="98"/>
      <c r="C2103" s="98"/>
      <c r="D2103" s="98"/>
      <c r="E2103" s="98"/>
      <c r="F2103" s="98"/>
      <c r="G2103" s="99"/>
      <c r="H2103" s="99"/>
      <c r="I2103" s="99"/>
      <c r="J2103" s="99"/>
      <c r="K2103" s="98"/>
      <c r="L2103" s="98"/>
      <c r="M2103" s="98"/>
      <c r="N2103" s="98"/>
      <c r="O2103" s="98"/>
      <c r="P2103" s="98"/>
      <c r="Q2103" s="98"/>
      <c r="R2103" s="98"/>
      <c r="S2103" s="98"/>
      <c r="T2103" s="98"/>
      <c r="U2103" s="98"/>
      <c r="V2103" s="98"/>
      <c r="W2103" s="98"/>
      <c r="X2103" s="98"/>
      <c r="Y2103" s="98"/>
      <c r="Z2103" s="98"/>
      <c r="AA2103" s="98"/>
      <c r="AB2103" s="98"/>
      <c r="AC2103" s="98"/>
      <c r="AD2103" s="98"/>
      <c r="AE2103" s="98"/>
      <c r="AF2103" s="98"/>
      <c r="AG2103" s="98"/>
      <c r="AH2103" s="98"/>
      <c r="AI2103" s="98"/>
      <c r="AJ2103" s="98"/>
      <c r="AK2103" s="98"/>
      <c r="AL2103" s="98"/>
      <c r="AM2103" s="98"/>
    </row>
    <row r="2104" spans="1:39" s="100" customFormat="1" ht="15.6" x14ac:dyDescent="0.3">
      <c r="A2104" s="97"/>
      <c r="B2104" s="98"/>
      <c r="C2104" s="98"/>
      <c r="D2104" s="98"/>
      <c r="E2104" s="98"/>
      <c r="F2104" s="98"/>
      <c r="G2104" s="99"/>
      <c r="H2104" s="99"/>
      <c r="I2104" s="99"/>
      <c r="J2104" s="99"/>
      <c r="K2104" s="98"/>
      <c r="L2104" s="98"/>
      <c r="M2104" s="98"/>
      <c r="N2104" s="98"/>
      <c r="O2104" s="98"/>
      <c r="P2104" s="98"/>
      <c r="Q2104" s="98"/>
      <c r="R2104" s="98"/>
      <c r="S2104" s="98"/>
      <c r="T2104" s="98"/>
      <c r="U2104" s="98"/>
      <c r="V2104" s="98"/>
      <c r="W2104" s="98"/>
      <c r="X2104" s="98"/>
      <c r="Y2104" s="98"/>
      <c r="Z2104" s="98"/>
      <c r="AA2104" s="98"/>
      <c r="AB2104" s="98"/>
      <c r="AC2104" s="98"/>
      <c r="AD2104" s="98"/>
      <c r="AE2104" s="98"/>
      <c r="AF2104" s="98"/>
      <c r="AG2104" s="98"/>
      <c r="AH2104" s="98"/>
      <c r="AI2104" s="98"/>
      <c r="AJ2104" s="98"/>
      <c r="AK2104" s="98"/>
      <c r="AL2104" s="98"/>
      <c r="AM2104" s="98"/>
    </row>
    <row r="2105" spans="1:39" s="100" customFormat="1" ht="15.6" x14ac:dyDescent="0.3">
      <c r="A2105" s="97"/>
      <c r="B2105" s="98"/>
      <c r="C2105" s="98"/>
      <c r="D2105" s="98"/>
      <c r="E2105" s="98"/>
      <c r="F2105" s="98"/>
      <c r="G2105" s="99"/>
      <c r="H2105" s="99"/>
      <c r="I2105" s="99"/>
      <c r="J2105" s="99"/>
      <c r="K2105" s="98"/>
      <c r="L2105" s="98"/>
      <c r="M2105" s="98"/>
      <c r="N2105" s="98"/>
      <c r="O2105" s="98"/>
      <c r="P2105" s="98"/>
      <c r="Q2105" s="98"/>
      <c r="R2105" s="98"/>
      <c r="S2105" s="98"/>
      <c r="T2105" s="98"/>
      <c r="U2105" s="98"/>
      <c r="V2105" s="98"/>
      <c r="W2105" s="98"/>
      <c r="X2105" s="98"/>
      <c r="Y2105" s="98"/>
      <c r="Z2105" s="98"/>
      <c r="AA2105" s="98"/>
      <c r="AB2105" s="98"/>
      <c r="AC2105" s="98"/>
      <c r="AD2105" s="98"/>
      <c r="AE2105" s="98"/>
      <c r="AF2105" s="98"/>
      <c r="AG2105" s="98"/>
      <c r="AH2105" s="98"/>
      <c r="AI2105" s="98"/>
      <c r="AJ2105" s="98"/>
      <c r="AK2105" s="98"/>
      <c r="AL2105" s="98"/>
      <c r="AM2105" s="98"/>
    </row>
    <row r="2106" spans="1:39" s="100" customFormat="1" ht="15.6" x14ac:dyDescent="0.3">
      <c r="A2106" s="97"/>
      <c r="B2106" s="98"/>
      <c r="C2106" s="98"/>
      <c r="D2106" s="98"/>
      <c r="E2106" s="98"/>
      <c r="F2106" s="98"/>
      <c r="G2106" s="99"/>
      <c r="H2106" s="99"/>
      <c r="I2106" s="99"/>
      <c r="J2106" s="99"/>
      <c r="K2106" s="98"/>
      <c r="L2106" s="98"/>
      <c r="M2106" s="98"/>
      <c r="N2106" s="98"/>
      <c r="O2106" s="98"/>
      <c r="P2106" s="98"/>
      <c r="Q2106" s="98"/>
      <c r="R2106" s="98"/>
      <c r="S2106" s="98"/>
      <c r="T2106" s="98"/>
      <c r="U2106" s="98"/>
      <c r="V2106" s="98"/>
      <c r="W2106" s="98"/>
      <c r="X2106" s="98"/>
      <c r="Y2106" s="98"/>
      <c r="Z2106" s="98"/>
      <c r="AA2106" s="98"/>
      <c r="AB2106" s="98"/>
      <c r="AC2106" s="98"/>
      <c r="AD2106" s="98"/>
      <c r="AE2106" s="98"/>
      <c r="AF2106" s="98"/>
      <c r="AG2106" s="98"/>
      <c r="AH2106" s="98"/>
      <c r="AI2106" s="98"/>
      <c r="AJ2106" s="98"/>
      <c r="AK2106" s="98"/>
      <c r="AL2106" s="98"/>
      <c r="AM2106" s="98"/>
    </row>
    <row r="2107" spans="1:39" s="100" customFormat="1" ht="15.6" x14ac:dyDescent="0.3">
      <c r="A2107" s="97"/>
      <c r="B2107" s="98"/>
      <c r="C2107" s="98"/>
      <c r="D2107" s="98"/>
      <c r="E2107" s="98"/>
      <c r="F2107" s="98"/>
      <c r="G2107" s="99"/>
      <c r="H2107" s="99"/>
      <c r="I2107" s="99"/>
      <c r="J2107" s="99"/>
      <c r="K2107" s="98"/>
      <c r="L2107" s="98"/>
      <c r="M2107" s="98"/>
      <c r="N2107" s="98"/>
      <c r="O2107" s="98"/>
      <c r="P2107" s="98"/>
      <c r="Q2107" s="98"/>
      <c r="R2107" s="98"/>
      <c r="S2107" s="98"/>
      <c r="T2107" s="98"/>
      <c r="U2107" s="98"/>
      <c r="V2107" s="98"/>
      <c r="W2107" s="98"/>
      <c r="X2107" s="98"/>
      <c r="Y2107" s="98"/>
      <c r="Z2107" s="98"/>
      <c r="AA2107" s="98"/>
      <c r="AB2107" s="98"/>
      <c r="AC2107" s="98"/>
      <c r="AD2107" s="98"/>
      <c r="AE2107" s="98"/>
      <c r="AF2107" s="98"/>
      <c r="AG2107" s="98"/>
      <c r="AH2107" s="98"/>
      <c r="AI2107" s="98"/>
      <c r="AJ2107" s="98"/>
      <c r="AK2107" s="98"/>
      <c r="AL2107" s="98"/>
      <c r="AM2107" s="98"/>
    </row>
    <row r="2108" spans="1:39" s="100" customFormat="1" ht="15.6" x14ac:dyDescent="0.3">
      <c r="A2108" s="97"/>
      <c r="B2108" s="98"/>
      <c r="C2108" s="98"/>
      <c r="D2108" s="98"/>
      <c r="E2108" s="98"/>
      <c r="F2108" s="98"/>
      <c r="G2108" s="99"/>
      <c r="H2108" s="99"/>
      <c r="I2108" s="99"/>
      <c r="J2108" s="99"/>
      <c r="K2108" s="98"/>
      <c r="L2108" s="98"/>
      <c r="M2108" s="98"/>
      <c r="N2108" s="98"/>
      <c r="O2108" s="98"/>
      <c r="P2108" s="98"/>
      <c r="Q2108" s="98"/>
      <c r="R2108" s="98"/>
      <c r="S2108" s="98"/>
      <c r="T2108" s="98"/>
      <c r="U2108" s="98"/>
      <c r="V2108" s="98"/>
      <c r="W2108" s="98"/>
      <c r="X2108" s="98"/>
      <c r="Y2108" s="98"/>
      <c r="Z2108" s="98"/>
      <c r="AA2108" s="98"/>
      <c r="AB2108" s="98"/>
      <c r="AC2108" s="98"/>
      <c r="AD2108" s="98"/>
      <c r="AE2108" s="98"/>
      <c r="AF2108" s="98"/>
      <c r="AG2108" s="98"/>
      <c r="AH2108" s="98"/>
      <c r="AI2108" s="98"/>
      <c r="AJ2108" s="98"/>
      <c r="AK2108" s="98"/>
      <c r="AL2108" s="98"/>
      <c r="AM2108" s="98"/>
    </row>
    <row r="2109" spans="1:39" s="100" customFormat="1" ht="15.6" x14ac:dyDescent="0.3">
      <c r="A2109" s="97"/>
      <c r="B2109" s="98"/>
      <c r="C2109" s="98"/>
      <c r="D2109" s="98"/>
      <c r="E2109" s="98"/>
      <c r="F2109" s="98"/>
      <c r="G2109" s="99"/>
      <c r="H2109" s="99"/>
      <c r="I2109" s="99"/>
      <c r="J2109" s="99"/>
      <c r="K2109" s="98"/>
      <c r="L2109" s="98"/>
      <c r="M2109" s="98"/>
      <c r="N2109" s="98"/>
      <c r="O2109" s="98"/>
      <c r="P2109" s="98"/>
      <c r="Q2109" s="98"/>
      <c r="R2109" s="98"/>
      <c r="S2109" s="98"/>
      <c r="T2109" s="98"/>
      <c r="U2109" s="98"/>
      <c r="V2109" s="98"/>
      <c r="W2109" s="98"/>
      <c r="X2109" s="98"/>
      <c r="Y2109" s="98"/>
      <c r="Z2109" s="98"/>
      <c r="AA2109" s="98"/>
      <c r="AB2109" s="98"/>
      <c r="AC2109" s="98"/>
      <c r="AD2109" s="98"/>
      <c r="AE2109" s="98"/>
      <c r="AF2109" s="98"/>
      <c r="AG2109" s="98"/>
      <c r="AH2109" s="98"/>
      <c r="AI2109" s="98"/>
      <c r="AJ2109" s="98"/>
      <c r="AK2109" s="98"/>
      <c r="AL2109" s="98"/>
      <c r="AM2109" s="98"/>
    </row>
    <row r="2110" spans="1:39" s="100" customFormat="1" ht="15.6" x14ac:dyDescent="0.3">
      <c r="A2110" s="97"/>
      <c r="B2110" s="98"/>
      <c r="C2110" s="98"/>
      <c r="D2110" s="98"/>
      <c r="E2110" s="98"/>
      <c r="F2110" s="98"/>
      <c r="G2110" s="99"/>
      <c r="H2110" s="99"/>
      <c r="I2110" s="99"/>
      <c r="J2110" s="99"/>
      <c r="K2110" s="98"/>
      <c r="L2110" s="98"/>
      <c r="M2110" s="98"/>
      <c r="N2110" s="98"/>
      <c r="O2110" s="98"/>
      <c r="P2110" s="98"/>
      <c r="Q2110" s="98"/>
      <c r="R2110" s="98"/>
      <c r="S2110" s="98"/>
      <c r="T2110" s="98"/>
      <c r="U2110" s="98"/>
      <c r="V2110" s="98"/>
      <c r="W2110" s="98"/>
      <c r="X2110" s="98"/>
      <c r="Y2110" s="98"/>
      <c r="Z2110" s="98"/>
      <c r="AA2110" s="98"/>
      <c r="AB2110" s="98"/>
      <c r="AC2110" s="98"/>
      <c r="AD2110" s="98"/>
      <c r="AE2110" s="98"/>
      <c r="AF2110" s="98"/>
      <c r="AG2110" s="98"/>
      <c r="AH2110" s="98"/>
      <c r="AI2110" s="98"/>
      <c r="AJ2110" s="98"/>
      <c r="AK2110" s="98"/>
      <c r="AL2110" s="98"/>
      <c r="AM2110" s="98"/>
    </row>
    <row r="2111" spans="1:39" s="100" customFormat="1" ht="15.6" x14ac:dyDescent="0.3">
      <c r="A2111" s="97"/>
      <c r="B2111" s="98"/>
      <c r="C2111" s="98"/>
      <c r="D2111" s="98"/>
      <c r="E2111" s="98"/>
      <c r="F2111" s="98"/>
      <c r="G2111" s="99"/>
      <c r="H2111" s="99"/>
      <c r="I2111" s="99"/>
      <c r="J2111" s="99"/>
      <c r="K2111" s="98"/>
      <c r="L2111" s="98"/>
      <c r="M2111" s="98"/>
      <c r="N2111" s="98"/>
      <c r="O2111" s="98"/>
      <c r="P2111" s="98"/>
      <c r="Q2111" s="98"/>
      <c r="R2111" s="98"/>
      <c r="S2111" s="98"/>
      <c r="T2111" s="98"/>
      <c r="U2111" s="98"/>
      <c r="V2111" s="98"/>
      <c r="W2111" s="98"/>
      <c r="X2111" s="98"/>
      <c r="Y2111" s="98"/>
      <c r="Z2111" s="98"/>
      <c r="AA2111" s="98"/>
      <c r="AB2111" s="98"/>
      <c r="AC2111" s="98"/>
      <c r="AD2111" s="98"/>
      <c r="AE2111" s="98"/>
      <c r="AF2111" s="98"/>
      <c r="AG2111" s="98"/>
      <c r="AH2111" s="98"/>
      <c r="AI2111" s="98"/>
      <c r="AJ2111" s="98"/>
      <c r="AK2111" s="98"/>
      <c r="AL2111" s="98"/>
      <c r="AM2111" s="98"/>
    </row>
    <row r="2112" spans="1:39" s="100" customFormat="1" ht="15.6" x14ac:dyDescent="0.3">
      <c r="A2112" s="97"/>
      <c r="B2112" s="98"/>
      <c r="C2112" s="98"/>
      <c r="D2112" s="98"/>
      <c r="E2112" s="98"/>
      <c r="F2112" s="98"/>
      <c r="G2112" s="99"/>
      <c r="H2112" s="99"/>
      <c r="I2112" s="99"/>
      <c r="J2112" s="99"/>
      <c r="K2112" s="98"/>
      <c r="L2112" s="98"/>
      <c r="M2112" s="98"/>
      <c r="N2112" s="98"/>
      <c r="O2112" s="98"/>
      <c r="P2112" s="98"/>
      <c r="Q2112" s="98"/>
      <c r="R2112" s="98"/>
      <c r="S2112" s="98"/>
      <c r="T2112" s="98"/>
      <c r="U2112" s="98"/>
      <c r="V2112" s="98"/>
      <c r="W2112" s="98"/>
      <c r="X2112" s="98"/>
      <c r="Y2112" s="98"/>
      <c r="Z2112" s="98"/>
      <c r="AA2112" s="98"/>
      <c r="AB2112" s="98"/>
      <c r="AC2112" s="98"/>
      <c r="AD2112" s="98"/>
      <c r="AE2112" s="98"/>
      <c r="AF2112" s="98"/>
      <c r="AG2112" s="98"/>
      <c r="AH2112" s="98"/>
      <c r="AI2112" s="98"/>
      <c r="AJ2112" s="98"/>
      <c r="AK2112" s="98"/>
      <c r="AL2112" s="98"/>
      <c r="AM2112" s="98"/>
    </row>
    <row r="2113" spans="1:39" s="100" customFormat="1" ht="15.6" x14ac:dyDescent="0.3">
      <c r="A2113" s="97"/>
      <c r="B2113" s="98"/>
      <c r="C2113" s="98"/>
      <c r="D2113" s="98"/>
      <c r="E2113" s="98"/>
      <c r="F2113" s="98"/>
      <c r="G2113" s="99"/>
      <c r="H2113" s="99"/>
      <c r="I2113" s="99"/>
      <c r="J2113" s="99"/>
      <c r="K2113" s="98"/>
      <c r="L2113" s="98"/>
      <c r="M2113" s="98"/>
      <c r="N2113" s="98"/>
      <c r="O2113" s="98"/>
      <c r="P2113" s="98"/>
      <c r="Q2113" s="98"/>
      <c r="R2113" s="98"/>
      <c r="S2113" s="98"/>
      <c r="T2113" s="98"/>
      <c r="U2113" s="98"/>
      <c r="V2113" s="98"/>
      <c r="W2113" s="98"/>
      <c r="X2113" s="98"/>
      <c r="Y2113" s="98"/>
      <c r="Z2113" s="98"/>
      <c r="AA2113" s="98"/>
      <c r="AB2113" s="98"/>
      <c r="AC2113" s="98"/>
      <c r="AD2113" s="98"/>
      <c r="AE2113" s="98"/>
      <c r="AF2113" s="98"/>
      <c r="AG2113" s="98"/>
      <c r="AH2113" s="98"/>
      <c r="AI2113" s="98"/>
      <c r="AJ2113" s="98"/>
      <c r="AK2113" s="98"/>
      <c r="AL2113" s="98"/>
      <c r="AM2113" s="98"/>
    </row>
    <row r="2114" spans="1:39" s="100" customFormat="1" ht="15.6" x14ac:dyDescent="0.3">
      <c r="A2114" s="97"/>
      <c r="B2114" s="98"/>
      <c r="C2114" s="98"/>
      <c r="D2114" s="98"/>
      <c r="E2114" s="98"/>
      <c r="F2114" s="98"/>
      <c r="G2114" s="99"/>
      <c r="H2114" s="99"/>
      <c r="I2114" s="99"/>
      <c r="J2114" s="99"/>
      <c r="K2114" s="98"/>
      <c r="L2114" s="98"/>
      <c r="M2114" s="98"/>
      <c r="N2114" s="98"/>
      <c r="O2114" s="98"/>
      <c r="P2114" s="98"/>
      <c r="Q2114" s="98"/>
      <c r="R2114" s="98"/>
      <c r="S2114" s="98"/>
      <c r="T2114" s="98"/>
      <c r="U2114" s="98"/>
      <c r="V2114" s="98"/>
      <c r="W2114" s="98"/>
      <c r="X2114" s="98"/>
      <c r="Y2114" s="98"/>
      <c r="Z2114" s="98"/>
      <c r="AA2114" s="98"/>
      <c r="AB2114" s="98"/>
      <c r="AC2114" s="98"/>
      <c r="AD2114" s="98"/>
      <c r="AE2114" s="98"/>
      <c r="AF2114" s="98"/>
      <c r="AG2114" s="98"/>
      <c r="AH2114" s="98"/>
      <c r="AI2114" s="98"/>
      <c r="AJ2114" s="98"/>
      <c r="AK2114" s="98"/>
      <c r="AL2114" s="98"/>
      <c r="AM2114" s="98"/>
    </row>
    <row r="2115" spans="1:39" s="100" customFormat="1" ht="15.6" x14ac:dyDescent="0.3">
      <c r="A2115" s="97"/>
      <c r="B2115" s="98"/>
      <c r="C2115" s="98"/>
      <c r="D2115" s="98"/>
      <c r="E2115" s="98"/>
      <c r="F2115" s="98"/>
      <c r="G2115" s="99"/>
      <c r="H2115" s="99"/>
      <c r="I2115" s="99"/>
      <c r="J2115" s="99"/>
      <c r="K2115" s="98"/>
      <c r="L2115" s="98"/>
      <c r="M2115" s="98"/>
      <c r="N2115" s="98"/>
      <c r="O2115" s="98"/>
      <c r="P2115" s="98"/>
      <c r="Q2115" s="98"/>
      <c r="R2115" s="98"/>
      <c r="S2115" s="98"/>
      <c r="T2115" s="98"/>
      <c r="U2115" s="98"/>
      <c r="V2115" s="98"/>
      <c r="W2115" s="98"/>
      <c r="X2115" s="98"/>
      <c r="Y2115" s="98"/>
      <c r="Z2115" s="98"/>
      <c r="AA2115" s="98"/>
      <c r="AB2115" s="98"/>
      <c r="AC2115" s="98"/>
      <c r="AD2115" s="98"/>
      <c r="AE2115" s="98"/>
      <c r="AF2115" s="98"/>
      <c r="AG2115" s="98"/>
      <c r="AH2115" s="98"/>
      <c r="AI2115" s="98"/>
      <c r="AJ2115" s="98"/>
      <c r="AK2115" s="98"/>
      <c r="AL2115" s="98"/>
      <c r="AM2115" s="98"/>
    </row>
    <row r="2116" spans="1:39" s="100" customFormat="1" ht="15.6" x14ac:dyDescent="0.3">
      <c r="A2116" s="97"/>
      <c r="B2116" s="98"/>
      <c r="C2116" s="98"/>
      <c r="D2116" s="98"/>
      <c r="E2116" s="98"/>
      <c r="F2116" s="98"/>
      <c r="G2116" s="99"/>
      <c r="H2116" s="99"/>
      <c r="I2116" s="99"/>
      <c r="J2116" s="99"/>
      <c r="K2116" s="98"/>
      <c r="L2116" s="98"/>
      <c r="M2116" s="98"/>
      <c r="N2116" s="98"/>
      <c r="O2116" s="98"/>
      <c r="P2116" s="98"/>
      <c r="Q2116" s="98"/>
      <c r="R2116" s="98"/>
      <c r="S2116" s="98"/>
      <c r="T2116" s="98"/>
      <c r="U2116" s="98"/>
      <c r="V2116" s="98"/>
      <c r="W2116" s="98"/>
      <c r="X2116" s="98"/>
      <c r="Y2116" s="98"/>
      <c r="Z2116" s="98"/>
      <c r="AA2116" s="98"/>
      <c r="AB2116" s="98"/>
      <c r="AC2116" s="98"/>
      <c r="AD2116" s="98"/>
      <c r="AE2116" s="98"/>
      <c r="AF2116" s="98"/>
      <c r="AG2116" s="98"/>
      <c r="AH2116" s="98"/>
      <c r="AI2116" s="98"/>
      <c r="AJ2116" s="98"/>
      <c r="AK2116" s="98"/>
      <c r="AL2116" s="98"/>
      <c r="AM2116" s="98"/>
    </row>
    <row r="2117" spans="1:39" s="100" customFormat="1" ht="15.6" x14ac:dyDescent="0.3">
      <c r="A2117" s="97"/>
      <c r="B2117" s="98"/>
      <c r="C2117" s="98"/>
      <c r="D2117" s="98"/>
      <c r="E2117" s="98"/>
      <c r="F2117" s="98"/>
      <c r="G2117" s="99"/>
      <c r="H2117" s="99"/>
      <c r="I2117" s="99"/>
      <c r="J2117" s="99"/>
      <c r="K2117" s="98"/>
      <c r="L2117" s="98"/>
      <c r="M2117" s="98"/>
      <c r="N2117" s="98"/>
      <c r="O2117" s="98"/>
      <c r="P2117" s="98"/>
      <c r="Q2117" s="98"/>
      <c r="R2117" s="98"/>
      <c r="S2117" s="98"/>
      <c r="T2117" s="98"/>
      <c r="U2117" s="98"/>
      <c r="V2117" s="98"/>
      <c r="W2117" s="98"/>
      <c r="X2117" s="98"/>
      <c r="Y2117" s="98"/>
      <c r="Z2117" s="98"/>
      <c r="AA2117" s="98"/>
      <c r="AB2117" s="98"/>
      <c r="AC2117" s="98"/>
      <c r="AD2117" s="98"/>
      <c r="AE2117" s="98"/>
      <c r="AF2117" s="98"/>
      <c r="AG2117" s="98"/>
      <c r="AH2117" s="98"/>
      <c r="AI2117" s="98"/>
      <c r="AJ2117" s="98"/>
      <c r="AK2117" s="98"/>
      <c r="AL2117" s="98"/>
      <c r="AM2117" s="98"/>
    </row>
    <row r="2118" spans="1:39" s="100" customFormat="1" ht="15.6" x14ac:dyDescent="0.3">
      <c r="A2118" s="97"/>
      <c r="B2118" s="98"/>
      <c r="C2118" s="98"/>
      <c r="D2118" s="98"/>
      <c r="E2118" s="98"/>
      <c r="F2118" s="98"/>
      <c r="G2118" s="99"/>
      <c r="H2118" s="99"/>
      <c r="I2118" s="99"/>
      <c r="J2118" s="99"/>
      <c r="K2118" s="98"/>
      <c r="L2118" s="98"/>
      <c r="M2118" s="98"/>
      <c r="N2118" s="98"/>
      <c r="O2118" s="98"/>
      <c r="P2118" s="98"/>
      <c r="Q2118" s="98"/>
      <c r="R2118" s="98"/>
      <c r="S2118" s="98"/>
      <c r="T2118" s="98"/>
      <c r="U2118" s="98"/>
      <c r="V2118" s="98"/>
      <c r="W2118" s="98"/>
      <c r="X2118" s="98"/>
      <c r="Y2118" s="98"/>
      <c r="Z2118" s="98"/>
      <c r="AA2118" s="98"/>
      <c r="AB2118" s="98"/>
      <c r="AC2118" s="98"/>
      <c r="AD2118" s="98"/>
      <c r="AE2118" s="98"/>
      <c r="AF2118" s="98"/>
      <c r="AG2118" s="98"/>
      <c r="AH2118" s="98"/>
      <c r="AI2118" s="98"/>
      <c r="AJ2118" s="98"/>
      <c r="AK2118" s="98"/>
      <c r="AL2118" s="98"/>
      <c r="AM2118" s="98"/>
    </row>
    <row r="2119" spans="1:39" s="100" customFormat="1" ht="15.6" x14ac:dyDescent="0.3">
      <c r="A2119" s="97"/>
      <c r="B2119" s="98"/>
      <c r="C2119" s="98"/>
      <c r="D2119" s="98"/>
      <c r="E2119" s="98"/>
      <c r="F2119" s="98"/>
      <c r="G2119" s="99"/>
      <c r="H2119" s="99"/>
      <c r="I2119" s="99"/>
      <c r="J2119" s="99"/>
      <c r="K2119" s="98"/>
      <c r="L2119" s="98"/>
      <c r="M2119" s="98"/>
      <c r="N2119" s="98"/>
      <c r="O2119" s="98"/>
      <c r="P2119" s="98"/>
      <c r="Q2119" s="98"/>
      <c r="R2119" s="98"/>
      <c r="S2119" s="98"/>
      <c r="T2119" s="98"/>
      <c r="U2119" s="98"/>
      <c r="V2119" s="98"/>
      <c r="W2119" s="98"/>
      <c r="X2119" s="98"/>
      <c r="Y2119" s="98"/>
      <c r="Z2119" s="98"/>
      <c r="AA2119" s="98"/>
      <c r="AB2119" s="98"/>
      <c r="AC2119" s="98"/>
      <c r="AD2119" s="98"/>
      <c r="AE2119" s="98"/>
      <c r="AF2119" s="98"/>
      <c r="AG2119" s="98"/>
      <c r="AH2119" s="98"/>
      <c r="AI2119" s="98"/>
      <c r="AJ2119" s="98"/>
      <c r="AK2119" s="98"/>
      <c r="AL2119" s="98"/>
      <c r="AM2119" s="98"/>
    </row>
    <row r="2120" spans="1:39" s="100" customFormat="1" ht="15.6" x14ac:dyDescent="0.3">
      <c r="A2120" s="97"/>
      <c r="B2120" s="98"/>
      <c r="C2120" s="98"/>
      <c r="D2120" s="98"/>
      <c r="E2120" s="98"/>
      <c r="F2120" s="98"/>
      <c r="G2120" s="99"/>
      <c r="H2120" s="99"/>
      <c r="I2120" s="99"/>
      <c r="J2120" s="99"/>
      <c r="K2120" s="98"/>
      <c r="L2120" s="98"/>
      <c r="M2120" s="98"/>
      <c r="N2120" s="98"/>
      <c r="O2120" s="98"/>
      <c r="P2120" s="98"/>
      <c r="Q2120" s="98"/>
      <c r="R2120" s="98"/>
      <c r="S2120" s="98"/>
      <c r="T2120" s="98"/>
      <c r="U2120" s="98"/>
      <c r="V2120" s="98"/>
      <c r="W2120" s="98"/>
      <c r="X2120" s="98"/>
      <c r="Y2120" s="98"/>
      <c r="Z2120" s="98"/>
      <c r="AA2120" s="98"/>
      <c r="AB2120" s="98"/>
      <c r="AC2120" s="98"/>
      <c r="AD2120" s="98"/>
      <c r="AE2120" s="98"/>
      <c r="AF2120" s="98"/>
      <c r="AG2120" s="98"/>
      <c r="AH2120" s="98"/>
      <c r="AI2120" s="98"/>
      <c r="AJ2120" s="98"/>
      <c r="AK2120" s="98"/>
      <c r="AL2120" s="98"/>
      <c r="AM2120" s="98"/>
    </row>
    <row r="2121" spans="1:39" s="100" customFormat="1" ht="15.6" x14ac:dyDescent="0.3">
      <c r="A2121" s="97"/>
      <c r="B2121" s="98"/>
      <c r="C2121" s="98"/>
      <c r="D2121" s="98"/>
      <c r="E2121" s="98"/>
      <c r="F2121" s="98"/>
      <c r="G2121" s="99"/>
      <c r="H2121" s="99"/>
      <c r="I2121" s="99"/>
      <c r="J2121" s="99"/>
      <c r="K2121" s="98"/>
      <c r="L2121" s="98"/>
      <c r="M2121" s="98"/>
      <c r="N2121" s="98"/>
      <c r="O2121" s="98"/>
      <c r="P2121" s="98"/>
      <c r="Q2121" s="98"/>
      <c r="R2121" s="98"/>
      <c r="S2121" s="98"/>
      <c r="T2121" s="98"/>
      <c r="U2121" s="98"/>
      <c r="V2121" s="98"/>
      <c r="W2121" s="98"/>
      <c r="X2121" s="98"/>
      <c r="Y2121" s="98"/>
      <c r="Z2121" s="98"/>
      <c r="AA2121" s="98"/>
      <c r="AB2121" s="98"/>
      <c r="AC2121" s="98"/>
      <c r="AD2121" s="98"/>
      <c r="AE2121" s="98"/>
      <c r="AF2121" s="98"/>
      <c r="AG2121" s="98"/>
      <c r="AH2121" s="98"/>
      <c r="AI2121" s="98"/>
      <c r="AJ2121" s="98"/>
      <c r="AK2121" s="98"/>
      <c r="AL2121" s="98"/>
      <c r="AM2121" s="98"/>
    </row>
    <row r="2122" spans="1:39" s="100" customFormat="1" ht="15.6" x14ac:dyDescent="0.3">
      <c r="A2122" s="97"/>
      <c r="B2122" s="98"/>
      <c r="C2122" s="98"/>
      <c r="D2122" s="98"/>
      <c r="E2122" s="98"/>
      <c r="F2122" s="98"/>
      <c r="G2122" s="99"/>
      <c r="H2122" s="99"/>
      <c r="I2122" s="99"/>
      <c r="J2122" s="99"/>
      <c r="K2122" s="98"/>
      <c r="L2122" s="98"/>
      <c r="M2122" s="98"/>
      <c r="N2122" s="98"/>
      <c r="O2122" s="98"/>
      <c r="P2122" s="98"/>
      <c r="Q2122" s="98"/>
      <c r="R2122" s="98"/>
      <c r="S2122" s="98"/>
      <c r="T2122" s="98"/>
      <c r="U2122" s="98"/>
      <c r="V2122" s="98"/>
      <c r="W2122" s="98"/>
      <c r="X2122" s="98"/>
      <c r="Y2122" s="98"/>
      <c r="Z2122" s="98"/>
      <c r="AA2122" s="98"/>
      <c r="AB2122" s="98"/>
      <c r="AC2122" s="98"/>
      <c r="AD2122" s="98"/>
      <c r="AE2122" s="98"/>
      <c r="AF2122" s="98"/>
      <c r="AG2122" s="98"/>
      <c r="AH2122" s="98"/>
      <c r="AI2122" s="98"/>
      <c r="AJ2122" s="98"/>
      <c r="AK2122" s="98"/>
      <c r="AL2122" s="98"/>
      <c r="AM2122" s="98"/>
    </row>
    <row r="2123" spans="1:39" s="100" customFormat="1" ht="15.6" x14ac:dyDescent="0.3">
      <c r="A2123" s="97"/>
      <c r="B2123" s="98"/>
      <c r="C2123" s="98"/>
      <c r="D2123" s="98"/>
      <c r="E2123" s="98"/>
      <c r="F2123" s="98"/>
      <c r="G2123" s="99"/>
      <c r="H2123" s="99"/>
      <c r="I2123" s="99"/>
      <c r="J2123" s="99"/>
      <c r="K2123" s="98"/>
      <c r="L2123" s="98"/>
      <c r="M2123" s="98"/>
      <c r="N2123" s="98"/>
      <c r="O2123" s="98"/>
      <c r="P2123" s="98"/>
      <c r="Q2123" s="98"/>
      <c r="R2123" s="98"/>
      <c r="S2123" s="98"/>
      <c r="T2123" s="98"/>
      <c r="U2123" s="98"/>
      <c r="V2123" s="98"/>
      <c r="W2123" s="98"/>
      <c r="X2123" s="98"/>
      <c r="Y2123" s="98"/>
      <c r="Z2123" s="98"/>
      <c r="AA2123" s="98"/>
      <c r="AB2123" s="98"/>
      <c r="AC2123" s="98"/>
      <c r="AD2123" s="98"/>
      <c r="AE2123" s="98"/>
      <c r="AF2123" s="98"/>
      <c r="AG2123" s="98"/>
      <c r="AH2123" s="98"/>
      <c r="AI2123" s="98"/>
      <c r="AJ2123" s="98"/>
      <c r="AK2123" s="98"/>
      <c r="AL2123" s="98"/>
      <c r="AM2123" s="98"/>
    </row>
    <row r="2124" spans="1:39" s="100" customFormat="1" ht="15.6" x14ac:dyDescent="0.3">
      <c r="A2124" s="97"/>
      <c r="B2124" s="98"/>
      <c r="C2124" s="98"/>
      <c r="D2124" s="98"/>
      <c r="E2124" s="98"/>
      <c r="F2124" s="98"/>
      <c r="G2124" s="99"/>
      <c r="H2124" s="99"/>
      <c r="I2124" s="99"/>
      <c r="J2124" s="99"/>
      <c r="K2124" s="98"/>
      <c r="L2124" s="98"/>
      <c r="M2124" s="98"/>
      <c r="N2124" s="98"/>
      <c r="O2124" s="98"/>
      <c r="P2124" s="98"/>
      <c r="Q2124" s="98"/>
      <c r="R2124" s="98"/>
      <c r="S2124" s="98"/>
      <c r="T2124" s="98"/>
      <c r="U2124" s="98"/>
      <c r="V2124" s="98"/>
      <c r="W2124" s="98"/>
      <c r="X2124" s="98"/>
      <c r="Y2124" s="98"/>
      <c r="Z2124" s="98"/>
      <c r="AA2124" s="98"/>
      <c r="AB2124" s="98"/>
      <c r="AC2124" s="98"/>
      <c r="AD2124" s="98"/>
      <c r="AE2124" s="98"/>
      <c r="AF2124" s="98"/>
      <c r="AG2124" s="98"/>
      <c r="AH2124" s="98"/>
      <c r="AI2124" s="98"/>
      <c r="AJ2124" s="98"/>
      <c r="AK2124" s="98"/>
      <c r="AL2124" s="98"/>
      <c r="AM2124" s="98"/>
    </row>
    <row r="2125" spans="1:39" s="100" customFormat="1" ht="15.6" x14ac:dyDescent="0.3">
      <c r="A2125" s="97"/>
      <c r="B2125" s="98"/>
      <c r="C2125" s="98"/>
      <c r="D2125" s="98"/>
      <c r="E2125" s="98"/>
      <c r="F2125" s="98"/>
      <c r="G2125" s="99"/>
      <c r="H2125" s="99"/>
      <c r="I2125" s="99"/>
      <c r="J2125" s="99"/>
      <c r="K2125" s="98"/>
      <c r="L2125" s="98"/>
      <c r="M2125" s="98"/>
      <c r="N2125" s="98"/>
      <c r="O2125" s="98"/>
      <c r="P2125" s="98"/>
      <c r="Q2125" s="98"/>
      <c r="R2125" s="98"/>
      <c r="S2125" s="98"/>
      <c r="T2125" s="98"/>
      <c r="U2125" s="98"/>
      <c r="V2125" s="98"/>
      <c r="W2125" s="98"/>
      <c r="X2125" s="98"/>
      <c r="Y2125" s="98"/>
      <c r="Z2125" s="98"/>
      <c r="AA2125" s="98"/>
      <c r="AB2125" s="98"/>
      <c r="AC2125" s="98"/>
      <c r="AD2125" s="98"/>
      <c r="AE2125" s="98"/>
      <c r="AF2125" s="98"/>
      <c r="AG2125" s="98"/>
      <c r="AH2125" s="98"/>
      <c r="AI2125" s="98"/>
      <c r="AJ2125" s="98"/>
      <c r="AK2125" s="98"/>
      <c r="AL2125" s="98"/>
      <c r="AM2125" s="98"/>
    </row>
    <row r="2126" spans="1:39" s="100" customFormat="1" ht="15.6" x14ac:dyDescent="0.3">
      <c r="A2126" s="97"/>
      <c r="B2126" s="98"/>
      <c r="C2126" s="98"/>
      <c r="D2126" s="98"/>
      <c r="E2126" s="98"/>
      <c r="F2126" s="98"/>
      <c r="G2126" s="99"/>
      <c r="H2126" s="99"/>
      <c r="I2126" s="99"/>
      <c r="J2126" s="99"/>
      <c r="K2126" s="98"/>
      <c r="L2126" s="98"/>
      <c r="M2126" s="98"/>
      <c r="N2126" s="98"/>
      <c r="O2126" s="98"/>
      <c r="P2126" s="98"/>
      <c r="Q2126" s="98"/>
      <c r="R2126" s="98"/>
      <c r="S2126" s="98"/>
      <c r="T2126" s="98"/>
      <c r="U2126" s="98"/>
      <c r="V2126" s="98"/>
      <c r="W2126" s="98"/>
      <c r="X2126" s="98"/>
      <c r="Y2126" s="98"/>
      <c r="Z2126" s="98"/>
      <c r="AA2126" s="98"/>
      <c r="AB2126" s="98"/>
      <c r="AC2126" s="98"/>
      <c r="AD2126" s="98"/>
      <c r="AE2126" s="98"/>
      <c r="AF2126" s="98"/>
      <c r="AG2126" s="98"/>
      <c r="AH2126" s="98"/>
      <c r="AI2126" s="98"/>
      <c r="AJ2126" s="98"/>
      <c r="AK2126" s="98"/>
      <c r="AL2126" s="98"/>
      <c r="AM2126" s="98"/>
    </row>
    <row r="2127" spans="1:39" s="100" customFormat="1" ht="15.6" x14ac:dyDescent="0.3">
      <c r="A2127" s="97"/>
      <c r="B2127" s="98"/>
      <c r="C2127" s="98"/>
      <c r="D2127" s="98"/>
      <c r="E2127" s="98"/>
      <c r="F2127" s="98"/>
      <c r="G2127" s="99"/>
      <c r="H2127" s="99"/>
      <c r="I2127" s="99"/>
      <c r="J2127" s="99"/>
      <c r="K2127" s="98"/>
      <c r="L2127" s="98"/>
      <c r="M2127" s="98"/>
      <c r="N2127" s="98"/>
      <c r="O2127" s="98"/>
      <c r="P2127" s="98"/>
      <c r="Q2127" s="98"/>
      <c r="R2127" s="98"/>
      <c r="S2127" s="98"/>
      <c r="T2127" s="98"/>
      <c r="U2127" s="98"/>
      <c r="V2127" s="98"/>
      <c r="W2127" s="98"/>
      <c r="X2127" s="98"/>
      <c r="Y2127" s="98"/>
      <c r="Z2127" s="98"/>
      <c r="AA2127" s="98"/>
      <c r="AB2127" s="98"/>
      <c r="AC2127" s="98"/>
      <c r="AD2127" s="98"/>
      <c r="AE2127" s="98"/>
      <c r="AF2127" s="98"/>
      <c r="AG2127" s="98"/>
      <c r="AH2127" s="98"/>
      <c r="AI2127" s="98"/>
      <c r="AJ2127" s="98"/>
      <c r="AK2127" s="98"/>
      <c r="AL2127" s="98"/>
      <c r="AM2127" s="98"/>
    </row>
    <row r="2128" spans="1:39" s="100" customFormat="1" ht="15.6" x14ac:dyDescent="0.3">
      <c r="A2128" s="97"/>
      <c r="B2128" s="98"/>
      <c r="C2128" s="98"/>
      <c r="D2128" s="98"/>
      <c r="E2128" s="98"/>
      <c r="F2128" s="98"/>
      <c r="G2128" s="99"/>
      <c r="H2128" s="99"/>
      <c r="I2128" s="99"/>
      <c r="J2128" s="99"/>
      <c r="K2128" s="98"/>
      <c r="L2128" s="98"/>
      <c r="M2128" s="98"/>
      <c r="N2128" s="98"/>
      <c r="O2128" s="98"/>
      <c r="P2128" s="98"/>
      <c r="Q2128" s="98"/>
      <c r="R2128" s="98"/>
      <c r="S2128" s="98"/>
      <c r="T2128" s="98"/>
      <c r="U2128" s="98"/>
      <c r="V2128" s="98"/>
      <c r="W2128" s="98"/>
      <c r="X2128" s="98"/>
      <c r="Y2128" s="98"/>
      <c r="Z2128" s="98"/>
      <c r="AA2128" s="98"/>
      <c r="AB2128" s="98"/>
      <c r="AC2128" s="98"/>
      <c r="AD2128" s="98"/>
      <c r="AE2128" s="98"/>
      <c r="AF2128" s="98"/>
      <c r="AG2128" s="98"/>
      <c r="AH2128" s="98"/>
      <c r="AI2128" s="98"/>
      <c r="AJ2128" s="98"/>
      <c r="AK2128" s="98"/>
      <c r="AL2128" s="98"/>
      <c r="AM2128" s="98"/>
    </row>
    <row r="2129" spans="1:39" s="100" customFormat="1" ht="15.6" x14ac:dyDescent="0.3">
      <c r="A2129" s="97"/>
      <c r="B2129" s="98"/>
      <c r="C2129" s="98"/>
      <c r="D2129" s="98"/>
      <c r="E2129" s="98"/>
      <c r="F2129" s="98"/>
      <c r="G2129" s="99"/>
      <c r="H2129" s="99"/>
      <c r="I2129" s="99"/>
      <c r="J2129" s="99"/>
      <c r="K2129" s="98"/>
      <c r="L2129" s="98"/>
      <c r="M2129" s="98"/>
      <c r="N2129" s="98"/>
      <c r="O2129" s="98"/>
      <c r="P2129" s="98"/>
      <c r="Q2129" s="98"/>
      <c r="R2129" s="98"/>
      <c r="S2129" s="98"/>
      <c r="T2129" s="98"/>
      <c r="U2129" s="98"/>
      <c r="V2129" s="98"/>
      <c r="W2129" s="98"/>
      <c r="X2129" s="98"/>
      <c r="Y2129" s="98"/>
      <c r="Z2129" s="98"/>
      <c r="AA2129" s="98"/>
      <c r="AB2129" s="98"/>
      <c r="AC2129" s="98"/>
      <c r="AD2129" s="98"/>
      <c r="AE2129" s="98"/>
      <c r="AF2129" s="98"/>
      <c r="AG2129" s="98"/>
      <c r="AH2129" s="98"/>
      <c r="AI2129" s="98"/>
      <c r="AJ2129" s="98"/>
      <c r="AK2129" s="98"/>
      <c r="AL2129" s="98"/>
      <c r="AM2129" s="98"/>
    </row>
    <row r="2130" spans="1:39" s="100" customFormat="1" ht="15.6" x14ac:dyDescent="0.3">
      <c r="A2130" s="97"/>
      <c r="B2130" s="98"/>
      <c r="C2130" s="98"/>
      <c r="D2130" s="98"/>
      <c r="E2130" s="98"/>
      <c r="F2130" s="98"/>
      <c r="G2130" s="99"/>
      <c r="H2130" s="99"/>
      <c r="I2130" s="99"/>
      <c r="J2130" s="99"/>
      <c r="K2130" s="98"/>
      <c r="L2130" s="98"/>
      <c r="M2130" s="98"/>
      <c r="N2130" s="98"/>
      <c r="O2130" s="98"/>
      <c r="P2130" s="98"/>
      <c r="Q2130" s="98"/>
      <c r="R2130" s="98"/>
      <c r="S2130" s="98"/>
      <c r="T2130" s="98"/>
      <c r="U2130" s="98"/>
      <c r="V2130" s="98"/>
      <c r="W2130" s="98"/>
      <c r="X2130" s="98"/>
      <c r="Y2130" s="98"/>
      <c r="Z2130" s="98"/>
      <c r="AA2130" s="98"/>
      <c r="AB2130" s="98"/>
      <c r="AC2130" s="98"/>
      <c r="AD2130" s="98"/>
      <c r="AE2130" s="98"/>
      <c r="AF2130" s="98"/>
      <c r="AG2130" s="98"/>
      <c r="AH2130" s="98"/>
      <c r="AI2130" s="98"/>
      <c r="AJ2130" s="98"/>
      <c r="AK2130" s="98"/>
      <c r="AL2130" s="98"/>
      <c r="AM2130" s="98"/>
    </row>
    <row r="2131" spans="1:39" s="100" customFormat="1" ht="15.6" x14ac:dyDescent="0.3">
      <c r="A2131" s="97"/>
      <c r="B2131" s="98"/>
      <c r="C2131" s="98"/>
      <c r="D2131" s="98"/>
      <c r="E2131" s="98"/>
      <c r="F2131" s="98"/>
      <c r="G2131" s="99"/>
      <c r="H2131" s="99"/>
      <c r="I2131" s="99"/>
      <c r="J2131" s="99"/>
      <c r="K2131" s="98"/>
      <c r="L2131" s="98"/>
      <c r="M2131" s="98"/>
      <c r="N2131" s="98"/>
      <c r="O2131" s="98"/>
      <c r="P2131" s="98"/>
      <c r="Q2131" s="98"/>
      <c r="R2131" s="98"/>
      <c r="S2131" s="98"/>
      <c r="T2131" s="98"/>
      <c r="U2131" s="98"/>
      <c r="V2131" s="98"/>
      <c r="W2131" s="98"/>
      <c r="X2131" s="98"/>
      <c r="Y2131" s="98"/>
      <c r="Z2131" s="98"/>
      <c r="AA2131" s="98"/>
      <c r="AB2131" s="98"/>
      <c r="AC2131" s="98"/>
      <c r="AD2131" s="98"/>
      <c r="AE2131" s="98"/>
      <c r="AF2131" s="98"/>
      <c r="AG2131" s="98"/>
      <c r="AH2131" s="98"/>
      <c r="AI2131" s="98"/>
      <c r="AJ2131" s="98"/>
      <c r="AK2131" s="98"/>
      <c r="AL2131" s="98"/>
      <c r="AM2131" s="98"/>
    </row>
    <row r="2132" spans="1:39" s="100" customFormat="1" ht="15.6" x14ac:dyDescent="0.3">
      <c r="A2132" s="97"/>
      <c r="B2132" s="98"/>
      <c r="C2132" s="98"/>
      <c r="D2132" s="98"/>
      <c r="E2132" s="98"/>
      <c r="F2132" s="98"/>
      <c r="G2132" s="99"/>
      <c r="H2132" s="99"/>
      <c r="I2132" s="99"/>
      <c r="J2132" s="99"/>
      <c r="K2132" s="98"/>
      <c r="L2132" s="98"/>
      <c r="M2132" s="98"/>
      <c r="N2132" s="98"/>
      <c r="O2132" s="98"/>
      <c r="P2132" s="98"/>
      <c r="Q2132" s="98"/>
      <c r="R2132" s="98"/>
      <c r="S2132" s="98"/>
      <c r="T2132" s="98"/>
      <c r="U2132" s="98"/>
      <c r="V2132" s="98"/>
      <c r="W2132" s="98"/>
      <c r="X2132" s="98"/>
      <c r="Y2132" s="98"/>
      <c r="Z2132" s="98"/>
      <c r="AA2132" s="98"/>
      <c r="AB2132" s="98"/>
      <c r="AC2132" s="98"/>
      <c r="AD2132" s="98"/>
      <c r="AE2132" s="98"/>
      <c r="AF2132" s="98"/>
      <c r="AG2132" s="98"/>
      <c r="AH2132" s="98"/>
      <c r="AI2132" s="98"/>
      <c r="AJ2132" s="98"/>
      <c r="AK2132" s="98"/>
      <c r="AL2132" s="98"/>
      <c r="AM2132" s="98"/>
    </row>
    <row r="2133" spans="1:39" s="100" customFormat="1" ht="15.6" x14ac:dyDescent="0.3">
      <c r="A2133" s="97"/>
      <c r="B2133" s="98"/>
      <c r="C2133" s="98"/>
      <c r="D2133" s="98"/>
      <c r="E2133" s="98"/>
      <c r="F2133" s="98"/>
      <c r="G2133" s="99"/>
      <c r="H2133" s="99"/>
      <c r="I2133" s="99"/>
      <c r="J2133" s="99"/>
      <c r="K2133" s="98"/>
      <c r="L2133" s="98"/>
      <c r="M2133" s="98"/>
      <c r="N2133" s="98"/>
      <c r="O2133" s="98"/>
      <c r="P2133" s="98"/>
      <c r="Q2133" s="98"/>
      <c r="R2133" s="98"/>
      <c r="S2133" s="98"/>
      <c r="T2133" s="98"/>
      <c r="U2133" s="98"/>
      <c r="V2133" s="98"/>
      <c r="W2133" s="98"/>
      <c r="X2133" s="98"/>
      <c r="Y2133" s="98"/>
      <c r="Z2133" s="98"/>
      <c r="AA2133" s="98"/>
      <c r="AB2133" s="98"/>
      <c r="AC2133" s="98"/>
      <c r="AD2133" s="98"/>
      <c r="AE2133" s="98"/>
      <c r="AF2133" s="98"/>
      <c r="AG2133" s="98"/>
      <c r="AH2133" s="98"/>
      <c r="AI2133" s="98"/>
      <c r="AJ2133" s="98"/>
      <c r="AK2133" s="98"/>
      <c r="AL2133" s="98"/>
      <c r="AM2133" s="98"/>
    </row>
    <row r="2134" spans="1:39" s="100" customFormat="1" ht="15.6" x14ac:dyDescent="0.3">
      <c r="A2134" s="97"/>
      <c r="B2134" s="98"/>
      <c r="C2134" s="98"/>
      <c r="D2134" s="98"/>
      <c r="E2134" s="98"/>
      <c r="F2134" s="98"/>
      <c r="G2134" s="99"/>
      <c r="H2134" s="99"/>
      <c r="I2134" s="99"/>
      <c r="J2134" s="99"/>
      <c r="K2134" s="98"/>
      <c r="L2134" s="98"/>
      <c r="M2134" s="98"/>
      <c r="N2134" s="98"/>
      <c r="O2134" s="98"/>
      <c r="P2134" s="98"/>
      <c r="Q2134" s="98"/>
      <c r="R2134" s="98"/>
      <c r="S2134" s="98"/>
      <c r="T2134" s="98"/>
      <c r="U2134" s="98"/>
      <c r="V2134" s="98"/>
      <c r="W2134" s="98"/>
      <c r="X2134" s="98"/>
      <c r="Y2134" s="98"/>
      <c r="Z2134" s="98"/>
      <c r="AA2134" s="98"/>
      <c r="AB2134" s="98"/>
      <c r="AC2134" s="98"/>
      <c r="AD2134" s="98"/>
      <c r="AE2134" s="98"/>
      <c r="AF2134" s="98"/>
      <c r="AG2134" s="98"/>
      <c r="AH2134" s="98"/>
      <c r="AI2134" s="98"/>
      <c r="AJ2134" s="98"/>
      <c r="AK2134" s="98"/>
      <c r="AL2134" s="98"/>
      <c r="AM2134" s="98"/>
    </row>
    <row r="2135" spans="1:39" s="100" customFormat="1" ht="15.6" x14ac:dyDescent="0.3">
      <c r="A2135" s="97"/>
      <c r="B2135" s="98"/>
      <c r="C2135" s="98"/>
      <c r="D2135" s="98"/>
      <c r="E2135" s="98"/>
      <c r="F2135" s="98"/>
      <c r="G2135" s="99"/>
      <c r="H2135" s="99"/>
      <c r="I2135" s="99"/>
      <c r="J2135" s="99"/>
      <c r="K2135" s="98"/>
      <c r="L2135" s="98"/>
      <c r="M2135" s="98"/>
      <c r="N2135" s="98"/>
      <c r="O2135" s="98"/>
      <c r="P2135" s="98"/>
      <c r="Q2135" s="98"/>
      <c r="R2135" s="98"/>
      <c r="S2135" s="98"/>
      <c r="T2135" s="98"/>
      <c r="U2135" s="98"/>
      <c r="V2135" s="98"/>
      <c r="W2135" s="98"/>
      <c r="X2135" s="98"/>
      <c r="Y2135" s="98"/>
      <c r="Z2135" s="98"/>
      <c r="AA2135" s="98"/>
      <c r="AB2135" s="98"/>
      <c r="AC2135" s="98"/>
      <c r="AD2135" s="98"/>
      <c r="AE2135" s="98"/>
      <c r="AF2135" s="98"/>
      <c r="AG2135" s="98"/>
      <c r="AH2135" s="98"/>
      <c r="AI2135" s="98"/>
      <c r="AJ2135" s="98"/>
      <c r="AK2135" s="98"/>
      <c r="AL2135" s="98"/>
      <c r="AM2135" s="98"/>
    </row>
    <row r="2136" spans="1:39" s="100" customFormat="1" ht="15.6" x14ac:dyDescent="0.3">
      <c r="A2136" s="97"/>
      <c r="B2136" s="98"/>
      <c r="C2136" s="98"/>
      <c r="D2136" s="98"/>
      <c r="E2136" s="98"/>
      <c r="F2136" s="98"/>
      <c r="G2136" s="99"/>
      <c r="H2136" s="99"/>
      <c r="I2136" s="99"/>
      <c r="J2136" s="99"/>
      <c r="K2136" s="98"/>
      <c r="L2136" s="98"/>
      <c r="M2136" s="98"/>
      <c r="N2136" s="98"/>
      <c r="O2136" s="98"/>
      <c r="P2136" s="98"/>
      <c r="Q2136" s="98"/>
      <c r="R2136" s="98"/>
      <c r="S2136" s="98"/>
      <c r="T2136" s="98"/>
      <c r="U2136" s="98"/>
      <c r="V2136" s="98"/>
      <c r="W2136" s="98"/>
      <c r="X2136" s="98"/>
      <c r="Y2136" s="98"/>
      <c r="Z2136" s="98"/>
      <c r="AA2136" s="98"/>
      <c r="AB2136" s="98"/>
      <c r="AC2136" s="98"/>
      <c r="AD2136" s="98"/>
      <c r="AE2136" s="98"/>
      <c r="AF2136" s="98"/>
      <c r="AG2136" s="98"/>
      <c r="AH2136" s="98"/>
      <c r="AI2136" s="98"/>
      <c r="AJ2136" s="98"/>
      <c r="AK2136" s="98"/>
      <c r="AL2136" s="98"/>
      <c r="AM2136" s="98"/>
    </row>
    <row r="2137" spans="1:39" s="100" customFormat="1" ht="15.6" x14ac:dyDescent="0.3">
      <c r="A2137" s="97"/>
      <c r="B2137" s="98"/>
      <c r="C2137" s="98"/>
      <c r="D2137" s="98"/>
      <c r="E2137" s="98"/>
      <c r="F2137" s="98"/>
      <c r="G2137" s="99"/>
      <c r="H2137" s="99"/>
      <c r="I2137" s="99"/>
      <c r="J2137" s="99"/>
      <c r="K2137" s="98"/>
      <c r="L2137" s="98"/>
      <c r="M2137" s="98"/>
      <c r="N2137" s="98"/>
      <c r="O2137" s="98"/>
      <c r="P2137" s="98"/>
      <c r="Q2137" s="98"/>
      <c r="R2137" s="98"/>
      <c r="S2137" s="98"/>
      <c r="T2137" s="98"/>
      <c r="U2137" s="98"/>
      <c r="V2137" s="98"/>
      <c r="W2137" s="98"/>
      <c r="X2137" s="98"/>
      <c r="Y2137" s="98"/>
      <c r="Z2137" s="98"/>
      <c r="AA2137" s="98"/>
      <c r="AB2137" s="98"/>
      <c r="AC2137" s="98"/>
      <c r="AD2137" s="98"/>
      <c r="AE2137" s="98"/>
      <c r="AF2137" s="98"/>
      <c r="AG2137" s="98"/>
      <c r="AH2137" s="98"/>
      <c r="AI2137" s="98"/>
      <c r="AJ2137" s="98"/>
      <c r="AK2137" s="98"/>
      <c r="AL2137" s="98"/>
      <c r="AM2137" s="98"/>
    </row>
    <row r="2138" spans="1:39" s="100" customFormat="1" ht="15.6" x14ac:dyDescent="0.3">
      <c r="A2138" s="97"/>
      <c r="B2138" s="98"/>
      <c r="C2138" s="98"/>
      <c r="D2138" s="98"/>
      <c r="E2138" s="98"/>
      <c r="F2138" s="98"/>
      <c r="G2138" s="99"/>
      <c r="H2138" s="99"/>
      <c r="I2138" s="99"/>
      <c r="J2138" s="99"/>
      <c r="K2138" s="98"/>
      <c r="L2138" s="98"/>
      <c r="M2138" s="98"/>
      <c r="N2138" s="98"/>
      <c r="O2138" s="98"/>
      <c r="P2138" s="98"/>
      <c r="Q2138" s="98"/>
      <c r="R2138" s="98"/>
      <c r="S2138" s="98"/>
      <c r="T2138" s="98"/>
      <c r="U2138" s="98"/>
      <c r="V2138" s="98"/>
      <c r="W2138" s="98"/>
      <c r="X2138" s="98"/>
      <c r="Y2138" s="98"/>
      <c r="Z2138" s="98"/>
      <c r="AA2138" s="98"/>
      <c r="AB2138" s="98"/>
      <c r="AC2138" s="98"/>
      <c r="AD2138" s="98"/>
      <c r="AE2138" s="98"/>
      <c r="AF2138" s="98"/>
      <c r="AG2138" s="98"/>
      <c r="AH2138" s="98"/>
      <c r="AI2138" s="98"/>
      <c r="AJ2138" s="98"/>
      <c r="AK2138" s="98"/>
      <c r="AL2138" s="98"/>
      <c r="AM2138" s="98"/>
    </row>
    <row r="2139" spans="1:39" s="100" customFormat="1" ht="15.6" x14ac:dyDescent="0.3">
      <c r="A2139" s="97"/>
      <c r="B2139" s="98"/>
      <c r="C2139" s="98"/>
      <c r="D2139" s="98"/>
      <c r="E2139" s="98"/>
      <c r="F2139" s="98"/>
      <c r="G2139" s="99"/>
      <c r="H2139" s="99"/>
      <c r="I2139" s="99"/>
      <c r="J2139" s="99"/>
      <c r="K2139" s="98"/>
      <c r="L2139" s="98"/>
      <c r="M2139" s="98"/>
      <c r="N2139" s="98"/>
      <c r="O2139" s="98"/>
      <c r="P2139" s="98"/>
      <c r="Q2139" s="98"/>
      <c r="R2139" s="98"/>
      <c r="S2139" s="98"/>
      <c r="T2139" s="98"/>
      <c r="U2139" s="98"/>
      <c r="V2139" s="98"/>
      <c r="W2139" s="98"/>
      <c r="X2139" s="98"/>
      <c r="Y2139" s="98"/>
      <c r="Z2139" s="98"/>
      <c r="AA2139" s="98"/>
      <c r="AB2139" s="98"/>
      <c r="AC2139" s="98"/>
      <c r="AD2139" s="98"/>
      <c r="AE2139" s="98"/>
      <c r="AF2139" s="98"/>
      <c r="AG2139" s="98"/>
      <c r="AH2139" s="98"/>
      <c r="AI2139" s="98"/>
      <c r="AJ2139" s="98"/>
      <c r="AK2139" s="98"/>
      <c r="AL2139" s="98"/>
      <c r="AM2139" s="98"/>
    </row>
    <row r="2140" spans="1:39" s="100" customFormat="1" ht="15.6" x14ac:dyDescent="0.3">
      <c r="A2140" s="97"/>
      <c r="B2140" s="98"/>
      <c r="C2140" s="98"/>
      <c r="D2140" s="98"/>
      <c r="E2140" s="98"/>
      <c r="F2140" s="98"/>
      <c r="G2140" s="99"/>
      <c r="H2140" s="99"/>
      <c r="I2140" s="99"/>
      <c r="J2140" s="99"/>
      <c r="K2140" s="98"/>
      <c r="L2140" s="98"/>
      <c r="M2140" s="98"/>
      <c r="N2140" s="98"/>
      <c r="O2140" s="98"/>
      <c r="P2140" s="98"/>
      <c r="Q2140" s="98"/>
      <c r="R2140" s="98"/>
      <c r="S2140" s="98"/>
      <c r="T2140" s="98"/>
      <c r="U2140" s="98"/>
      <c r="V2140" s="98"/>
      <c r="W2140" s="98"/>
      <c r="X2140" s="98"/>
      <c r="Y2140" s="98"/>
      <c r="Z2140" s="98"/>
      <c r="AA2140" s="98"/>
      <c r="AB2140" s="98"/>
      <c r="AC2140" s="98"/>
      <c r="AD2140" s="98"/>
      <c r="AE2140" s="98"/>
      <c r="AF2140" s="98"/>
      <c r="AG2140" s="98"/>
      <c r="AH2140" s="98"/>
      <c r="AI2140" s="98"/>
      <c r="AJ2140" s="98"/>
      <c r="AK2140" s="98"/>
      <c r="AL2140" s="98"/>
      <c r="AM2140" s="98"/>
    </row>
    <row r="2141" spans="1:39" s="100" customFormat="1" ht="15.6" x14ac:dyDescent="0.3">
      <c r="A2141" s="97"/>
      <c r="B2141" s="98"/>
      <c r="C2141" s="98"/>
      <c r="D2141" s="98"/>
      <c r="E2141" s="98"/>
      <c r="F2141" s="98"/>
      <c r="G2141" s="99"/>
      <c r="H2141" s="99"/>
      <c r="I2141" s="99"/>
      <c r="J2141" s="99"/>
      <c r="K2141" s="98"/>
      <c r="L2141" s="98"/>
      <c r="M2141" s="98"/>
      <c r="N2141" s="98"/>
      <c r="O2141" s="98"/>
      <c r="P2141" s="98"/>
      <c r="Q2141" s="98"/>
      <c r="R2141" s="98"/>
      <c r="S2141" s="98"/>
      <c r="T2141" s="98"/>
      <c r="U2141" s="98"/>
      <c r="V2141" s="98"/>
      <c r="W2141" s="98"/>
      <c r="X2141" s="98"/>
      <c r="Y2141" s="98"/>
      <c r="Z2141" s="98"/>
      <c r="AA2141" s="98"/>
      <c r="AB2141" s="98"/>
      <c r="AC2141" s="98"/>
      <c r="AD2141" s="98"/>
      <c r="AE2141" s="98"/>
      <c r="AF2141" s="98"/>
      <c r="AG2141" s="98"/>
      <c r="AH2141" s="98"/>
      <c r="AI2141" s="98"/>
      <c r="AJ2141" s="98"/>
      <c r="AK2141" s="98"/>
      <c r="AL2141" s="98"/>
      <c r="AM2141" s="98"/>
    </row>
    <row r="2142" spans="1:39" s="100" customFormat="1" ht="15.6" x14ac:dyDescent="0.3">
      <c r="A2142" s="97"/>
      <c r="B2142" s="98"/>
      <c r="C2142" s="98"/>
      <c r="D2142" s="98"/>
      <c r="E2142" s="98"/>
      <c r="F2142" s="98"/>
      <c r="G2142" s="99"/>
      <c r="H2142" s="99"/>
      <c r="I2142" s="99"/>
      <c r="J2142" s="99"/>
      <c r="K2142" s="98"/>
      <c r="L2142" s="98"/>
      <c r="M2142" s="98"/>
      <c r="N2142" s="98"/>
      <c r="O2142" s="98"/>
      <c r="P2142" s="98"/>
      <c r="Q2142" s="98"/>
      <c r="R2142" s="98"/>
      <c r="S2142" s="98"/>
      <c r="T2142" s="98"/>
      <c r="U2142" s="98"/>
      <c r="V2142" s="98"/>
      <c r="W2142" s="98"/>
      <c r="X2142" s="98"/>
      <c r="Y2142" s="98"/>
      <c r="Z2142" s="98"/>
      <c r="AA2142" s="98"/>
      <c r="AB2142" s="98"/>
      <c r="AC2142" s="98"/>
      <c r="AD2142" s="98"/>
      <c r="AE2142" s="98"/>
      <c r="AF2142" s="98"/>
      <c r="AG2142" s="98"/>
      <c r="AH2142" s="98"/>
      <c r="AI2142" s="98"/>
      <c r="AJ2142" s="98"/>
      <c r="AK2142" s="98"/>
      <c r="AL2142" s="98"/>
      <c r="AM2142" s="98"/>
    </row>
    <row r="2143" spans="1:39" s="100" customFormat="1" ht="15.6" x14ac:dyDescent="0.3">
      <c r="A2143" s="97"/>
      <c r="B2143" s="98"/>
      <c r="C2143" s="98"/>
      <c r="D2143" s="98"/>
      <c r="E2143" s="98"/>
      <c r="F2143" s="98"/>
      <c r="G2143" s="99"/>
      <c r="H2143" s="99"/>
      <c r="I2143" s="99"/>
      <c r="J2143" s="99"/>
      <c r="K2143" s="98"/>
      <c r="L2143" s="98"/>
      <c r="M2143" s="98"/>
      <c r="N2143" s="98"/>
      <c r="O2143" s="98"/>
      <c r="P2143" s="98"/>
      <c r="Q2143" s="98"/>
      <c r="R2143" s="98"/>
      <c r="S2143" s="98"/>
      <c r="T2143" s="98"/>
      <c r="U2143" s="98"/>
      <c r="V2143" s="98"/>
      <c r="W2143" s="98"/>
      <c r="X2143" s="98"/>
      <c r="Y2143" s="98"/>
      <c r="Z2143" s="98"/>
      <c r="AA2143" s="98"/>
      <c r="AB2143" s="98"/>
      <c r="AC2143" s="98"/>
      <c r="AD2143" s="98"/>
      <c r="AE2143" s="98"/>
      <c r="AF2143" s="98"/>
      <c r="AG2143" s="98"/>
      <c r="AH2143" s="98"/>
      <c r="AI2143" s="98"/>
      <c r="AJ2143" s="98"/>
      <c r="AK2143" s="98"/>
      <c r="AL2143" s="98"/>
      <c r="AM2143" s="98"/>
    </row>
    <row r="2144" spans="1:39" s="100" customFormat="1" ht="15.6" x14ac:dyDescent="0.3">
      <c r="A2144" s="97"/>
      <c r="B2144" s="98"/>
      <c r="C2144" s="98"/>
      <c r="D2144" s="98"/>
      <c r="E2144" s="98"/>
      <c r="F2144" s="98"/>
      <c r="G2144" s="99"/>
      <c r="H2144" s="99"/>
      <c r="I2144" s="99"/>
      <c r="J2144" s="99"/>
      <c r="K2144" s="98"/>
      <c r="L2144" s="98"/>
      <c r="M2144" s="98"/>
      <c r="N2144" s="98"/>
      <c r="O2144" s="98"/>
      <c r="P2144" s="98"/>
      <c r="Q2144" s="98"/>
      <c r="R2144" s="98"/>
      <c r="S2144" s="98"/>
      <c r="T2144" s="98"/>
      <c r="U2144" s="98"/>
      <c r="V2144" s="98"/>
      <c r="W2144" s="98"/>
      <c r="X2144" s="98"/>
      <c r="Y2144" s="98"/>
      <c r="Z2144" s="98"/>
      <c r="AA2144" s="98"/>
      <c r="AB2144" s="98"/>
      <c r="AC2144" s="98"/>
      <c r="AD2144" s="98"/>
      <c r="AE2144" s="98"/>
      <c r="AF2144" s="98"/>
      <c r="AG2144" s="98"/>
      <c r="AH2144" s="98"/>
      <c r="AI2144" s="98"/>
      <c r="AJ2144" s="98"/>
      <c r="AK2144" s="98"/>
      <c r="AL2144" s="98"/>
      <c r="AM2144" s="98"/>
    </row>
    <row r="2145" spans="1:39" s="100" customFormat="1" ht="15.6" x14ac:dyDescent="0.3">
      <c r="A2145" s="97"/>
      <c r="B2145" s="98"/>
      <c r="C2145" s="98"/>
      <c r="D2145" s="98"/>
      <c r="E2145" s="98"/>
      <c r="F2145" s="98"/>
      <c r="G2145" s="99"/>
      <c r="H2145" s="99"/>
      <c r="I2145" s="99"/>
      <c r="J2145" s="99"/>
      <c r="K2145" s="98"/>
      <c r="L2145" s="98"/>
      <c r="M2145" s="98"/>
      <c r="N2145" s="98"/>
      <c r="O2145" s="98"/>
      <c r="P2145" s="98"/>
      <c r="Q2145" s="98"/>
      <c r="R2145" s="98"/>
      <c r="S2145" s="98"/>
      <c r="T2145" s="98"/>
      <c r="U2145" s="98"/>
      <c r="V2145" s="98"/>
      <c r="W2145" s="98"/>
      <c r="X2145" s="98"/>
      <c r="Y2145" s="98"/>
      <c r="Z2145" s="98"/>
      <c r="AA2145" s="98"/>
      <c r="AB2145" s="98"/>
      <c r="AC2145" s="98"/>
      <c r="AD2145" s="98"/>
      <c r="AE2145" s="98"/>
      <c r="AF2145" s="98"/>
      <c r="AG2145" s="98"/>
      <c r="AH2145" s="98"/>
      <c r="AI2145" s="98"/>
      <c r="AJ2145" s="98"/>
      <c r="AK2145" s="98"/>
      <c r="AL2145" s="98"/>
      <c r="AM2145" s="98"/>
    </row>
    <row r="2146" spans="1:39" s="100" customFormat="1" ht="15.6" x14ac:dyDescent="0.3">
      <c r="A2146" s="97"/>
      <c r="B2146" s="98"/>
      <c r="C2146" s="98"/>
      <c r="D2146" s="98"/>
      <c r="E2146" s="98"/>
      <c r="F2146" s="98"/>
      <c r="G2146" s="99"/>
      <c r="H2146" s="99"/>
      <c r="I2146" s="99"/>
      <c r="J2146" s="99"/>
      <c r="K2146" s="98"/>
      <c r="L2146" s="98"/>
      <c r="M2146" s="98"/>
      <c r="N2146" s="98"/>
      <c r="O2146" s="98"/>
      <c r="P2146" s="98"/>
      <c r="Q2146" s="98"/>
      <c r="R2146" s="98"/>
      <c r="S2146" s="98"/>
      <c r="T2146" s="98"/>
      <c r="U2146" s="98"/>
      <c r="V2146" s="98"/>
      <c r="W2146" s="98"/>
      <c r="X2146" s="98"/>
      <c r="Y2146" s="98"/>
      <c r="Z2146" s="98"/>
      <c r="AA2146" s="98"/>
      <c r="AB2146" s="98"/>
      <c r="AC2146" s="98"/>
      <c r="AD2146" s="98"/>
      <c r="AE2146" s="98"/>
      <c r="AF2146" s="98"/>
      <c r="AG2146" s="98"/>
      <c r="AH2146" s="98"/>
      <c r="AI2146" s="98"/>
      <c r="AJ2146" s="98"/>
      <c r="AK2146" s="98"/>
      <c r="AL2146" s="98"/>
      <c r="AM2146" s="98"/>
    </row>
    <row r="2147" spans="1:39" s="100" customFormat="1" ht="15.6" x14ac:dyDescent="0.3">
      <c r="A2147" s="97"/>
      <c r="B2147" s="98"/>
      <c r="C2147" s="98"/>
      <c r="D2147" s="98"/>
      <c r="E2147" s="98"/>
      <c r="F2147" s="98"/>
      <c r="G2147" s="99"/>
      <c r="H2147" s="99"/>
      <c r="I2147" s="99"/>
      <c r="J2147" s="99"/>
      <c r="K2147" s="98"/>
      <c r="L2147" s="98"/>
      <c r="M2147" s="98"/>
      <c r="N2147" s="98"/>
      <c r="O2147" s="98"/>
      <c r="P2147" s="98"/>
      <c r="Q2147" s="98"/>
      <c r="R2147" s="98"/>
      <c r="S2147" s="98"/>
      <c r="T2147" s="98"/>
      <c r="U2147" s="98"/>
      <c r="V2147" s="98"/>
      <c r="W2147" s="98"/>
      <c r="X2147" s="98"/>
      <c r="Y2147" s="98"/>
      <c r="Z2147" s="98"/>
      <c r="AA2147" s="98"/>
      <c r="AB2147" s="98"/>
      <c r="AC2147" s="98"/>
      <c r="AD2147" s="98"/>
      <c r="AE2147" s="98"/>
      <c r="AF2147" s="98"/>
      <c r="AG2147" s="98"/>
      <c r="AH2147" s="98"/>
      <c r="AI2147" s="98"/>
      <c r="AJ2147" s="98"/>
      <c r="AK2147" s="98"/>
      <c r="AL2147" s="98"/>
      <c r="AM2147" s="98"/>
    </row>
    <row r="2148" spans="1:39" s="100" customFormat="1" ht="15.6" x14ac:dyDescent="0.3">
      <c r="A2148" s="97"/>
      <c r="B2148" s="98"/>
      <c r="C2148" s="98"/>
      <c r="D2148" s="98"/>
      <c r="E2148" s="98"/>
      <c r="F2148" s="98"/>
      <c r="G2148" s="99"/>
      <c r="H2148" s="99"/>
      <c r="I2148" s="99"/>
      <c r="J2148" s="99"/>
      <c r="K2148" s="98"/>
      <c r="L2148" s="98"/>
      <c r="M2148" s="98"/>
      <c r="N2148" s="98"/>
      <c r="O2148" s="98"/>
      <c r="P2148" s="98"/>
      <c r="Q2148" s="98"/>
      <c r="R2148" s="98"/>
      <c r="S2148" s="98"/>
      <c r="T2148" s="98"/>
      <c r="U2148" s="98"/>
      <c r="V2148" s="98"/>
      <c r="W2148" s="98"/>
      <c r="X2148" s="98"/>
      <c r="Y2148" s="98"/>
      <c r="Z2148" s="98"/>
      <c r="AA2148" s="98"/>
      <c r="AB2148" s="98"/>
      <c r="AC2148" s="98"/>
      <c r="AD2148" s="98"/>
      <c r="AE2148" s="98"/>
      <c r="AF2148" s="98"/>
      <c r="AG2148" s="98"/>
      <c r="AH2148" s="98"/>
      <c r="AI2148" s="98"/>
      <c r="AJ2148" s="98"/>
      <c r="AK2148" s="98"/>
      <c r="AL2148" s="98"/>
      <c r="AM2148" s="98"/>
    </row>
    <row r="2149" spans="1:39" s="100" customFormat="1" ht="15.6" x14ac:dyDescent="0.3">
      <c r="A2149" s="97"/>
      <c r="B2149" s="98"/>
      <c r="C2149" s="98"/>
      <c r="D2149" s="98"/>
      <c r="E2149" s="98"/>
      <c r="F2149" s="98"/>
      <c r="G2149" s="99"/>
      <c r="H2149" s="99"/>
      <c r="I2149" s="99"/>
      <c r="J2149" s="99"/>
      <c r="K2149" s="98"/>
      <c r="L2149" s="98"/>
      <c r="M2149" s="98"/>
      <c r="N2149" s="98"/>
      <c r="O2149" s="98"/>
      <c r="P2149" s="98"/>
      <c r="Q2149" s="98"/>
      <c r="R2149" s="98"/>
      <c r="S2149" s="98"/>
      <c r="T2149" s="98"/>
      <c r="U2149" s="98"/>
      <c r="V2149" s="98"/>
      <c r="W2149" s="98"/>
      <c r="X2149" s="98"/>
      <c r="Y2149" s="98"/>
      <c r="Z2149" s="98"/>
      <c r="AA2149" s="98"/>
      <c r="AB2149" s="98"/>
      <c r="AC2149" s="98"/>
      <c r="AD2149" s="98"/>
      <c r="AE2149" s="98"/>
      <c r="AF2149" s="98"/>
      <c r="AG2149" s="98"/>
      <c r="AH2149" s="98"/>
      <c r="AI2149" s="98"/>
      <c r="AJ2149" s="98"/>
      <c r="AK2149" s="98"/>
      <c r="AL2149" s="98"/>
      <c r="AM2149" s="98"/>
    </row>
    <row r="2150" spans="1:39" s="100" customFormat="1" ht="15.6" x14ac:dyDescent="0.3">
      <c r="A2150" s="97"/>
      <c r="B2150" s="98"/>
      <c r="C2150" s="98"/>
      <c r="D2150" s="98"/>
      <c r="E2150" s="98"/>
      <c r="F2150" s="98"/>
      <c r="G2150" s="99"/>
      <c r="H2150" s="99"/>
      <c r="I2150" s="99"/>
      <c r="J2150" s="99"/>
      <c r="K2150" s="98"/>
      <c r="L2150" s="98"/>
      <c r="M2150" s="98"/>
      <c r="N2150" s="98"/>
      <c r="O2150" s="98"/>
      <c r="P2150" s="98"/>
      <c r="Q2150" s="98"/>
      <c r="R2150" s="98"/>
      <c r="S2150" s="98"/>
      <c r="T2150" s="98"/>
      <c r="U2150" s="98"/>
      <c r="V2150" s="98"/>
      <c r="W2150" s="98"/>
      <c r="X2150" s="98"/>
      <c r="Y2150" s="98"/>
      <c r="Z2150" s="98"/>
      <c r="AA2150" s="98"/>
      <c r="AB2150" s="98"/>
      <c r="AC2150" s="98"/>
      <c r="AD2150" s="98"/>
      <c r="AE2150" s="98"/>
      <c r="AF2150" s="98"/>
      <c r="AG2150" s="98"/>
      <c r="AH2150" s="98"/>
      <c r="AI2150" s="98"/>
      <c r="AJ2150" s="98"/>
      <c r="AK2150" s="98"/>
      <c r="AL2150" s="98"/>
      <c r="AM2150" s="98"/>
    </row>
    <row r="2151" spans="1:39" s="100" customFormat="1" ht="15.6" x14ac:dyDescent="0.3">
      <c r="A2151" s="97"/>
      <c r="B2151" s="98"/>
      <c r="C2151" s="98"/>
      <c r="D2151" s="98"/>
      <c r="E2151" s="98"/>
      <c r="F2151" s="98"/>
      <c r="G2151" s="99"/>
      <c r="H2151" s="99"/>
      <c r="I2151" s="99"/>
      <c r="J2151" s="99"/>
      <c r="K2151" s="98"/>
      <c r="L2151" s="98"/>
      <c r="M2151" s="98"/>
      <c r="N2151" s="98"/>
      <c r="O2151" s="98"/>
      <c r="P2151" s="98"/>
      <c r="Q2151" s="98"/>
      <c r="R2151" s="98"/>
      <c r="S2151" s="98"/>
      <c r="T2151" s="98"/>
      <c r="U2151" s="98"/>
      <c r="V2151" s="98"/>
      <c r="W2151" s="98"/>
      <c r="X2151" s="98"/>
      <c r="Y2151" s="98"/>
      <c r="Z2151" s="98"/>
      <c r="AA2151" s="98"/>
      <c r="AB2151" s="98"/>
      <c r="AC2151" s="98"/>
      <c r="AD2151" s="98"/>
      <c r="AE2151" s="98"/>
      <c r="AF2151" s="98"/>
      <c r="AG2151" s="98"/>
      <c r="AH2151" s="98"/>
      <c r="AI2151" s="98"/>
      <c r="AJ2151" s="98"/>
      <c r="AK2151" s="98"/>
      <c r="AL2151" s="98"/>
      <c r="AM2151" s="98"/>
    </row>
    <row r="2152" spans="1:39" s="100" customFormat="1" ht="15.6" x14ac:dyDescent="0.3">
      <c r="A2152" s="97"/>
      <c r="B2152" s="98"/>
      <c r="C2152" s="98"/>
      <c r="D2152" s="98"/>
      <c r="E2152" s="98"/>
      <c r="F2152" s="98"/>
      <c r="G2152" s="99"/>
      <c r="H2152" s="99"/>
      <c r="I2152" s="99"/>
      <c r="J2152" s="99"/>
      <c r="K2152" s="98"/>
      <c r="L2152" s="98"/>
      <c r="M2152" s="98"/>
      <c r="N2152" s="98"/>
      <c r="O2152" s="98"/>
      <c r="P2152" s="98"/>
      <c r="Q2152" s="98"/>
      <c r="R2152" s="98"/>
      <c r="S2152" s="98"/>
      <c r="T2152" s="98"/>
      <c r="U2152" s="98"/>
      <c r="V2152" s="98"/>
      <c r="W2152" s="98"/>
      <c r="X2152" s="98"/>
      <c r="Y2152" s="98"/>
      <c r="Z2152" s="98"/>
      <c r="AA2152" s="98"/>
      <c r="AB2152" s="98"/>
      <c r="AC2152" s="98"/>
      <c r="AD2152" s="98"/>
      <c r="AE2152" s="98"/>
      <c r="AF2152" s="98"/>
      <c r="AG2152" s="98"/>
      <c r="AH2152" s="98"/>
      <c r="AI2152" s="98"/>
      <c r="AJ2152" s="98"/>
      <c r="AK2152" s="98"/>
      <c r="AL2152" s="98"/>
      <c r="AM2152" s="98"/>
    </row>
    <row r="2153" spans="1:39" s="100" customFormat="1" ht="15.6" x14ac:dyDescent="0.3">
      <c r="A2153" s="97"/>
      <c r="B2153" s="98"/>
      <c r="C2153" s="98"/>
      <c r="D2153" s="98"/>
      <c r="E2153" s="98"/>
      <c r="F2153" s="98"/>
      <c r="G2153" s="99"/>
      <c r="H2153" s="99"/>
      <c r="I2153" s="99"/>
      <c r="J2153" s="99"/>
      <c r="K2153" s="98"/>
      <c r="L2153" s="98"/>
      <c r="M2153" s="98"/>
      <c r="N2153" s="98"/>
      <c r="O2153" s="98"/>
      <c r="P2153" s="98"/>
      <c r="Q2153" s="98"/>
      <c r="R2153" s="98"/>
      <c r="S2153" s="98"/>
      <c r="T2153" s="98"/>
      <c r="U2153" s="98"/>
      <c r="V2153" s="98"/>
      <c r="W2153" s="98"/>
      <c r="X2153" s="98"/>
      <c r="Y2153" s="98"/>
      <c r="Z2153" s="98"/>
      <c r="AA2153" s="98"/>
      <c r="AB2153" s="98"/>
      <c r="AC2153" s="98"/>
      <c r="AD2153" s="98"/>
      <c r="AE2153" s="98"/>
      <c r="AF2153" s="98"/>
      <c r="AG2153" s="98"/>
      <c r="AH2153" s="98"/>
      <c r="AI2153" s="98"/>
      <c r="AJ2153" s="98"/>
      <c r="AK2153" s="98"/>
      <c r="AL2153" s="98"/>
      <c r="AM2153" s="98"/>
    </row>
    <row r="2154" spans="1:39" s="100" customFormat="1" ht="15.6" x14ac:dyDescent="0.3">
      <c r="A2154" s="97"/>
      <c r="B2154" s="98"/>
      <c r="C2154" s="98"/>
      <c r="D2154" s="98"/>
      <c r="E2154" s="98"/>
      <c r="F2154" s="98"/>
      <c r="G2154" s="99"/>
      <c r="H2154" s="99"/>
      <c r="I2154" s="99"/>
      <c r="J2154" s="99"/>
      <c r="K2154" s="98"/>
      <c r="L2154" s="98"/>
      <c r="M2154" s="98"/>
      <c r="N2154" s="98"/>
      <c r="O2154" s="98"/>
      <c r="P2154" s="98"/>
      <c r="Q2154" s="98"/>
      <c r="R2154" s="98"/>
      <c r="S2154" s="98"/>
      <c r="T2154" s="98"/>
      <c r="U2154" s="98"/>
      <c r="V2154" s="98"/>
      <c r="W2154" s="98"/>
      <c r="X2154" s="98"/>
      <c r="Y2154" s="98"/>
      <c r="Z2154" s="98"/>
      <c r="AA2154" s="98"/>
      <c r="AB2154" s="98"/>
      <c r="AC2154" s="98"/>
      <c r="AD2154" s="98"/>
      <c r="AE2154" s="98"/>
      <c r="AF2154" s="98"/>
      <c r="AG2154" s="98"/>
      <c r="AH2154" s="98"/>
      <c r="AI2154" s="98"/>
      <c r="AJ2154" s="98"/>
      <c r="AK2154" s="98"/>
      <c r="AL2154" s="98"/>
      <c r="AM2154" s="98"/>
    </row>
    <row r="2155" spans="1:39" s="100" customFormat="1" ht="15.6" x14ac:dyDescent="0.3">
      <c r="A2155" s="97"/>
      <c r="B2155" s="98"/>
      <c r="C2155" s="98"/>
      <c r="D2155" s="98"/>
      <c r="E2155" s="98"/>
      <c r="F2155" s="98"/>
      <c r="G2155" s="99"/>
      <c r="H2155" s="99"/>
      <c r="I2155" s="99"/>
      <c r="J2155" s="99"/>
      <c r="K2155" s="98"/>
      <c r="L2155" s="98"/>
      <c r="M2155" s="98"/>
      <c r="N2155" s="98"/>
      <c r="O2155" s="98"/>
      <c r="P2155" s="98"/>
      <c r="Q2155" s="98"/>
      <c r="R2155" s="98"/>
      <c r="S2155" s="98"/>
      <c r="T2155" s="98"/>
      <c r="U2155" s="98"/>
      <c r="V2155" s="98"/>
      <c r="W2155" s="98"/>
      <c r="X2155" s="98"/>
      <c r="Y2155" s="98"/>
      <c r="Z2155" s="98"/>
      <c r="AA2155" s="98"/>
      <c r="AB2155" s="98"/>
      <c r="AC2155" s="98"/>
      <c r="AD2155" s="98"/>
      <c r="AE2155" s="98"/>
      <c r="AF2155" s="98"/>
      <c r="AG2155" s="98"/>
      <c r="AH2155" s="98"/>
      <c r="AI2155" s="98"/>
      <c r="AJ2155" s="98"/>
      <c r="AK2155" s="98"/>
      <c r="AL2155" s="98"/>
      <c r="AM2155" s="98"/>
    </row>
    <row r="2156" spans="1:39" s="100" customFormat="1" ht="15.6" x14ac:dyDescent="0.3">
      <c r="A2156" s="97"/>
      <c r="B2156" s="98"/>
      <c r="C2156" s="98"/>
      <c r="D2156" s="98"/>
      <c r="E2156" s="98"/>
      <c r="F2156" s="98"/>
      <c r="G2156" s="99"/>
      <c r="H2156" s="99"/>
      <c r="I2156" s="99"/>
      <c r="J2156" s="99"/>
      <c r="K2156" s="98"/>
      <c r="L2156" s="98"/>
      <c r="M2156" s="98"/>
      <c r="N2156" s="98"/>
      <c r="O2156" s="98"/>
      <c r="P2156" s="98"/>
      <c r="Q2156" s="98"/>
      <c r="R2156" s="98"/>
      <c r="S2156" s="98"/>
      <c r="T2156" s="98"/>
      <c r="U2156" s="98"/>
      <c r="V2156" s="98"/>
      <c r="W2156" s="98"/>
      <c r="X2156" s="98"/>
      <c r="Y2156" s="98"/>
      <c r="Z2156" s="98"/>
      <c r="AA2156" s="98"/>
      <c r="AB2156" s="98"/>
      <c r="AC2156" s="98"/>
      <c r="AD2156" s="98"/>
      <c r="AE2156" s="98"/>
      <c r="AF2156" s="98"/>
      <c r="AG2156" s="98"/>
      <c r="AH2156" s="98"/>
      <c r="AI2156" s="98"/>
      <c r="AJ2156" s="98"/>
      <c r="AK2156" s="98"/>
      <c r="AL2156" s="98"/>
      <c r="AM2156" s="98"/>
    </row>
    <row r="2157" spans="1:39" s="100" customFormat="1" ht="15.6" x14ac:dyDescent="0.3">
      <c r="A2157" s="97"/>
      <c r="B2157" s="98"/>
      <c r="C2157" s="98"/>
      <c r="D2157" s="98"/>
      <c r="E2157" s="98"/>
      <c r="F2157" s="98"/>
      <c r="G2157" s="99"/>
      <c r="H2157" s="99"/>
      <c r="I2157" s="99"/>
      <c r="J2157" s="99"/>
      <c r="K2157" s="98"/>
      <c r="L2157" s="98"/>
      <c r="M2157" s="98"/>
      <c r="N2157" s="98"/>
      <c r="O2157" s="98"/>
      <c r="P2157" s="98"/>
      <c r="Q2157" s="98"/>
      <c r="R2157" s="98"/>
      <c r="S2157" s="98"/>
      <c r="T2157" s="98"/>
      <c r="U2157" s="98"/>
      <c r="V2157" s="98"/>
      <c r="W2157" s="98"/>
      <c r="X2157" s="98"/>
      <c r="Y2157" s="98"/>
      <c r="Z2157" s="98"/>
      <c r="AA2157" s="98"/>
      <c r="AB2157" s="98"/>
      <c r="AC2157" s="98"/>
      <c r="AD2157" s="98"/>
      <c r="AE2157" s="98"/>
      <c r="AF2157" s="98"/>
      <c r="AG2157" s="98"/>
      <c r="AH2157" s="98"/>
      <c r="AI2157" s="98"/>
      <c r="AJ2157" s="98"/>
      <c r="AK2157" s="98"/>
      <c r="AL2157" s="98"/>
      <c r="AM2157" s="98"/>
    </row>
    <row r="2158" spans="1:39" s="100" customFormat="1" ht="15.6" x14ac:dyDescent="0.3">
      <c r="A2158" s="97"/>
      <c r="B2158" s="98"/>
      <c r="C2158" s="98"/>
      <c r="D2158" s="98"/>
      <c r="E2158" s="98"/>
      <c r="F2158" s="98"/>
      <c r="G2158" s="99"/>
      <c r="H2158" s="99"/>
      <c r="I2158" s="99"/>
      <c r="J2158" s="99"/>
      <c r="K2158" s="98"/>
      <c r="L2158" s="98"/>
      <c r="M2158" s="98"/>
      <c r="N2158" s="98"/>
      <c r="O2158" s="98"/>
      <c r="P2158" s="98"/>
      <c r="Q2158" s="98"/>
      <c r="R2158" s="98"/>
      <c r="S2158" s="98"/>
      <c r="T2158" s="98"/>
      <c r="U2158" s="98"/>
      <c r="V2158" s="98"/>
      <c r="W2158" s="98"/>
      <c r="X2158" s="98"/>
      <c r="Y2158" s="98"/>
      <c r="Z2158" s="98"/>
      <c r="AA2158" s="98"/>
      <c r="AB2158" s="98"/>
      <c r="AC2158" s="98"/>
      <c r="AD2158" s="98"/>
      <c r="AE2158" s="98"/>
      <c r="AF2158" s="98"/>
      <c r="AG2158" s="98"/>
      <c r="AH2158" s="98"/>
      <c r="AI2158" s="98"/>
      <c r="AJ2158" s="98"/>
      <c r="AK2158" s="98"/>
      <c r="AL2158" s="98"/>
      <c r="AM2158" s="98"/>
    </row>
    <row r="2159" spans="1:39" s="100" customFormat="1" ht="15.6" x14ac:dyDescent="0.3">
      <c r="A2159" s="97"/>
      <c r="B2159" s="98"/>
      <c r="C2159" s="98"/>
      <c r="D2159" s="98"/>
      <c r="E2159" s="98"/>
      <c r="F2159" s="98"/>
      <c r="G2159" s="99"/>
      <c r="H2159" s="99"/>
      <c r="I2159" s="99"/>
      <c r="J2159" s="99"/>
      <c r="K2159" s="98"/>
      <c r="L2159" s="98"/>
      <c r="M2159" s="98"/>
      <c r="N2159" s="98"/>
      <c r="O2159" s="98"/>
      <c r="P2159" s="98"/>
      <c r="Q2159" s="98"/>
      <c r="R2159" s="98"/>
      <c r="S2159" s="98"/>
      <c r="T2159" s="98"/>
      <c r="U2159" s="98"/>
      <c r="V2159" s="98"/>
      <c r="W2159" s="98"/>
      <c r="X2159" s="98"/>
      <c r="Y2159" s="98"/>
      <c r="Z2159" s="98"/>
      <c r="AA2159" s="98"/>
      <c r="AB2159" s="98"/>
      <c r="AC2159" s="98"/>
      <c r="AD2159" s="98"/>
      <c r="AE2159" s="98"/>
      <c r="AF2159" s="98"/>
      <c r="AG2159" s="98"/>
      <c r="AH2159" s="98"/>
      <c r="AI2159" s="98"/>
      <c r="AJ2159" s="98"/>
      <c r="AK2159" s="98"/>
      <c r="AL2159" s="98"/>
      <c r="AM2159" s="98"/>
    </row>
    <row r="2160" spans="1:39" s="100" customFormat="1" ht="15.6" x14ac:dyDescent="0.3">
      <c r="A2160" s="97"/>
      <c r="B2160" s="98"/>
      <c r="C2160" s="98"/>
      <c r="D2160" s="98"/>
      <c r="E2160" s="98"/>
      <c r="F2160" s="98"/>
      <c r="G2160" s="99"/>
      <c r="H2160" s="99"/>
      <c r="I2160" s="99"/>
      <c r="J2160" s="99"/>
      <c r="K2160" s="98"/>
      <c r="L2160" s="98"/>
      <c r="M2160" s="98"/>
      <c r="N2160" s="98"/>
      <c r="O2160" s="98"/>
      <c r="P2160" s="98"/>
      <c r="Q2160" s="98"/>
      <c r="R2160" s="98"/>
      <c r="S2160" s="98"/>
      <c r="T2160" s="98"/>
      <c r="U2160" s="98"/>
      <c r="V2160" s="98"/>
      <c r="W2160" s="98"/>
      <c r="X2160" s="98"/>
      <c r="Y2160" s="98"/>
      <c r="Z2160" s="98"/>
      <c r="AA2160" s="98"/>
      <c r="AB2160" s="98"/>
      <c r="AC2160" s="98"/>
      <c r="AD2160" s="98"/>
      <c r="AE2160" s="98"/>
      <c r="AF2160" s="98"/>
      <c r="AG2160" s="98"/>
      <c r="AH2160" s="98"/>
      <c r="AI2160" s="98"/>
      <c r="AJ2160" s="98"/>
      <c r="AK2160" s="98"/>
      <c r="AL2160" s="98"/>
      <c r="AM2160" s="98"/>
    </row>
    <row r="2161" spans="1:39" s="100" customFormat="1" ht="15.6" x14ac:dyDescent="0.3">
      <c r="A2161" s="97"/>
      <c r="B2161" s="98"/>
      <c r="C2161" s="98"/>
      <c r="D2161" s="98"/>
      <c r="E2161" s="98"/>
      <c r="F2161" s="98"/>
      <c r="G2161" s="99"/>
      <c r="H2161" s="99"/>
      <c r="I2161" s="99"/>
      <c r="J2161" s="99"/>
      <c r="K2161" s="98"/>
      <c r="L2161" s="98"/>
      <c r="M2161" s="98"/>
      <c r="N2161" s="98"/>
      <c r="O2161" s="98"/>
      <c r="P2161" s="98"/>
      <c r="Q2161" s="98"/>
      <c r="R2161" s="98"/>
      <c r="S2161" s="98"/>
      <c r="T2161" s="98"/>
      <c r="U2161" s="98"/>
      <c r="V2161" s="98"/>
      <c r="W2161" s="98"/>
      <c r="X2161" s="98"/>
      <c r="Y2161" s="98"/>
      <c r="Z2161" s="98"/>
      <c r="AA2161" s="98"/>
      <c r="AB2161" s="98"/>
      <c r="AC2161" s="98"/>
      <c r="AD2161" s="98"/>
      <c r="AE2161" s="98"/>
      <c r="AF2161" s="98"/>
      <c r="AG2161" s="98"/>
      <c r="AH2161" s="98"/>
      <c r="AI2161" s="98"/>
      <c r="AJ2161" s="98"/>
      <c r="AK2161" s="98"/>
      <c r="AL2161" s="98"/>
      <c r="AM2161" s="98"/>
    </row>
    <row r="2162" spans="1:39" s="100" customFormat="1" ht="15.6" x14ac:dyDescent="0.3">
      <c r="A2162" s="97"/>
      <c r="B2162" s="98"/>
      <c r="C2162" s="98"/>
      <c r="D2162" s="98"/>
      <c r="E2162" s="98"/>
      <c r="F2162" s="98"/>
      <c r="G2162" s="99"/>
      <c r="H2162" s="99"/>
      <c r="I2162" s="99"/>
      <c r="J2162" s="99"/>
      <c r="K2162" s="98"/>
      <c r="L2162" s="98"/>
      <c r="M2162" s="98"/>
      <c r="N2162" s="98"/>
      <c r="O2162" s="98"/>
      <c r="P2162" s="98"/>
      <c r="Q2162" s="98"/>
      <c r="R2162" s="98"/>
      <c r="S2162" s="98"/>
      <c r="T2162" s="98"/>
      <c r="U2162" s="98"/>
      <c r="V2162" s="98"/>
      <c r="W2162" s="98"/>
      <c r="X2162" s="98"/>
      <c r="Y2162" s="98"/>
      <c r="Z2162" s="98"/>
      <c r="AA2162" s="98"/>
      <c r="AB2162" s="98"/>
      <c r="AC2162" s="98"/>
      <c r="AD2162" s="98"/>
      <c r="AE2162" s="98"/>
      <c r="AF2162" s="98"/>
      <c r="AG2162" s="98"/>
      <c r="AH2162" s="98"/>
      <c r="AI2162" s="98"/>
      <c r="AJ2162" s="98"/>
      <c r="AK2162" s="98"/>
      <c r="AL2162" s="98"/>
      <c r="AM2162" s="98"/>
    </row>
    <row r="2163" spans="1:39" s="100" customFormat="1" ht="15.6" x14ac:dyDescent="0.3">
      <c r="A2163" s="97"/>
      <c r="B2163" s="98"/>
      <c r="C2163" s="98"/>
      <c r="D2163" s="98"/>
      <c r="E2163" s="98"/>
      <c r="F2163" s="98"/>
      <c r="G2163" s="99"/>
      <c r="H2163" s="99"/>
      <c r="I2163" s="99"/>
      <c r="J2163" s="99"/>
      <c r="K2163" s="98"/>
      <c r="L2163" s="98"/>
      <c r="M2163" s="98"/>
      <c r="N2163" s="98"/>
      <c r="O2163" s="98"/>
      <c r="P2163" s="98"/>
      <c r="Q2163" s="98"/>
      <c r="R2163" s="98"/>
      <c r="S2163" s="98"/>
      <c r="T2163" s="98"/>
      <c r="U2163" s="98"/>
      <c r="V2163" s="98"/>
      <c r="W2163" s="98"/>
      <c r="X2163" s="98"/>
      <c r="Y2163" s="98"/>
      <c r="Z2163" s="98"/>
      <c r="AA2163" s="98"/>
      <c r="AB2163" s="98"/>
      <c r="AC2163" s="98"/>
      <c r="AD2163" s="98"/>
      <c r="AE2163" s="98"/>
      <c r="AF2163" s="98"/>
      <c r="AG2163" s="98"/>
      <c r="AH2163" s="98"/>
      <c r="AI2163" s="98"/>
      <c r="AJ2163" s="98"/>
      <c r="AK2163" s="98"/>
      <c r="AL2163" s="98"/>
      <c r="AM2163" s="98"/>
    </row>
    <row r="2164" spans="1:39" s="100" customFormat="1" ht="15.6" x14ac:dyDescent="0.3">
      <c r="A2164" s="97"/>
      <c r="B2164" s="98"/>
      <c r="C2164" s="98"/>
      <c r="D2164" s="98"/>
      <c r="E2164" s="98"/>
      <c r="F2164" s="98"/>
      <c r="G2164" s="99"/>
      <c r="H2164" s="99"/>
      <c r="I2164" s="99"/>
      <c r="J2164" s="99"/>
      <c r="K2164" s="98"/>
      <c r="L2164" s="98"/>
      <c r="M2164" s="98"/>
      <c r="N2164" s="98"/>
      <c r="O2164" s="98"/>
      <c r="P2164" s="98"/>
      <c r="Q2164" s="98"/>
      <c r="R2164" s="98"/>
      <c r="S2164" s="98"/>
      <c r="T2164" s="98"/>
      <c r="U2164" s="98"/>
      <c r="V2164" s="98"/>
      <c r="W2164" s="98"/>
      <c r="X2164" s="98"/>
      <c r="Y2164" s="98"/>
      <c r="Z2164" s="98"/>
      <c r="AA2164" s="98"/>
      <c r="AB2164" s="98"/>
      <c r="AC2164" s="98"/>
      <c r="AD2164" s="98"/>
      <c r="AE2164" s="98"/>
      <c r="AF2164" s="98"/>
      <c r="AG2164" s="98"/>
      <c r="AH2164" s="98"/>
      <c r="AI2164" s="98"/>
      <c r="AJ2164" s="98"/>
      <c r="AK2164" s="98"/>
      <c r="AL2164" s="98"/>
      <c r="AM2164" s="98"/>
    </row>
    <row r="2165" spans="1:39" s="100" customFormat="1" ht="15.6" x14ac:dyDescent="0.3">
      <c r="A2165" s="97"/>
      <c r="B2165" s="98"/>
      <c r="C2165" s="98"/>
      <c r="D2165" s="98"/>
      <c r="E2165" s="98"/>
      <c r="F2165" s="98"/>
      <c r="G2165" s="99"/>
      <c r="H2165" s="99"/>
      <c r="I2165" s="99"/>
      <c r="J2165" s="99"/>
      <c r="K2165" s="98"/>
      <c r="L2165" s="98"/>
      <c r="M2165" s="98"/>
      <c r="N2165" s="98"/>
      <c r="O2165" s="98"/>
      <c r="P2165" s="98"/>
      <c r="Q2165" s="98"/>
      <c r="R2165" s="98"/>
      <c r="S2165" s="98"/>
      <c r="T2165" s="98"/>
      <c r="U2165" s="98"/>
      <c r="V2165" s="98"/>
      <c r="W2165" s="98"/>
      <c r="X2165" s="98"/>
      <c r="Y2165" s="98"/>
      <c r="Z2165" s="98"/>
      <c r="AA2165" s="98"/>
      <c r="AB2165" s="98"/>
      <c r="AC2165" s="98"/>
      <c r="AD2165" s="98"/>
      <c r="AE2165" s="98"/>
      <c r="AF2165" s="98"/>
      <c r="AG2165" s="98"/>
      <c r="AH2165" s="98"/>
      <c r="AI2165" s="98"/>
      <c r="AJ2165" s="98"/>
      <c r="AK2165" s="98"/>
      <c r="AL2165" s="98"/>
      <c r="AM2165" s="98"/>
    </row>
    <row r="2166" spans="1:39" s="100" customFormat="1" ht="15.6" x14ac:dyDescent="0.3">
      <c r="A2166" s="97"/>
      <c r="B2166" s="98"/>
      <c r="C2166" s="98"/>
      <c r="D2166" s="98"/>
      <c r="E2166" s="98"/>
      <c r="F2166" s="98"/>
      <c r="G2166" s="99"/>
      <c r="H2166" s="99"/>
      <c r="I2166" s="99"/>
      <c r="J2166" s="99"/>
      <c r="K2166" s="98"/>
      <c r="L2166" s="98"/>
      <c r="M2166" s="98"/>
      <c r="N2166" s="98"/>
      <c r="O2166" s="98"/>
      <c r="P2166" s="98"/>
      <c r="Q2166" s="98"/>
      <c r="R2166" s="98"/>
      <c r="S2166" s="98"/>
      <c r="T2166" s="98"/>
      <c r="U2166" s="98"/>
      <c r="V2166" s="98"/>
      <c r="W2166" s="98"/>
      <c r="X2166" s="98"/>
      <c r="Y2166" s="98"/>
      <c r="Z2166" s="98"/>
      <c r="AA2166" s="98"/>
      <c r="AB2166" s="98"/>
      <c r="AC2166" s="98"/>
      <c r="AD2166" s="98"/>
      <c r="AE2166" s="98"/>
      <c r="AF2166" s="98"/>
      <c r="AG2166" s="98"/>
      <c r="AH2166" s="98"/>
      <c r="AI2166" s="98"/>
      <c r="AJ2166" s="98"/>
      <c r="AK2166" s="98"/>
      <c r="AL2166" s="98"/>
      <c r="AM2166" s="98"/>
    </row>
    <row r="2167" spans="1:39" s="100" customFormat="1" ht="15.6" x14ac:dyDescent="0.3">
      <c r="A2167" s="97"/>
      <c r="B2167" s="98"/>
      <c r="C2167" s="98"/>
      <c r="D2167" s="98"/>
      <c r="E2167" s="98"/>
      <c r="F2167" s="98"/>
      <c r="G2167" s="99"/>
      <c r="H2167" s="99"/>
      <c r="I2167" s="99"/>
      <c r="J2167" s="99"/>
      <c r="K2167" s="98"/>
      <c r="L2167" s="98"/>
      <c r="M2167" s="98"/>
      <c r="N2167" s="98"/>
      <c r="O2167" s="98"/>
      <c r="P2167" s="98"/>
      <c r="Q2167" s="98"/>
      <c r="R2167" s="98"/>
      <c r="S2167" s="98"/>
      <c r="T2167" s="98"/>
      <c r="U2167" s="98"/>
      <c r="V2167" s="98"/>
      <c r="W2167" s="98"/>
      <c r="X2167" s="98"/>
      <c r="Y2167" s="98"/>
      <c r="Z2167" s="98"/>
      <c r="AA2167" s="98"/>
      <c r="AB2167" s="98"/>
      <c r="AC2167" s="98"/>
      <c r="AD2167" s="98"/>
      <c r="AE2167" s="98"/>
      <c r="AF2167" s="98"/>
      <c r="AG2167" s="98"/>
      <c r="AH2167" s="98"/>
      <c r="AI2167" s="98"/>
      <c r="AJ2167" s="98"/>
      <c r="AK2167" s="98"/>
      <c r="AL2167" s="98"/>
      <c r="AM2167" s="98"/>
    </row>
    <row r="2168" spans="1:39" s="100" customFormat="1" ht="15.6" x14ac:dyDescent="0.3">
      <c r="A2168" s="97"/>
      <c r="B2168" s="98"/>
      <c r="C2168" s="98"/>
      <c r="D2168" s="98"/>
      <c r="E2168" s="98"/>
      <c r="F2168" s="98"/>
      <c r="G2168" s="99"/>
      <c r="H2168" s="99"/>
      <c r="I2168" s="99"/>
      <c r="J2168" s="99"/>
      <c r="K2168" s="98"/>
      <c r="L2168" s="98"/>
      <c r="M2168" s="98"/>
      <c r="N2168" s="98"/>
      <c r="O2168" s="98"/>
      <c r="P2168" s="98"/>
      <c r="Q2168" s="98"/>
      <c r="R2168" s="98"/>
      <c r="S2168" s="98"/>
      <c r="T2168" s="98"/>
      <c r="U2168" s="98"/>
      <c r="V2168" s="98"/>
      <c r="W2168" s="98"/>
      <c r="X2168" s="98"/>
      <c r="Y2168" s="98"/>
      <c r="Z2168" s="98"/>
      <c r="AA2168" s="98"/>
      <c r="AB2168" s="98"/>
      <c r="AC2168" s="98"/>
      <c r="AD2168" s="98"/>
      <c r="AE2168" s="98"/>
      <c r="AF2168" s="98"/>
      <c r="AG2168" s="98"/>
      <c r="AH2168" s="98"/>
      <c r="AI2168" s="98"/>
      <c r="AJ2168" s="98"/>
      <c r="AK2168" s="98"/>
      <c r="AL2168" s="98"/>
      <c r="AM2168" s="98"/>
    </row>
    <row r="2169" spans="1:39" s="100" customFormat="1" ht="15.6" x14ac:dyDescent="0.3">
      <c r="A2169" s="97"/>
      <c r="B2169" s="98"/>
      <c r="C2169" s="98"/>
      <c r="D2169" s="98"/>
      <c r="E2169" s="98"/>
      <c r="F2169" s="98"/>
      <c r="G2169" s="99"/>
      <c r="H2169" s="99"/>
      <c r="I2169" s="99"/>
      <c r="J2169" s="99"/>
      <c r="K2169" s="98"/>
      <c r="L2169" s="98"/>
      <c r="M2169" s="98"/>
      <c r="N2169" s="98"/>
      <c r="O2169" s="98"/>
      <c r="P2169" s="98"/>
      <c r="Q2169" s="98"/>
      <c r="R2169" s="98"/>
      <c r="S2169" s="98"/>
      <c r="T2169" s="98"/>
      <c r="U2169" s="98"/>
      <c r="V2169" s="98"/>
      <c r="W2169" s="98"/>
      <c r="X2169" s="98"/>
      <c r="Y2169" s="98"/>
      <c r="Z2169" s="98"/>
      <c r="AA2169" s="98"/>
      <c r="AB2169" s="98"/>
      <c r="AC2169" s="98"/>
      <c r="AD2169" s="98"/>
      <c r="AE2169" s="98"/>
      <c r="AF2169" s="98"/>
      <c r="AG2169" s="98"/>
      <c r="AH2169" s="98"/>
      <c r="AI2169" s="98"/>
      <c r="AJ2169" s="98"/>
      <c r="AK2169" s="98"/>
      <c r="AL2169" s="98"/>
      <c r="AM2169" s="98"/>
    </row>
    <row r="2170" spans="1:39" s="100" customFormat="1" ht="15.6" x14ac:dyDescent="0.3">
      <c r="A2170" s="97"/>
      <c r="B2170" s="98"/>
      <c r="C2170" s="98"/>
      <c r="D2170" s="98"/>
      <c r="E2170" s="98"/>
      <c r="F2170" s="98"/>
      <c r="G2170" s="99"/>
      <c r="H2170" s="99"/>
      <c r="I2170" s="99"/>
      <c r="J2170" s="99"/>
      <c r="K2170" s="98"/>
      <c r="L2170" s="98"/>
      <c r="M2170" s="98"/>
      <c r="N2170" s="98"/>
      <c r="O2170" s="98"/>
      <c r="P2170" s="98"/>
      <c r="Q2170" s="98"/>
      <c r="R2170" s="98"/>
      <c r="S2170" s="98"/>
      <c r="T2170" s="98"/>
      <c r="U2170" s="98"/>
      <c r="V2170" s="98"/>
      <c r="W2170" s="98"/>
      <c r="X2170" s="98"/>
      <c r="Y2170" s="98"/>
      <c r="Z2170" s="98"/>
      <c r="AA2170" s="98"/>
      <c r="AB2170" s="98"/>
      <c r="AC2170" s="98"/>
      <c r="AD2170" s="98"/>
      <c r="AE2170" s="98"/>
      <c r="AF2170" s="98"/>
      <c r="AG2170" s="98"/>
      <c r="AH2170" s="98"/>
      <c r="AI2170" s="98"/>
      <c r="AJ2170" s="98"/>
      <c r="AK2170" s="98"/>
      <c r="AL2170" s="98"/>
      <c r="AM2170" s="98"/>
    </row>
    <row r="2171" spans="1:39" s="100" customFormat="1" ht="15.6" x14ac:dyDescent="0.3">
      <c r="A2171" s="97"/>
      <c r="B2171" s="98"/>
      <c r="C2171" s="98"/>
      <c r="D2171" s="98"/>
      <c r="E2171" s="98"/>
      <c r="F2171" s="98"/>
      <c r="G2171" s="99"/>
      <c r="H2171" s="99"/>
      <c r="I2171" s="99"/>
      <c r="J2171" s="99"/>
      <c r="K2171" s="98"/>
      <c r="L2171" s="98"/>
      <c r="M2171" s="98"/>
      <c r="N2171" s="98"/>
      <c r="O2171" s="98"/>
      <c r="P2171" s="98"/>
      <c r="Q2171" s="98"/>
      <c r="R2171" s="98"/>
      <c r="S2171" s="98"/>
      <c r="T2171" s="98"/>
      <c r="U2171" s="98"/>
      <c r="V2171" s="98"/>
      <c r="W2171" s="98"/>
      <c r="X2171" s="98"/>
      <c r="Y2171" s="98"/>
      <c r="Z2171" s="98"/>
      <c r="AA2171" s="98"/>
      <c r="AB2171" s="98"/>
      <c r="AC2171" s="98"/>
      <c r="AD2171" s="98"/>
      <c r="AE2171" s="98"/>
      <c r="AF2171" s="98"/>
      <c r="AG2171" s="98"/>
      <c r="AH2171" s="98"/>
      <c r="AI2171" s="98"/>
      <c r="AJ2171" s="98"/>
      <c r="AK2171" s="98"/>
      <c r="AL2171" s="98"/>
      <c r="AM2171" s="98"/>
    </row>
    <row r="2172" spans="1:39" s="100" customFormat="1" ht="15.6" x14ac:dyDescent="0.3">
      <c r="A2172" s="97"/>
      <c r="B2172" s="98"/>
      <c r="C2172" s="98"/>
      <c r="D2172" s="98"/>
      <c r="E2172" s="98"/>
      <c r="F2172" s="98"/>
      <c r="G2172" s="99"/>
      <c r="H2172" s="99"/>
      <c r="I2172" s="99"/>
      <c r="J2172" s="99"/>
      <c r="K2172" s="98"/>
      <c r="L2172" s="98"/>
      <c r="M2172" s="98"/>
      <c r="N2172" s="98"/>
      <c r="O2172" s="98"/>
      <c r="P2172" s="98"/>
      <c r="Q2172" s="98"/>
      <c r="R2172" s="98"/>
      <c r="S2172" s="98"/>
      <c r="T2172" s="98"/>
      <c r="U2172" s="98"/>
      <c r="V2172" s="98"/>
      <c r="W2172" s="98"/>
      <c r="X2172" s="98"/>
      <c r="Y2172" s="98"/>
      <c r="Z2172" s="98"/>
      <c r="AA2172" s="98"/>
      <c r="AB2172" s="98"/>
      <c r="AC2172" s="98"/>
      <c r="AD2172" s="98"/>
      <c r="AE2172" s="98"/>
      <c r="AF2172" s="98"/>
      <c r="AG2172" s="98"/>
      <c r="AH2172" s="98"/>
      <c r="AI2172" s="98"/>
      <c r="AJ2172" s="98"/>
      <c r="AK2172" s="98"/>
      <c r="AL2172" s="98"/>
      <c r="AM2172" s="98"/>
    </row>
    <row r="2173" spans="1:39" s="100" customFormat="1" ht="15.6" x14ac:dyDescent="0.3">
      <c r="A2173" s="97"/>
      <c r="B2173" s="98"/>
      <c r="C2173" s="98"/>
      <c r="D2173" s="98"/>
      <c r="E2173" s="98"/>
      <c r="F2173" s="98"/>
      <c r="G2173" s="99"/>
      <c r="H2173" s="99"/>
      <c r="I2173" s="99"/>
      <c r="J2173" s="99"/>
      <c r="K2173" s="98"/>
      <c r="L2173" s="98"/>
      <c r="M2173" s="98"/>
      <c r="N2173" s="98"/>
      <c r="O2173" s="98"/>
      <c r="P2173" s="98"/>
      <c r="Q2173" s="98"/>
      <c r="R2173" s="98"/>
      <c r="S2173" s="98"/>
      <c r="T2173" s="98"/>
      <c r="U2173" s="98"/>
      <c r="V2173" s="98"/>
      <c r="W2173" s="98"/>
      <c r="X2173" s="98"/>
      <c r="Y2173" s="98"/>
      <c r="Z2173" s="98"/>
      <c r="AA2173" s="98"/>
      <c r="AB2173" s="98"/>
      <c r="AC2173" s="98"/>
      <c r="AD2173" s="98"/>
      <c r="AE2173" s="98"/>
      <c r="AF2173" s="98"/>
      <c r="AG2173" s="98"/>
      <c r="AH2173" s="98"/>
      <c r="AI2173" s="98"/>
      <c r="AJ2173" s="98"/>
      <c r="AK2173" s="98"/>
      <c r="AL2173" s="98"/>
      <c r="AM2173" s="98"/>
    </row>
    <row r="2174" spans="1:39" s="100" customFormat="1" ht="15.6" x14ac:dyDescent="0.3">
      <c r="A2174" s="97"/>
      <c r="B2174" s="98"/>
      <c r="C2174" s="98"/>
      <c r="D2174" s="98"/>
      <c r="E2174" s="98"/>
      <c r="F2174" s="98"/>
      <c r="G2174" s="99"/>
      <c r="H2174" s="99"/>
      <c r="I2174" s="99"/>
      <c r="J2174" s="99"/>
      <c r="K2174" s="98"/>
      <c r="L2174" s="98"/>
      <c r="M2174" s="98"/>
      <c r="N2174" s="98"/>
      <c r="O2174" s="98"/>
      <c r="P2174" s="98"/>
      <c r="Q2174" s="98"/>
      <c r="R2174" s="98"/>
      <c r="S2174" s="98"/>
      <c r="T2174" s="98"/>
      <c r="U2174" s="98"/>
      <c r="V2174" s="98"/>
      <c r="W2174" s="98"/>
      <c r="X2174" s="98"/>
      <c r="Y2174" s="98"/>
      <c r="Z2174" s="98"/>
      <c r="AA2174" s="98"/>
      <c r="AB2174" s="98"/>
      <c r="AC2174" s="98"/>
      <c r="AD2174" s="98"/>
      <c r="AE2174" s="98"/>
      <c r="AF2174" s="98"/>
      <c r="AG2174" s="98"/>
      <c r="AH2174" s="98"/>
      <c r="AI2174" s="98"/>
      <c r="AJ2174" s="98"/>
      <c r="AK2174" s="98"/>
      <c r="AL2174" s="98"/>
      <c r="AM2174" s="98"/>
    </row>
    <row r="2175" spans="1:39" s="100" customFormat="1" ht="15.6" x14ac:dyDescent="0.3">
      <c r="A2175" s="97"/>
      <c r="B2175" s="98"/>
      <c r="C2175" s="98"/>
      <c r="D2175" s="98"/>
      <c r="E2175" s="98"/>
      <c r="F2175" s="98"/>
      <c r="G2175" s="99"/>
      <c r="H2175" s="99"/>
      <c r="I2175" s="99"/>
      <c r="J2175" s="99"/>
      <c r="K2175" s="98"/>
      <c r="L2175" s="98"/>
      <c r="M2175" s="98"/>
      <c r="N2175" s="98"/>
      <c r="O2175" s="98"/>
      <c r="P2175" s="98"/>
      <c r="Q2175" s="98"/>
      <c r="R2175" s="98"/>
      <c r="S2175" s="98"/>
      <c r="T2175" s="98"/>
      <c r="U2175" s="98"/>
      <c r="V2175" s="98"/>
      <c r="W2175" s="98"/>
      <c r="X2175" s="98"/>
      <c r="Y2175" s="98"/>
      <c r="Z2175" s="98"/>
      <c r="AA2175" s="98"/>
      <c r="AB2175" s="98"/>
      <c r="AC2175" s="98"/>
      <c r="AD2175" s="98"/>
      <c r="AE2175" s="98"/>
      <c r="AF2175" s="98"/>
      <c r="AG2175" s="98"/>
      <c r="AH2175" s="98"/>
      <c r="AI2175" s="98"/>
      <c r="AJ2175" s="98"/>
      <c r="AK2175" s="98"/>
      <c r="AL2175" s="98"/>
      <c r="AM2175" s="98"/>
    </row>
    <row r="2176" spans="1:39" s="100" customFormat="1" ht="15.6" x14ac:dyDescent="0.3">
      <c r="A2176" s="97"/>
      <c r="B2176" s="98"/>
      <c r="C2176" s="98"/>
      <c r="D2176" s="98"/>
      <c r="E2176" s="98"/>
      <c r="F2176" s="98"/>
      <c r="G2176" s="99"/>
      <c r="H2176" s="99"/>
      <c r="I2176" s="99"/>
      <c r="J2176" s="99"/>
      <c r="K2176" s="98"/>
      <c r="L2176" s="98"/>
      <c r="M2176" s="98"/>
      <c r="N2176" s="98"/>
      <c r="O2176" s="98"/>
      <c r="P2176" s="98"/>
      <c r="Q2176" s="98"/>
      <c r="R2176" s="98"/>
      <c r="S2176" s="98"/>
      <c r="T2176" s="98"/>
      <c r="U2176" s="98"/>
      <c r="V2176" s="98"/>
      <c r="W2176" s="98"/>
      <c r="X2176" s="98"/>
      <c r="Y2176" s="98"/>
      <c r="Z2176" s="98"/>
      <c r="AA2176" s="98"/>
      <c r="AB2176" s="98"/>
      <c r="AC2176" s="98"/>
      <c r="AD2176" s="98"/>
      <c r="AE2176" s="98"/>
      <c r="AF2176" s="98"/>
      <c r="AG2176" s="98"/>
      <c r="AH2176" s="98"/>
      <c r="AI2176" s="98"/>
      <c r="AJ2176" s="98"/>
      <c r="AK2176" s="98"/>
      <c r="AL2176" s="98"/>
      <c r="AM2176" s="98"/>
    </row>
    <row r="2177" spans="1:39" s="100" customFormat="1" ht="15.6" x14ac:dyDescent="0.3">
      <c r="A2177" s="97"/>
      <c r="B2177" s="98"/>
      <c r="C2177" s="98"/>
      <c r="D2177" s="98"/>
      <c r="E2177" s="98"/>
      <c r="F2177" s="98"/>
      <c r="G2177" s="99"/>
      <c r="H2177" s="99"/>
      <c r="I2177" s="99"/>
      <c r="J2177" s="99"/>
      <c r="K2177" s="98"/>
      <c r="L2177" s="98"/>
      <c r="M2177" s="98"/>
      <c r="N2177" s="98"/>
      <c r="O2177" s="98"/>
      <c r="P2177" s="98"/>
      <c r="Q2177" s="98"/>
      <c r="R2177" s="98"/>
      <c r="S2177" s="98"/>
      <c r="T2177" s="98"/>
      <c r="U2177" s="98"/>
      <c r="V2177" s="98"/>
      <c r="W2177" s="98"/>
      <c r="X2177" s="98"/>
      <c r="Y2177" s="98"/>
      <c r="Z2177" s="98"/>
      <c r="AA2177" s="98"/>
      <c r="AB2177" s="98"/>
      <c r="AC2177" s="98"/>
      <c r="AD2177" s="98"/>
      <c r="AE2177" s="98"/>
      <c r="AF2177" s="98"/>
      <c r="AG2177" s="98"/>
      <c r="AH2177" s="98"/>
      <c r="AI2177" s="98"/>
      <c r="AJ2177" s="98"/>
      <c r="AK2177" s="98"/>
      <c r="AL2177" s="98"/>
      <c r="AM2177" s="98"/>
    </row>
    <row r="2178" spans="1:39" s="100" customFormat="1" ht="15.6" x14ac:dyDescent="0.3">
      <c r="A2178" s="97"/>
      <c r="B2178" s="98"/>
      <c r="C2178" s="98"/>
      <c r="D2178" s="98"/>
      <c r="E2178" s="98"/>
      <c r="F2178" s="98"/>
      <c r="G2178" s="99"/>
      <c r="H2178" s="99"/>
      <c r="I2178" s="99"/>
      <c r="J2178" s="99"/>
      <c r="K2178" s="98"/>
      <c r="L2178" s="98"/>
      <c r="M2178" s="98"/>
      <c r="N2178" s="98"/>
      <c r="O2178" s="98"/>
      <c r="P2178" s="98"/>
      <c r="Q2178" s="98"/>
      <c r="R2178" s="98"/>
      <c r="S2178" s="98"/>
      <c r="T2178" s="98"/>
      <c r="U2178" s="98"/>
      <c r="V2178" s="98"/>
      <c r="W2178" s="98"/>
      <c r="X2178" s="98"/>
      <c r="Y2178" s="98"/>
      <c r="Z2178" s="98"/>
      <c r="AA2178" s="98"/>
      <c r="AB2178" s="98"/>
      <c r="AC2178" s="98"/>
      <c r="AD2178" s="98"/>
      <c r="AE2178" s="98"/>
      <c r="AF2178" s="98"/>
      <c r="AG2178" s="98"/>
      <c r="AH2178" s="98"/>
      <c r="AI2178" s="98"/>
      <c r="AJ2178" s="98"/>
      <c r="AK2178" s="98"/>
      <c r="AL2178" s="98"/>
      <c r="AM2178" s="98"/>
    </row>
    <row r="2179" spans="1:39" s="100" customFormat="1" ht="15.6" x14ac:dyDescent="0.3">
      <c r="A2179" s="97"/>
      <c r="B2179" s="98"/>
      <c r="C2179" s="98"/>
      <c r="D2179" s="98"/>
      <c r="E2179" s="98"/>
      <c r="F2179" s="98"/>
      <c r="G2179" s="99"/>
      <c r="H2179" s="99"/>
      <c r="I2179" s="99"/>
      <c r="J2179" s="99"/>
      <c r="K2179" s="98"/>
      <c r="L2179" s="98"/>
      <c r="M2179" s="98"/>
      <c r="N2179" s="98"/>
      <c r="O2179" s="98"/>
      <c r="P2179" s="98"/>
      <c r="Q2179" s="98"/>
      <c r="R2179" s="98"/>
      <c r="S2179" s="98"/>
      <c r="T2179" s="98"/>
      <c r="U2179" s="98"/>
      <c r="V2179" s="98"/>
      <c r="W2179" s="98"/>
      <c r="X2179" s="98"/>
      <c r="Y2179" s="98"/>
      <c r="Z2179" s="98"/>
      <c r="AA2179" s="98"/>
      <c r="AB2179" s="98"/>
      <c r="AC2179" s="98"/>
      <c r="AD2179" s="98"/>
      <c r="AE2179" s="98"/>
      <c r="AF2179" s="98"/>
      <c r="AG2179" s="98"/>
      <c r="AH2179" s="98"/>
      <c r="AI2179" s="98"/>
      <c r="AJ2179" s="98"/>
      <c r="AK2179" s="98"/>
      <c r="AL2179" s="98"/>
      <c r="AM2179" s="98"/>
    </row>
    <row r="2180" spans="1:39" s="100" customFormat="1" ht="15.6" x14ac:dyDescent="0.3">
      <c r="A2180" s="97"/>
      <c r="B2180" s="98"/>
      <c r="C2180" s="98"/>
      <c r="D2180" s="98"/>
      <c r="E2180" s="98"/>
      <c r="F2180" s="98"/>
      <c r="G2180" s="99"/>
      <c r="H2180" s="99"/>
      <c r="I2180" s="99"/>
      <c r="J2180" s="99"/>
      <c r="K2180" s="98"/>
      <c r="L2180" s="98"/>
      <c r="M2180" s="98"/>
      <c r="N2180" s="98"/>
      <c r="O2180" s="98"/>
      <c r="P2180" s="98"/>
      <c r="Q2180" s="98"/>
      <c r="R2180" s="98"/>
      <c r="S2180" s="98"/>
      <c r="T2180" s="98"/>
      <c r="U2180" s="98"/>
      <c r="V2180" s="98"/>
      <c r="W2180" s="98"/>
      <c r="X2180" s="98"/>
      <c r="Y2180" s="98"/>
      <c r="Z2180" s="98"/>
      <c r="AA2180" s="98"/>
      <c r="AB2180" s="98"/>
      <c r="AC2180" s="98"/>
      <c r="AD2180" s="98"/>
      <c r="AE2180" s="98"/>
      <c r="AF2180" s="98"/>
      <c r="AG2180" s="98"/>
      <c r="AH2180" s="98"/>
      <c r="AI2180" s="98"/>
      <c r="AJ2180" s="98"/>
      <c r="AK2180" s="98"/>
      <c r="AL2180" s="98"/>
      <c r="AM2180" s="98"/>
    </row>
    <row r="2181" spans="1:39" s="100" customFormat="1" ht="15.6" x14ac:dyDescent="0.3">
      <c r="A2181" s="97"/>
      <c r="B2181" s="98"/>
      <c r="C2181" s="98"/>
      <c r="D2181" s="98"/>
      <c r="E2181" s="98"/>
      <c r="F2181" s="98"/>
      <c r="G2181" s="99"/>
      <c r="H2181" s="99"/>
      <c r="I2181" s="99"/>
      <c r="J2181" s="99"/>
      <c r="K2181" s="98"/>
      <c r="L2181" s="98"/>
      <c r="M2181" s="98"/>
      <c r="N2181" s="98"/>
      <c r="O2181" s="98"/>
      <c r="P2181" s="98"/>
      <c r="Q2181" s="98"/>
      <c r="R2181" s="98"/>
      <c r="S2181" s="98"/>
      <c r="T2181" s="98"/>
      <c r="U2181" s="98"/>
      <c r="V2181" s="98"/>
      <c r="W2181" s="98"/>
      <c r="X2181" s="98"/>
      <c r="Y2181" s="98"/>
      <c r="Z2181" s="98"/>
      <c r="AA2181" s="98"/>
      <c r="AB2181" s="98"/>
      <c r="AC2181" s="98"/>
      <c r="AD2181" s="98"/>
      <c r="AE2181" s="98"/>
      <c r="AF2181" s="98"/>
      <c r="AG2181" s="98"/>
      <c r="AH2181" s="98"/>
      <c r="AI2181" s="98"/>
      <c r="AJ2181" s="98"/>
      <c r="AK2181" s="98"/>
      <c r="AL2181" s="98"/>
      <c r="AM2181" s="98"/>
    </row>
    <row r="2182" spans="1:39" s="100" customFormat="1" ht="15.6" x14ac:dyDescent="0.3">
      <c r="A2182" s="97"/>
      <c r="B2182" s="98"/>
      <c r="C2182" s="98"/>
      <c r="D2182" s="98"/>
      <c r="E2182" s="98"/>
      <c r="F2182" s="98"/>
      <c r="G2182" s="99"/>
      <c r="H2182" s="99"/>
      <c r="I2182" s="99"/>
      <c r="J2182" s="99"/>
      <c r="K2182" s="98"/>
      <c r="L2182" s="98"/>
      <c r="M2182" s="98"/>
      <c r="N2182" s="98"/>
      <c r="O2182" s="98"/>
      <c r="P2182" s="98"/>
      <c r="Q2182" s="98"/>
      <c r="R2182" s="98"/>
      <c r="S2182" s="98"/>
      <c r="T2182" s="98"/>
      <c r="U2182" s="98"/>
      <c r="V2182" s="98"/>
      <c r="W2182" s="98"/>
      <c r="X2182" s="98"/>
      <c r="Y2182" s="98"/>
      <c r="Z2182" s="98"/>
      <c r="AA2182" s="98"/>
      <c r="AB2182" s="98"/>
      <c r="AC2182" s="98"/>
      <c r="AD2182" s="98"/>
      <c r="AE2182" s="98"/>
      <c r="AF2182" s="98"/>
      <c r="AG2182" s="98"/>
      <c r="AH2182" s="98"/>
      <c r="AI2182" s="98"/>
      <c r="AJ2182" s="98"/>
      <c r="AK2182" s="98"/>
      <c r="AL2182" s="98"/>
      <c r="AM2182" s="98"/>
    </row>
    <row r="2183" spans="1:39" s="100" customFormat="1" ht="15.6" x14ac:dyDescent="0.3">
      <c r="A2183" s="97"/>
      <c r="B2183" s="98"/>
      <c r="C2183" s="98"/>
      <c r="D2183" s="98"/>
      <c r="E2183" s="98"/>
      <c r="F2183" s="98"/>
      <c r="G2183" s="99"/>
      <c r="H2183" s="99"/>
      <c r="I2183" s="99"/>
      <c r="J2183" s="99"/>
      <c r="K2183" s="98"/>
      <c r="L2183" s="98"/>
      <c r="M2183" s="98"/>
      <c r="N2183" s="98"/>
      <c r="O2183" s="98"/>
      <c r="P2183" s="98"/>
      <c r="Q2183" s="98"/>
      <c r="R2183" s="98"/>
      <c r="S2183" s="98"/>
      <c r="T2183" s="98"/>
      <c r="U2183" s="98"/>
      <c r="V2183" s="98"/>
      <c r="W2183" s="98"/>
      <c r="X2183" s="98"/>
      <c r="Y2183" s="98"/>
      <c r="Z2183" s="98"/>
      <c r="AA2183" s="98"/>
      <c r="AB2183" s="98"/>
      <c r="AC2183" s="98"/>
      <c r="AD2183" s="98"/>
      <c r="AE2183" s="98"/>
      <c r="AF2183" s="98"/>
      <c r="AG2183" s="98"/>
      <c r="AH2183" s="98"/>
      <c r="AI2183" s="98"/>
      <c r="AJ2183" s="98"/>
      <c r="AK2183" s="98"/>
      <c r="AL2183" s="98"/>
      <c r="AM2183" s="98"/>
    </row>
    <row r="2184" spans="1:39" s="100" customFormat="1" ht="15.6" x14ac:dyDescent="0.3">
      <c r="A2184" s="97"/>
      <c r="B2184" s="98"/>
      <c r="C2184" s="98"/>
      <c r="D2184" s="98"/>
      <c r="E2184" s="98"/>
      <c r="F2184" s="98"/>
      <c r="G2184" s="99"/>
      <c r="H2184" s="99"/>
      <c r="I2184" s="99"/>
      <c r="J2184" s="99"/>
      <c r="K2184" s="98"/>
      <c r="L2184" s="98"/>
      <c r="M2184" s="98"/>
      <c r="N2184" s="98"/>
      <c r="O2184" s="98"/>
      <c r="P2184" s="98"/>
      <c r="Q2184" s="98"/>
      <c r="R2184" s="98"/>
      <c r="S2184" s="98"/>
      <c r="T2184" s="98"/>
      <c r="U2184" s="98"/>
      <c r="V2184" s="98"/>
      <c r="W2184" s="98"/>
      <c r="X2184" s="98"/>
      <c r="Y2184" s="98"/>
      <c r="Z2184" s="98"/>
      <c r="AA2184" s="98"/>
      <c r="AB2184" s="98"/>
      <c r="AC2184" s="98"/>
      <c r="AD2184" s="98"/>
      <c r="AE2184" s="98"/>
      <c r="AF2184" s="98"/>
      <c r="AG2184" s="98"/>
      <c r="AH2184" s="98"/>
      <c r="AI2184" s="98"/>
      <c r="AJ2184" s="98"/>
      <c r="AK2184" s="98"/>
      <c r="AL2184" s="98"/>
      <c r="AM2184" s="98"/>
    </row>
    <row r="2185" spans="1:39" s="100" customFormat="1" ht="15.6" x14ac:dyDescent="0.3">
      <c r="A2185" s="97"/>
      <c r="B2185" s="98"/>
      <c r="C2185" s="98"/>
      <c r="D2185" s="98"/>
      <c r="E2185" s="98"/>
      <c r="F2185" s="98"/>
      <c r="G2185" s="99"/>
      <c r="H2185" s="99"/>
      <c r="I2185" s="99"/>
      <c r="J2185" s="99"/>
      <c r="K2185" s="98"/>
      <c r="L2185" s="98"/>
      <c r="M2185" s="98"/>
      <c r="N2185" s="98"/>
      <c r="O2185" s="98"/>
      <c r="P2185" s="98"/>
      <c r="Q2185" s="98"/>
      <c r="R2185" s="98"/>
      <c r="S2185" s="98"/>
      <c r="T2185" s="98"/>
      <c r="U2185" s="98"/>
      <c r="V2185" s="98"/>
      <c r="W2185" s="98"/>
      <c r="X2185" s="98"/>
      <c r="Y2185" s="98"/>
      <c r="Z2185" s="98"/>
      <c r="AA2185" s="98"/>
      <c r="AB2185" s="98"/>
      <c r="AC2185" s="98"/>
      <c r="AD2185" s="98"/>
      <c r="AE2185" s="98"/>
      <c r="AF2185" s="98"/>
      <c r="AG2185" s="98"/>
      <c r="AH2185" s="98"/>
      <c r="AI2185" s="98"/>
      <c r="AJ2185" s="98"/>
      <c r="AK2185" s="98"/>
      <c r="AL2185" s="98"/>
      <c r="AM2185" s="98"/>
    </row>
    <row r="2186" spans="1:39" s="100" customFormat="1" ht="15.6" x14ac:dyDescent="0.3">
      <c r="A2186" s="97"/>
      <c r="B2186" s="98"/>
      <c r="C2186" s="98"/>
      <c r="D2186" s="98"/>
      <c r="E2186" s="98"/>
      <c r="F2186" s="98"/>
      <c r="G2186" s="99"/>
      <c r="H2186" s="99"/>
      <c r="I2186" s="99"/>
      <c r="J2186" s="99"/>
      <c r="K2186" s="98"/>
      <c r="L2186" s="98"/>
      <c r="M2186" s="98"/>
      <c r="N2186" s="98"/>
      <c r="O2186" s="98"/>
      <c r="P2186" s="98"/>
      <c r="Q2186" s="98"/>
      <c r="R2186" s="98"/>
      <c r="S2186" s="98"/>
      <c r="T2186" s="98"/>
      <c r="U2186" s="98"/>
      <c r="V2186" s="98"/>
      <c r="W2186" s="98"/>
      <c r="X2186" s="98"/>
      <c r="Y2186" s="98"/>
      <c r="Z2186" s="98"/>
      <c r="AA2186" s="98"/>
      <c r="AB2186" s="98"/>
      <c r="AC2186" s="98"/>
      <c r="AD2186" s="98"/>
      <c r="AE2186" s="98"/>
      <c r="AF2186" s="98"/>
      <c r="AG2186" s="98"/>
      <c r="AH2186" s="98"/>
      <c r="AI2186" s="98"/>
      <c r="AJ2186" s="98"/>
      <c r="AK2186" s="98"/>
      <c r="AL2186" s="98"/>
      <c r="AM2186" s="98"/>
    </row>
    <row r="2187" spans="1:39" s="100" customFormat="1" ht="15.6" x14ac:dyDescent="0.3">
      <c r="A2187" s="97"/>
      <c r="B2187" s="98"/>
      <c r="C2187" s="98"/>
      <c r="D2187" s="98"/>
      <c r="E2187" s="98"/>
      <c r="F2187" s="98"/>
      <c r="G2187" s="99"/>
      <c r="H2187" s="99"/>
      <c r="I2187" s="99"/>
      <c r="J2187" s="99"/>
      <c r="K2187" s="98"/>
      <c r="L2187" s="98"/>
      <c r="M2187" s="98"/>
      <c r="N2187" s="98"/>
      <c r="O2187" s="98"/>
      <c r="P2187" s="98"/>
      <c r="Q2187" s="98"/>
      <c r="R2187" s="98"/>
      <c r="S2187" s="98"/>
      <c r="T2187" s="98"/>
      <c r="U2187" s="98"/>
      <c r="V2187" s="98"/>
      <c r="W2187" s="98"/>
      <c r="X2187" s="98"/>
      <c r="Y2187" s="98"/>
      <c r="Z2187" s="98"/>
      <c r="AA2187" s="98"/>
      <c r="AB2187" s="98"/>
      <c r="AC2187" s="98"/>
      <c r="AD2187" s="98"/>
      <c r="AE2187" s="98"/>
      <c r="AF2187" s="98"/>
      <c r="AG2187" s="98"/>
      <c r="AH2187" s="98"/>
      <c r="AI2187" s="98"/>
      <c r="AJ2187" s="98"/>
      <c r="AK2187" s="98"/>
      <c r="AL2187" s="98"/>
      <c r="AM2187" s="98"/>
    </row>
    <row r="2188" spans="1:39" s="100" customFormat="1" ht="15.6" x14ac:dyDescent="0.3">
      <c r="A2188" s="97"/>
      <c r="B2188" s="98"/>
      <c r="C2188" s="98"/>
      <c r="D2188" s="98"/>
      <c r="E2188" s="98"/>
      <c r="F2188" s="98"/>
      <c r="G2188" s="99"/>
      <c r="H2188" s="99"/>
      <c r="I2188" s="99"/>
      <c r="J2188" s="99"/>
      <c r="K2188" s="98"/>
      <c r="L2188" s="98"/>
      <c r="M2188" s="98"/>
      <c r="N2188" s="98"/>
      <c r="O2188" s="98"/>
      <c r="P2188" s="98"/>
      <c r="Q2188" s="98"/>
      <c r="R2188" s="98"/>
      <c r="S2188" s="98"/>
      <c r="T2188" s="98"/>
      <c r="U2188" s="98"/>
      <c r="V2188" s="98"/>
      <c r="W2188" s="98"/>
      <c r="X2188" s="98"/>
      <c r="Y2188" s="98"/>
      <c r="Z2188" s="98"/>
      <c r="AA2188" s="98"/>
      <c r="AB2188" s="98"/>
      <c r="AC2188" s="98"/>
      <c r="AD2188" s="98"/>
      <c r="AE2188" s="98"/>
      <c r="AF2188" s="98"/>
      <c r="AG2188" s="98"/>
      <c r="AH2188" s="98"/>
      <c r="AI2188" s="98"/>
      <c r="AJ2188" s="98"/>
      <c r="AK2188" s="98"/>
      <c r="AL2188" s="98"/>
      <c r="AM2188" s="98"/>
    </row>
    <row r="2189" spans="1:39" s="100" customFormat="1" ht="15.6" x14ac:dyDescent="0.3">
      <c r="A2189" s="97"/>
      <c r="B2189" s="98"/>
      <c r="C2189" s="98"/>
      <c r="D2189" s="98"/>
      <c r="E2189" s="98"/>
      <c r="F2189" s="98"/>
      <c r="G2189" s="99"/>
      <c r="H2189" s="99"/>
      <c r="I2189" s="99"/>
      <c r="J2189" s="99"/>
      <c r="K2189" s="98"/>
      <c r="L2189" s="98"/>
      <c r="M2189" s="98"/>
      <c r="N2189" s="98"/>
      <c r="O2189" s="98"/>
      <c r="P2189" s="98"/>
      <c r="Q2189" s="98"/>
      <c r="R2189" s="98"/>
      <c r="S2189" s="98"/>
      <c r="T2189" s="98"/>
      <c r="U2189" s="98"/>
      <c r="V2189" s="98"/>
      <c r="W2189" s="98"/>
      <c r="X2189" s="98"/>
      <c r="Y2189" s="98"/>
      <c r="Z2189" s="98"/>
      <c r="AA2189" s="98"/>
      <c r="AB2189" s="98"/>
      <c r="AC2189" s="98"/>
      <c r="AD2189" s="98"/>
      <c r="AE2189" s="98"/>
      <c r="AF2189" s="98"/>
      <c r="AG2189" s="98"/>
      <c r="AH2189" s="98"/>
      <c r="AI2189" s="98"/>
      <c r="AJ2189" s="98"/>
      <c r="AK2189" s="98"/>
      <c r="AL2189" s="98"/>
      <c r="AM2189" s="98"/>
    </row>
    <row r="2190" spans="1:39" s="100" customFormat="1" ht="15.6" x14ac:dyDescent="0.3">
      <c r="A2190" s="97"/>
      <c r="B2190" s="98"/>
      <c r="C2190" s="98"/>
      <c r="D2190" s="98"/>
      <c r="E2190" s="98"/>
      <c r="F2190" s="98"/>
      <c r="G2190" s="99"/>
      <c r="H2190" s="99"/>
      <c r="I2190" s="99"/>
      <c r="J2190" s="99"/>
      <c r="K2190" s="98"/>
      <c r="L2190" s="98"/>
      <c r="M2190" s="98"/>
      <c r="N2190" s="98"/>
      <c r="O2190" s="98"/>
      <c r="P2190" s="98"/>
      <c r="Q2190" s="98"/>
      <c r="R2190" s="98"/>
      <c r="S2190" s="98"/>
      <c r="T2190" s="98"/>
      <c r="U2190" s="98"/>
      <c r="V2190" s="98"/>
      <c r="W2190" s="98"/>
      <c r="X2190" s="98"/>
      <c r="Y2190" s="98"/>
      <c r="Z2190" s="98"/>
      <c r="AA2190" s="98"/>
      <c r="AB2190" s="98"/>
      <c r="AC2190" s="98"/>
      <c r="AD2190" s="98"/>
      <c r="AE2190" s="98"/>
      <c r="AF2190" s="98"/>
      <c r="AG2190" s="98"/>
      <c r="AH2190" s="98"/>
      <c r="AI2190" s="98"/>
      <c r="AJ2190" s="98"/>
      <c r="AK2190" s="98"/>
      <c r="AL2190" s="98"/>
      <c r="AM2190" s="98"/>
    </row>
    <row r="2191" spans="1:39" s="100" customFormat="1" ht="15.6" x14ac:dyDescent="0.3">
      <c r="A2191" s="97"/>
      <c r="B2191" s="98"/>
      <c r="C2191" s="98"/>
      <c r="D2191" s="98"/>
      <c r="E2191" s="98"/>
      <c r="F2191" s="98"/>
      <c r="G2191" s="99"/>
      <c r="H2191" s="99"/>
      <c r="I2191" s="99"/>
      <c r="J2191" s="99"/>
      <c r="K2191" s="98"/>
      <c r="L2191" s="98"/>
      <c r="M2191" s="98"/>
      <c r="N2191" s="98"/>
      <c r="O2191" s="98"/>
      <c r="P2191" s="98"/>
      <c r="Q2191" s="98"/>
      <c r="R2191" s="98"/>
      <c r="S2191" s="98"/>
      <c r="T2191" s="98"/>
      <c r="U2191" s="98"/>
      <c r="V2191" s="98"/>
      <c r="W2191" s="98"/>
      <c r="X2191" s="98"/>
      <c r="Y2191" s="98"/>
      <c r="Z2191" s="98"/>
      <c r="AA2191" s="98"/>
      <c r="AB2191" s="98"/>
      <c r="AC2191" s="98"/>
      <c r="AD2191" s="98"/>
      <c r="AE2191" s="98"/>
      <c r="AF2191" s="98"/>
      <c r="AG2191" s="98"/>
      <c r="AH2191" s="98"/>
      <c r="AI2191" s="98"/>
      <c r="AJ2191" s="98"/>
      <c r="AK2191" s="98"/>
      <c r="AL2191" s="98"/>
      <c r="AM2191" s="98"/>
    </row>
    <row r="2192" spans="1:39" s="100" customFormat="1" ht="15.6" x14ac:dyDescent="0.3">
      <c r="A2192" s="97"/>
      <c r="B2192" s="98"/>
      <c r="C2192" s="98"/>
      <c r="D2192" s="98"/>
      <c r="E2192" s="98"/>
      <c r="F2192" s="98"/>
      <c r="G2192" s="99"/>
      <c r="H2192" s="99"/>
      <c r="I2192" s="99"/>
      <c r="J2192" s="99"/>
      <c r="K2192" s="98"/>
      <c r="L2192" s="98"/>
      <c r="M2192" s="98"/>
      <c r="N2192" s="98"/>
      <c r="O2192" s="98"/>
      <c r="P2192" s="98"/>
      <c r="Q2192" s="98"/>
      <c r="R2192" s="98"/>
      <c r="S2192" s="98"/>
      <c r="T2192" s="98"/>
      <c r="U2192" s="98"/>
      <c r="V2192" s="98"/>
      <c r="W2192" s="98"/>
      <c r="X2192" s="98"/>
      <c r="Y2192" s="98"/>
      <c r="Z2192" s="98"/>
      <c r="AA2192" s="98"/>
      <c r="AB2192" s="98"/>
      <c r="AC2192" s="98"/>
      <c r="AD2192" s="98"/>
      <c r="AE2192" s="98"/>
      <c r="AF2192" s="98"/>
      <c r="AG2192" s="98"/>
      <c r="AH2192" s="98"/>
      <c r="AI2192" s="98"/>
      <c r="AJ2192" s="98"/>
      <c r="AK2192" s="98"/>
      <c r="AL2192" s="98"/>
      <c r="AM2192" s="98"/>
    </row>
    <row r="2193" spans="1:39" s="100" customFormat="1" ht="15.6" x14ac:dyDescent="0.3">
      <c r="A2193" s="97"/>
      <c r="B2193" s="98"/>
      <c r="C2193" s="98"/>
      <c r="D2193" s="98"/>
      <c r="E2193" s="98"/>
      <c r="F2193" s="98"/>
      <c r="G2193" s="99"/>
      <c r="H2193" s="99"/>
      <c r="I2193" s="99"/>
      <c r="J2193" s="99"/>
      <c r="K2193" s="98"/>
      <c r="L2193" s="98"/>
      <c r="M2193" s="98"/>
      <c r="N2193" s="98"/>
      <c r="O2193" s="98"/>
      <c r="P2193" s="98"/>
      <c r="Q2193" s="98"/>
      <c r="R2193" s="98"/>
      <c r="S2193" s="98"/>
      <c r="T2193" s="98"/>
      <c r="U2193" s="98"/>
      <c r="V2193" s="98"/>
      <c r="W2193" s="98"/>
      <c r="X2193" s="98"/>
      <c r="Y2193" s="98"/>
      <c r="Z2193" s="98"/>
      <c r="AA2193" s="98"/>
      <c r="AB2193" s="98"/>
      <c r="AC2193" s="98"/>
      <c r="AD2193" s="98"/>
      <c r="AE2193" s="98"/>
      <c r="AF2193" s="98"/>
      <c r="AG2193" s="98"/>
      <c r="AH2193" s="98"/>
      <c r="AI2193" s="98"/>
      <c r="AJ2193" s="98"/>
      <c r="AK2193" s="98"/>
      <c r="AL2193" s="98"/>
      <c r="AM2193" s="98"/>
    </row>
    <row r="2194" spans="1:39" s="100" customFormat="1" ht="15.6" x14ac:dyDescent="0.3">
      <c r="A2194" s="97"/>
      <c r="B2194" s="98"/>
      <c r="C2194" s="98"/>
      <c r="D2194" s="98"/>
      <c r="E2194" s="98"/>
      <c r="F2194" s="98"/>
      <c r="G2194" s="99"/>
      <c r="H2194" s="99"/>
      <c r="I2194" s="99"/>
      <c r="J2194" s="99"/>
      <c r="K2194" s="98"/>
      <c r="L2194" s="98"/>
      <c r="M2194" s="98"/>
      <c r="N2194" s="98"/>
      <c r="O2194" s="98"/>
      <c r="P2194" s="98"/>
      <c r="Q2194" s="98"/>
      <c r="R2194" s="98"/>
      <c r="S2194" s="98"/>
      <c r="T2194" s="98"/>
      <c r="U2194" s="98"/>
      <c r="V2194" s="98"/>
      <c r="W2194" s="98"/>
      <c r="X2194" s="98"/>
      <c r="Y2194" s="98"/>
      <c r="Z2194" s="98"/>
      <c r="AA2194" s="98"/>
      <c r="AB2194" s="98"/>
      <c r="AC2194" s="98"/>
      <c r="AD2194" s="98"/>
      <c r="AE2194" s="98"/>
      <c r="AF2194" s="98"/>
      <c r="AG2194" s="98"/>
      <c r="AH2194" s="98"/>
      <c r="AI2194" s="98"/>
      <c r="AJ2194" s="98"/>
      <c r="AK2194" s="98"/>
      <c r="AL2194" s="98"/>
      <c r="AM2194" s="98"/>
    </row>
    <row r="2195" spans="1:39" s="100" customFormat="1" ht="15.6" x14ac:dyDescent="0.3">
      <c r="A2195" s="97"/>
      <c r="B2195" s="98"/>
      <c r="C2195" s="98"/>
      <c r="D2195" s="98"/>
      <c r="E2195" s="98"/>
      <c r="F2195" s="98"/>
      <c r="G2195" s="99"/>
      <c r="H2195" s="99"/>
      <c r="I2195" s="99"/>
      <c r="J2195" s="99"/>
      <c r="K2195" s="98"/>
      <c r="L2195" s="98"/>
      <c r="M2195" s="98"/>
      <c r="N2195" s="98"/>
      <c r="O2195" s="98"/>
      <c r="P2195" s="98"/>
      <c r="Q2195" s="98"/>
      <c r="R2195" s="98"/>
      <c r="S2195" s="98"/>
      <c r="T2195" s="98"/>
      <c r="U2195" s="98"/>
      <c r="V2195" s="98"/>
      <c r="W2195" s="98"/>
      <c r="X2195" s="98"/>
      <c r="Y2195" s="98"/>
      <c r="Z2195" s="98"/>
      <c r="AA2195" s="98"/>
      <c r="AB2195" s="98"/>
      <c r="AC2195" s="98"/>
      <c r="AD2195" s="98"/>
      <c r="AE2195" s="98"/>
      <c r="AF2195" s="98"/>
      <c r="AG2195" s="98"/>
      <c r="AH2195" s="98"/>
      <c r="AI2195" s="98"/>
      <c r="AJ2195" s="98"/>
      <c r="AK2195" s="98"/>
      <c r="AL2195" s="98"/>
      <c r="AM2195" s="98"/>
    </row>
    <row r="2196" spans="1:39" s="100" customFormat="1" ht="15.6" x14ac:dyDescent="0.3">
      <c r="A2196" s="97"/>
      <c r="B2196" s="98"/>
      <c r="C2196" s="98"/>
      <c r="D2196" s="98"/>
      <c r="E2196" s="98"/>
      <c r="F2196" s="98"/>
      <c r="G2196" s="99"/>
      <c r="H2196" s="99"/>
      <c r="I2196" s="99"/>
      <c r="J2196" s="99"/>
      <c r="K2196" s="98"/>
      <c r="L2196" s="98"/>
      <c r="M2196" s="98"/>
      <c r="N2196" s="98"/>
      <c r="O2196" s="98"/>
      <c r="P2196" s="98"/>
      <c r="Q2196" s="98"/>
      <c r="R2196" s="98"/>
      <c r="S2196" s="98"/>
      <c r="T2196" s="98"/>
      <c r="U2196" s="98"/>
      <c r="V2196" s="98"/>
      <c r="W2196" s="98"/>
      <c r="X2196" s="98"/>
      <c r="Y2196" s="98"/>
      <c r="Z2196" s="98"/>
      <c r="AA2196" s="98"/>
      <c r="AB2196" s="98"/>
      <c r="AC2196" s="98"/>
      <c r="AD2196" s="98"/>
      <c r="AE2196" s="98"/>
      <c r="AF2196" s="98"/>
      <c r="AG2196" s="98"/>
      <c r="AH2196" s="98"/>
      <c r="AI2196" s="98"/>
      <c r="AJ2196" s="98"/>
      <c r="AK2196" s="98"/>
      <c r="AL2196" s="98"/>
      <c r="AM2196" s="98"/>
    </row>
    <row r="2197" spans="1:39" s="100" customFormat="1" ht="15.6" x14ac:dyDescent="0.3">
      <c r="A2197" s="97"/>
      <c r="B2197" s="98"/>
      <c r="C2197" s="98"/>
      <c r="D2197" s="98"/>
      <c r="E2197" s="98"/>
      <c r="F2197" s="98"/>
      <c r="G2197" s="99"/>
      <c r="H2197" s="99"/>
      <c r="I2197" s="99"/>
      <c r="J2197" s="99"/>
      <c r="K2197" s="98"/>
      <c r="L2197" s="98"/>
      <c r="M2197" s="98"/>
      <c r="N2197" s="98"/>
      <c r="O2197" s="98"/>
      <c r="P2197" s="98"/>
      <c r="Q2197" s="98"/>
      <c r="R2197" s="98"/>
      <c r="S2197" s="98"/>
      <c r="T2197" s="98"/>
      <c r="U2197" s="98"/>
      <c r="V2197" s="98"/>
      <c r="W2197" s="98"/>
      <c r="X2197" s="98"/>
      <c r="Y2197" s="98"/>
      <c r="Z2197" s="98"/>
      <c r="AA2197" s="98"/>
      <c r="AB2197" s="98"/>
      <c r="AC2197" s="98"/>
      <c r="AD2197" s="98"/>
      <c r="AE2197" s="98"/>
      <c r="AF2197" s="98"/>
      <c r="AG2197" s="98"/>
      <c r="AH2197" s="98"/>
      <c r="AI2197" s="98"/>
      <c r="AJ2197" s="98"/>
      <c r="AK2197" s="98"/>
      <c r="AL2197" s="98"/>
      <c r="AM2197" s="98"/>
    </row>
    <row r="2198" spans="1:39" s="100" customFormat="1" ht="15.6" x14ac:dyDescent="0.3">
      <c r="A2198" s="97"/>
      <c r="B2198" s="98"/>
      <c r="C2198" s="98"/>
      <c r="D2198" s="98"/>
      <c r="E2198" s="98"/>
      <c r="F2198" s="98"/>
      <c r="G2198" s="99"/>
      <c r="H2198" s="99"/>
      <c r="I2198" s="99"/>
      <c r="J2198" s="99"/>
      <c r="K2198" s="98"/>
      <c r="L2198" s="98"/>
      <c r="M2198" s="98"/>
      <c r="N2198" s="98"/>
      <c r="O2198" s="98"/>
      <c r="P2198" s="98"/>
      <c r="Q2198" s="98"/>
      <c r="R2198" s="98"/>
      <c r="S2198" s="98"/>
      <c r="T2198" s="98"/>
      <c r="U2198" s="98"/>
      <c r="V2198" s="98"/>
      <c r="W2198" s="98"/>
      <c r="X2198" s="98"/>
      <c r="Y2198" s="98"/>
      <c r="Z2198" s="98"/>
      <c r="AA2198" s="98"/>
      <c r="AB2198" s="98"/>
      <c r="AC2198" s="98"/>
      <c r="AD2198" s="98"/>
      <c r="AE2198" s="98"/>
      <c r="AF2198" s="98"/>
      <c r="AG2198" s="98"/>
      <c r="AH2198" s="98"/>
      <c r="AI2198" s="98"/>
      <c r="AJ2198" s="98"/>
      <c r="AK2198" s="98"/>
      <c r="AL2198" s="98"/>
      <c r="AM2198" s="98"/>
    </row>
    <row r="2199" spans="1:39" s="100" customFormat="1" ht="15.6" x14ac:dyDescent="0.3">
      <c r="A2199" s="97"/>
      <c r="B2199" s="98"/>
      <c r="C2199" s="98"/>
      <c r="D2199" s="98"/>
      <c r="E2199" s="98"/>
      <c r="F2199" s="98"/>
      <c r="G2199" s="99"/>
      <c r="H2199" s="99"/>
      <c r="I2199" s="99"/>
      <c r="J2199" s="99"/>
      <c r="K2199" s="98"/>
      <c r="L2199" s="98"/>
      <c r="M2199" s="98"/>
      <c r="N2199" s="98"/>
      <c r="O2199" s="98"/>
      <c r="P2199" s="98"/>
      <c r="Q2199" s="98"/>
      <c r="R2199" s="98"/>
      <c r="S2199" s="98"/>
      <c r="T2199" s="98"/>
      <c r="U2199" s="98"/>
      <c r="V2199" s="98"/>
      <c r="W2199" s="98"/>
      <c r="X2199" s="98"/>
      <c r="Y2199" s="98"/>
      <c r="Z2199" s="98"/>
      <c r="AA2199" s="98"/>
      <c r="AB2199" s="98"/>
      <c r="AC2199" s="98"/>
      <c r="AD2199" s="98"/>
      <c r="AE2199" s="98"/>
      <c r="AF2199" s="98"/>
      <c r="AG2199" s="98"/>
      <c r="AH2199" s="98"/>
      <c r="AI2199" s="98"/>
      <c r="AJ2199" s="98"/>
      <c r="AK2199" s="98"/>
      <c r="AL2199" s="98"/>
      <c r="AM2199" s="98"/>
    </row>
    <row r="2200" spans="1:39" s="100" customFormat="1" ht="15.6" x14ac:dyDescent="0.3">
      <c r="A2200" s="97"/>
      <c r="B2200" s="98"/>
      <c r="C2200" s="98"/>
      <c r="D2200" s="98"/>
      <c r="E2200" s="98"/>
      <c r="F2200" s="98"/>
      <c r="G2200" s="99"/>
      <c r="H2200" s="99"/>
      <c r="I2200" s="99"/>
      <c r="J2200" s="99"/>
      <c r="K2200" s="98"/>
      <c r="L2200" s="98"/>
      <c r="M2200" s="98"/>
      <c r="N2200" s="98"/>
      <c r="O2200" s="98"/>
      <c r="P2200" s="98"/>
      <c r="Q2200" s="98"/>
      <c r="R2200" s="98"/>
      <c r="S2200" s="98"/>
      <c r="T2200" s="98"/>
      <c r="U2200" s="98"/>
      <c r="V2200" s="98"/>
      <c r="W2200" s="98"/>
      <c r="X2200" s="98"/>
      <c r="Y2200" s="98"/>
      <c r="Z2200" s="98"/>
      <c r="AA2200" s="98"/>
      <c r="AB2200" s="98"/>
      <c r="AC2200" s="98"/>
      <c r="AD2200" s="98"/>
      <c r="AE2200" s="98"/>
      <c r="AF2200" s="98"/>
      <c r="AG2200" s="98"/>
      <c r="AH2200" s="98"/>
      <c r="AI2200" s="98"/>
      <c r="AJ2200" s="98"/>
      <c r="AK2200" s="98"/>
      <c r="AL2200" s="98"/>
      <c r="AM2200" s="98"/>
    </row>
    <row r="2201" spans="1:39" s="100" customFormat="1" ht="15.6" x14ac:dyDescent="0.3">
      <c r="A2201" s="97"/>
      <c r="B2201" s="98"/>
      <c r="C2201" s="98"/>
      <c r="D2201" s="98"/>
      <c r="E2201" s="98"/>
      <c r="F2201" s="98"/>
      <c r="G2201" s="99"/>
      <c r="H2201" s="99"/>
      <c r="I2201" s="99"/>
      <c r="J2201" s="99"/>
      <c r="K2201" s="98"/>
      <c r="L2201" s="98"/>
      <c r="M2201" s="98"/>
      <c r="N2201" s="98"/>
      <c r="O2201" s="98"/>
      <c r="P2201" s="98"/>
      <c r="Q2201" s="98"/>
      <c r="R2201" s="98"/>
      <c r="S2201" s="98"/>
      <c r="T2201" s="98"/>
      <c r="U2201" s="98"/>
      <c r="V2201" s="98"/>
      <c r="W2201" s="98"/>
      <c r="X2201" s="98"/>
      <c r="Y2201" s="98"/>
      <c r="Z2201" s="98"/>
      <c r="AA2201" s="98"/>
      <c r="AB2201" s="98"/>
      <c r="AC2201" s="98"/>
      <c r="AD2201" s="98"/>
      <c r="AE2201" s="98"/>
      <c r="AF2201" s="98"/>
      <c r="AG2201" s="98"/>
      <c r="AH2201" s="98"/>
      <c r="AI2201" s="98"/>
      <c r="AJ2201" s="98"/>
      <c r="AK2201" s="98"/>
      <c r="AL2201" s="98"/>
      <c r="AM2201" s="98"/>
    </row>
    <row r="2202" spans="1:39" s="100" customFormat="1" ht="15.6" x14ac:dyDescent="0.3">
      <c r="A2202" s="97"/>
      <c r="B2202" s="98"/>
      <c r="C2202" s="98"/>
      <c r="D2202" s="98"/>
      <c r="E2202" s="98"/>
      <c r="F2202" s="98"/>
      <c r="G2202" s="99"/>
      <c r="H2202" s="99"/>
      <c r="I2202" s="99"/>
      <c r="J2202" s="99"/>
      <c r="K2202" s="98"/>
      <c r="L2202" s="98"/>
      <c r="M2202" s="98"/>
      <c r="N2202" s="98"/>
      <c r="O2202" s="98"/>
      <c r="P2202" s="98"/>
      <c r="Q2202" s="98"/>
      <c r="R2202" s="98"/>
      <c r="S2202" s="98"/>
      <c r="T2202" s="98"/>
      <c r="U2202" s="98"/>
      <c r="V2202" s="98"/>
      <c r="W2202" s="98"/>
      <c r="X2202" s="98"/>
      <c r="Y2202" s="98"/>
      <c r="Z2202" s="98"/>
      <c r="AA2202" s="98"/>
      <c r="AB2202" s="98"/>
      <c r="AC2202" s="98"/>
      <c r="AD2202" s="98"/>
      <c r="AE2202" s="98"/>
      <c r="AF2202" s="98"/>
      <c r="AG2202" s="98"/>
      <c r="AH2202" s="98"/>
      <c r="AI2202" s="98"/>
      <c r="AJ2202" s="98"/>
      <c r="AK2202" s="98"/>
      <c r="AL2202" s="98"/>
      <c r="AM2202" s="98"/>
    </row>
    <row r="2203" spans="1:39" s="100" customFormat="1" ht="15.6" x14ac:dyDescent="0.3">
      <c r="A2203" s="97"/>
      <c r="B2203" s="98"/>
      <c r="C2203" s="98"/>
      <c r="D2203" s="98"/>
      <c r="E2203" s="98"/>
      <c r="F2203" s="98"/>
      <c r="G2203" s="99"/>
      <c r="H2203" s="99"/>
      <c r="I2203" s="99"/>
      <c r="J2203" s="99"/>
      <c r="K2203" s="98"/>
      <c r="L2203" s="98"/>
      <c r="M2203" s="98"/>
      <c r="N2203" s="98"/>
      <c r="O2203" s="98"/>
      <c r="P2203" s="98"/>
      <c r="Q2203" s="98"/>
      <c r="R2203" s="98"/>
      <c r="S2203" s="98"/>
      <c r="T2203" s="98"/>
      <c r="U2203" s="98"/>
      <c r="V2203" s="98"/>
      <c r="W2203" s="98"/>
      <c r="X2203" s="98"/>
      <c r="Y2203" s="98"/>
      <c r="Z2203" s="98"/>
      <c r="AA2203" s="98"/>
      <c r="AB2203" s="98"/>
      <c r="AC2203" s="98"/>
      <c r="AD2203" s="98"/>
      <c r="AE2203" s="98"/>
      <c r="AF2203" s="98"/>
      <c r="AG2203" s="98"/>
      <c r="AH2203" s="98"/>
      <c r="AI2203" s="98"/>
      <c r="AJ2203" s="98"/>
      <c r="AK2203" s="98"/>
      <c r="AL2203" s="98"/>
      <c r="AM2203" s="98"/>
    </row>
    <row r="2204" spans="1:39" s="100" customFormat="1" ht="15.6" x14ac:dyDescent="0.3">
      <c r="A2204" s="97"/>
      <c r="B2204" s="98"/>
      <c r="C2204" s="98"/>
      <c r="D2204" s="98"/>
      <c r="E2204" s="98"/>
      <c r="F2204" s="98"/>
      <c r="G2204" s="99"/>
      <c r="H2204" s="99"/>
      <c r="I2204" s="99"/>
      <c r="J2204" s="99"/>
      <c r="K2204" s="98"/>
      <c r="L2204" s="98"/>
      <c r="M2204" s="98"/>
      <c r="N2204" s="98"/>
      <c r="O2204" s="98"/>
      <c r="P2204" s="98"/>
      <c r="Q2204" s="98"/>
      <c r="R2204" s="98"/>
      <c r="S2204" s="98"/>
      <c r="T2204" s="98"/>
      <c r="U2204" s="98"/>
      <c r="V2204" s="98"/>
      <c r="W2204" s="98"/>
      <c r="X2204" s="98"/>
      <c r="Y2204" s="98"/>
      <c r="Z2204" s="98"/>
      <c r="AA2204" s="98"/>
      <c r="AB2204" s="98"/>
      <c r="AC2204" s="98"/>
      <c r="AD2204" s="98"/>
      <c r="AE2204" s="98"/>
      <c r="AF2204" s="98"/>
      <c r="AG2204" s="98"/>
      <c r="AH2204" s="98"/>
      <c r="AI2204" s="98"/>
      <c r="AJ2204" s="98"/>
      <c r="AK2204" s="98"/>
      <c r="AL2204" s="98"/>
      <c r="AM2204" s="98"/>
    </row>
    <row r="2205" spans="1:39" s="100" customFormat="1" ht="15.6" x14ac:dyDescent="0.3">
      <c r="A2205" s="97"/>
      <c r="B2205" s="98"/>
      <c r="C2205" s="98"/>
      <c r="D2205" s="98"/>
      <c r="E2205" s="98"/>
      <c r="F2205" s="98"/>
      <c r="G2205" s="99"/>
      <c r="H2205" s="99"/>
      <c r="I2205" s="99"/>
      <c r="J2205" s="99"/>
      <c r="K2205" s="98"/>
      <c r="L2205" s="98"/>
      <c r="M2205" s="98"/>
      <c r="N2205" s="98"/>
      <c r="O2205" s="98"/>
      <c r="P2205" s="98"/>
      <c r="Q2205" s="98"/>
      <c r="R2205" s="98"/>
      <c r="S2205" s="98"/>
      <c r="T2205" s="98"/>
      <c r="U2205" s="98"/>
      <c r="V2205" s="98"/>
      <c r="W2205" s="98"/>
      <c r="X2205" s="98"/>
      <c r="Y2205" s="98"/>
      <c r="Z2205" s="98"/>
      <c r="AA2205" s="98"/>
      <c r="AB2205" s="98"/>
      <c r="AC2205" s="98"/>
      <c r="AD2205" s="98"/>
      <c r="AE2205" s="98"/>
      <c r="AF2205" s="98"/>
      <c r="AG2205" s="98"/>
      <c r="AH2205" s="98"/>
      <c r="AI2205" s="98"/>
      <c r="AJ2205" s="98"/>
      <c r="AK2205" s="98"/>
      <c r="AL2205" s="98"/>
      <c r="AM2205" s="98"/>
    </row>
    <row r="2206" spans="1:39" s="100" customFormat="1" ht="15.6" x14ac:dyDescent="0.3">
      <c r="A2206" s="97"/>
      <c r="B2206" s="98"/>
      <c r="C2206" s="98"/>
      <c r="D2206" s="98"/>
      <c r="E2206" s="98"/>
      <c r="F2206" s="98"/>
      <c r="G2206" s="99"/>
      <c r="H2206" s="99"/>
      <c r="I2206" s="99"/>
      <c r="J2206" s="99"/>
      <c r="K2206" s="98"/>
      <c r="L2206" s="98"/>
      <c r="M2206" s="98"/>
      <c r="N2206" s="98"/>
      <c r="O2206" s="98"/>
      <c r="P2206" s="98"/>
      <c r="Q2206" s="98"/>
      <c r="R2206" s="98"/>
      <c r="S2206" s="98"/>
      <c r="T2206" s="98"/>
      <c r="U2206" s="98"/>
      <c r="V2206" s="98"/>
      <c r="W2206" s="98"/>
      <c r="X2206" s="98"/>
      <c r="Y2206" s="98"/>
      <c r="Z2206" s="98"/>
      <c r="AA2206" s="98"/>
      <c r="AB2206" s="98"/>
      <c r="AC2206" s="98"/>
      <c r="AD2206" s="98"/>
      <c r="AE2206" s="98"/>
      <c r="AF2206" s="98"/>
      <c r="AG2206" s="98"/>
      <c r="AH2206" s="98"/>
      <c r="AI2206" s="98"/>
      <c r="AJ2206" s="98"/>
      <c r="AK2206" s="98"/>
      <c r="AL2206" s="98"/>
      <c r="AM2206" s="98"/>
    </row>
    <row r="2207" spans="1:39" s="100" customFormat="1" ht="15.6" x14ac:dyDescent="0.3">
      <c r="A2207" s="97"/>
      <c r="B2207" s="98"/>
      <c r="C2207" s="98"/>
      <c r="D2207" s="98"/>
      <c r="E2207" s="98"/>
      <c r="F2207" s="98"/>
      <c r="G2207" s="99"/>
      <c r="H2207" s="99"/>
      <c r="I2207" s="99"/>
      <c r="J2207" s="99"/>
      <c r="K2207" s="98"/>
      <c r="L2207" s="98"/>
      <c r="M2207" s="98"/>
      <c r="N2207" s="98"/>
      <c r="O2207" s="98"/>
      <c r="P2207" s="98"/>
      <c r="Q2207" s="98"/>
      <c r="R2207" s="98"/>
      <c r="S2207" s="98"/>
      <c r="T2207" s="98"/>
      <c r="U2207" s="98"/>
      <c r="V2207" s="98"/>
      <c r="W2207" s="98"/>
      <c r="X2207" s="98"/>
      <c r="Y2207" s="98"/>
      <c r="Z2207" s="98"/>
      <c r="AA2207" s="98"/>
      <c r="AB2207" s="98"/>
      <c r="AC2207" s="98"/>
      <c r="AD2207" s="98"/>
      <c r="AE2207" s="98"/>
      <c r="AF2207" s="98"/>
      <c r="AG2207" s="98"/>
      <c r="AH2207" s="98"/>
      <c r="AI2207" s="98"/>
      <c r="AJ2207" s="98"/>
      <c r="AK2207" s="98"/>
      <c r="AL2207" s="98"/>
      <c r="AM2207" s="98"/>
    </row>
    <row r="2208" spans="1:39" s="100" customFormat="1" ht="15.6" x14ac:dyDescent="0.3">
      <c r="A2208" s="97"/>
      <c r="B2208" s="98"/>
      <c r="C2208" s="98"/>
      <c r="D2208" s="98"/>
      <c r="E2208" s="98"/>
      <c r="F2208" s="98"/>
      <c r="G2208" s="99"/>
      <c r="H2208" s="99"/>
      <c r="I2208" s="99"/>
      <c r="J2208" s="99"/>
      <c r="K2208" s="98"/>
      <c r="L2208" s="98"/>
      <c r="M2208" s="98"/>
      <c r="N2208" s="98"/>
      <c r="O2208" s="98"/>
      <c r="P2208" s="98"/>
      <c r="Q2208" s="98"/>
      <c r="R2208" s="98"/>
      <c r="S2208" s="98"/>
      <c r="T2208" s="98"/>
      <c r="U2208" s="98"/>
      <c r="V2208" s="98"/>
      <c r="W2208" s="98"/>
      <c r="X2208" s="98"/>
      <c r="Y2208" s="98"/>
      <c r="Z2208" s="98"/>
      <c r="AA2208" s="98"/>
      <c r="AB2208" s="98"/>
      <c r="AC2208" s="98"/>
      <c r="AD2208" s="98"/>
      <c r="AE2208" s="98"/>
      <c r="AF2208" s="98"/>
      <c r="AG2208" s="98"/>
      <c r="AH2208" s="98"/>
      <c r="AI2208" s="98"/>
      <c r="AJ2208" s="98"/>
      <c r="AK2208" s="98"/>
      <c r="AL2208" s="98"/>
      <c r="AM2208" s="98"/>
    </row>
    <row r="2209" spans="1:39" s="100" customFormat="1" ht="15.6" x14ac:dyDescent="0.3">
      <c r="A2209" s="97"/>
      <c r="B2209" s="98"/>
      <c r="C2209" s="98"/>
      <c r="D2209" s="98"/>
      <c r="E2209" s="98"/>
      <c r="F2209" s="98"/>
      <c r="G2209" s="99"/>
      <c r="H2209" s="99"/>
      <c r="I2209" s="99"/>
      <c r="J2209" s="99"/>
      <c r="K2209" s="98"/>
      <c r="L2209" s="98"/>
      <c r="M2209" s="98"/>
      <c r="N2209" s="98"/>
      <c r="O2209" s="98"/>
      <c r="P2209" s="98"/>
      <c r="Q2209" s="98"/>
      <c r="R2209" s="98"/>
      <c r="S2209" s="98"/>
      <c r="T2209" s="98"/>
      <c r="U2209" s="98"/>
      <c r="V2209" s="98"/>
      <c r="W2209" s="98"/>
      <c r="X2209" s="98"/>
      <c r="Y2209" s="98"/>
      <c r="Z2209" s="98"/>
      <c r="AA2209" s="98"/>
      <c r="AB2209" s="98"/>
      <c r="AC2209" s="98"/>
      <c r="AD2209" s="98"/>
      <c r="AE2209" s="98"/>
      <c r="AF2209" s="98"/>
      <c r="AG2209" s="98"/>
      <c r="AH2209" s="98"/>
      <c r="AI2209" s="98"/>
      <c r="AJ2209" s="98"/>
      <c r="AK2209" s="98"/>
      <c r="AL2209" s="98"/>
      <c r="AM2209" s="98"/>
    </row>
    <row r="2210" spans="1:39" s="100" customFormat="1" ht="15.6" x14ac:dyDescent="0.3">
      <c r="A2210" s="97"/>
      <c r="B2210" s="98"/>
      <c r="C2210" s="98"/>
      <c r="D2210" s="98"/>
      <c r="E2210" s="98"/>
      <c r="F2210" s="98"/>
      <c r="G2210" s="99"/>
      <c r="H2210" s="99"/>
      <c r="I2210" s="99"/>
      <c r="J2210" s="99"/>
      <c r="K2210" s="98"/>
      <c r="L2210" s="98"/>
      <c r="M2210" s="98"/>
      <c r="N2210" s="98"/>
      <c r="O2210" s="98"/>
      <c r="P2210" s="98"/>
      <c r="Q2210" s="98"/>
      <c r="R2210" s="98"/>
      <c r="S2210" s="98"/>
      <c r="T2210" s="98"/>
      <c r="U2210" s="98"/>
      <c r="V2210" s="98"/>
      <c r="W2210" s="98"/>
      <c r="X2210" s="98"/>
      <c r="Y2210" s="98"/>
      <c r="Z2210" s="98"/>
      <c r="AA2210" s="98"/>
      <c r="AB2210" s="98"/>
      <c r="AC2210" s="98"/>
      <c r="AD2210" s="98"/>
      <c r="AE2210" s="98"/>
      <c r="AF2210" s="98"/>
      <c r="AG2210" s="98"/>
      <c r="AH2210" s="98"/>
      <c r="AI2210" s="98"/>
      <c r="AJ2210" s="98"/>
      <c r="AK2210" s="98"/>
      <c r="AL2210" s="98"/>
      <c r="AM2210" s="98"/>
    </row>
    <row r="2211" spans="1:39" s="100" customFormat="1" ht="15.6" x14ac:dyDescent="0.3">
      <c r="A2211" s="97"/>
      <c r="B2211" s="98"/>
      <c r="C2211" s="98"/>
      <c r="D2211" s="98"/>
      <c r="E2211" s="98"/>
      <c r="F2211" s="98"/>
      <c r="G2211" s="99"/>
      <c r="H2211" s="99"/>
      <c r="I2211" s="99"/>
      <c r="J2211" s="99"/>
      <c r="K2211" s="98"/>
      <c r="L2211" s="98"/>
      <c r="M2211" s="98"/>
      <c r="N2211" s="98"/>
      <c r="O2211" s="98"/>
      <c r="P2211" s="98"/>
      <c r="Q2211" s="98"/>
      <c r="R2211" s="98"/>
      <c r="S2211" s="98"/>
      <c r="T2211" s="98"/>
      <c r="U2211" s="98"/>
      <c r="V2211" s="98"/>
      <c r="W2211" s="98"/>
      <c r="X2211" s="98"/>
      <c r="Y2211" s="98"/>
      <c r="Z2211" s="98"/>
      <c r="AA2211" s="98"/>
      <c r="AB2211" s="98"/>
      <c r="AC2211" s="98"/>
      <c r="AD2211" s="98"/>
      <c r="AE2211" s="98"/>
      <c r="AF2211" s="98"/>
      <c r="AG2211" s="98"/>
      <c r="AH2211" s="98"/>
      <c r="AI2211" s="98"/>
      <c r="AJ2211" s="98"/>
      <c r="AK2211" s="98"/>
      <c r="AL2211" s="98"/>
      <c r="AM2211" s="98"/>
    </row>
    <row r="2212" spans="1:39" s="100" customFormat="1" ht="15.6" x14ac:dyDescent="0.3">
      <c r="A2212" s="97"/>
      <c r="B2212" s="98"/>
      <c r="C2212" s="98"/>
      <c r="D2212" s="98"/>
      <c r="E2212" s="98"/>
      <c r="F2212" s="98"/>
      <c r="G2212" s="99"/>
      <c r="H2212" s="99"/>
      <c r="I2212" s="99"/>
      <c r="J2212" s="99"/>
      <c r="K2212" s="98"/>
      <c r="L2212" s="98"/>
      <c r="M2212" s="98"/>
      <c r="N2212" s="98"/>
      <c r="O2212" s="98"/>
      <c r="P2212" s="98"/>
      <c r="Q2212" s="98"/>
      <c r="R2212" s="98"/>
      <c r="S2212" s="98"/>
      <c r="T2212" s="98"/>
      <c r="U2212" s="98"/>
      <c r="V2212" s="98"/>
      <c r="W2212" s="98"/>
      <c r="X2212" s="98"/>
      <c r="Y2212" s="98"/>
      <c r="Z2212" s="98"/>
      <c r="AA2212" s="98"/>
      <c r="AB2212" s="98"/>
      <c r="AC2212" s="98"/>
      <c r="AD2212" s="98"/>
      <c r="AE2212" s="98"/>
      <c r="AF2212" s="98"/>
      <c r="AG2212" s="98"/>
      <c r="AH2212" s="98"/>
      <c r="AI2212" s="98"/>
      <c r="AJ2212" s="98"/>
      <c r="AK2212" s="98"/>
      <c r="AL2212" s="98"/>
      <c r="AM2212" s="98"/>
    </row>
    <row r="2213" spans="1:39" s="100" customFormat="1" ht="15.6" x14ac:dyDescent="0.3">
      <c r="A2213" s="97"/>
      <c r="B2213" s="98"/>
      <c r="C2213" s="98"/>
      <c r="D2213" s="98"/>
      <c r="E2213" s="98"/>
      <c r="F2213" s="98"/>
      <c r="G2213" s="99"/>
      <c r="H2213" s="99"/>
      <c r="I2213" s="99"/>
      <c r="J2213" s="99"/>
      <c r="K2213" s="98"/>
      <c r="L2213" s="98"/>
      <c r="M2213" s="98"/>
      <c r="N2213" s="98"/>
      <c r="O2213" s="98"/>
      <c r="P2213" s="98"/>
      <c r="Q2213" s="98"/>
      <c r="R2213" s="98"/>
      <c r="S2213" s="98"/>
      <c r="T2213" s="98"/>
      <c r="U2213" s="98"/>
      <c r="V2213" s="98"/>
      <c r="W2213" s="98"/>
      <c r="X2213" s="98"/>
      <c r="Y2213" s="98"/>
      <c r="Z2213" s="98"/>
      <c r="AA2213" s="98"/>
      <c r="AB2213" s="98"/>
      <c r="AC2213" s="98"/>
      <c r="AD2213" s="98"/>
      <c r="AE2213" s="98"/>
      <c r="AF2213" s="98"/>
      <c r="AG2213" s="98"/>
      <c r="AH2213" s="98"/>
      <c r="AI2213" s="98"/>
      <c r="AJ2213" s="98"/>
      <c r="AK2213" s="98"/>
      <c r="AL2213" s="98"/>
      <c r="AM2213" s="98"/>
    </row>
    <row r="2214" spans="1:39" s="100" customFormat="1" ht="15.6" x14ac:dyDescent="0.3">
      <c r="A2214" s="97"/>
      <c r="B2214" s="98"/>
      <c r="C2214" s="98"/>
      <c r="D2214" s="98"/>
      <c r="E2214" s="98"/>
      <c r="F2214" s="98"/>
      <c r="G2214" s="99"/>
      <c r="H2214" s="99"/>
      <c r="I2214" s="99"/>
      <c r="J2214" s="99"/>
      <c r="K2214" s="98"/>
      <c r="L2214" s="98"/>
      <c r="M2214" s="98"/>
      <c r="N2214" s="98"/>
      <c r="O2214" s="98"/>
      <c r="P2214" s="98"/>
      <c r="Q2214" s="98"/>
      <c r="R2214" s="98"/>
      <c r="S2214" s="98"/>
      <c r="T2214" s="98"/>
      <c r="U2214" s="98"/>
      <c r="V2214" s="98"/>
      <c r="W2214" s="98"/>
      <c r="X2214" s="98"/>
      <c r="Y2214" s="98"/>
      <c r="Z2214" s="98"/>
      <c r="AA2214" s="98"/>
      <c r="AB2214" s="98"/>
      <c r="AC2214" s="98"/>
      <c r="AD2214" s="98"/>
      <c r="AE2214" s="98"/>
      <c r="AF2214" s="98"/>
      <c r="AG2214" s="98"/>
      <c r="AH2214" s="98"/>
      <c r="AI2214" s="98"/>
      <c r="AJ2214" s="98"/>
      <c r="AK2214" s="98"/>
      <c r="AL2214" s="98"/>
      <c r="AM2214" s="98"/>
    </row>
    <row r="2215" spans="1:39" s="100" customFormat="1" ht="15.6" x14ac:dyDescent="0.3">
      <c r="A2215" s="97"/>
      <c r="B2215" s="98"/>
      <c r="C2215" s="98"/>
      <c r="D2215" s="98"/>
      <c r="E2215" s="98"/>
      <c r="F2215" s="98"/>
      <c r="G2215" s="99"/>
      <c r="H2215" s="99"/>
      <c r="I2215" s="99"/>
      <c r="J2215" s="99"/>
      <c r="K2215" s="98"/>
      <c r="L2215" s="98"/>
      <c r="M2215" s="98"/>
      <c r="N2215" s="98"/>
      <c r="O2215" s="98"/>
      <c r="P2215" s="98"/>
      <c r="Q2215" s="98"/>
      <c r="R2215" s="98"/>
      <c r="S2215" s="98"/>
      <c r="T2215" s="98"/>
      <c r="U2215" s="98"/>
      <c r="V2215" s="98"/>
      <c r="W2215" s="98"/>
      <c r="X2215" s="98"/>
      <c r="Y2215" s="98"/>
      <c r="Z2215" s="98"/>
      <c r="AA2215" s="98"/>
      <c r="AB2215" s="98"/>
      <c r="AC2215" s="98"/>
      <c r="AD2215" s="98"/>
      <c r="AE2215" s="98"/>
      <c r="AF2215" s="98"/>
      <c r="AG2215" s="98"/>
      <c r="AH2215" s="98"/>
      <c r="AI2215" s="98"/>
      <c r="AJ2215" s="98"/>
      <c r="AK2215" s="98"/>
      <c r="AL2215" s="98"/>
      <c r="AM2215" s="98"/>
    </row>
    <row r="2216" spans="1:39" s="100" customFormat="1" ht="15.6" x14ac:dyDescent="0.3">
      <c r="A2216" s="97"/>
      <c r="B2216" s="98"/>
      <c r="C2216" s="98"/>
      <c r="D2216" s="98"/>
      <c r="E2216" s="98"/>
      <c r="F2216" s="98"/>
      <c r="G2216" s="99"/>
      <c r="H2216" s="99"/>
      <c r="I2216" s="99"/>
      <c r="J2216" s="99"/>
      <c r="K2216" s="98"/>
      <c r="L2216" s="98"/>
      <c r="M2216" s="98"/>
      <c r="N2216" s="98"/>
      <c r="O2216" s="98"/>
      <c r="P2216" s="98"/>
      <c r="Q2216" s="98"/>
      <c r="R2216" s="98"/>
      <c r="S2216" s="98"/>
      <c r="T2216" s="98"/>
      <c r="U2216" s="98"/>
      <c r="V2216" s="98"/>
      <c r="W2216" s="98"/>
      <c r="X2216" s="98"/>
      <c r="Y2216" s="98"/>
      <c r="Z2216" s="98"/>
      <c r="AA2216" s="98"/>
      <c r="AB2216" s="98"/>
      <c r="AC2216" s="98"/>
      <c r="AD2216" s="98"/>
      <c r="AE2216" s="98"/>
      <c r="AF2216" s="98"/>
      <c r="AG2216" s="98"/>
      <c r="AH2216" s="98"/>
      <c r="AI2216" s="98"/>
      <c r="AJ2216" s="98"/>
      <c r="AK2216" s="98"/>
      <c r="AL2216" s="98"/>
      <c r="AM2216" s="98"/>
    </row>
    <row r="2217" spans="1:39" s="100" customFormat="1" ht="15.6" x14ac:dyDescent="0.3">
      <c r="A2217" s="97"/>
      <c r="B2217" s="98"/>
      <c r="C2217" s="98"/>
      <c r="D2217" s="98"/>
      <c r="E2217" s="98"/>
      <c r="F2217" s="98"/>
      <c r="G2217" s="99"/>
      <c r="H2217" s="99"/>
      <c r="I2217" s="99"/>
      <c r="J2217" s="99"/>
      <c r="K2217" s="98"/>
      <c r="L2217" s="98"/>
      <c r="M2217" s="98"/>
      <c r="N2217" s="98"/>
      <c r="O2217" s="98"/>
      <c r="P2217" s="98"/>
      <c r="Q2217" s="98"/>
      <c r="R2217" s="98"/>
      <c r="S2217" s="98"/>
      <c r="T2217" s="98"/>
      <c r="U2217" s="98"/>
      <c r="V2217" s="98"/>
      <c r="W2217" s="98"/>
      <c r="X2217" s="98"/>
      <c r="Y2217" s="98"/>
      <c r="Z2217" s="98"/>
      <c r="AA2217" s="98"/>
      <c r="AB2217" s="98"/>
      <c r="AC2217" s="98"/>
      <c r="AD2217" s="98"/>
      <c r="AE2217" s="98"/>
      <c r="AF2217" s="98"/>
      <c r="AG2217" s="98"/>
      <c r="AH2217" s="98"/>
      <c r="AI2217" s="98"/>
      <c r="AJ2217" s="98"/>
      <c r="AK2217" s="98"/>
      <c r="AL2217" s="98"/>
      <c r="AM2217" s="98"/>
    </row>
    <row r="2218" spans="1:39" s="100" customFormat="1" ht="15.6" x14ac:dyDescent="0.3">
      <c r="A2218" s="97"/>
      <c r="B2218" s="98"/>
      <c r="C2218" s="98"/>
      <c r="D2218" s="98"/>
      <c r="E2218" s="98"/>
      <c r="F2218" s="98"/>
      <c r="G2218" s="99"/>
      <c r="H2218" s="99"/>
      <c r="I2218" s="99"/>
      <c r="J2218" s="99"/>
      <c r="K2218" s="98"/>
      <c r="L2218" s="98"/>
      <c r="M2218" s="98"/>
      <c r="N2218" s="98"/>
      <c r="O2218" s="98"/>
      <c r="P2218" s="98"/>
      <c r="Q2218" s="98"/>
      <c r="R2218" s="98"/>
      <c r="S2218" s="98"/>
      <c r="T2218" s="98"/>
      <c r="U2218" s="98"/>
      <c r="V2218" s="98"/>
      <c r="W2218" s="98"/>
      <c r="X2218" s="98"/>
      <c r="Y2218" s="98"/>
      <c r="Z2218" s="98"/>
      <c r="AA2218" s="98"/>
      <c r="AB2218" s="98"/>
      <c r="AC2218" s="98"/>
      <c r="AD2218" s="98"/>
      <c r="AE2218" s="98"/>
      <c r="AF2218" s="98"/>
      <c r="AG2218" s="98"/>
      <c r="AH2218" s="98"/>
      <c r="AI2218" s="98"/>
      <c r="AJ2218" s="98"/>
      <c r="AK2218" s="98"/>
      <c r="AL2218" s="98"/>
      <c r="AM2218" s="98"/>
    </row>
    <row r="2219" spans="1:39" s="100" customFormat="1" ht="15.6" x14ac:dyDescent="0.3">
      <c r="A2219" s="97"/>
      <c r="B2219" s="98"/>
      <c r="C2219" s="98"/>
      <c r="D2219" s="98"/>
      <c r="E2219" s="98"/>
      <c r="F2219" s="98"/>
      <c r="G2219" s="99"/>
      <c r="H2219" s="99"/>
      <c r="I2219" s="99"/>
      <c r="J2219" s="99"/>
      <c r="K2219" s="98"/>
      <c r="L2219" s="98"/>
      <c r="M2219" s="98"/>
      <c r="N2219" s="98"/>
      <c r="O2219" s="98"/>
      <c r="P2219" s="98"/>
      <c r="Q2219" s="98"/>
      <c r="R2219" s="98"/>
      <c r="S2219" s="98"/>
      <c r="T2219" s="98"/>
      <c r="U2219" s="98"/>
      <c r="V2219" s="98"/>
      <c r="W2219" s="98"/>
      <c r="X2219" s="98"/>
      <c r="Y2219" s="98"/>
      <c r="Z2219" s="98"/>
      <c r="AA2219" s="98"/>
      <c r="AB2219" s="98"/>
      <c r="AC2219" s="98"/>
      <c r="AD2219" s="98"/>
      <c r="AE2219" s="98"/>
      <c r="AF2219" s="98"/>
      <c r="AG2219" s="98"/>
      <c r="AH2219" s="98"/>
      <c r="AI2219" s="98"/>
      <c r="AJ2219" s="98"/>
      <c r="AK2219" s="98"/>
      <c r="AL2219" s="98"/>
      <c r="AM2219" s="98"/>
    </row>
    <row r="2220" spans="1:39" s="100" customFormat="1" ht="15.6" x14ac:dyDescent="0.3">
      <c r="A2220" s="97"/>
      <c r="B2220" s="98"/>
      <c r="C2220" s="98"/>
      <c r="D2220" s="98"/>
      <c r="E2220" s="98"/>
      <c r="F2220" s="98"/>
      <c r="G2220" s="99"/>
      <c r="H2220" s="99"/>
      <c r="I2220" s="99"/>
      <c r="J2220" s="99"/>
      <c r="K2220" s="98"/>
      <c r="L2220" s="98"/>
      <c r="M2220" s="98"/>
      <c r="N2220" s="98"/>
      <c r="O2220" s="98"/>
      <c r="P2220" s="98"/>
      <c r="Q2220" s="98"/>
      <c r="R2220" s="98"/>
      <c r="S2220" s="98"/>
      <c r="T2220" s="98"/>
      <c r="U2220" s="98"/>
      <c r="V2220" s="98"/>
      <c r="W2220" s="98"/>
      <c r="X2220" s="98"/>
      <c r="Y2220" s="98"/>
      <c r="Z2220" s="98"/>
      <c r="AA2220" s="98"/>
      <c r="AB2220" s="98"/>
      <c r="AC2220" s="98"/>
      <c r="AD2220" s="98"/>
      <c r="AE2220" s="98"/>
      <c r="AF2220" s="98"/>
      <c r="AG2220" s="98"/>
      <c r="AH2220" s="98"/>
      <c r="AI2220" s="98"/>
      <c r="AJ2220" s="98"/>
      <c r="AK2220" s="98"/>
      <c r="AL2220" s="98"/>
      <c r="AM2220" s="98"/>
    </row>
    <row r="2221" spans="1:39" s="100" customFormat="1" ht="15.6" x14ac:dyDescent="0.3">
      <c r="A2221" s="97"/>
      <c r="B2221" s="98"/>
      <c r="C2221" s="98"/>
      <c r="D2221" s="98"/>
      <c r="E2221" s="98"/>
      <c r="F2221" s="98"/>
      <c r="G2221" s="99"/>
      <c r="H2221" s="99"/>
      <c r="I2221" s="99"/>
      <c r="J2221" s="99"/>
      <c r="K2221" s="98"/>
      <c r="L2221" s="98"/>
      <c r="M2221" s="98"/>
      <c r="N2221" s="98"/>
      <c r="O2221" s="98"/>
      <c r="P2221" s="98"/>
      <c r="Q2221" s="98"/>
      <c r="R2221" s="98"/>
      <c r="S2221" s="98"/>
      <c r="T2221" s="98"/>
      <c r="U2221" s="98"/>
      <c r="V2221" s="98"/>
      <c r="W2221" s="98"/>
      <c r="X2221" s="98"/>
      <c r="Y2221" s="98"/>
      <c r="Z2221" s="98"/>
      <c r="AA2221" s="98"/>
      <c r="AB2221" s="98"/>
      <c r="AC2221" s="98"/>
      <c r="AD2221" s="98"/>
      <c r="AE2221" s="98"/>
      <c r="AF2221" s="98"/>
      <c r="AG2221" s="98"/>
      <c r="AH2221" s="98"/>
      <c r="AI2221" s="98"/>
      <c r="AJ2221" s="98"/>
      <c r="AK2221" s="98"/>
      <c r="AL2221" s="98"/>
      <c r="AM2221" s="98"/>
    </row>
    <row r="2222" spans="1:39" s="100" customFormat="1" ht="15.6" x14ac:dyDescent="0.3">
      <c r="A2222" s="97"/>
      <c r="B2222" s="98"/>
      <c r="C2222" s="98"/>
      <c r="D2222" s="98"/>
      <c r="E2222" s="98"/>
      <c r="F2222" s="98"/>
      <c r="G2222" s="99"/>
      <c r="H2222" s="99"/>
      <c r="I2222" s="99"/>
      <c r="J2222" s="99"/>
      <c r="K2222" s="98"/>
      <c r="L2222" s="98"/>
      <c r="M2222" s="98"/>
      <c r="N2222" s="98"/>
      <c r="O2222" s="98"/>
      <c r="P2222" s="98"/>
      <c r="Q2222" s="98"/>
      <c r="R2222" s="98"/>
      <c r="S2222" s="98"/>
      <c r="T2222" s="98"/>
      <c r="U2222" s="98"/>
      <c r="V2222" s="98"/>
      <c r="W2222" s="98"/>
      <c r="X2222" s="98"/>
      <c r="Y2222" s="98"/>
      <c r="Z2222" s="98"/>
      <c r="AA2222" s="98"/>
      <c r="AB2222" s="98"/>
      <c r="AC2222" s="98"/>
      <c r="AD2222" s="98"/>
      <c r="AE2222" s="98"/>
      <c r="AF2222" s="98"/>
      <c r="AG2222" s="98"/>
      <c r="AH2222" s="98"/>
      <c r="AI2222" s="98"/>
      <c r="AJ2222" s="98"/>
      <c r="AK2222" s="98"/>
      <c r="AL2222" s="98"/>
      <c r="AM2222" s="98"/>
    </row>
    <row r="2223" spans="1:39" s="100" customFormat="1" ht="15.6" x14ac:dyDescent="0.3">
      <c r="A2223" s="97"/>
      <c r="B2223" s="98"/>
      <c r="C2223" s="98"/>
      <c r="D2223" s="98"/>
      <c r="E2223" s="98"/>
      <c r="F2223" s="98"/>
      <c r="G2223" s="99"/>
      <c r="H2223" s="99"/>
      <c r="I2223" s="99"/>
      <c r="J2223" s="99"/>
      <c r="K2223" s="98"/>
      <c r="L2223" s="98"/>
      <c r="M2223" s="98"/>
      <c r="N2223" s="98"/>
      <c r="O2223" s="98"/>
      <c r="P2223" s="98"/>
      <c r="Q2223" s="98"/>
      <c r="R2223" s="98"/>
      <c r="S2223" s="98"/>
      <c r="T2223" s="98"/>
      <c r="U2223" s="98"/>
      <c r="V2223" s="98"/>
      <c r="W2223" s="98"/>
      <c r="X2223" s="98"/>
      <c r="Y2223" s="98"/>
      <c r="Z2223" s="98"/>
      <c r="AA2223" s="98"/>
      <c r="AB2223" s="98"/>
      <c r="AC2223" s="98"/>
      <c r="AD2223" s="98"/>
      <c r="AE2223" s="98"/>
      <c r="AF2223" s="98"/>
      <c r="AG2223" s="98"/>
      <c r="AH2223" s="98"/>
      <c r="AI2223" s="98"/>
      <c r="AJ2223" s="98"/>
      <c r="AK2223" s="98"/>
      <c r="AL2223" s="98"/>
      <c r="AM2223" s="98"/>
    </row>
    <row r="2224" spans="1:39" s="100" customFormat="1" ht="15.6" x14ac:dyDescent="0.3">
      <c r="A2224" s="97"/>
      <c r="B2224" s="98"/>
      <c r="C2224" s="98"/>
      <c r="D2224" s="98"/>
      <c r="E2224" s="98"/>
      <c r="F2224" s="98"/>
      <c r="G2224" s="99"/>
      <c r="H2224" s="99"/>
      <c r="I2224" s="99"/>
      <c r="J2224" s="99"/>
      <c r="K2224" s="98"/>
      <c r="L2224" s="98"/>
      <c r="M2224" s="98"/>
      <c r="N2224" s="98"/>
      <c r="O2224" s="98"/>
      <c r="P2224" s="98"/>
      <c r="Q2224" s="98"/>
      <c r="R2224" s="98"/>
      <c r="S2224" s="98"/>
      <c r="T2224" s="98"/>
      <c r="U2224" s="98"/>
      <c r="V2224" s="98"/>
      <c r="W2224" s="98"/>
      <c r="X2224" s="98"/>
      <c r="Y2224" s="98"/>
      <c r="Z2224" s="98"/>
      <c r="AA2224" s="98"/>
      <c r="AB2224" s="98"/>
      <c r="AC2224" s="98"/>
      <c r="AD2224" s="98"/>
      <c r="AE2224" s="98"/>
      <c r="AF2224" s="98"/>
      <c r="AG2224" s="98"/>
      <c r="AH2224" s="98"/>
      <c r="AI2224" s="98"/>
      <c r="AJ2224" s="98"/>
      <c r="AK2224" s="98"/>
      <c r="AL2224" s="98"/>
      <c r="AM2224" s="98"/>
    </row>
    <row r="2225" spans="1:39" s="100" customFormat="1" ht="15.6" x14ac:dyDescent="0.3">
      <c r="A2225" s="97"/>
      <c r="B2225" s="98"/>
      <c r="C2225" s="98"/>
      <c r="D2225" s="98"/>
      <c r="E2225" s="98"/>
      <c r="F2225" s="98"/>
      <c r="G2225" s="99"/>
      <c r="H2225" s="99"/>
      <c r="I2225" s="99"/>
      <c r="J2225" s="99"/>
      <c r="K2225" s="98"/>
      <c r="L2225" s="98"/>
      <c r="M2225" s="98"/>
      <c r="N2225" s="98"/>
      <c r="O2225" s="98"/>
      <c r="P2225" s="98"/>
      <c r="Q2225" s="98"/>
      <c r="R2225" s="98"/>
      <c r="S2225" s="98"/>
      <c r="T2225" s="98"/>
      <c r="U2225" s="98"/>
      <c r="V2225" s="98"/>
      <c r="W2225" s="98"/>
      <c r="X2225" s="98"/>
      <c r="Y2225" s="98"/>
      <c r="Z2225" s="98"/>
      <c r="AA2225" s="98"/>
      <c r="AB2225" s="98"/>
      <c r="AC2225" s="98"/>
      <c r="AD2225" s="98"/>
      <c r="AE2225" s="98"/>
      <c r="AF2225" s="98"/>
      <c r="AG2225" s="98"/>
      <c r="AH2225" s="98"/>
      <c r="AI2225" s="98"/>
      <c r="AJ2225" s="98"/>
      <c r="AK2225" s="98"/>
      <c r="AL2225" s="98"/>
      <c r="AM2225" s="98"/>
    </row>
    <row r="2226" spans="1:39" s="100" customFormat="1" ht="15.6" x14ac:dyDescent="0.3">
      <c r="A2226" s="97"/>
      <c r="B2226" s="98"/>
      <c r="C2226" s="98"/>
      <c r="D2226" s="98"/>
      <c r="E2226" s="98"/>
      <c r="F2226" s="98"/>
      <c r="G2226" s="99"/>
      <c r="H2226" s="99"/>
      <c r="I2226" s="99"/>
      <c r="J2226" s="99"/>
      <c r="K2226" s="98"/>
      <c r="L2226" s="98"/>
      <c r="M2226" s="98"/>
      <c r="N2226" s="98"/>
      <c r="O2226" s="98"/>
      <c r="P2226" s="98"/>
      <c r="Q2226" s="98"/>
      <c r="R2226" s="98"/>
      <c r="S2226" s="98"/>
      <c r="T2226" s="98"/>
      <c r="U2226" s="98"/>
      <c r="V2226" s="98"/>
      <c r="W2226" s="98"/>
      <c r="X2226" s="98"/>
      <c r="Y2226" s="98"/>
      <c r="Z2226" s="98"/>
      <c r="AA2226" s="98"/>
      <c r="AB2226" s="98"/>
      <c r="AC2226" s="98"/>
      <c r="AD2226" s="98"/>
      <c r="AE2226" s="98"/>
      <c r="AF2226" s="98"/>
      <c r="AG2226" s="98"/>
      <c r="AH2226" s="98"/>
      <c r="AI2226" s="98"/>
      <c r="AJ2226" s="98"/>
      <c r="AK2226" s="98"/>
      <c r="AL2226" s="98"/>
      <c r="AM2226" s="98"/>
    </row>
    <row r="2227" spans="1:39" s="100" customFormat="1" ht="15.6" x14ac:dyDescent="0.3">
      <c r="A2227" s="97"/>
      <c r="B2227" s="98"/>
      <c r="C2227" s="98"/>
      <c r="D2227" s="98"/>
      <c r="E2227" s="98"/>
      <c r="F2227" s="98"/>
      <c r="G2227" s="99"/>
      <c r="H2227" s="99"/>
      <c r="I2227" s="99"/>
      <c r="J2227" s="99"/>
      <c r="K2227" s="98"/>
      <c r="L2227" s="98"/>
      <c r="M2227" s="98"/>
      <c r="N2227" s="98"/>
      <c r="O2227" s="98"/>
      <c r="P2227" s="98"/>
      <c r="Q2227" s="98"/>
      <c r="R2227" s="98"/>
      <c r="S2227" s="98"/>
      <c r="T2227" s="98"/>
      <c r="U2227" s="98"/>
      <c r="V2227" s="98"/>
      <c r="W2227" s="98"/>
      <c r="X2227" s="98"/>
      <c r="Y2227" s="98"/>
      <c r="Z2227" s="98"/>
      <c r="AA2227" s="98"/>
      <c r="AB2227" s="98"/>
      <c r="AC2227" s="98"/>
      <c r="AD2227" s="98"/>
      <c r="AE2227" s="98"/>
      <c r="AF2227" s="98"/>
      <c r="AG2227" s="98"/>
      <c r="AH2227" s="98"/>
      <c r="AI2227" s="98"/>
      <c r="AJ2227" s="98"/>
      <c r="AK2227" s="98"/>
      <c r="AL2227" s="98"/>
      <c r="AM2227" s="98"/>
    </row>
    <row r="2228" spans="1:39" s="100" customFormat="1" ht="15.6" x14ac:dyDescent="0.3">
      <c r="A2228" s="97"/>
      <c r="B2228" s="98"/>
      <c r="C2228" s="98"/>
      <c r="D2228" s="98"/>
      <c r="E2228" s="98"/>
      <c r="F2228" s="98"/>
      <c r="G2228" s="99"/>
      <c r="H2228" s="99"/>
      <c r="I2228" s="99"/>
      <c r="J2228" s="99"/>
      <c r="K2228" s="98"/>
      <c r="L2228" s="98"/>
      <c r="M2228" s="98"/>
      <c r="N2228" s="98"/>
      <c r="O2228" s="98"/>
      <c r="P2228" s="98"/>
      <c r="Q2228" s="98"/>
      <c r="R2228" s="98"/>
      <c r="S2228" s="98"/>
      <c r="T2228" s="98"/>
      <c r="U2228" s="98"/>
      <c r="V2228" s="98"/>
      <c r="W2228" s="98"/>
      <c r="X2228" s="98"/>
      <c r="Y2228" s="98"/>
      <c r="Z2228" s="98"/>
      <c r="AA2228" s="98"/>
      <c r="AB2228" s="98"/>
      <c r="AC2228" s="98"/>
      <c r="AD2228" s="98"/>
      <c r="AE2228" s="98"/>
      <c r="AF2228" s="98"/>
      <c r="AG2228" s="98"/>
      <c r="AH2228" s="98"/>
      <c r="AI2228" s="98"/>
      <c r="AJ2228" s="98"/>
      <c r="AK2228" s="98"/>
      <c r="AL2228" s="98"/>
      <c r="AM2228" s="98"/>
    </row>
    <row r="2229" spans="1:39" s="100" customFormat="1" ht="15.6" x14ac:dyDescent="0.3">
      <c r="A2229" s="97"/>
      <c r="B2229" s="98"/>
      <c r="C2229" s="98"/>
      <c r="D2229" s="98"/>
      <c r="E2229" s="98"/>
      <c r="F2229" s="98"/>
      <c r="G2229" s="99"/>
      <c r="H2229" s="99"/>
      <c r="I2229" s="99"/>
      <c r="J2229" s="99"/>
      <c r="K2229" s="98"/>
      <c r="L2229" s="98"/>
      <c r="M2229" s="98"/>
      <c r="N2229" s="98"/>
      <c r="O2229" s="98"/>
      <c r="P2229" s="98"/>
      <c r="Q2229" s="98"/>
      <c r="R2229" s="98"/>
      <c r="S2229" s="98"/>
      <c r="T2229" s="98"/>
      <c r="U2229" s="98"/>
      <c r="V2229" s="98"/>
      <c r="W2229" s="98"/>
      <c r="X2229" s="98"/>
      <c r="Y2229" s="98"/>
      <c r="Z2229" s="98"/>
      <c r="AA2229" s="98"/>
      <c r="AB2229" s="98"/>
      <c r="AC2229" s="98"/>
      <c r="AD2229" s="98"/>
      <c r="AE2229" s="98"/>
      <c r="AF2229" s="98"/>
      <c r="AG2229" s="98"/>
      <c r="AH2229" s="98"/>
      <c r="AI2229" s="98"/>
      <c r="AJ2229" s="98"/>
      <c r="AK2229" s="98"/>
      <c r="AL2229" s="98"/>
      <c r="AM2229" s="98"/>
    </row>
    <row r="2230" spans="1:39" s="100" customFormat="1" ht="15.6" x14ac:dyDescent="0.3">
      <c r="A2230" s="97"/>
      <c r="B2230" s="98"/>
      <c r="C2230" s="98"/>
      <c r="D2230" s="98"/>
      <c r="E2230" s="98"/>
      <c r="F2230" s="98"/>
      <c r="G2230" s="99"/>
      <c r="H2230" s="99"/>
      <c r="I2230" s="99"/>
      <c r="J2230" s="99"/>
      <c r="K2230" s="98"/>
      <c r="L2230" s="98"/>
      <c r="M2230" s="98"/>
      <c r="N2230" s="98"/>
      <c r="O2230" s="98"/>
      <c r="P2230" s="98"/>
      <c r="Q2230" s="98"/>
      <c r="R2230" s="98"/>
      <c r="S2230" s="98"/>
      <c r="T2230" s="98"/>
      <c r="U2230" s="98"/>
      <c r="V2230" s="98"/>
      <c r="W2230" s="98"/>
      <c r="X2230" s="98"/>
      <c r="Y2230" s="98"/>
      <c r="Z2230" s="98"/>
      <c r="AA2230" s="98"/>
      <c r="AB2230" s="98"/>
      <c r="AC2230" s="98"/>
      <c r="AD2230" s="98"/>
      <c r="AE2230" s="98"/>
      <c r="AF2230" s="98"/>
      <c r="AG2230" s="98"/>
      <c r="AH2230" s="98"/>
      <c r="AI2230" s="98"/>
      <c r="AJ2230" s="98"/>
      <c r="AK2230" s="98"/>
      <c r="AL2230" s="98"/>
      <c r="AM2230" s="98"/>
    </row>
    <row r="2231" spans="1:39" s="100" customFormat="1" ht="15.6" x14ac:dyDescent="0.3">
      <c r="A2231" s="97"/>
      <c r="B2231" s="98"/>
      <c r="C2231" s="98"/>
      <c r="D2231" s="98"/>
      <c r="E2231" s="98"/>
      <c r="F2231" s="98"/>
      <c r="G2231" s="99"/>
      <c r="H2231" s="99"/>
      <c r="I2231" s="99"/>
      <c r="J2231" s="99"/>
      <c r="K2231" s="98"/>
      <c r="L2231" s="98"/>
      <c r="M2231" s="98"/>
      <c r="N2231" s="98"/>
      <c r="O2231" s="98"/>
      <c r="P2231" s="98"/>
      <c r="Q2231" s="98"/>
      <c r="R2231" s="98"/>
      <c r="S2231" s="98"/>
      <c r="T2231" s="98"/>
      <c r="U2231" s="98"/>
      <c r="V2231" s="98"/>
      <c r="W2231" s="98"/>
      <c r="X2231" s="98"/>
      <c r="Y2231" s="98"/>
      <c r="Z2231" s="98"/>
      <c r="AA2231" s="98"/>
      <c r="AB2231" s="98"/>
      <c r="AC2231" s="98"/>
      <c r="AD2231" s="98"/>
      <c r="AE2231" s="98"/>
      <c r="AF2231" s="98"/>
      <c r="AG2231" s="98"/>
      <c r="AH2231" s="98"/>
      <c r="AI2231" s="98"/>
      <c r="AJ2231" s="98"/>
      <c r="AK2231" s="98"/>
      <c r="AL2231" s="98"/>
      <c r="AM2231" s="98"/>
    </row>
    <row r="2232" spans="1:39" s="100" customFormat="1" ht="15.6" x14ac:dyDescent="0.3">
      <c r="A2232" s="97"/>
      <c r="B2232" s="98"/>
      <c r="C2232" s="98"/>
      <c r="D2232" s="98"/>
      <c r="E2232" s="98"/>
      <c r="F2232" s="98"/>
      <c r="G2232" s="99"/>
      <c r="H2232" s="99"/>
      <c r="I2232" s="99"/>
      <c r="J2232" s="99"/>
      <c r="K2232" s="98"/>
      <c r="L2232" s="98"/>
      <c r="M2232" s="98"/>
      <c r="N2232" s="98"/>
      <c r="O2232" s="98"/>
      <c r="P2232" s="98"/>
      <c r="Q2232" s="98"/>
      <c r="R2232" s="98"/>
      <c r="S2232" s="98"/>
      <c r="T2232" s="98"/>
      <c r="U2232" s="98"/>
      <c r="V2232" s="98"/>
      <c r="W2232" s="98"/>
      <c r="X2232" s="98"/>
      <c r="Y2232" s="98"/>
      <c r="Z2232" s="98"/>
      <c r="AA2232" s="98"/>
      <c r="AB2232" s="98"/>
      <c r="AC2232" s="98"/>
      <c r="AD2232" s="98"/>
      <c r="AE2232" s="98"/>
      <c r="AF2232" s="98"/>
      <c r="AG2232" s="98"/>
      <c r="AH2232" s="98"/>
      <c r="AI2232" s="98"/>
      <c r="AJ2232" s="98"/>
      <c r="AK2232" s="98"/>
      <c r="AL2232" s="98"/>
      <c r="AM2232" s="98"/>
    </row>
    <row r="2233" spans="1:39" s="100" customFormat="1" ht="15.6" x14ac:dyDescent="0.3">
      <c r="A2233" s="97"/>
      <c r="B2233" s="98"/>
      <c r="C2233" s="98"/>
      <c r="D2233" s="98"/>
      <c r="E2233" s="98"/>
      <c r="F2233" s="98"/>
      <c r="G2233" s="99"/>
      <c r="H2233" s="99"/>
      <c r="I2233" s="99"/>
      <c r="J2233" s="99"/>
      <c r="K2233" s="98"/>
      <c r="L2233" s="98"/>
      <c r="M2233" s="98"/>
      <c r="N2233" s="98"/>
      <c r="O2233" s="98"/>
      <c r="P2233" s="98"/>
      <c r="Q2233" s="98"/>
      <c r="R2233" s="98"/>
      <c r="S2233" s="98"/>
      <c r="T2233" s="98"/>
      <c r="U2233" s="98"/>
      <c r="V2233" s="98"/>
      <c r="W2233" s="98"/>
      <c r="X2233" s="98"/>
      <c r="Y2233" s="98"/>
      <c r="Z2233" s="98"/>
      <c r="AA2233" s="98"/>
      <c r="AB2233" s="98"/>
      <c r="AC2233" s="98"/>
      <c r="AD2233" s="98"/>
      <c r="AE2233" s="98"/>
      <c r="AF2233" s="98"/>
      <c r="AG2233" s="98"/>
      <c r="AH2233" s="98"/>
      <c r="AI2233" s="98"/>
      <c r="AJ2233" s="98"/>
      <c r="AK2233" s="98"/>
      <c r="AL2233" s="98"/>
      <c r="AM2233" s="98"/>
    </row>
    <row r="2234" spans="1:39" s="100" customFormat="1" ht="15.6" x14ac:dyDescent="0.3">
      <c r="A2234" s="97"/>
      <c r="B2234" s="98"/>
      <c r="C2234" s="98"/>
      <c r="D2234" s="98"/>
      <c r="E2234" s="98"/>
      <c r="F2234" s="98"/>
      <c r="G2234" s="99"/>
      <c r="H2234" s="99"/>
      <c r="I2234" s="99"/>
      <c r="J2234" s="99"/>
      <c r="K2234" s="98"/>
      <c r="L2234" s="98"/>
      <c r="M2234" s="98"/>
      <c r="N2234" s="98"/>
      <c r="O2234" s="98"/>
      <c r="P2234" s="98"/>
      <c r="Q2234" s="98"/>
      <c r="R2234" s="98"/>
      <c r="S2234" s="98"/>
      <c r="T2234" s="98"/>
      <c r="U2234" s="98"/>
      <c r="V2234" s="98"/>
      <c r="W2234" s="98"/>
      <c r="X2234" s="98"/>
      <c r="Y2234" s="98"/>
      <c r="Z2234" s="98"/>
      <c r="AA2234" s="98"/>
      <c r="AB2234" s="98"/>
      <c r="AC2234" s="98"/>
      <c r="AD2234" s="98"/>
      <c r="AE2234" s="98"/>
      <c r="AF2234" s="98"/>
      <c r="AG2234" s="98"/>
      <c r="AH2234" s="98"/>
      <c r="AI2234" s="98"/>
      <c r="AJ2234" s="98"/>
      <c r="AK2234" s="98"/>
      <c r="AL2234" s="98"/>
      <c r="AM2234" s="98"/>
    </row>
    <row r="2235" spans="1:39" s="100" customFormat="1" ht="15.6" x14ac:dyDescent="0.3">
      <c r="A2235" s="97"/>
      <c r="B2235" s="98"/>
      <c r="C2235" s="98"/>
      <c r="D2235" s="98"/>
      <c r="E2235" s="98"/>
      <c r="F2235" s="98"/>
      <c r="G2235" s="99"/>
      <c r="H2235" s="99"/>
      <c r="I2235" s="99"/>
      <c r="J2235" s="99"/>
      <c r="K2235" s="98"/>
      <c r="L2235" s="98"/>
      <c r="M2235" s="98"/>
      <c r="N2235" s="98"/>
      <c r="O2235" s="98"/>
      <c r="P2235" s="98"/>
      <c r="Q2235" s="98"/>
      <c r="R2235" s="98"/>
      <c r="S2235" s="98"/>
      <c r="T2235" s="98"/>
      <c r="U2235" s="98"/>
      <c r="V2235" s="98"/>
      <c r="W2235" s="98"/>
      <c r="X2235" s="98"/>
      <c r="Y2235" s="98"/>
      <c r="Z2235" s="98"/>
      <c r="AA2235" s="98"/>
      <c r="AB2235" s="98"/>
      <c r="AC2235" s="98"/>
      <c r="AD2235" s="98"/>
      <c r="AE2235" s="98"/>
      <c r="AF2235" s="98"/>
      <c r="AG2235" s="98"/>
      <c r="AH2235" s="98"/>
      <c r="AI2235" s="98"/>
      <c r="AJ2235" s="98"/>
      <c r="AK2235" s="98"/>
      <c r="AL2235" s="98"/>
      <c r="AM2235" s="98"/>
    </row>
    <row r="2236" spans="1:39" s="100" customFormat="1" ht="15.6" x14ac:dyDescent="0.3">
      <c r="A2236" s="97"/>
      <c r="B2236" s="98"/>
      <c r="C2236" s="98"/>
      <c r="D2236" s="98"/>
      <c r="E2236" s="98"/>
      <c r="F2236" s="98"/>
      <c r="G2236" s="99"/>
      <c r="H2236" s="99"/>
      <c r="I2236" s="99"/>
      <c r="J2236" s="99"/>
      <c r="K2236" s="98"/>
      <c r="L2236" s="98"/>
      <c r="M2236" s="98"/>
      <c r="N2236" s="98"/>
      <c r="O2236" s="98"/>
      <c r="P2236" s="98"/>
      <c r="Q2236" s="98"/>
      <c r="R2236" s="98"/>
      <c r="S2236" s="98"/>
      <c r="T2236" s="98"/>
      <c r="U2236" s="98"/>
      <c r="V2236" s="98"/>
      <c r="W2236" s="98"/>
      <c r="X2236" s="98"/>
      <c r="Y2236" s="98"/>
      <c r="Z2236" s="98"/>
      <c r="AA2236" s="98"/>
      <c r="AB2236" s="98"/>
      <c r="AC2236" s="98"/>
      <c r="AD2236" s="98"/>
      <c r="AE2236" s="98"/>
      <c r="AF2236" s="98"/>
      <c r="AG2236" s="98"/>
      <c r="AH2236" s="98"/>
      <c r="AI2236" s="98"/>
      <c r="AJ2236" s="98"/>
      <c r="AK2236" s="98"/>
      <c r="AL2236" s="98"/>
      <c r="AM2236" s="98"/>
    </row>
    <row r="2237" spans="1:39" s="100" customFormat="1" ht="15.6" x14ac:dyDescent="0.3">
      <c r="A2237" s="97"/>
      <c r="B2237" s="98"/>
      <c r="C2237" s="98"/>
      <c r="D2237" s="98"/>
      <c r="E2237" s="98"/>
      <c r="F2237" s="98"/>
      <c r="G2237" s="99"/>
      <c r="H2237" s="99"/>
      <c r="I2237" s="99"/>
      <c r="J2237" s="99"/>
      <c r="K2237" s="98"/>
      <c r="L2237" s="98"/>
      <c r="M2237" s="98"/>
      <c r="N2237" s="98"/>
      <c r="O2237" s="98"/>
      <c r="P2237" s="98"/>
      <c r="Q2237" s="98"/>
      <c r="R2237" s="98"/>
      <c r="S2237" s="98"/>
      <c r="T2237" s="98"/>
      <c r="U2237" s="98"/>
      <c r="V2237" s="98"/>
      <c r="W2237" s="98"/>
      <c r="X2237" s="98"/>
      <c r="Y2237" s="98"/>
      <c r="Z2237" s="98"/>
      <c r="AA2237" s="98"/>
      <c r="AB2237" s="98"/>
      <c r="AC2237" s="98"/>
      <c r="AD2237" s="98"/>
      <c r="AE2237" s="98"/>
      <c r="AF2237" s="98"/>
      <c r="AG2237" s="98"/>
      <c r="AH2237" s="98"/>
      <c r="AI2237" s="98"/>
      <c r="AJ2237" s="98"/>
      <c r="AK2237" s="98"/>
      <c r="AL2237" s="98"/>
      <c r="AM2237" s="98"/>
    </row>
    <row r="2238" spans="1:39" s="100" customFormat="1" ht="15.6" x14ac:dyDescent="0.3">
      <c r="A2238" s="97"/>
      <c r="B2238" s="98"/>
      <c r="C2238" s="98"/>
      <c r="D2238" s="98"/>
      <c r="E2238" s="98"/>
      <c r="F2238" s="98"/>
      <c r="G2238" s="99"/>
      <c r="H2238" s="99"/>
      <c r="I2238" s="99"/>
      <c r="J2238" s="99"/>
      <c r="K2238" s="98"/>
      <c r="L2238" s="98"/>
      <c r="M2238" s="98"/>
      <c r="N2238" s="98"/>
      <c r="O2238" s="98"/>
      <c r="P2238" s="98"/>
      <c r="Q2238" s="98"/>
      <c r="R2238" s="98"/>
      <c r="S2238" s="98"/>
      <c r="T2238" s="98"/>
      <c r="U2238" s="98"/>
      <c r="V2238" s="98"/>
      <c r="W2238" s="98"/>
      <c r="X2238" s="98"/>
      <c r="Y2238" s="98"/>
      <c r="Z2238" s="98"/>
      <c r="AA2238" s="98"/>
      <c r="AB2238" s="98"/>
      <c r="AC2238" s="98"/>
      <c r="AD2238" s="98"/>
      <c r="AE2238" s="98"/>
      <c r="AF2238" s="98"/>
      <c r="AG2238" s="98"/>
      <c r="AH2238" s="98"/>
      <c r="AI2238" s="98"/>
      <c r="AJ2238" s="98"/>
      <c r="AK2238" s="98"/>
      <c r="AL2238" s="98"/>
      <c r="AM2238" s="98"/>
    </row>
    <row r="2239" spans="1:39" s="100" customFormat="1" ht="15.6" x14ac:dyDescent="0.3">
      <c r="A2239" s="97"/>
      <c r="B2239" s="98"/>
      <c r="C2239" s="98"/>
      <c r="D2239" s="98"/>
      <c r="E2239" s="98"/>
      <c r="F2239" s="98"/>
      <c r="G2239" s="99"/>
      <c r="H2239" s="99"/>
      <c r="I2239" s="99"/>
      <c r="J2239" s="99"/>
      <c r="K2239" s="98"/>
      <c r="L2239" s="98"/>
      <c r="M2239" s="98"/>
      <c r="N2239" s="98"/>
      <c r="O2239" s="98"/>
      <c r="P2239" s="98"/>
      <c r="Q2239" s="98"/>
      <c r="R2239" s="98"/>
      <c r="S2239" s="98"/>
      <c r="T2239" s="98"/>
      <c r="U2239" s="98"/>
      <c r="V2239" s="98"/>
      <c r="W2239" s="98"/>
      <c r="X2239" s="98"/>
      <c r="Y2239" s="98"/>
      <c r="Z2239" s="98"/>
      <c r="AA2239" s="98"/>
      <c r="AB2239" s="98"/>
      <c r="AC2239" s="98"/>
      <c r="AD2239" s="98"/>
      <c r="AE2239" s="98"/>
      <c r="AF2239" s="98"/>
      <c r="AG2239" s="98"/>
      <c r="AH2239" s="98"/>
      <c r="AI2239" s="98"/>
      <c r="AJ2239" s="98"/>
      <c r="AK2239" s="98"/>
      <c r="AL2239" s="98"/>
      <c r="AM2239" s="98"/>
    </row>
    <row r="2240" spans="1:39" s="100" customFormat="1" ht="15.6" x14ac:dyDescent="0.3">
      <c r="A2240" s="97"/>
      <c r="B2240" s="98"/>
      <c r="C2240" s="98"/>
      <c r="D2240" s="98"/>
      <c r="E2240" s="98"/>
      <c r="F2240" s="98"/>
      <c r="G2240" s="99"/>
      <c r="H2240" s="99"/>
      <c r="I2240" s="99"/>
      <c r="J2240" s="99"/>
      <c r="K2240" s="98"/>
      <c r="L2240" s="98"/>
      <c r="M2240" s="98"/>
      <c r="N2240" s="98"/>
      <c r="O2240" s="98"/>
      <c r="P2240" s="98"/>
      <c r="Q2240" s="98"/>
      <c r="R2240" s="98"/>
      <c r="S2240" s="98"/>
      <c r="T2240" s="98"/>
      <c r="U2240" s="98"/>
      <c r="V2240" s="98"/>
      <c r="W2240" s="98"/>
      <c r="X2240" s="98"/>
      <c r="Y2240" s="98"/>
      <c r="Z2240" s="98"/>
      <c r="AA2240" s="98"/>
      <c r="AB2240" s="98"/>
      <c r="AC2240" s="98"/>
      <c r="AD2240" s="98"/>
      <c r="AE2240" s="98"/>
      <c r="AF2240" s="98"/>
      <c r="AG2240" s="98"/>
      <c r="AH2240" s="98"/>
      <c r="AI2240" s="98"/>
      <c r="AJ2240" s="98"/>
      <c r="AK2240" s="98"/>
      <c r="AL2240" s="98"/>
      <c r="AM2240" s="98"/>
    </row>
    <row r="2241" spans="1:39" s="100" customFormat="1" ht="15.6" x14ac:dyDescent="0.3">
      <c r="A2241" s="97"/>
      <c r="B2241" s="98"/>
      <c r="C2241" s="98"/>
      <c r="D2241" s="98"/>
      <c r="E2241" s="98"/>
      <c r="F2241" s="98"/>
      <c r="G2241" s="99"/>
      <c r="H2241" s="99"/>
      <c r="I2241" s="99"/>
      <c r="J2241" s="99"/>
      <c r="K2241" s="98"/>
      <c r="L2241" s="98"/>
      <c r="M2241" s="98"/>
      <c r="N2241" s="98"/>
      <c r="O2241" s="98"/>
      <c r="P2241" s="98"/>
      <c r="Q2241" s="98"/>
      <c r="R2241" s="98"/>
      <c r="S2241" s="98"/>
      <c r="T2241" s="98"/>
      <c r="U2241" s="98"/>
      <c r="V2241" s="98"/>
      <c r="W2241" s="98"/>
      <c r="X2241" s="98"/>
      <c r="Y2241" s="98"/>
      <c r="Z2241" s="98"/>
      <c r="AA2241" s="98"/>
      <c r="AB2241" s="98"/>
      <c r="AC2241" s="98"/>
      <c r="AD2241" s="98"/>
      <c r="AE2241" s="98"/>
      <c r="AF2241" s="98"/>
      <c r="AG2241" s="98"/>
      <c r="AH2241" s="98"/>
      <c r="AI2241" s="98"/>
      <c r="AJ2241" s="98"/>
      <c r="AK2241" s="98"/>
      <c r="AL2241" s="98"/>
      <c r="AM2241" s="98"/>
    </row>
    <row r="2242" spans="1:39" s="100" customFormat="1" ht="15.6" x14ac:dyDescent="0.3">
      <c r="A2242" s="97"/>
      <c r="B2242" s="98"/>
      <c r="C2242" s="98"/>
      <c r="D2242" s="98"/>
      <c r="E2242" s="98"/>
      <c r="F2242" s="98"/>
      <c r="G2242" s="99"/>
      <c r="H2242" s="99"/>
      <c r="I2242" s="99"/>
      <c r="J2242" s="99"/>
      <c r="K2242" s="98"/>
      <c r="L2242" s="98"/>
      <c r="M2242" s="98"/>
      <c r="N2242" s="98"/>
      <c r="O2242" s="98"/>
      <c r="P2242" s="98"/>
      <c r="Q2242" s="98"/>
      <c r="R2242" s="98"/>
      <c r="S2242" s="98"/>
      <c r="T2242" s="98"/>
      <c r="U2242" s="98"/>
      <c r="V2242" s="98"/>
      <c r="W2242" s="98"/>
      <c r="X2242" s="98"/>
      <c r="Y2242" s="98"/>
      <c r="Z2242" s="98"/>
      <c r="AA2242" s="98"/>
      <c r="AB2242" s="98"/>
      <c r="AC2242" s="98"/>
      <c r="AD2242" s="98"/>
      <c r="AE2242" s="98"/>
      <c r="AF2242" s="98"/>
      <c r="AG2242" s="98"/>
      <c r="AH2242" s="98"/>
      <c r="AI2242" s="98"/>
      <c r="AJ2242" s="98"/>
      <c r="AK2242" s="98"/>
      <c r="AL2242" s="98"/>
      <c r="AM2242" s="98"/>
    </row>
    <row r="2243" spans="1:39" s="100" customFormat="1" ht="15.6" x14ac:dyDescent="0.3">
      <c r="A2243" s="97"/>
      <c r="B2243" s="98"/>
      <c r="C2243" s="98"/>
      <c r="D2243" s="98"/>
      <c r="E2243" s="98"/>
      <c r="F2243" s="98"/>
      <c r="G2243" s="99"/>
      <c r="H2243" s="99"/>
      <c r="I2243" s="99"/>
      <c r="J2243" s="99"/>
      <c r="K2243" s="98"/>
      <c r="L2243" s="98"/>
      <c r="M2243" s="98"/>
      <c r="N2243" s="98"/>
      <c r="O2243" s="98"/>
      <c r="P2243" s="98"/>
      <c r="Q2243" s="98"/>
      <c r="R2243" s="98"/>
      <c r="S2243" s="98"/>
      <c r="T2243" s="98"/>
      <c r="U2243" s="98"/>
      <c r="V2243" s="98"/>
      <c r="W2243" s="98"/>
      <c r="X2243" s="98"/>
      <c r="Y2243" s="98"/>
      <c r="Z2243" s="98"/>
      <c r="AA2243" s="98"/>
      <c r="AB2243" s="98"/>
      <c r="AC2243" s="98"/>
      <c r="AD2243" s="98"/>
      <c r="AE2243" s="98"/>
      <c r="AF2243" s="98"/>
      <c r="AG2243" s="98"/>
      <c r="AH2243" s="98"/>
      <c r="AI2243" s="98"/>
      <c r="AJ2243" s="98"/>
      <c r="AK2243" s="98"/>
      <c r="AL2243" s="98"/>
      <c r="AM2243" s="98"/>
    </row>
    <row r="2244" spans="1:39" s="100" customFormat="1" ht="15.6" x14ac:dyDescent="0.3">
      <c r="A2244" s="97"/>
      <c r="B2244" s="98"/>
      <c r="C2244" s="98"/>
      <c r="D2244" s="98"/>
      <c r="E2244" s="98"/>
      <c r="F2244" s="98"/>
      <c r="G2244" s="99"/>
      <c r="H2244" s="99"/>
      <c r="I2244" s="99"/>
      <c r="J2244" s="99"/>
      <c r="K2244" s="98"/>
      <c r="L2244" s="98"/>
      <c r="M2244" s="98"/>
      <c r="N2244" s="98"/>
      <c r="O2244" s="98"/>
      <c r="P2244" s="98"/>
      <c r="Q2244" s="98"/>
      <c r="R2244" s="98"/>
      <c r="S2244" s="98"/>
      <c r="T2244" s="98"/>
      <c r="U2244" s="98"/>
      <c r="V2244" s="98"/>
      <c r="W2244" s="98"/>
      <c r="X2244" s="98"/>
      <c r="Y2244" s="98"/>
      <c r="Z2244" s="98"/>
      <c r="AA2244" s="98"/>
      <c r="AB2244" s="98"/>
      <c r="AC2244" s="98"/>
      <c r="AD2244" s="98"/>
      <c r="AE2244" s="98"/>
      <c r="AF2244" s="98"/>
      <c r="AG2244" s="98"/>
      <c r="AH2244" s="98"/>
      <c r="AI2244" s="98"/>
      <c r="AJ2244" s="98"/>
      <c r="AK2244" s="98"/>
      <c r="AL2244" s="98"/>
      <c r="AM2244" s="98"/>
    </row>
    <row r="2245" spans="1:39" s="100" customFormat="1" ht="15.6" x14ac:dyDescent="0.3">
      <c r="A2245" s="97"/>
      <c r="B2245" s="98"/>
      <c r="C2245" s="98"/>
      <c r="D2245" s="98"/>
      <c r="E2245" s="98"/>
      <c r="F2245" s="98"/>
      <c r="G2245" s="99"/>
      <c r="H2245" s="99"/>
      <c r="I2245" s="99"/>
      <c r="J2245" s="99"/>
      <c r="K2245" s="98"/>
      <c r="L2245" s="98"/>
      <c r="M2245" s="98"/>
      <c r="N2245" s="98"/>
      <c r="O2245" s="98"/>
      <c r="P2245" s="98"/>
      <c r="Q2245" s="98"/>
      <c r="R2245" s="98"/>
      <c r="S2245" s="98"/>
      <c r="T2245" s="98"/>
      <c r="U2245" s="98"/>
      <c r="V2245" s="98"/>
      <c r="W2245" s="98"/>
      <c r="X2245" s="98"/>
      <c r="Y2245" s="98"/>
      <c r="Z2245" s="98"/>
      <c r="AA2245" s="98"/>
      <c r="AB2245" s="98"/>
      <c r="AC2245" s="98"/>
      <c r="AD2245" s="98"/>
      <c r="AE2245" s="98"/>
      <c r="AF2245" s="98"/>
      <c r="AG2245" s="98"/>
      <c r="AH2245" s="98"/>
      <c r="AI2245" s="98"/>
      <c r="AJ2245" s="98"/>
      <c r="AK2245" s="98"/>
      <c r="AL2245" s="98"/>
      <c r="AM2245" s="98"/>
    </row>
    <row r="2246" spans="1:39" s="100" customFormat="1" ht="15.6" x14ac:dyDescent="0.3">
      <c r="A2246" s="97"/>
      <c r="B2246" s="98"/>
      <c r="C2246" s="98"/>
      <c r="D2246" s="98"/>
      <c r="E2246" s="98"/>
      <c r="F2246" s="98"/>
      <c r="G2246" s="99"/>
      <c r="H2246" s="99"/>
      <c r="I2246" s="99"/>
      <c r="J2246" s="99"/>
      <c r="K2246" s="98"/>
      <c r="L2246" s="98"/>
      <c r="M2246" s="98"/>
      <c r="N2246" s="98"/>
      <c r="O2246" s="98"/>
      <c r="P2246" s="98"/>
      <c r="Q2246" s="98"/>
      <c r="R2246" s="98"/>
      <c r="S2246" s="98"/>
      <c r="T2246" s="98"/>
      <c r="U2246" s="98"/>
      <c r="V2246" s="98"/>
      <c r="W2246" s="98"/>
      <c r="X2246" s="98"/>
      <c r="Y2246" s="98"/>
      <c r="Z2246" s="98"/>
      <c r="AA2246" s="98"/>
      <c r="AB2246" s="98"/>
      <c r="AC2246" s="98"/>
      <c r="AD2246" s="98"/>
      <c r="AE2246" s="98"/>
      <c r="AF2246" s="98"/>
      <c r="AG2246" s="98"/>
      <c r="AH2246" s="98"/>
      <c r="AI2246" s="98"/>
      <c r="AJ2246" s="98"/>
      <c r="AK2246" s="98"/>
      <c r="AL2246" s="98"/>
      <c r="AM2246" s="98"/>
    </row>
    <row r="2247" spans="1:39" s="100" customFormat="1" ht="15.6" x14ac:dyDescent="0.3">
      <c r="A2247" s="97"/>
      <c r="B2247" s="98"/>
      <c r="C2247" s="98"/>
      <c r="D2247" s="98"/>
      <c r="E2247" s="98"/>
      <c r="F2247" s="98"/>
      <c r="G2247" s="99"/>
      <c r="H2247" s="99"/>
      <c r="I2247" s="99"/>
      <c r="J2247" s="99"/>
      <c r="K2247" s="98"/>
      <c r="L2247" s="98"/>
      <c r="M2247" s="98"/>
      <c r="N2247" s="98"/>
      <c r="O2247" s="98"/>
      <c r="P2247" s="98"/>
      <c r="Q2247" s="98"/>
      <c r="R2247" s="98"/>
      <c r="S2247" s="98"/>
      <c r="T2247" s="98"/>
      <c r="U2247" s="98"/>
      <c r="V2247" s="98"/>
      <c r="W2247" s="98"/>
      <c r="X2247" s="98"/>
      <c r="Y2247" s="98"/>
      <c r="Z2247" s="98"/>
      <c r="AA2247" s="98"/>
      <c r="AB2247" s="98"/>
      <c r="AC2247" s="98"/>
      <c r="AD2247" s="98"/>
      <c r="AE2247" s="98"/>
      <c r="AF2247" s="98"/>
      <c r="AG2247" s="98"/>
      <c r="AH2247" s="98"/>
      <c r="AI2247" s="98"/>
      <c r="AJ2247" s="98"/>
      <c r="AK2247" s="98"/>
      <c r="AL2247" s="98"/>
      <c r="AM2247" s="98"/>
    </row>
    <row r="2248" spans="1:39" s="100" customFormat="1" ht="15.6" x14ac:dyDescent="0.3">
      <c r="A2248" s="97"/>
      <c r="B2248" s="98"/>
      <c r="C2248" s="98"/>
      <c r="D2248" s="98"/>
      <c r="E2248" s="98"/>
      <c r="F2248" s="98"/>
      <c r="G2248" s="99"/>
      <c r="H2248" s="99"/>
      <c r="I2248" s="99"/>
      <c r="J2248" s="99"/>
      <c r="K2248" s="98"/>
      <c r="L2248" s="98"/>
      <c r="M2248" s="98"/>
      <c r="N2248" s="98"/>
      <c r="O2248" s="98"/>
      <c r="P2248" s="98"/>
      <c r="Q2248" s="98"/>
      <c r="R2248" s="98"/>
      <c r="S2248" s="98"/>
      <c r="T2248" s="98"/>
      <c r="U2248" s="98"/>
      <c r="V2248" s="98"/>
      <c r="W2248" s="98"/>
      <c r="X2248" s="98"/>
      <c r="Y2248" s="98"/>
      <c r="Z2248" s="98"/>
      <c r="AA2248" s="98"/>
      <c r="AB2248" s="98"/>
      <c r="AC2248" s="98"/>
      <c r="AD2248" s="98"/>
      <c r="AE2248" s="98"/>
      <c r="AF2248" s="98"/>
      <c r="AG2248" s="98"/>
      <c r="AH2248" s="98"/>
      <c r="AI2248" s="98"/>
      <c r="AJ2248" s="98"/>
      <c r="AK2248" s="98"/>
      <c r="AL2248" s="98"/>
      <c r="AM2248" s="98"/>
    </row>
    <row r="2249" spans="1:39" s="100" customFormat="1" ht="15.6" x14ac:dyDescent="0.3">
      <c r="A2249" s="97"/>
      <c r="B2249" s="98"/>
      <c r="C2249" s="98"/>
      <c r="D2249" s="98"/>
      <c r="E2249" s="98"/>
      <c r="F2249" s="98"/>
      <c r="G2249" s="99"/>
      <c r="H2249" s="99"/>
      <c r="I2249" s="99"/>
      <c r="J2249" s="99"/>
      <c r="K2249" s="98"/>
      <c r="L2249" s="98"/>
      <c r="M2249" s="98"/>
      <c r="N2249" s="98"/>
      <c r="O2249" s="98"/>
      <c r="P2249" s="98"/>
      <c r="Q2249" s="98"/>
      <c r="R2249" s="98"/>
      <c r="S2249" s="98"/>
      <c r="T2249" s="98"/>
      <c r="U2249" s="98"/>
      <c r="V2249" s="98"/>
      <c r="W2249" s="98"/>
      <c r="X2249" s="98"/>
      <c r="Y2249" s="98"/>
      <c r="Z2249" s="98"/>
      <c r="AA2249" s="98"/>
      <c r="AB2249" s="98"/>
      <c r="AC2249" s="98"/>
      <c r="AD2249" s="98"/>
      <c r="AE2249" s="98"/>
      <c r="AF2249" s="98"/>
      <c r="AG2249" s="98"/>
      <c r="AH2249" s="98"/>
      <c r="AI2249" s="98"/>
      <c r="AJ2249" s="98"/>
      <c r="AK2249" s="98"/>
      <c r="AL2249" s="98"/>
      <c r="AM2249" s="98"/>
    </row>
    <row r="2250" spans="1:39" s="100" customFormat="1" ht="15.6" x14ac:dyDescent="0.3">
      <c r="A2250" s="97"/>
      <c r="B2250" s="98"/>
      <c r="C2250" s="98"/>
      <c r="D2250" s="98"/>
      <c r="E2250" s="98"/>
      <c r="F2250" s="98"/>
      <c r="G2250" s="99"/>
      <c r="H2250" s="99"/>
      <c r="I2250" s="99"/>
      <c r="J2250" s="99"/>
      <c r="K2250" s="98"/>
      <c r="L2250" s="98"/>
      <c r="M2250" s="98"/>
      <c r="N2250" s="98"/>
      <c r="O2250" s="98"/>
      <c r="P2250" s="98"/>
      <c r="Q2250" s="98"/>
      <c r="R2250" s="98"/>
      <c r="S2250" s="98"/>
      <c r="T2250" s="98"/>
      <c r="U2250" s="98"/>
      <c r="V2250" s="98"/>
      <c r="W2250" s="98"/>
      <c r="X2250" s="98"/>
      <c r="Y2250" s="98"/>
      <c r="Z2250" s="98"/>
      <c r="AA2250" s="98"/>
      <c r="AB2250" s="98"/>
      <c r="AC2250" s="98"/>
      <c r="AD2250" s="98"/>
      <c r="AE2250" s="98"/>
      <c r="AF2250" s="98"/>
      <c r="AG2250" s="98"/>
      <c r="AH2250" s="98"/>
      <c r="AI2250" s="98"/>
      <c r="AJ2250" s="98"/>
      <c r="AK2250" s="98"/>
      <c r="AL2250" s="98"/>
      <c r="AM2250" s="98"/>
    </row>
    <row r="2251" spans="1:39" s="100" customFormat="1" ht="15.6" x14ac:dyDescent="0.3">
      <c r="A2251" s="97"/>
      <c r="B2251" s="98"/>
      <c r="C2251" s="98"/>
      <c r="D2251" s="98"/>
      <c r="E2251" s="98"/>
      <c r="F2251" s="98"/>
      <c r="G2251" s="99"/>
      <c r="H2251" s="99"/>
      <c r="I2251" s="99"/>
      <c r="J2251" s="99"/>
      <c r="K2251" s="98"/>
      <c r="L2251" s="98"/>
      <c r="M2251" s="98"/>
      <c r="N2251" s="98"/>
      <c r="O2251" s="98"/>
      <c r="P2251" s="98"/>
      <c r="Q2251" s="98"/>
      <c r="R2251" s="98"/>
      <c r="S2251" s="98"/>
      <c r="T2251" s="98"/>
      <c r="U2251" s="98"/>
      <c r="V2251" s="98"/>
      <c r="W2251" s="98"/>
      <c r="X2251" s="98"/>
      <c r="Y2251" s="98"/>
      <c r="Z2251" s="98"/>
      <c r="AA2251" s="98"/>
      <c r="AB2251" s="98"/>
      <c r="AC2251" s="98"/>
      <c r="AD2251" s="98"/>
      <c r="AE2251" s="98"/>
      <c r="AF2251" s="98"/>
      <c r="AG2251" s="98"/>
      <c r="AH2251" s="98"/>
      <c r="AI2251" s="98"/>
      <c r="AJ2251" s="98"/>
      <c r="AK2251" s="98"/>
      <c r="AL2251" s="98"/>
      <c r="AM2251" s="98"/>
    </row>
    <row r="2252" spans="1:39" s="100" customFormat="1" ht="15.6" x14ac:dyDescent="0.3">
      <c r="A2252" s="97"/>
      <c r="B2252" s="98"/>
      <c r="C2252" s="98"/>
      <c r="D2252" s="98"/>
      <c r="E2252" s="98"/>
      <c r="F2252" s="98"/>
      <c r="G2252" s="99"/>
      <c r="H2252" s="99"/>
      <c r="I2252" s="99"/>
      <c r="J2252" s="99"/>
      <c r="K2252" s="98"/>
      <c r="L2252" s="98"/>
      <c r="M2252" s="98"/>
      <c r="N2252" s="98"/>
      <c r="O2252" s="98"/>
      <c r="P2252" s="98"/>
      <c r="Q2252" s="98"/>
      <c r="R2252" s="98"/>
      <c r="S2252" s="98"/>
      <c r="T2252" s="98"/>
      <c r="U2252" s="98"/>
      <c r="V2252" s="98"/>
      <c r="W2252" s="98"/>
      <c r="X2252" s="98"/>
      <c r="Y2252" s="98"/>
      <c r="Z2252" s="98"/>
      <c r="AA2252" s="98"/>
      <c r="AB2252" s="98"/>
      <c r="AC2252" s="98"/>
      <c r="AD2252" s="98"/>
      <c r="AE2252" s="98"/>
      <c r="AF2252" s="98"/>
      <c r="AG2252" s="98"/>
      <c r="AH2252" s="98"/>
      <c r="AI2252" s="98"/>
      <c r="AJ2252" s="98"/>
      <c r="AK2252" s="98"/>
      <c r="AL2252" s="98"/>
      <c r="AM2252" s="98"/>
    </row>
    <row r="2253" spans="1:39" s="100" customFormat="1" ht="15.6" x14ac:dyDescent="0.3">
      <c r="A2253" s="97"/>
      <c r="B2253" s="98"/>
      <c r="C2253" s="98"/>
      <c r="D2253" s="98"/>
      <c r="E2253" s="98"/>
      <c r="F2253" s="98"/>
      <c r="G2253" s="99"/>
      <c r="H2253" s="99"/>
      <c r="I2253" s="99"/>
      <c r="J2253" s="99"/>
      <c r="K2253" s="98"/>
      <c r="L2253" s="98"/>
      <c r="M2253" s="98"/>
      <c r="N2253" s="98"/>
      <c r="O2253" s="98"/>
      <c r="P2253" s="98"/>
      <c r="Q2253" s="98"/>
      <c r="R2253" s="98"/>
      <c r="S2253" s="98"/>
      <c r="T2253" s="98"/>
      <c r="U2253" s="98"/>
      <c r="V2253" s="98"/>
      <c r="W2253" s="98"/>
      <c r="X2253" s="98"/>
      <c r="Y2253" s="98"/>
      <c r="Z2253" s="98"/>
      <c r="AA2253" s="98"/>
      <c r="AB2253" s="98"/>
      <c r="AC2253" s="98"/>
      <c r="AD2253" s="98"/>
      <c r="AE2253" s="98"/>
      <c r="AF2253" s="98"/>
      <c r="AG2253" s="98"/>
      <c r="AH2253" s="98"/>
      <c r="AI2253" s="98"/>
      <c r="AJ2253" s="98"/>
      <c r="AK2253" s="98"/>
      <c r="AL2253" s="98"/>
      <c r="AM2253" s="98"/>
    </row>
    <row r="2254" spans="1:39" s="100" customFormat="1" ht="15.6" x14ac:dyDescent="0.3">
      <c r="A2254" s="97"/>
      <c r="B2254" s="98"/>
      <c r="C2254" s="98"/>
      <c r="D2254" s="98"/>
      <c r="E2254" s="98"/>
      <c r="F2254" s="98"/>
      <c r="G2254" s="99"/>
      <c r="H2254" s="99"/>
      <c r="I2254" s="99"/>
      <c r="J2254" s="99"/>
      <c r="K2254" s="98"/>
      <c r="L2254" s="98"/>
      <c r="M2254" s="98"/>
      <c r="N2254" s="98"/>
      <c r="O2254" s="98"/>
      <c r="P2254" s="98"/>
      <c r="Q2254" s="98"/>
      <c r="R2254" s="98"/>
      <c r="S2254" s="98"/>
      <c r="T2254" s="98"/>
      <c r="U2254" s="98"/>
      <c r="V2254" s="98"/>
      <c r="W2254" s="98"/>
      <c r="X2254" s="98"/>
      <c r="Y2254" s="98"/>
      <c r="Z2254" s="98"/>
      <c r="AA2254" s="98"/>
      <c r="AB2254" s="98"/>
      <c r="AC2254" s="98"/>
      <c r="AD2254" s="98"/>
      <c r="AE2254" s="98"/>
      <c r="AF2254" s="98"/>
      <c r="AG2254" s="98"/>
      <c r="AH2254" s="98"/>
      <c r="AI2254" s="98"/>
      <c r="AJ2254" s="98"/>
      <c r="AK2254" s="98"/>
      <c r="AL2254" s="98"/>
      <c r="AM2254" s="98"/>
    </row>
    <row r="2255" spans="1:39" s="100" customFormat="1" ht="15.6" x14ac:dyDescent="0.3">
      <c r="A2255" s="97"/>
      <c r="B2255" s="98"/>
      <c r="C2255" s="98"/>
      <c r="D2255" s="98"/>
      <c r="E2255" s="98"/>
      <c r="F2255" s="98"/>
      <c r="G2255" s="99"/>
      <c r="H2255" s="99"/>
      <c r="I2255" s="99"/>
      <c r="J2255" s="99"/>
      <c r="K2255" s="98"/>
      <c r="L2255" s="98"/>
      <c r="M2255" s="98"/>
      <c r="N2255" s="98"/>
      <c r="O2255" s="98"/>
      <c r="P2255" s="98"/>
      <c r="Q2255" s="98"/>
      <c r="R2255" s="98"/>
      <c r="S2255" s="98"/>
      <c r="T2255" s="98"/>
      <c r="U2255" s="98"/>
      <c r="V2255" s="98"/>
      <c r="W2255" s="98"/>
      <c r="X2255" s="98"/>
      <c r="Y2255" s="98"/>
      <c r="Z2255" s="98"/>
      <c r="AA2255" s="98"/>
      <c r="AB2255" s="98"/>
      <c r="AC2255" s="98"/>
      <c r="AD2255" s="98"/>
      <c r="AE2255" s="98"/>
      <c r="AF2255" s="98"/>
      <c r="AG2255" s="98"/>
      <c r="AH2255" s="98"/>
      <c r="AI2255" s="98"/>
      <c r="AJ2255" s="98"/>
      <c r="AK2255" s="98"/>
      <c r="AL2255" s="98"/>
      <c r="AM2255" s="98"/>
    </row>
    <row r="2256" spans="1:39" s="100" customFormat="1" ht="15.6" x14ac:dyDescent="0.3">
      <c r="A2256" s="97"/>
      <c r="B2256" s="98"/>
      <c r="C2256" s="98"/>
      <c r="D2256" s="98"/>
      <c r="E2256" s="98"/>
      <c r="F2256" s="98"/>
      <c r="G2256" s="99"/>
      <c r="H2256" s="99"/>
      <c r="I2256" s="99"/>
      <c r="J2256" s="99"/>
      <c r="K2256" s="98"/>
      <c r="L2256" s="98"/>
      <c r="M2256" s="98"/>
      <c r="N2256" s="98"/>
      <c r="O2256" s="98"/>
      <c r="P2256" s="98"/>
      <c r="Q2256" s="98"/>
      <c r="R2256" s="98"/>
      <c r="S2256" s="98"/>
      <c r="T2256" s="98"/>
      <c r="U2256" s="98"/>
      <c r="V2256" s="98"/>
      <c r="W2256" s="98"/>
      <c r="X2256" s="98"/>
      <c r="Y2256" s="98"/>
      <c r="Z2256" s="98"/>
      <c r="AA2256" s="98"/>
      <c r="AB2256" s="98"/>
      <c r="AC2256" s="98"/>
      <c r="AD2256" s="98"/>
      <c r="AE2256" s="98"/>
      <c r="AF2256" s="98"/>
      <c r="AG2256" s="98"/>
      <c r="AH2256" s="98"/>
      <c r="AI2256" s="98"/>
      <c r="AJ2256" s="98"/>
      <c r="AK2256" s="98"/>
      <c r="AL2256" s="98"/>
      <c r="AM2256" s="98"/>
    </row>
    <row r="2257" spans="1:39" s="100" customFormat="1" ht="15.6" x14ac:dyDescent="0.3">
      <c r="A2257" s="97"/>
      <c r="B2257" s="98"/>
      <c r="C2257" s="98"/>
      <c r="D2257" s="98"/>
      <c r="E2257" s="98"/>
      <c r="F2257" s="98"/>
      <c r="G2257" s="99"/>
      <c r="H2257" s="99"/>
      <c r="I2257" s="99"/>
      <c r="J2257" s="99"/>
      <c r="K2257" s="98"/>
      <c r="L2257" s="98"/>
      <c r="M2257" s="98"/>
      <c r="N2257" s="98"/>
      <c r="O2257" s="98"/>
      <c r="P2257" s="98"/>
      <c r="Q2257" s="98"/>
      <c r="R2257" s="98"/>
      <c r="S2257" s="98"/>
      <c r="T2257" s="98"/>
      <c r="U2257" s="98"/>
      <c r="V2257" s="98"/>
      <c r="W2257" s="98"/>
      <c r="X2257" s="98"/>
      <c r="Y2257" s="98"/>
      <c r="Z2257" s="98"/>
      <c r="AA2257" s="98"/>
      <c r="AB2257" s="98"/>
      <c r="AC2257" s="98"/>
      <c r="AD2257" s="98"/>
      <c r="AE2257" s="98"/>
      <c r="AF2257" s="98"/>
      <c r="AG2257" s="98"/>
      <c r="AH2257" s="98"/>
      <c r="AI2257" s="98"/>
      <c r="AJ2257" s="98"/>
      <c r="AK2257" s="98"/>
      <c r="AL2257" s="98"/>
      <c r="AM2257" s="98"/>
    </row>
    <row r="2258" spans="1:39" s="100" customFormat="1" ht="15.6" x14ac:dyDescent="0.3">
      <c r="A2258" s="97"/>
      <c r="B2258" s="98"/>
      <c r="C2258" s="98"/>
      <c r="D2258" s="98"/>
      <c r="E2258" s="98"/>
      <c r="F2258" s="98"/>
      <c r="G2258" s="99"/>
      <c r="H2258" s="99"/>
      <c r="I2258" s="99"/>
      <c r="J2258" s="99"/>
      <c r="K2258" s="98"/>
      <c r="L2258" s="98"/>
      <c r="M2258" s="98"/>
      <c r="N2258" s="98"/>
      <c r="O2258" s="98"/>
      <c r="P2258" s="98"/>
      <c r="Q2258" s="98"/>
      <c r="R2258" s="98"/>
      <c r="S2258" s="98"/>
      <c r="T2258" s="98"/>
      <c r="U2258" s="98"/>
      <c r="V2258" s="98"/>
      <c r="W2258" s="98"/>
      <c r="X2258" s="98"/>
      <c r="Y2258" s="98"/>
      <c r="Z2258" s="98"/>
      <c r="AA2258" s="98"/>
      <c r="AB2258" s="98"/>
      <c r="AC2258" s="98"/>
      <c r="AD2258" s="98"/>
      <c r="AE2258" s="98"/>
      <c r="AF2258" s="98"/>
      <c r="AG2258" s="98"/>
      <c r="AH2258" s="98"/>
      <c r="AI2258" s="98"/>
      <c r="AJ2258" s="98"/>
      <c r="AK2258" s="98"/>
      <c r="AL2258" s="98"/>
      <c r="AM2258" s="98"/>
    </row>
    <row r="2259" spans="1:39" s="100" customFormat="1" ht="15.6" x14ac:dyDescent="0.3">
      <c r="A2259" s="97"/>
      <c r="B2259" s="98"/>
      <c r="C2259" s="98"/>
      <c r="D2259" s="98"/>
      <c r="E2259" s="98"/>
      <c r="F2259" s="98"/>
      <c r="G2259" s="99"/>
      <c r="H2259" s="99"/>
      <c r="I2259" s="99"/>
      <c r="J2259" s="99"/>
      <c r="K2259" s="98"/>
      <c r="L2259" s="98"/>
      <c r="M2259" s="98"/>
      <c r="N2259" s="98"/>
      <c r="O2259" s="98"/>
      <c r="P2259" s="98"/>
      <c r="Q2259" s="98"/>
      <c r="R2259" s="98"/>
      <c r="S2259" s="98"/>
      <c r="T2259" s="98"/>
      <c r="U2259" s="98"/>
      <c r="V2259" s="98"/>
      <c r="W2259" s="98"/>
      <c r="X2259" s="98"/>
      <c r="Y2259" s="98"/>
      <c r="Z2259" s="98"/>
      <c r="AA2259" s="98"/>
      <c r="AB2259" s="98"/>
      <c r="AC2259" s="98"/>
      <c r="AD2259" s="98"/>
      <c r="AE2259" s="98"/>
      <c r="AF2259" s="98"/>
      <c r="AG2259" s="98"/>
      <c r="AH2259" s="98"/>
      <c r="AI2259" s="98"/>
      <c r="AJ2259" s="98"/>
      <c r="AK2259" s="98"/>
      <c r="AL2259" s="98"/>
      <c r="AM2259" s="98"/>
    </row>
    <row r="2260" spans="1:39" s="100" customFormat="1" ht="15.6" x14ac:dyDescent="0.3">
      <c r="A2260" s="97"/>
      <c r="B2260" s="98"/>
      <c r="C2260" s="98"/>
      <c r="D2260" s="98"/>
      <c r="E2260" s="98"/>
      <c r="F2260" s="98"/>
      <c r="G2260" s="99"/>
      <c r="H2260" s="99"/>
      <c r="I2260" s="99"/>
      <c r="J2260" s="99"/>
      <c r="K2260" s="98"/>
      <c r="L2260" s="98"/>
      <c r="M2260" s="98"/>
      <c r="N2260" s="98"/>
      <c r="O2260" s="98"/>
      <c r="P2260" s="98"/>
      <c r="Q2260" s="98"/>
      <c r="R2260" s="98"/>
      <c r="S2260" s="98"/>
      <c r="T2260" s="98"/>
      <c r="U2260" s="98"/>
      <c r="V2260" s="98"/>
      <c r="W2260" s="98"/>
      <c r="X2260" s="98"/>
      <c r="Y2260" s="98"/>
      <c r="Z2260" s="98"/>
      <c r="AA2260" s="98"/>
      <c r="AB2260" s="98"/>
      <c r="AC2260" s="98"/>
      <c r="AD2260" s="98"/>
      <c r="AE2260" s="98"/>
      <c r="AF2260" s="98"/>
      <c r="AG2260" s="98"/>
      <c r="AH2260" s="98"/>
      <c r="AI2260" s="98"/>
      <c r="AJ2260" s="98"/>
      <c r="AK2260" s="98"/>
      <c r="AL2260" s="98"/>
      <c r="AM2260" s="98"/>
    </row>
    <row r="2261" spans="1:39" s="100" customFormat="1" ht="15.6" x14ac:dyDescent="0.3">
      <c r="A2261" s="97"/>
      <c r="B2261" s="98"/>
      <c r="C2261" s="98"/>
      <c r="D2261" s="98"/>
      <c r="E2261" s="98"/>
      <c r="F2261" s="98"/>
      <c r="G2261" s="99"/>
      <c r="H2261" s="99"/>
      <c r="I2261" s="99"/>
      <c r="J2261" s="99"/>
      <c r="K2261" s="98"/>
      <c r="L2261" s="98"/>
      <c r="M2261" s="98"/>
      <c r="N2261" s="98"/>
      <c r="O2261" s="98"/>
      <c r="P2261" s="98"/>
      <c r="Q2261" s="98"/>
      <c r="R2261" s="98"/>
      <c r="S2261" s="98"/>
      <c r="T2261" s="98"/>
      <c r="U2261" s="98"/>
      <c r="V2261" s="98"/>
      <c r="W2261" s="98"/>
      <c r="X2261" s="98"/>
      <c r="Y2261" s="98"/>
      <c r="Z2261" s="98"/>
      <c r="AA2261" s="98"/>
      <c r="AB2261" s="98"/>
      <c r="AC2261" s="98"/>
      <c r="AD2261" s="98"/>
      <c r="AE2261" s="98"/>
      <c r="AF2261" s="98"/>
      <c r="AG2261" s="98"/>
      <c r="AH2261" s="98"/>
      <c r="AI2261" s="98"/>
      <c r="AJ2261" s="98"/>
      <c r="AK2261" s="98"/>
      <c r="AL2261" s="98"/>
      <c r="AM2261" s="98"/>
    </row>
    <row r="2262" spans="1:39" s="100" customFormat="1" ht="15.6" x14ac:dyDescent="0.3">
      <c r="A2262" s="97"/>
      <c r="B2262" s="98"/>
      <c r="C2262" s="98"/>
      <c r="D2262" s="98"/>
      <c r="E2262" s="98"/>
      <c r="F2262" s="98"/>
      <c r="G2262" s="99"/>
      <c r="H2262" s="99"/>
      <c r="I2262" s="99"/>
      <c r="J2262" s="99"/>
      <c r="K2262" s="98"/>
      <c r="L2262" s="98"/>
      <c r="M2262" s="98"/>
      <c r="N2262" s="98"/>
      <c r="O2262" s="98"/>
      <c r="P2262" s="98"/>
      <c r="Q2262" s="98"/>
      <c r="R2262" s="98"/>
      <c r="S2262" s="98"/>
      <c r="T2262" s="98"/>
      <c r="U2262" s="98"/>
      <c r="V2262" s="98"/>
      <c r="W2262" s="98"/>
      <c r="X2262" s="98"/>
      <c r="Y2262" s="98"/>
      <c r="Z2262" s="98"/>
      <c r="AA2262" s="98"/>
      <c r="AB2262" s="98"/>
      <c r="AC2262" s="98"/>
      <c r="AD2262" s="98"/>
      <c r="AE2262" s="98"/>
      <c r="AF2262" s="98"/>
      <c r="AG2262" s="98"/>
      <c r="AH2262" s="98"/>
      <c r="AI2262" s="98"/>
      <c r="AJ2262" s="98"/>
      <c r="AK2262" s="98"/>
      <c r="AL2262" s="98"/>
      <c r="AM2262" s="98"/>
    </row>
    <row r="2263" spans="1:39" s="100" customFormat="1" ht="15.6" x14ac:dyDescent="0.3">
      <c r="A2263" s="97"/>
      <c r="B2263" s="98"/>
      <c r="C2263" s="98"/>
      <c r="D2263" s="98"/>
      <c r="E2263" s="98"/>
      <c r="F2263" s="98"/>
      <c r="G2263" s="99"/>
      <c r="H2263" s="99"/>
      <c r="I2263" s="99"/>
      <c r="J2263" s="99"/>
      <c r="K2263" s="98"/>
      <c r="L2263" s="98"/>
      <c r="M2263" s="98"/>
      <c r="N2263" s="98"/>
      <c r="O2263" s="98"/>
      <c r="P2263" s="98"/>
      <c r="Q2263" s="98"/>
      <c r="R2263" s="98"/>
      <c r="S2263" s="98"/>
      <c r="T2263" s="98"/>
      <c r="U2263" s="98"/>
      <c r="V2263" s="98"/>
      <c r="W2263" s="98"/>
      <c r="X2263" s="98"/>
      <c r="Y2263" s="98"/>
      <c r="Z2263" s="98"/>
      <c r="AA2263" s="98"/>
      <c r="AB2263" s="98"/>
      <c r="AC2263" s="98"/>
      <c r="AD2263" s="98"/>
      <c r="AE2263" s="98"/>
      <c r="AF2263" s="98"/>
      <c r="AG2263" s="98"/>
      <c r="AH2263" s="98"/>
      <c r="AI2263" s="98"/>
      <c r="AJ2263" s="98"/>
      <c r="AK2263" s="98"/>
      <c r="AL2263" s="98"/>
      <c r="AM2263" s="98"/>
    </row>
    <row r="2264" spans="1:39" s="100" customFormat="1" ht="15.6" x14ac:dyDescent="0.3">
      <c r="A2264" s="97"/>
      <c r="B2264" s="98"/>
      <c r="C2264" s="98"/>
      <c r="D2264" s="98"/>
      <c r="E2264" s="98"/>
      <c r="F2264" s="98"/>
      <c r="G2264" s="99"/>
      <c r="H2264" s="99"/>
      <c r="I2264" s="99"/>
      <c r="J2264" s="99"/>
      <c r="K2264" s="98"/>
      <c r="L2264" s="98"/>
      <c r="M2264" s="98"/>
      <c r="N2264" s="98"/>
      <c r="O2264" s="98"/>
      <c r="P2264" s="98"/>
      <c r="Q2264" s="98"/>
      <c r="R2264" s="98"/>
      <c r="S2264" s="98"/>
      <c r="T2264" s="98"/>
      <c r="U2264" s="98"/>
      <c r="V2264" s="98"/>
      <c r="W2264" s="98"/>
      <c r="X2264" s="98"/>
      <c r="Y2264" s="98"/>
      <c r="Z2264" s="98"/>
      <c r="AA2264" s="98"/>
      <c r="AB2264" s="98"/>
      <c r="AC2264" s="98"/>
      <c r="AD2264" s="98"/>
      <c r="AE2264" s="98"/>
      <c r="AF2264" s="98"/>
      <c r="AG2264" s="98"/>
      <c r="AH2264" s="98"/>
      <c r="AI2264" s="98"/>
      <c r="AJ2264" s="98"/>
      <c r="AK2264" s="98"/>
      <c r="AL2264" s="98"/>
      <c r="AM2264" s="98"/>
    </row>
    <row r="2265" spans="1:39" s="100" customFormat="1" ht="15.6" x14ac:dyDescent="0.3">
      <c r="A2265" s="97"/>
      <c r="B2265" s="98"/>
      <c r="C2265" s="98"/>
      <c r="D2265" s="98"/>
      <c r="E2265" s="98"/>
      <c r="F2265" s="98"/>
      <c r="G2265" s="99"/>
      <c r="H2265" s="99"/>
      <c r="I2265" s="99"/>
      <c r="J2265" s="99"/>
      <c r="K2265" s="98"/>
      <c r="L2265" s="98"/>
      <c r="M2265" s="98"/>
      <c r="N2265" s="98"/>
      <c r="O2265" s="98"/>
      <c r="P2265" s="98"/>
      <c r="Q2265" s="98"/>
      <c r="R2265" s="98"/>
      <c r="S2265" s="98"/>
      <c r="T2265" s="98"/>
      <c r="U2265" s="98"/>
      <c r="V2265" s="98"/>
      <c r="W2265" s="98"/>
      <c r="X2265" s="98"/>
      <c r="Y2265" s="98"/>
      <c r="Z2265" s="98"/>
      <c r="AA2265" s="98"/>
      <c r="AB2265" s="98"/>
      <c r="AC2265" s="98"/>
      <c r="AD2265" s="98"/>
      <c r="AE2265" s="98"/>
      <c r="AF2265" s="98"/>
      <c r="AG2265" s="98"/>
      <c r="AH2265" s="98"/>
      <c r="AI2265" s="98"/>
      <c r="AJ2265" s="98"/>
      <c r="AK2265" s="98"/>
      <c r="AL2265" s="98"/>
      <c r="AM2265" s="98"/>
    </row>
    <row r="2266" spans="1:39" s="100" customFormat="1" ht="15.6" x14ac:dyDescent="0.3">
      <c r="A2266" s="97"/>
      <c r="B2266" s="98"/>
      <c r="C2266" s="98"/>
      <c r="D2266" s="98"/>
      <c r="E2266" s="98"/>
      <c r="F2266" s="98"/>
      <c r="G2266" s="99"/>
      <c r="H2266" s="99"/>
      <c r="I2266" s="99"/>
      <c r="J2266" s="99"/>
      <c r="K2266" s="98"/>
      <c r="L2266" s="98"/>
      <c r="M2266" s="98"/>
      <c r="N2266" s="98"/>
      <c r="O2266" s="98"/>
      <c r="P2266" s="98"/>
      <c r="Q2266" s="98"/>
      <c r="R2266" s="98"/>
      <c r="S2266" s="98"/>
      <c r="T2266" s="98"/>
      <c r="U2266" s="98"/>
      <c r="V2266" s="98"/>
      <c r="W2266" s="98"/>
      <c r="X2266" s="98"/>
      <c r="Y2266" s="98"/>
      <c r="Z2266" s="98"/>
      <c r="AA2266" s="98"/>
      <c r="AB2266" s="98"/>
      <c r="AC2266" s="98"/>
      <c r="AD2266" s="98"/>
      <c r="AE2266" s="98"/>
      <c r="AF2266" s="98"/>
      <c r="AG2266" s="98"/>
      <c r="AH2266" s="98"/>
      <c r="AI2266" s="98"/>
      <c r="AJ2266" s="98"/>
      <c r="AK2266" s="98"/>
      <c r="AL2266" s="98"/>
      <c r="AM2266" s="98"/>
    </row>
    <row r="2267" spans="1:39" s="100" customFormat="1" ht="15.6" x14ac:dyDescent="0.3">
      <c r="A2267" s="97"/>
      <c r="B2267" s="98"/>
      <c r="C2267" s="98"/>
      <c r="D2267" s="98"/>
      <c r="E2267" s="98"/>
      <c r="F2267" s="98"/>
      <c r="G2267" s="99"/>
      <c r="H2267" s="99"/>
      <c r="I2267" s="99"/>
      <c r="J2267" s="99"/>
      <c r="K2267" s="98"/>
      <c r="L2267" s="98"/>
      <c r="M2267" s="98"/>
      <c r="N2267" s="98"/>
      <c r="O2267" s="98"/>
      <c r="P2267" s="98"/>
      <c r="Q2267" s="98"/>
      <c r="R2267" s="98"/>
      <c r="S2267" s="98"/>
      <c r="T2267" s="98"/>
      <c r="U2267" s="98"/>
      <c r="V2267" s="98"/>
      <c r="W2267" s="98"/>
      <c r="X2267" s="98"/>
      <c r="Y2267" s="98"/>
      <c r="Z2267" s="98"/>
      <c r="AA2267" s="98"/>
      <c r="AB2267" s="98"/>
      <c r="AC2267" s="98"/>
      <c r="AD2267" s="98"/>
      <c r="AE2267" s="98"/>
      <c r="AF2267" s="98"/>
      <c r="AG2267" s="98"/>
      <c r="AH2267" s="98"/>
      <c r="AI2267" s="98"/>
      <c r="AJ2267" s="98"/>
      <c r="AK2267" s="98"/>
      <c r="AL2267" s="98"/>
      <c r="AM2267" s="98"/>
    </row>
    <row r="2268" spans="1:39" s="100" customFormat="1" ht="15.6" x14ac:dyDescent="0.3">
      <c r="A2268" s="97"/>
      <c r="B2268" s="98"/>
      <c r="C2268" s="98"/>
      <c r="D2268" s="98"/>
      <c r="E2268" s="98"/>
      <c r="F2268" s="98"/>
      <c r="G2268" s="99"/>
      <c r="H2268" s="99"/>
      <c r="I2268" s="99"/>
      <c r="J2268" s="99"/>
      <c r="K2268" s="98"/>
      <c r="L2268" s="98"/>
      <c r="M2268" s="98"/>
      <c r="N2268" s="98"/>
      <c r="O2268" s="98"/>
      <c r="P2268" s="98"/>
      <c r="Q2268" s="98"/>
      <c r="R2268" s="98"/>
      <c r="S2268" s="98"/>
      <c r="T2268" s="98"/>
      <c r="U2268" s="98"/>
      <c r="V2268" s="98"/>
      <c r="W2268" s="98"/>
      <c r="X2268" s="98"/>
      <c r="Y2268" s="98"/>
      <c r="Z2268" s="98"/>
      <c r="AA2268" s="98"/>
      <c r="AB2268" s="98"/>
      <c r="AC2268" s="98"/>
      <c r="AD2268" s="98"/>
      <c r="AE2268" s="98"/>
      <c r="AF2268" s="98"/>
      <c r="AG2268" s="98"/>
      <c r="AH2268" s="98"/>
      <c r="AI2268" s="98"/>
      <c r="AJ2268" s="98"/>
      <c r="AK2268" s="98"/>
      <c r="AL2268" s="98"/>
      <c r="AM2268" s="98"/>
    </row>
    <row r="2269" spans="1:39" s="100" customFormat="1" ht="15.6" x14ac:dyDescent="0.3">
      <c r="A2269" s="97"/>
      <c r="B2269" s="98"/>
      <c r="C2269" s="98"/>
      <c r="D2269" s="98"/>
      <c r="E2269" s="98"/>
      <c r="F2269" s="98"/>
      <c r="G2269" s="99"/>
      <c r="H2269" s="99"/>
      <c r="I2269" s="99"/>
      <c r="J2269" s="99"/>
      <c r="K2269" s="98"/>
      <c r="L2269" s="98"/>
      <c r="M2269" s="98"/>
      <c r="N2269" s="98"/>
      <c r="O2269" s="98"/>
      <c r="P2269" s="98"/>
      <c r="Q2269" s="98"/>
      <c r="R2269" s="98"/>
      <c r="S2269" s="98"/>
      <c r="T2269" s="98"/>
      <c r="U2269" s="98"/>
      <c r="V2269" s="98"/>
      <c r="W2269" s="98"/>
      <c r="X2269" s="98"/>
      <c r="Y2269" s="98"/>
      <c r="Z2269" s="98"/>
      <c r="AA2269" s="98"/>
      <c r="AB2269" s="98"/>
      <c r="AC2269" s="98"/>
      <c r="AD2269" s="98"/>
      <c r="AE2269" s="98"/>
      <c r="AF2269" s="98"/>
      <c r="AG2269" s="98"/>
      <c r="AH2269" s="98"/>
      <c r="AI2269" s="98"/>
      <c r="AJ2269" s="98"/>
      <c r="AK2269" s="98"/>
      <c r="AL2269" s="98"/>
      <c r="AM2269" s="98"/>
    </row>
    <row r="2270" spans="1:39" s="100" customFormat="1" ht="15.6" x14ac:dyDescent="0.3">
      <c r="A2270" s="97"/>
      <c r="B2270" s="98"/>
      <c r="C2270" s="98"/>
      <c r="D2270" s="98"/>
      <c r="E2270" s="98"/>
      <c r="F2270" s="98"/>
      <c r="G2270" s="99"/>
      <c r="H2270" s="99"/>
      <c r="I2270" s="99"/>
      <c r="J2270" s="99"/>
      <c r="K2270" s="98"/>
      <c r="L2270" s="98"/>
      <c r="M2270" s="98"/>
      <c r="N2270" s="98"/>
      <c r="O2270" s="98"/>
      <c r="P2270" s="98"/>
      <c r="Q2270" s="98"/>
      <c r="R2270" s="98"/>
      <c r="S2270" s="98"/>
      <c r="T2270" s="98"/>
      <c r="U2270" s="98"/>
      <c r="V2270" s="98"/>
      <c r="W2270" s="98"/>
      <c r="X2270" s="98"/>
      <c r="Y2270" s="98"/>
      <c r="Z2270" s="98"/>
      <c r="AA2270" s="98"/>
      <c r="AB2270" s="98"/>
      <c r="AC2270" s="98"/>
      <c r="AD2270" s="98"/>
      <c r="AE2270" s="98"/>
      <c r="AF2270" s="98"/>
      <c r="AG2270" s="98"/>
      <c r="AH2270" s="98"/>
      <c r="AI2270" s="98"/>
      <c r="AJ2270" s="98"/>
      <c r="AK2270" s="98"/>
      <c r="AL2270" s="98"/>
      <c r="AM2270" s="98"/>
    </row>
    <row r="2271" spans="1:39" s="100" customFormat="1" ht="15.6" x14ac:dyDescent="0.3">
      <c r="A2271" s="97"/>
      <c r="B2271" s="98"/>
      <c r="C2271" s="98"/>
      <c r="D2271" s="98"/>
      <c r="E2271" s="98"/>
      <c r="F2271" s="98"/>
      <c r="G2271" s="99"/>
      <c r="H2271" s="99"/>
      <c r="I2271" s="99"/>
      <c r="J2271" s="99"/>
      <c r="K2271" s="98"/>
      <c r="L2271" s="98"/>
      <c r="M2271" s="98"/>
      <c r="N2271" s="98"/>
      <c r="O2271" s="98"/>
      <c r="P2271" s="98"/>
      <c r="Q2271" s="98"/>
      <c r="R2271" s="98"/>
      <c r="S2271" s="98"/>
      <c r="T2271" s="98"/>
      <c r="U2271" s="98"/>
      <c r="V2271" s="98"/>
      <c r="W2271" s="98"/>
      <c r="X2271" s="98"/>
      <c r="Y2271" s="98"/>
      <c r="Z2271" s="98"/>
      <c r="AA2271" s="98"/>
      <c r="AB2271" s="98"/>
      <c r="AC2271" s="98"/>
      <c r="AD2271" s="98"/>
      <c r="AE2271" s="98"/>
      <c r="AF2271" s="98"/>
      <c r="AG2271" s="98"/>
      <c r="AH2271" s="98"/>
      <c r="AI2271" s="98"/>
      <c r="AJ2271" s="98"/>
      <c r="AK2271" s="98"/>
      <c r="AL2271" s="98"/>
      <c r="AM2271" s="98"/>
    </row>
    <row r="2272" spans="1:39" s="100" customFormat="1" ht="15.6" x14ac:dyDescent="0.3">
      <c r="A2272" s="97"/>
      <c r="B2272" s="98"/>
      <c r="C2272" s="98"/>
      <c r="D2272" s="98"/>
      <c r="E2272" s="98"/>
      <c r="F2272" s="98"/>
      <c r="G2272" s="99"/>
      <c r="H2272" s="99"/>
      <c r="I2272" s="99"/>
      <c r="J2272" s="99"/>
      <c r="K2272" s="98"/>
      <c r="L2272" s="98"/>
      <c r="M2272" s="98"/>
      <c r="N2272" s="98"/>
      <c r="O2272" s="98"/>
      <c r="P2272" s="98"/>
      <c r="Q2272" s="98"/>
      <c r="R2272" s="98"/>
      <c r="S2272" s="98"/>
      <c r="T2272" s="98"/>
      <c r="U2272" s="98"/>
      <c r="V2272" s="98"/>
      <c r="W2272" s="98"/>
      <c r="X2272" s="98"/>
      <c r="Y2272" s="98"/>
      <c r="Z2272" s="98"/>
      <c r="AA2272" s="98"/>
      <c r="AB2272" s="98"/>
      <c r="AC2272" s="98"/>
      <c r="AD2272" s="98"/>
      <c r="AE2272" s="98"/>
      <c r="AF2272" s="98"/>
      <c r="AG2272" s="98"/>
      <c r="AH2272" s="98"/>
      <c r="AI2272" s="98"/>
      <c r="AJ2272" s="98"/>
      <c r="AK2272" s="98"/>
      <c r="AL2272" s="98"/>
      <c r="AM2272" s="98"/>
    </row>
    <row r="2273" spans="1:39" s="100" customFormat="1" ht="15.6" x14ac:dyDescent="0.3">
      <c r="A2273" s="97"/>
      <c r="B2273" s="98"/>
      <c r="C2273" s="98"/>
      <c r="D2273" s="98"/>
      <c r="E2273" s="98"/>
      <c r="F2273" s="98"/>
      <c r="G2273" s="99"/>
      <c r="H2273" s="99"/>
      <c r="I2273" s="99"/>
      <c r="J2273" s="99"/>
      <c r="K2273" s="98"/>
      <c r="L2273" s="98"/>
      <c r="M2273" s="98"/>
      <c r="N2273" s="98"/>
      <c r="O2273" s="98"/>
      <c r="P2273" s="98"/>
      <c r="Q2273" s="98"/>
      <c r="R2273" s="98"/>
      <c r="S2273" s="98"/>
      <c r="T2273" s="98"/>
      <c r="U2273" s="98"/>
      <c r="V2273" s="98"/>
      <c r="W2273" s="98"/>
      <c r="X2273" s="98"/>
      <c r="Y2273" s="98"/>
      <c r="Z2273" s="98"/>
      <c r="AA2273" s="98"/>
      <c r="AB2273" s="98"/>
      <c r="AC2273" s="98"/>
      <c r="AD2273" s="98"/>
      <c r="AE2273" s="98"/>
      <c r="AF2273" s="98"/>
      <c r="AG2273" s="98"/>
      <c r="AH2273" s="98"/>
      <c r="AI2273" s="98"/>
      <c r="AJ2273" s="98"/>
      <c r="AK2273" s="98"/>
      <c r="AL2273" s="98"/>
      <c r="AM2273" s="98"/>
    </row>
    <row r="2274" spans="1:39" s="100" customFormat="1" ht="15.6" x14ac:dyDescent="0.3">
      <c r="A2274" s="97"/>
      <c r="B2274" s="98"/>
      <c r="C2274" s="98"/>
      <c r="D2274" s="98"/>
      <c r="E2274" s="98"/>
      <c r="F2274" s="98"/>
      <c r="G2274" s="99"/>
      <c r="H2274" s="99"/>
      <c r="I2274" s="99"/>
      <c r="J2274" s="99"/>
      <c r="K2274" s="98"/>
      <c r="L2274" s="98"/>
      <c r="M2274" s="98"/>
      <c r="N2274" s="98"/>
      <c r="O2274" s="98"/>
      <c r="P2274" s="98"/>
      <c r="Q2274" s="98"/>
      <c r="R2274" s="98"/>
      <c r="S2274" s="98"/>
      <c r="T2274" s="98"/>
      <c r="U2274" s="98"/>
      <c r="V2274" s="98"/>
      <c r="W2274" s="98"/>
      <c r="X2274" s="98"/>
      <c r="Y2274" s="98"/>
      <c r="Z2274" s="98"/>
      <c r="AA2274" s="98"/>
      <c r="AB2274" s="98"/>
      <c r="AC2274" s="98"/>
      <c r="AD2274" s="98"/>
      <c r="AE2274" s="98"/>
      <c r="AF2274" s="98"/>
      <c r="AG2274" s="98"/>
      <c r="AH2274" s="98"/>
      <c r="AI2274" s="98"/>
      <c r="AJ2274" s="98"/>
      <c r="AK2274" s="98"/>
      <c r="AL2274" s="98"/>
      <c r="AM2274" s="98"/>
    </row>
    <row r="2275" spans="1:39" s="100" customFormat="1" ht="15.6" x14ac:dyDescent="0.3">
      <c r="A2275" s="97"/>
      <c r="B2275" s="98"/>
      <c r="C2275" s="98"/>
      <c r="D2275" s="98"/>
      <c r="E2275" s="98"/>
      <c r="F2275" s="98"/>
      <c r="G2275" s="99"/>
      <c r="H2275" s="99"/>
      <c r="I2275" s="99"/>
      <c r="J2275" s="99"/>
      <c r="K2275" s="98"/>
      <c r="L2275" s="98"/>
      <c r="M2275" s="98"/>
      <c r="N2275" s="98"/>
      <c r="O2275" s="98"/>
      <c r="P2275" s="98"/>
      <c r="Q2275" s="98"/>
      <c r="R2275" s="98"/>
      <c r="S2275" s="98"/>
      <c r="T2275" s="98"/>
      <c r="U2275" s="98"/>
      <c r="V2275" s="98"/>
      <c r="W2275" s="98"/>
      <c r="X2275" s="98"/>
      <c r="Y2275" s="98"/>
      <c r="Z2275" s="98"/>
      <c r="AA2275" s="98"/>
      <c r="AB2275" s="98"/>
      <c r="AC2275" s="98"/>
      <c r="AD2275" s="98"/>
      <c r="AE2275" s="98"/>
      <c r="AF2275" s="98"/>
      <c r="AG2275" s="98"/>
      <c r="AH2275" s="98"/>
      <c r="AI2275" s="98"/>
      <c r="AJ2275" s="98"/>
      <c r="AK2275" s="98"/>
      <c r="AL2275" s="98"/>
      <c r="AM2275" s="98"/>
    </row>
    <row r="2276" spans="1:39" s="100" customFormat="1" ht="15.6" x14ac:dyDescent="0.3">
      <c r="A2276" s="97"/>
      <c r="B2276" s="98"/>
      <c r="C2276" s="98"/>
      <c r="D2276" s="98"/>
      <c r="E2276" s="98"/>
      <c r="F2276" s="98"/>
      <c r="G2276" s="99"/>
      <c r="H2276" s="99"/>
      <c r="I2276" s="99"/>
      <c r="J2276" s="99"/>
      <c r="K2276" s="98"/>
      <c r="L2276" s="98"/>
      <c r="M2276" s="98"/>
      <c r="N2276" s="98"/>
      <c r="O2276" s="98"/>
      <c r="P2276" s="98"/>
      <c r="Q2276" s="98"/>
      <c r="R2276" s="98"/>
      <c r="S2276" s="98"/>
      <c r="T2276" s="98"/>
      <c r="U2276" s="98"/>
      <c r="V2276" s="98"/>
      <c r="W2276" s="98"/>
      <c r="X2276" s="98"/>
      <c r="Y2276" s="98"/>
      <c r="Z2276" s="98"/>
      <c r="AA2276" s="98"/>
      <c r="AB2276" s="98"/>
      <c r="AC2276" s="98"/>
      <c r="AD2276" s="98"/>
      <c r="AE2276" s="98"/>
      <c r="AF2276" s="98"/>
      <c r="AG2276" s="98"/>
      <c r="AH2276" s="98"/>
      <c r="AI2276" s="98"/>
      <c r="AJ2276" s="98"/>
      <c r="AK2276" s="98"/>
      <c r="AL2276" s="98"/>
      <c r="AM2276" s="98"/>
    </row>
    <row r="2277" spans="1:39" s="100" customFormat="1" ht="15.6" x14ac:dyDescent="0.3">
      <c r="A2277" s="97"/>
      <c r="B2277" s="98"/>
      <c r="C2277" s="98"/>
      <c r="D2277" s="98"/>
      <c r="E2277" s="98"/>
      <c r="F2277" s="98"/>
      <c r="G2277" s="99"/>
      <c r="H2277" s="99"/>
      <c r="I2277" s="99"/>
      <c r="J2277" s="99"/>
      <c r="K2277" s="98"/>
      <c r="L2277" s="98"/>
      <c r="M2277" s="98"/>
      <c r="N2277" s="98"/>
      <c r="O2277" s="98"/>
      <c r="P2277" s="98"/>
      <c r="Q2277" s="98"/>
      <c r="R2277" s="98"/>
      <c r="S2277" s="98"/>
      <c r="T2277" s="98"/>
      <c r="U2277" s="98"/>
      <c r="V2277" s="98"/>
      <c r="W2277" s="98"/>
      <c r="X2277" s="98"/>
      <c r="Y2277" s="98"/>
      <c r="Z2277" s="98"/>
      <c r="AA2277" s="98"/>
      <c r="AB2277" s="98"/>
      <c r="AC2277" s="98"/>
      <c r="AD2277" s="98"/>
      <c r="AE2277" s="98"/>
      <c r="AF2277" s="98"/>
      <c r="AG2277" s="98"/>
      <c r="AH2277" s="98"/>
      <c r="AI2277" s="98"/>
      <c r="AJ2277" s="98"/>
      <c r="AK2277" s="98"/>
      <c r="AL2277" s="98"/>
      <c r="AM2277" s="98"/>
    </row>
    <row r="2278" spans="1:39" s="100" customFormat="1" ht="15.6" x14ac:dyDescent="0.3">
      <c r="A2278" s="97"/>
      <c r="B2278" s="98"/>
      <c r="C2278" s="98"/>
      <c r="D2278" s="98"/>
      <c r="E2278" s="98"/>
      <c r="F2278" s="98"/>
      <c r="G2278" s="99"/>
      <c r="H2278" s="99"/>
      <c r="I2278" s="99"/>
      <c r="J2278" s="99"/>
      <c r="K2278" s="98"/>
      <c r="L2278" s="98"/>
      <c r="M2278" s="98"/>
      <c r="N2278" s="98"/>
      <c r="O2278" s="98"/>
      <c r="P2278" s="98"/>
      <c r="Q2278" s="98"/>
      <c r="R2278" s="98"/>
      <c r="S2278" s="98"/>
      <c r="T2278" s="98"/>
      <c r="U2278" s="98"/>
      <c r="V2278" s="98"/>
      <c r="W2278" s="98"/>
      <c r="X2278" s="98"/>
      <c r="Y2278" s="98"/>
      <c r="Z2278" s="98"/>
      <c r="AA2278" s="98"/>
      <c r="AB2278" s="98"/>
      <c r="AC2278" s="98"/>
      <c r="AD2278" s="98"/>
      <c r="AE2278" s="98"/>
      <c r="AF2278" s="98"/>
      <c r="AG2278" s="98"/>
      <c r="AH2278" s="98"/>
      <c r="AI2278" s="98"/>
      <c r="AJ2278" s="98"/>
      <c r="AK2278" s="98"/>
      <c r="AL2278" s="98"/>
      <c r="AM2278" s="98"/>
    </row>
    <row r="2279" spans="1:39" s="100" customFormat="1" ht="15.6" x14ac:dyDescent="0.3">
      <c r="A2279" s="97"/>
      <c r="B2279" s="98"/>
      <c r="C2279" s="98"/>
      <c r="D2279" s="98"/>
      <c r="E2279" s="98"/>
      <c r="F2279" s="98"/>
      <c r="G2279" s="99"/>
      <c r="H2279" s="99"/>
      <c r="I2279" s="99"/>
      <c r="J2279" s="99"/>
      <c r="K2279" s="98"/>
      <c r="L2279" s="98"/>
      <c r="M2279" s="98"/>
      <c r="N2279" s="98"/>
      <c r="O2279" s="98"/>
      <c r="P2279" s="98"/>
      <c r="Q2279" s="98"/>
      <c r="R2279" s="98"/>
      <c r="S2279" s="98"/>
      <c r="T2279" s="98"/>
      <c r="U2279" s="98"/>
      <c r="V2279" s="98"/>
      <c r="W2279" s="98"/>
      <c r="X2279" s="98"/>
      <c r="Y2279" s="98"/>
      <c r="Z2279" s="98"/>
      <c r="AA2279" s="98"/>
      <c r="AB2279" s="98"/>
      <c r="AC2279" s="98"/>
      <c r="AD2279" s="98"/>
      <c r="AE2279" s="98"/>
      <c r="AF2279" s="98"/>
      <c r="AG2279" s="98"/>
      <c r="AH2279" s="98"/>
      <c r="AI2279" s="98"/>
      <c r="AJ2279" s="98"/>
      <c r="AK2279" s="98"/>
      <c r="AL2279" s="98"/>
      <c r="AM2279" s="98"/>
    </row>
    <row r="2280" spans="1:39" s="100" customFormat="1" ht="15.6" x14ac:dyDescent="0.3">
      <c r="A2280" s="97"/>
      <c r="B2280" s="98"/>
      <c r="C2280" s="98"/>
      <c r="D2280" s="98"/>
      <c r="E2280" s="98"/>
      <c r="F2280" s="98"/>
      <c r="G2280" s="99"/>
      <c r="H2280" s="99"/>
      <c r="I2280" s="99"/>
      <c r="J2280" s="99"/>
      <c r="K2280" s="98"/>
      <c r="L2280" s="98"/>
      <c r="M2280" s="98"/>
      <c r="N2280" s="98"/>
      <c r="O2280" s="98"/>
      <c r="P2280" s="98"/>
      <c r="Q2280" s="98"/>
      <c r="R2280" s="98"/>
      <c r="S2280" s="98"/>
      <c r="T2280" s="98"/>
      <c r="U2280" s="98"/>
      <c r="V2280" s="98"/>
      <c r="W2280" s="98"/>
      <c r="X2280" s="98"/>
      <c r="Y2280" s="98"/>
      <c r="Z2280" s="98"/>
      <c r="AA2280" s="98"/>
      <c r="AB2280" s="98"/>
      <c r="AC2280" s="98"/>
      <c r="AD2280" s="98"/>
      <c r="AE2280" s="98"/>
      <c r="AF2280" s="98"/>
      <c r="AG2280" s="98"/>
      <c r="AH2280" s="98"/>
      <c r="AI2280" s="98"/>
      <c r="AJ2280" s="98"/>
      <c r="AK2280" s="98"/>
      <c r="AL2280" s="98"/>
      <c r="AM2280" s="98"/>
    </row>
    <row r="2281" spans="1:39" s="100" customFormat="1" ht="15.6" x14ac:dyDescent="0.3">
      <c r="A2281" s="97"/>
      <c r="B2281" s="98"/>
      <c r="C2281" s="98"/>
      <c r="D2281" s="98"/>
      <c r="E2281" s="98"/>
      <c r="F2281" s="98"/>
      <c r="G2281" s="99"/>
      <c r="H2281" s="99"/>
      <c r="I2281" s="99"/>
      <c r="J2281" s="99"/>
      <c r="K2281" s="98"/>
      <c r="L2281" s="98"/>
      <c r="M2281" s="98"/>
      <c r="N2281" s="98"/>
      <c r="O2281" s="98"/>
      <c r="P2281" s="98"/>
      <c r="Q2281" s="98"/>
      <c r="R2281" s="98"/>
      <c r="S2281" s="98"/>
      <c r="T2281" s="98"/>
      <c r="U2281" s="98"/>
      <c r="V2281" s="98"/>
      <c r="W2281" s="98"/>
      <c r="X2281" s="98"/>
      <c r="Y2281" s="98"/>
      <c r="Z2281" s="98"/>
      <c r="AA2281" s="98"/>
      <c r="AB2281" s="98"/>
      <c r="AC2281" s="98"/>
      <c r="AD2281" s="98"/>
      <c r="AE2281" s="98"/>
      <c r="AF2281" s="98"/>
      <c r="AG2281" s="98"/>
      <c r="AH2281" s="98"/>
      <c r="AI2281" s="98"/>
      <c r="AJ2281" s="98"/>
      <c r="AK2281" s="98"/>
      <c r="AL2281" s="98"/>
      <c r="AM2281" s="98"/>
    </row>
    <row r="2282" spans="1:39" s="100" customFormat="1" ht="15.6" x14ac:dyDescent="0.3">
      <c r="A2282" s="97"/>
      <c r="B2282" s="98"/>
      <c r="C2282" s="98"/>
      <c r="D2282" s="98"/>
      <c r="E2282" s="98"/>
      <c r="F2282" s="98"/>
      <c r="G2282" s="99"/>
      <c r="H2282" s="99"/>
      <c r="I2282" s="99"/>
      <c r="J2282" s="99"/>
      <c r="K2282" s="98"/>
      <c r="L2282" s="98"/>
      <c r="M2282" s="98"/>
      <c r="N2282" s="98"/>
      <c r="O2282" s="98"/>
      <c r="P2282" s="98"/>
      <c r="Q2282" s="98"/>
      <c r="R2282" s="98"/>
      <c r="S2282" s="98"/>
      <c r="T2282" s="98"/>
      <c r="U2282" s="98"/>
      <c r="V2282" s="98"/>
      <c r="W2282" s="98"/>
      <c r="X2282" s="98"/>
      <c r="Y2282" s="98"/>
      <c r="Z2282" s="98"/>
      <c r="AA2282" s="98"/>
      <c r="AB2282" s="98"/>
      <c r="AC2282" s="98"/>
      <c r="AD2282" s="98"/>
      <c r="AE2282" s="98"/>
      <c r="AF2282" s="98"/>
      <c r="AG2282" s="98"/>
      <c r="AH2282" s="98"/>
      <c r="AI2282" s="98"/>
      <c r="AJ2282" s="98"/>
      <c r="AK2282" s="98"/>
      <c r="AL2282" s="98"/>
      <c r="AM2282" s="98"/>
    </row>
    <row r="2283" spans="1:39" s="100" customFormat="1" ht="15.6" x14ac:dyDescent="0.3">
      <c r="A2283" s="97"/>
      <c r="B2283" s="98"/>
      <c r="C2283" s="98"/>
      <c r="D2283" s="98"/>
      <c r="E2283" s="98"/>
      <c r="F2283" s="98"/>
      <c r="G2283" s="99"/>
      <c r="H2283" s="99"/>
      <c r="I2283" s="99"/>
      <c r="J2283" s="99"/>
      <c r="K2283" s="98"/>
      <c r="L2283" s="98"/>
      <c r="M2283" s="98"/>
      <c r="N2283" s="98"/>
      <c r="O2283" s="98"/>
      <c r="P2283" s="98"/>
      <c r="Q2283" s="98"/>
      <c r="R2283" s="98"/>
      <c r="S2283" s="98"/>
      <c r="T2283" s="98"/>
      <c r="U2283" s="98"/>
      <c r="V2283" s="98"/>
      <c r="W2283" s="98"/>
      <c r="X2283" s="98"/>
      <c r="Y2283" s="98"/>
      <c r="Z2283" s="98"/>
      <c r="AA2283" s="98"/>
      <c r="AB2283" s="98"/>
      <c r="AC2283" s="98"/>
      <c r="AD2283" s="98"/>
      <c r="AE2283" s="98"/>
      <c r="AF2283" s="98"/>
      <c r="AG2283" s="98"/>
      <c r="AH2283" s="98"/>
      <c r="AI2283" s="98"/>
      <c r="AJ2283" s="98"/>
      <c r="AK2283" s="98"/>
      <c r="AL2283" s="98"/>
      <c r="AM2283" s="98"/>
    </row>
    <row r="2284" spans="1:39" s="100" customFormat="1" ht="15.6" x14ac:dyDescent="0.3">
      <c r="A2284" s="97"/>
      <c r="B2284" s="98"/>
      <c r="C2284" s="98"/>
      <c r="D2284" s="98"/>
      <c r="E2284" s="98"/>
      <c r="F2284" s="98"/>
      <c r="G2284" s="99"/>
      <c r="H2284" s="99"/>
      <c r="I2284" s="99"/>
      <c r="J2284" s="99"/>
      <c r="K2284" s="98"/>
      <c r="L2284" s="98"/>
      <c r="M2284" s="98"/>
      <c r="N2284" s="98"/>
      <c r="O2284" s="98"/>
      <c r="P2284" s="98"/>
      <c r="Q2284" s="98"/>
      <c r="R2284" s="98"/>
      <c r="S2284" s="98"/>
      <c r="T2284" s="98"/>
      <c r="U2284" s="98"/>
      <c r="V2284" s="98"/>
      <c r="W2284" s="98"/>
      <c r="X2284" s="98"/>
      <c r="Y2284" s="98"/>
      <c r="Z2284" s="98"/>
      <c r="AA2284" s="98"/>
      <c r="AB2284" s="98"/>
      <c r="AC2284" s="98"/>
      <c r="AD2284" s="98"/>
      <c r="AE2284" s="98"/>
      <c r="AF2284" s="98"/>
      <c r="AG2284" s="98"/>
      <c r="AH2284" s="98"/>
      <c r="AI2284" s="98"/>
      <c r="AJ2284" s="98"/>
      <c r="AK2284" s="98"/>
      <c r="AL2284" s="98"/>
      <c r="AM2284" s="98"/>
    </row>
    <row r="2285" spans="1:39" s="100" customFormat="1" ht="15.6" x14ac:dyDescent="0.3">
      <c r="A2285" s="97"/>
      <c r="B2285" s="98"/>
      <c r="C2285" s="98"/>
      <c r="D2285" s="98"/>
      <c r="E2285" s="98"/>
      <c r="F2285" s="98"/>
      <c r="G2285" s="99"/>
      <c r="H2285" s="99"/>
      <c r="I2285" s="99"/>
      <c r="J2285" s="99"/>
      <c r="K2285" s="98"/>
      <c r="L2285" s="98"/>
      <c r="M2285" s="98"/>
      <c r="N2285" s="98"/>
      <c r="O2285" s="98"/>
      <c r="P2285" s="98"/>
      <c r="Q2285" s="98"/>
      <c r="R2285" s="98"/>
      <c r="S2285" s="98"/>
      <c r="T2285" s="98"/>
      <c r="U2285" s="98"/>
      <c r="V2285" s="98"/>
      <c r="W2285" s="98"/>
      <c r="X2285" s="98"/>
      <c r="Y2285" s="98"/>
      <c r="Z2285" s="98"/>
      <c r="AA2285" s="98"/>
      <c r="AB2285" s="98"/>
      <c r="AC2285" s="98"/>
      <c r="AD2285" s="98"/>
      <c r="AE2285" s="98"/>
      <c r="AF2285" s="98"/>
      <c r="AG2285" s="98"/>
      <c r="AH2285" s="98"/>
      <c r="AI2285" s="98"/>
      <c r="AJ2285" s="98"/>
      <c r="AK2285" s="98"/>
      <c r="AL2285" s="98"/>
      <c r="AM2285" s="98"/>
    </row>
    <row r="2286" spans="1:39" s="100" customFormat="1" ht="15.6" x14ac:dyDescent="0.3">
      <c r="A2286" s="97"/>
      <c r="B2286" s="98"/>
      <c r="C2286" s="98"/>
      <c r="D2286" s="98"/>
      <c r="E2286" s="98"/>
      <c r="F2286" s="98"/>
      <c r="G2286" s="99"/>
      <c r="H2286" s="99"/>
      <c r="I2286" s="99"/>
      <c r="J2286" s="99"/>
      <c r="K2286" s="98"/>
      <c r="L2286" s="98"/>
      <c r="M2286" s="98"/>
      <c r="N2286" s="98"/>
      <c r="O2286" s="98"/>
      <c r="P2286" s="98"/>
      <c r="Q2286" s="98"/>
      <c r="R2286" s="98"/>
      <c r="S2286" s="98"/>
      <c r="T2286" s="98"/>
      <c r="U2286" s="98"/>
      <c r="V2286" s="98"/>
      <c r="W2286" s="98"/>
      <c r="X2286" s="98"/>
      <c r="Y2286" s="98"/>
      <c r="Z2286" s="98"/>
      <c r="AA2286" s="98"/>
      <c r="AB2286" s="98"/>
      <c r="AC2286" s="98"/>
      <c r="AD2286" s="98"/>
      <c r="AE2286" s="98"/>
      <c r="AF2286" s="98"/>
      <c r="AG2286" s="98"/>
      <c r="AH2286" s="98"/>
      <c r="AI2286" s="98"/>
      <c r="AJ2286" s="98"/>
      <c r="AK2286" s="98"/>
      <c r="AL2286" s="98"/>
      <c r="AM2286" s="98"/>
    </row>
    <row r="2287" spans="1:39" s="100" customFormat="1" ht="15.6" x14ac:dyDescent="0.3">
      <c r="A2287" s="97"/>
      <c r="B2287" s="98"/>
      <c r="C2287" s="98"/>
      <c r="D2287" s="98"/>
      <c r="E2287" s="98"/>
      <c r="F2287" s="98"/>
      <c r="G2287" s="99"/>
      <c r="H2287" s="99"/>
      <c r="I2287" s="99"/>
      <c r="J2287" s="99"/>
      <c r="K2287" s="98"/>
      <c r="L2287" s="98"/>
      <c r="M2287" s="98"/>
      <c r="N2287" s="98"/>
      <c r="O2287" s="98"/>
      <c r="P2287" s="98"/>
      <c r="Q2287" s="98"/>
      <c r="R2287" s="98"/>
      <c r="S2287" s="98"/>
      <c r="T2287" s="98"/>
      <c r="U2287" s="98"/>
      <c r="V2287" s="98"/>
      <c r="W2287" s="98"/>
      <c r="X2287" s="98"/>
      <c r="Y2287" s="98"/>
      <c r="Z2287" s="98"/>
      <c r="AA2287" s="98"/>
      <c r="AB2287" s="98"/>
      <c r="AC2287" s="98"/>
      <c r="AD2287" s="98"/>
      <c r="AE2287" s="98"/>
      <c r="AF2287" s="98"/>
      <c r="AG2287" s="98"/>
      <c r="AH2287" s="98"/>
      <c r="AI2287" s="98"/>
      <c r="AJ2287" s="98"/>
      <c r="AK2287" s="98"/>
      <c r="AL2287" s="98"/>
      <c r="AM2287" s="98"/>
    </row>
    <row r="2288" spans="1:39" s="100" customFormat="1" ht="15.6" x14ac:dyDescent="0.3">
      <c r="A2288" s="97"/>
      <c r="B2288" s="98"/>
      <c r="C2288" s="98"/>
      <c r="D2288" s="98"/>
      <c r="E2288" s="98"/>
      <c r="F2288" s="98"/>
      <c r="G2288" s="99"/>
      <c r="H2288" s="99"/>
      <c r="I2288" s="99"/>
      <c r="J2288" s="99"/>
      <c r="K2288" s="98"/>
      <c r="L2288" s="98"/>
      <c r="M2288" s="98"/>
      <c r="N2288" s="98"/>
      <c r="O2288" s="98"/>
      <c r="P2288" s="98"/>
      <c r="Q2288" s="98"/>
      <c r="R2288" s="98"/>
      <c r="S2288" s="98"/>
      <c r="T2288" s="98"/>
      <c r="U2288" s="98"/>
      <c r="V2288" s="98"/>
      <c r="W2288" s="98"/>
      <c r="X2288" s="98"/>
      <c r="Y2288" s="98"/>
      <c r="Z2288" s="98"/>
      <c r="AA2288" s="98"/>
      <c r="AB2288" s="98"/>
      <c r="AC2288" s="98"/>
      <c r="AD2288" s="98"/>
      <c r="AE2288" s="98"/>
      <c r="AF2288" s="98"/>
      <c r="AG2288" s="98"/>
      <c r="AH2288" s="98"/>
      <c r="AI2288" s="98"/>
      <c r="AJ2288" s="98"/>
      <c r="AK2288" s="98"/>
      <c r="AL2288" s="98"/>
      <c r="AM2288" s="98"/>
    </row>
    <row r="2289" spans="1:39" s="100" customFormat="1" ht="15.6" x14ac:dyDescent="0.3">
      <c r="A2289" s="97"/>
      <c r="B2289" s="98"/>
      <c r="C2289" s="98"/>
      <c r="D2289" s="98"/>
      <c r="E2289" s="98"/>
      <c r="F2289" s="98"/>
      <c r="G2289" s="99"/>
      <c r="H2289" s="99"/>
      <c r="I2289" s="99"/>
      <c r="J2289" s="99"/>
      <c r="K2289" s="98"/>
      <c r="L2289" s="98"/>
      <c r="M2289" s="98"/>
      <c r="N2289" s="98"/>
      <c r="O2289" s="98"/>
      <c r="P2289" s="98"/>
      <c r="Q2289" s="98"/>
      <c r="R2289" s="98"/>
      <c r="S2289" s="98"/>
      <c r="T2289" s="98"/>
      <c r="U2289" s="98"/>
      <c r="V2289" s="98"/>
      <c r="W2289" s="98"/>
      <c r="X2289" s="98"/>
      <c r="Y2289" s="98"/>
      <c r="Z2289" s="98"/>
      <c r="AA2289" s="98"/>
      <c r="AB2289" s="98"/>
      <c r="AC2289" s="98"/>
      <c r="AD2289" s="98"/>
      <c r="AE2289" s="98"/>
      <c r="AF2289" s="98"/>
      <c r="AG2289" s="98"/>
      <c r="AH2289" s="98"/>
      <c r="AI2289" s="98"/>
      <c r="AJ2289" s="98"/>
      <c r="AK2289" s="98"/>
      <c r="AL2289" s="98"/>
      <c r="AM2289" s="98"/>
    </row>
    <row r="2290" spans="1:39" s="100" customFormat="1" ht="15.6" x14ac:dyDescent="0.3">
      <c r="A2290" s="97"/>
      <c r="B2290" s="98"/>
      <c r="C2290" s="98"/>
      <c r="D2290" s="98"/>
      <c r="E2290" s="98"/>
      <c r="F2290" s="98"/>
      <c r="G2290" s="99"/>
      <c r="H2290" s="99"/>
      <c r="I2290" s="99"/>
      <c r="J2290" s="99"/>
      <c r="K2290" s="98"/>
      <c r="L2290" s="98"/>
      <c r="M2290" s="98"/>
      <c r="N2290" s="98"/>
      <c r="O2290" s="98"/>
      <c r="P2290" s="98"/>
      <c r="Q2290" s="98"/>
      <c r="R2290" s="98"/>
      <c r="S2290" s="98"/>
      <c r="T2290" s="98"/>
      <c r="U2290" s="98"/>
      <c r="V2290" s="98"/>
      <c r="W2290" s="98"/>
      <c r="X2290" s="98"/>
      <c r="Y2290" s="98"/>
      <c r="Z2290" s="98"/>
      <c r="AA2290" s="98"/>
      <c r="AB2290" s="98"/>
      <c r="AC2290" s="98"/>
      <c r="AD2290" s="98"/>
      <c r="AE2290" s="98"/>
      <c r="AF2290" s="98"/>
      <c r="AG2290" s="98"/>
      <c r="AH2290" s="98"/>
      <c r="AI2290" s="98"/>
      <c r="AJ2290" s="98"/>
      <c r="AK2290" s="98"/>
      <c r="AL2290" s="98"/>
      <c r="AM2290" s="98"/>
    </row>
    <row r="2291" spans="1:39" s="100" customFormat="1" ht="15.6" x14ac:dyDescent="0.3">
      <c r="A2291" s="97"/>
      <c r="B2291" s="98"/>
      <c r="C2291" s="98"/>
      <c r="D2291" s="98"/>
      <c r="E2291" s="98"/>
      <c r="F2291" s="98"/>
      <c r="G2291" s="99"/>
      <c r="H2291" s="99"/>
      <c r="I2291" s="99"/>
      <c r="J2291" s="99"/>
      <c r="K2291" s="98"/>
      <c r="L2291" s="98"/>
      <c r="M2291" s="98"/>
      <c r="N2291" s="98"/>
      <c r="O2291" s="98"/>
      <c r="P2291" s="98"/>
      <c r="Q2291" s="98"/>
      <c r="R2291" s="98"/>
      <c r="S2291" s="98"/>
      <c r="T2291" s="98"/>
      <c r="U2291" s="98"/>
      <c r="V2291" s="98"/>
      <c r="W2291" s="98"/>
      <c r="X2291" s="98"/>
      <c r="Y2291" s="98"/>
      <c r="Z2291" s="98"/>
      <c r="AA2291" s="98"/>
      <c r="AB2291" s="98"/>
      <c r="AC2291" s="98"/>
      <c r="AD2291" s="98"/>
      <c r="AE2291" s="98"/>
      <c r="AF2291" s="98"/>
      <c r="AG2291" s="98"/>
      <c r="AH2291" s="98"/>
      <c r="AI2291" s="98"/>
      <c r="AJ2291" s="98"/>
      <c r="AK2291" s="98"/>
      <c r="AL2291" s="98"/>
      <c r="AM2291" s="98"/>
    </row>
    <row r="2292" spans="1:39" s="100" customFormat="1" ht="15.6" x14ac:dyDescent="0.3">
      <c r="A2292" s="97"/>
      <c r="B2292" s="98"/>
      <c r="C2292" s="98"/>
      <c r="D2292" s="98"/>
      <c r="E2292" s="98"/>
      <c r="F2292" s="98"/>
      <c r="G2292" s="99"/>
      <c r="H2292" s="99"/>
      <c r="I2292" s="99"/>
      <c r="J2292" s="99"/>
      <c r="K2292" s="98"/>
      <c r="L2292" s="98"/>
      <c r="M2292" s="98"/>
      <c r="N2292" s="98"/>
      <c r="O2292" s="98"/>
      <c r="P2292" s="98"/>
      <c r="Q2292" s="98"/>
      <c r="R2292" s="98"/>
      <c r="S2292" s="98"/>
      <c r="T2292" s="98"/>
      <c r="U2292" s="98"/>
      <c r="V2292" s="98"/>
      <c r="W2292" s="98"/>
      <c r="X2292" s="98"/>
      <c r="Y2292" s="98"/>
      <c r="Z2292" s="98"/>
      <c r="AA2292" s="98"/>
      <c r="AB2292" s="98"/>
      <c r="AC2292" s="98"/>
      <c r="AD2292" s="98"/>
      <c r="AE2292" s="98"/>
      <c r="AF2292" s="98"/>
      <c r="AG2292" s="98"/>
      <c r="AH2292" s="98"/>
      <c r="AI2292" s="98"/>
      <c r="AJ2292" s="98"/>
      <c r="AK2292" s="98"/>
      <c r="AL2292" s="98"/>
      <c r="AM2292" s="98"/>
    </row>
    <row r="2293" spans="1:39" s="100" customFormat="1" ht="15.6" x14ac:dyDescent="0.3">
      <c r="A2293" s="97"/>
      <c r="B2293" s="98"/>
      <c r="C2293" s="98"/>
      <c r="D2293" s="98"/>
      <c r="E2293" s="98"/>
      <c r="F2293" s="98"/>
      <c r="G2293" s="99"/>
      <c r="H2293" s="99"/>
      <c r="I2293" s="99"/>
      <c r="J2293" s="99"/>
      <c r="K2293" s="98"/>
      <c r="L2293" s="98"/>
      <c r="M2293" s="98"/>
      <c r="N2293" s="98"/>
      <c r="O2293" s="98"/>
      <c r="P2293" s="98"/>
      <c r="Q2293" s="98"/>
      <c r="R2293" s="98"/>
      <c r="S2293" s="98"/>
      <c r="T2293" s="98"/>
      <c r="U2293" s="98"/>
      <c r="V2293" s="98"/>
      <c r="W2293" s="98"/>
      <c r="X2293" s="98"/>
      <c r="Y2293" s="98"/>
      <c r="Z2293" s="98"/>
      <c r="AA2293" s="98"/>
      <c r="AB2293" s="98"/>
      <c r="AC2293" s="98"/>
      <c r="AD2293" s="98"/>
      <c r="AE2293" s="98"/>
      <c r="AF2293" s="98"/>
      <c r="AG2293" s="98"/>
      <c r="AH2293" s="98"/>
      <c r="AI2293" s="98"/>
      <c r="AJ2293" s="98"/>
      <c r="AK2293" s="98"/>
      <c r="AL2293" s="98"/>
      <c r="AM2293" s="98"/>
    </row>
    <row r="2294" spans="1:39" s="100" customFormat="1" ht="15.6" x14ac:dyDescent="0.3">
      <c r="A2294" s="97"/>
      <c r="B2294" s="98"/>
      <c r="C2294" s="98"/>
      <c r="D2294" s="98"/>
      <c r="E2294" s="98"/>
      <c r="F2294" s="98"/>
      <c r="G2294" s="99"/>
      <c r="H2294" s="99"/>
      <c r="I2294" s="99"/>
      <c r="J2294" s="99"/>
      <c r="K2294" s="98"/>
      <c r="L2294" s="98"/>
      <c r="M2294" s="98"/>
      <c r="N2294" s="98"/>
      <c r="O2294" s="98"/>
      <c r="P2294" s="98"/>
      <c r="Q2294" s="98"/>
      <c r="R2294" s="98"/>
      <c r="S2294" s="98"/>
      <c r="T2294" s="98"/>
      <c r="U2294" s="98"/>
      <c r="V2294" s="98"/>
      <c r="W2294" s="98"/>
      <c r="X2294" s="98"/>
      <c r="Y2294" s="98"/>
      <c r="Z2294" s="98"/>
      <c r="AA2294" s="98"/>
      <c r="AB2294" s="98"/>
      <c r="AC2294" s="98"/>
      <c r="AD2294" s="98"/>
      <c r="AE2294" s="98"/>
      <c r="AF2294" s="98"/>
      <c r="AG2294" s="98"/>
      <c r="AH2294" s="98"/>
      <c r="AI2294" s="98"/>
      <c r="AJ2294" s="98"/>
      <c r="AK2294" s="98"/>
      <c r="AL2294" s="98"/>
      <c r="AM2294" s="98"/>
    </row>
    <row r="2295" spans="1:39" s="100" customFormat="1" ht="15.6" x14ac:dyDescent="0.3">
      <c r="A2295" s="97"/>
      <c r="B2295" s="98"/>
      <c r="C2295" s="98"/>
      <c r="D2295" s="98"/>
      <c r="E2295" s="98"/>
      <c r="F2295" s="98"/>
      <c r="G2295" s="99"/>
      <c r="H2295" s="99"/>
      <c r="I2295" s="99"/>
      <c r="J2295" s="99"/>
      <c r="K2295" s="98"/>
      <c r="L2295" s="98"/>
      <c r="M2295" s="98"/>
      <c r="N2295" s="98"/>
      <c r="O2295" s="98"/>
      <c r="P2295" s="98"/>
      <c r="Q2295" s="98"/>
      <c r="R2295" s="98"/>
      <c r="S2295" s="98"/>
      <c r="T2295" s="98"/>
      <c r="U2295" s="98"/>
      <c r="V2295" s="98"/>
      <c r="W2295" s="98"/>
      <c r="X2295" s="98"/>
      <c r="Y2295" s="98"/>
      <c r="Z2295" s="98"/>
      <c r="AA2295" s="98"/>
      <c r="AB2295" s="98"/>
      <c r="AC2295" s="98"/>
      <c r="AD2295" s="98"/>
      <c r="AE2295" s="98"/>
      <c r="AF2295" s="98"/>
      <c r="AG2295" s="98"/>
      <c r="AH2295" s="98"/>
      <c r="AI2295" s="98"/>
      <c r="AJ2295" s="98"/>
      <c r="AK2295" s="98"/>
      <c r="AL2295" s="98"/>
      <c r="AM2295" s="98"/>
    </row>
    <row r="2296" spans="1:39" s="100" customFormat="1" ht="15.6" x14ac:dyDescent="0.3">
      <c r="A2296" s="97"/>
      <c r="B2296" s="98"/>
      <c r="C2296" s="98"/>
      <c r="D2296" s="98"/>
      <c r="E2296" s="98"/>
      <c r="F2296" s="98"/>
      <c r="G2296" s="99"/>
      <c r="H2296" s="99"/>
      <c r="I2296" s="99"/>
      <c r="J2296" s="99"/>
      <c r="K2296" s="98"/>
      <c r="L2296" s="98"/>
      <c r="M2296" s="98"/>
      <c r="N2296" s="98"/>
      <c r="O2296" s="98"/>
      <c r="P2296" s="98"/>
      <c r="Q2296" s="98"/>
      <c r="R2296" s="98"/>
      <c r="S2296" s="98"/>
      <c r="T2296" s="98"/>
      <c r="U2296" s="98"/>
      <c r="V2296" s="98"/>
      <c r="W2296" s="98"/>
      <c r="X2296" s="98"/>
      <c r="Y2296" s="98"/>
      <c r="Z2296" s="98"/>
      <c r="AA2296" s="98"/>
      <c r="AB2296" s="98"/>
      <c r="AC2296" s="98"/>
      <c r="AD2296" s="98"/>
      <c r="AE2296" s="98"/>
      <c r="AF2296" s="98"/>
      <c r="AG2296" s="98"/>
      <c r="AH2296" s="98"/>
      <c r="AI2296" s="98"/>
      <c r="AJ2296" s="98"/>
      <c r="AK2296" s="98"/>
      <c r="AL2296" s="98"/>
      <c r="AM2296" s="98"/>
    </row>
    <row r="2297" spans="1:39" s="100" customFormat="1" ht="15.6" x14ac:dyDescent="0.3">
      <c r="A2297" s="97"/>
      <c r="B2297" s="98"/>
      <c r="C2297" s="98"/>
      <c r="D2297" s="98"/>
      <c r="E2297" s="98"/>
      <c r="F2297" s="98"/>
      <c r="G2297" s="99"/>
      <c r="H2297" s="99"/>
      <c r="I2297" s="99"/>
      <c r="J2297" s="99"/>
      <c r="K2297" s="98"/>
      <c r="L2297" s="98"/>
      <c r="M2297" s="98"/>
      <c r="N2297" s="98"/>
      <c r="O2297" s="98"/>
      <c r="P2297" s="98"/>
      <c r="Q2297" s="98"/>
      <c r="R2297" s="98"/>
      <c r="S2297" s="98"/>
      <c r="T2297" s="98"/>
      <c r="U2297" s="98"/>
      <c r="V2297" s="98"/>
      <c r="W2297" s="98"/>
      <c r="X2297" s="98"/>
      <c r="Y2297" s="98"/>
      <c r="Z2297" s="98"/>
      <c r="AA2297" s="98"/>
      <c r="AB2297" s="98"/>
      <c r="AC2297" s="98"/>
      <c r="AD2297" s="98"/>
      <c r="AE2297" s="98"/>
      <c r="AF2297" s="98"/>
      <c r="AG2297" s="98"/>
      <c r="AH2297" s="98"/>
      <c r="AI2297" s="98"/>
      <c r="AJ2297" s="98"/>
      <c r="AK2297" s="98"/>
      <c r="AL2297" s="98"/>
      <c r="AM2297" s="98"/>
    </row>
    <row r="2298" spans="1:39" s="100" customFormat="1" ht="15.6" x14ac:dyDescent="0.3">
      <c r="A2298" s="97"/>
      <c r="B2298" s="98"/>
      <c r="C2298" s="98"/>
      <c r="D2298" s="98"/>
      <c r="E2298" s="98"/>
      <c r="F2298" s="98"/>
      <c r="G2298" s="99"/>
      <c r="H2298" s="99"/>
      <c r="I2298" s="99"/>
      <c r="J2298" s="99"/>
      <c r="K2298" s="98"/>
      <c r="L2298" s="98"/>
      <c r="M2298" s="98"/>
      <c r="N2298" s="98"/>
      <c r="O2298" s="98"/>
      <c r="P2298" s="98"/>
      <c r="Q2298" s="98"/>
      <c r="R2298" s="98"/>
      <c r="S2298" s="98"/>
      <c r="T2298" s="98"/>
      <c r="U2298" s="98"/>
      <c r="V2298" s="98"/>
      <c r="W2298" s="98"/>
      <c r="X2298" s="98"/>
      <c r="Y2298" s="98"/>
      <c r="Z2298" s="98"/>
      <c r="AA2298" s="98"/>
      <c r="AB2298" s="98"/>
      <c r="AC2298" s="98"/>
      <c r="AD2298" s="98"/>
      <c r="AE2298" s="98"/>
      <c r="AF2298" s="98"/>
      <c r="AG2298" s="98"/>
      <c r="AH2298" s="98"/>
      <c r="AI2298" s="98"/>
      <c r="AJ2298" s="98"/>
      <c r="AK2298" s="98"/>
      <c r="AL2298" s="98"/>
      <c r="AM2298" s="98"/>
    </row>
    <row r="2299" spans="1:39" s="100" customFormat="1" ht="15.6" x14ac:dyDescent="0.3">
      <c r="A2299" s="97"/>
      <c r="B2299" s="98"/>
      <c r="C2299" s="98"/>
      <c r="D2299" s="98"/>
      <c r="E2299" s="98"/>
      <c r="F2299" s="98"/>
      <c r="G2299" s="99"/>
      <c r="H2299" s="99"/>
      <c r="I2299" s="99"/>
      <c r="J2299" s="99"/>
      <c r="K2299" s="98"/>
      <c r="L2299" s="98"/>
      <c r="M2299" s="98"/>
      <c r="N2299" s="98"/>
      <c r="O2299" s="98"/>
      <c r="P2299" s="98"/>
      <c r="Q2299" s="98"/>
      <c r="R2299" s="98"/>
      <c r="S2299" s="98"/>
      <c r="T2299" s="98"/>
      <c r="U2299" s="98"/>
      <c r="V2299" s="98"/>
      <c r="W2299" s="98"/>
      <c r="X2299" s="98"/>
      <c r="Y2299" s="98"/>
      <c r="Z2299" s="98"/>
      <c r="AA2299" s="98"/>
      <c r="AB2299" s="98"/>
      <c r="AC2299" s="98"/>
      <c r="AD2299" s="98"/>
      <c r="AE2299" s="98"/>
      <c r="AF2299" s="98"/>
      <c r="AG2299" s="98"/>
      <c r="AH2299" s="98"/>
      <c r="AI2299" s="98"/>
      <c r="AJ2299" s="98"/>
      <c r="AK2299" s="98"/>
      <c r="AL2299" s="98"/>
      <c r="AM2299" s="98"/>
    </row>
    <row r="2300" spans="1:39" s="100" customFormat="1" ht="15.6" x14ac:dyDescent="0.3">
      <c r="A2300" s="97"/>
      <c r="B2300" s="98"/>
      <c r="C2300" s="98"/>
      <c r="D2300" s="98"/>
      <c r="E2300" s="98"/>
      <c r="F2300" s="98"/>
      <c r="G2300" s="99"/>
      <c r="H2300" s="99"/>
      <c r="I2300" s="99"/>
      <c r="J2300" s="99"/>
      <c r="K2300" s="98"/>
      <c r="L2300" s="98"/>
      <c r="M2300" s="98"/>
      <c r="N2300" s="98"/>
      <c r="O2300" s="98"/>
      <c r="P2300" s="98"/>
      <c r="Q2300" s="98"/>
      <c r="R2300" s="98"/>
      <c r="S2300" s="98"/>
      <c r="T2300" s="98"/>
      <c r="U2300" s="98"/>
      <c r="V2300" s="98"/>
      <c r="W2300" s="98"/>
      <c r="X2300" s="98"/>
      <c r="Y2300" s="98"/>
      <c r="Z2300" s="98"/>
      <c r="AA2300" s="98"/>
      <c r="AB2300" s="98"/>
      <c r="AC2300" s="98"/>
      <c r="AD2300" s="98"/>
      <c r="AE2300" s="98"/>
      <c r="AF2300" s="98"/>
      <c r="AG2300" s="98"/>
      <c r="AH2300" s="98"/>
      <c r="AI2300" s="98"/>
      <c r="AJ2300" s="98"/>
      <c r="AK2300" s="98"/>
      <c r="AL2300" s="98"/>
      <c r="AM2300" s="98"/>
    </row>
    <row r="2301" spans="1:39" s="100" customFormat="1" ht="15.6" x14ac:dyDescent="0.3">
      <c r="A2301" s="97"/>
      <c r="B2301" s="98"/>
      <c r="C2301" s="98"/>
      <c r="D2301" s="98"/>
      <c r="E2301" s="98"/>
      <c r="F2301" s="98"/>
      <c r="G2301" s="99"/>
      <c r="H2301" s="99"/>
      <c r="I2301" s="99"/>
      <c r="J2301" s="99"/>
      <c r="K2301" s="98"/>
      <c r="L2301" s="98"/>
      <c r="M2301" s="98"/>
      <c r="N2301" s="98"/>
      <c r="O2301" s="98"/>
      <c r="P2301" s="98"/>
      <c r="Q2301" s="98"/>
      <c r="R2301" s="98"/>
      <c r="S2301" s="98"/>
      <c r="T2301" s="98"/>
      <c r="U2301" s="98"/>
      <c r="V2301" s="98"/>
      <c r="W2301" s="98"/>
      <c r="X2301" s="98"/>
      <c r="Y2301" s="98"/>
      <c r="Z2301" s="98"/>
      <c r="AA2301" s="98"/>
      <c r="AB2301" s="98"/>
      <c r="AC2301" s="98"/>
      <c r="AD2301" s="98"/>
      <c r="AE2301" s="98"/>
      <c r="AF2301" s="98"/>
      <c r="AG2301" s="98"/>
      <c r="AH2301" s="98"/>
      <c r="AI2301" s="98"/>
      <c r="AJ2301" s="98"/>
      <c r="AK2301" s="98"/>
      <c r="AL2301" s="98"/>
      <c r="AM2301" s="98"/>
    </row>
    <row r="2302" spans="1:39" s="100" customFormat="1" ht="15.6" x14ac:dyDescent="0.3">
      <c r="A2302" s="97"/>
      <c r="B2302" s="98"/>
      <c r="C2302" s="98"/>
      <c r="D2302" s="98"/>
      <c r="E2302" s="98"/>
      <c r="F2302" s="98"/>
      <c r="G2302" s="99"/>
      <c r="H2302" s="99"/>
      <c r="I2302" s="99"/>
      <c r="J2302" s="99"/>
      <c r="K2302" s="98"/>
      <c r="L2302" s="98"/>
      <c r="M2302" s="98"/>
      <c r="N2302" s="98"/>
      <c r="O2302" s="98"/>
      <c r="P2302" s="98"/>
      <c r="Q2302" s="98"/>
      <c r="R2302" s="98"/>
      <c r="S2302" s="98"/>
      <c r="T2302" s="98"/>
      <c r="U2302" s="98"/>
      <c r="V2302" s="98"/>
      <c r="W2302" s="98"/>
      <c r="X2302" s="98"/>
      <c r="Y2302" s="98"/>
      <c r="Z2302" s="98"/>
      <c r="AA2302" s="98"/>
      <c r="AB2302" s="98"/>
      <c r="AC2302" s="98"/>
      <c r="AD2302" s="98"/>
      <c r="AE2302" s="98"/>
      <c r="AF2302" s="98"/>
      <c r="AG2302" s="98"/>
      <c r="AH2302" s="98"/>
      <c r="AI2302" s="98"/>
      <c r="AJ2302" s="98"/>
      <c r="AK2302" s="98"/>
      <c r="AL2302" s="98"/>
      <c r="AM2302" s="98"/>
    </row>
    <row r="2303" spans="1:39" s="100" customFormat="1" ht="15.6" x14ac:dyDescent="0.3">
      <c r="A2303" s="97"/>
      <c r="B2303" s="98"/>
      <c r="C2303" s="98"/>
      <c r="D2303" s="98"/>
      <c r="E2303" s="98"/>
      <c r="F2303" s="98"/>
      <c r="G2303" s="99"/>
      <c r="H2303" s="99"/>
      <c r="I2303" s="99"/>
      <c r="J2303" s="99"/>
      <c r="K2303" s="98"/>
      <c r="L2303" s="98"/>
      <c r="M2303" s="98"/>
      <c r="N2303" s="98"/>
      <c r="O2303" s="98"/>
      <c r="P2303" s="98"/>
      <c r="Q2303" s="98"/>
      <c r="R2303" s="98"/>
      <c r="S2303" s="98"/>
      <c r="T2303" s="98"/>
      <c r="U2303" s="98"/>
      <c r="V2303" s="98"/>
      <c r="W2303" s="98"/>
      <c r="X2303" s="98"/>
      <c r="Y2303" s="98"/>
      <c r="Z2303" s="98"/>
      <c r="AA2303" s="98"/>
      <c r="AB2303" s="98"/>
      <c r="AC2303" s="98"/>
      <c r="AD2303" s="98"/>
      <c r="AE2303" s="98"/>
      <c r="AF2303" s="98"/>
      <c r="AG2303" s="98"/>
      <c r="AH2303" s="98"/>
      <c r="AI2303" s="98"/>
      <c r="AJ2303" s="98"/>
      <c r="AK2303" s="98"/>
      <c r="AL2303" s="98"/>
      <c r="AM2303" s="98"/>
    </row>
    <row r="2304" spans="1:39" s="100" customFormat="1" ht="15.6" x14ac:dyDescent="0.3">
      <c r="A2304" s="97"/>
      <c r="B2304" s="98"/>
      <c r="C2304" s="98"/>
      <c r="D2304" s="98"/>
      <c r="E2304" s="98"/>
      <c r="F2304" s="98"/>
      <c r="G2304" s="99"/>
      <c r="H2304" s="99"/>
      <c r="I2304" s="99"/>
      <c r="J2304" s="99"/>
      <c r="K2304" s="98"/>
      <c r="L2304" s="98"/>
      <c r="M2304" s="98"/>
      <c r="N2304" s="98"/>
      <c r="O2304" s="98"/>
      <c r="P2304" s="98"/>
      <c r="Q2304" s="98"/>
      <c r="R2304" s="98"/>
      <c r="S2304" s="98"/>
      <c r="T2304" s="98"/>
      <c r="U2304" s="98"/>
      <c r="V2304" s="98"/>
      <c r="W2304" s="98"/>
      <c r="X2304" s="98"/>
      <c r="Y2304" s="98"/>
      <c r="Z2304" s="98"/>
      <c r="AA2304" s="98"/>
      <c r="AB2304" s="98"/>
      <c r="AC2304" s="98"/>
      <c r="AD2304" s="98"/>
      <c r="AE2304" s="98"/>
      <c r="AF2304" s="98"/>
      <c r="AG2304" s="98"/>
      <c r="AH2304" s="98"/>
      <c r="AI2304" s="98"/>
      <c r="AJ2304" s="98"/>
      <c r="AK2304" s="98"/>
      <c r="AL2304" s="98"/>
      <c r="AM2304" s="98"/>
    </row>
    <row r="2305" spans="1:39" s="100" customFormat="1" ht="15.6" x14ac:dyDescent="0.3">
      <c r="A2305" s="97"/>
      <c r="B2305" s="98"/>
      <c r="C2305" s="98"/>
      <c r="D2305" s="98"/>
      <c r="E2305" s="98"/>
      <c r="F2305" s="98"/>
      <c r="G2305" s="99"/>
      <c r="H2305" s="99"/>
      <c r="I2305" s="99"/>
      <c r="J2305" s="99"/>
      <c r="K2305" s="98"/>
      <c r="L2305" s="98"/>
      <c r="M2305" s="98"/>
      <c r="N2305" s="98"/>
      <c r="O2305" s="98"/>
      <c r="P2305" s="98"/>
      <c r="Q2305" s="98"/>
      <c r="R2305" s="98"/>
      <c r="S2305" s="98"/>
      <c r="T2305" s="98"/>
      <c r="U2305" s="98"/>
      <c r="V2305" s="98"/>
      <c r="W2305" s="98"/>
      <c r="X2305" s="98"/>
      <c r="Y2305" s="98"/>
      <c r="Z2305" s="98"/>
      <c r="AA2305" s="98"/>
      <c r="AB2305" s="98"/>
      <c r="AC2305" s="98"/>
      <c r="AD2305" s="98"/>
      <c r="AE2305" s="98"/>
      <c r="AF2305" s="98"/>
      <c r="AG2305" s="98"/>
      <c r="AH2305" s="98"/>
      <c r="AI2305" s="98"/>
      <c r="AJ2305" s="98"/>
      <c r="AK2305" s="98"/>
      <c r="AL2305" s="98"/>
      <c r="AM2305" s="98"/>
    </row>
    <row r="2306" spans="1:39" s="100" customFormat="1" ht="15.6" x14ac:dyDescent="0.3">
      <c r="A2306" s="97"/>
      <c r="B2306" s="98"/>
      <c r="C2306" s="98"/>
      <c r="D2306" s="98"/>
      <c r="E2306" s="98"/>
      <c r="F2306" s="98"/>
      <c r="G2306" s="99"/>
      <c r="H2306" s="99"/>
      <c r="I2306" s="99"/>
      <c r="J2306" s="99"/>
      <c r="K2306" s="98"/>
      <c r="L2306" s="98"/>
      <c r="M2306" s="98"/>
      <c r="N2306" s="98"/>
      <c r="O2306" s="98"/>
      <c r="P2306" s="98"/>
      <c r="Q2306" s="98"/>
      <c r="R2306" s="98"/>
      <c r="S2306" s="98"/>
      <c r="T2306" s="98"/>
      <c r="U2306" s="98"/>
      <c r="V2306" s="98"/>
      <c r="W2306" s="98"/>
      <c r="X2306" s="98"/>
      <c r="Y2306" s="98"/>
      <c r="Z2306" s="98"/>
      <c r="AA2306" s="98"/>
      <c r="AB2306" s="98"/>
      <c r="AC2306" s="98"/>
      <c r="AD2306" s="98"/>
      <c r="AE2306" s="98"/>
      <c r="AF2306" s="98"/>
      <c r="AG2306" s="98"/>
      <c r="AH2306" s="98"/>
      <c r="AI2306" s="98"/>
      <c r="AJ2306" s="98"/>
      <c r="AK2306" s="98"/>
      <c r="AL2306" s="98"/>
      <c r="AM2306" s="98"/>
    </row>
    <row r="2307" spans="1:39" s="100" customFormat="1" ht="15.6" x14ac:dyDescent="0.3">
      <c r="A2307" s="97"/>
      <c r="B2307" s="98"/>
      <c r="C2307" s="98"/>
      <c r="D2307" s="98"/>
      <c r="E2307" s="98"/>
      <c r="F2307" s="98"/>
      <c r="G2307" s="99"/>
      <c r="H2307" s="99"/>
      <c r="I2307" s="99"/>
      <c r="J2307" s="99"/>
      <c r="K2307" s="98"/>
      <c r="L2307" s="98"/>
      <c r="M2307" s="98"/>
      <c r="N2307" s="98"/>
      <c r="O2307" s="98"/>
      <c r="P2307" s="98"/>
      <c r="Q2307" s="98"/>
      <c r="R2307" s="98"/>
      <c r="S2307" s="98"/>
      <c r="T2307" s="98"/>
      <c r="U2307" s="98"/>
      <c r="V2307" s="98"/>
      <c r="W2307" s="98"/>
      <c r="X2307" s="98"/>
      <c r="Y2307" s="98"/>
      <c r="Z2307" s="98"/>
      <c r="AA2307" s="98"/>
      <c r="AB2307" s="98"/>
      <c r="AC2307" s="98"/>
      <c r="AD2307" s="98"/>
      <c r="AE2307" s="98"/>
      <c r="AF2307" s="98"/>
      <c r="AG2307" s="98"/>
      <c r="AH2307" s="98"/>
      <c r="AI2307" s="98"/>
      <c r="AJ2307" s="98"/>
      <c r="AK2307" s="98"/>
      <c r="AL2307" s="98"/>
      <c r="AM2307" s="98"/>
    </row>
    <row r="2308" spans="1:39" s="100" customFormat="1" ht="15.6" x14ac:dyDescent="0.3">
      <c r="A2308" s="97"/>
      <c r="B2308" s="98"/>
      <c r="C2308" s="98"/>
      <c r="D2308" s="98"/>
      <c r="E2308" s="98"/>
      <c r="F2308" s="98"/>
      <c r="G2308" s="99"/>
      <c r="H2308" s="99"/>
      <c r="I2308" s="99"/>
      <c r="J2308" s="99"/>
      <c r="K2308" s="98"/>
      <c r="L2308" s="98"/>
      <c r="M2308" s="98"/>
      <c r="N2308" s="98"/>
      <c r="O2308" s="98"/>
      <c r="P2308" s="98"/>
      <c r="Q2308" s="98"/>
      <c r="R2308" s="98"/>
      <c r="S2308" s="98"/>
      <c r="T2308" s="98"/>
      <c r="U2308" s="98"/>
      <c r="V2308" s="98"/>
      <c r="W2308" s="98"/>
      <c r="X2308" s="98"/>
      <c r="Y2308" s="98"/>
      <c r="Z2308" s="98"/>
      <c r="AA2308" s="98"/>
      <c r="AB2308" s="98"/>
      <c r="AC2308" s="98"/>
      <c r="AD2308" s="98"/>
      <c r="AE2308" s="98"/>
      <c r="AF2308" s="98"/>
      <c r="AG2308" s="98"/>
      <c r="AH2308" s="98"/>
      <c r="AI2308" s="98"/>
      <c r="AJ2308" s="98"/>
      <c r="AK2308" s="98"/>
      <c r="AL2308" s="98"/>
      <c r="AM2308" s="98"/>
    </row>
    <row r="2309" spans="1:39" s="100" customFormat="1" ht="15.6" x14ac:dyDescent="0.3">
      <c r="A2309" s="97"/>
      <c r="B2309" s="98"/>
      <c r="C2309" s="98"/>
      <c r="D2309" s="98"/>
      <c r="E2309" s="98"/>
      <c r="F2309" s="98"/>
      <c r="G2309" s="99"/>
      <c r="H2309" s="99"/>
      <c r="I2309" s="99"/>
      <c r="J2309" s="99"/>
      <c r="K2309" s="98"/>
      <c r="L2309" s="98"/>
      <c r="M2309" s="98"/>
      <c r="N2309" s="98"/>
      <c r="O2309" s="98"/>
      <c r="P2309" s="98"/>
      <c r="Q2309" s="98"/>
      <c r="R2309" s="98"/>
      <c r="S2309" s="98"/>
      <c r="T2309" s="98"/>
      <c r="U2309" s="98"/>
      <c r="V2309" s="98"/>
      <c r="W2309" s="98"/>
      <c r="X2309" s="98"/>
      <c r="Y2309" s="98"/>
      <c r="Z2309" s="98"/>
      <c r="AA2309" s="98"/>
      <c r="AB2309" s="98"/>
      <c r="AC2309" s="98"/>
      <c r="AD2309" s="98"/>
      <c r="AE2309" s="98"/>
      <c r="AF2309" s="98"/>
      <c r="AG2309" s="98"/>
      <c r="AH2309" s="98"/>
      <c r="AI2309" s="98"/>
      <c r="AJ2309" s="98"/>
      <c r="AK2309" s="98"/>
      <c r="AL2309" s="98"/>
      <c r="AM2309" s="98"/>
    </row>
    <row r="2310" spans="1:39" s="100" customFormat="1" ht="15.6" x14ac:dyDescent="0.3">
      <c r="A2310" s="97"/>
      <c r="B2310" s="98"/>
      <c r="C2310" s="98"/>
      <c r="D2310" s="98"/>
      <c r="E2310" s="98"/>
      <c r="F2310" s="98"/>
      <c r="G2310" s="99"/>
      <c r="H2310" s="99"/>
      <c r="I2310" s="99"/>
      <c r="J2310" s="99"/>
      <c r="K2310" s="98"/>
      <c r="L2310" s="98"/>
      <c r="M2310" s="98"/>
      <c r="N2310" s="98"/>
      <c r="O2310" s="98"/>
      <c r="P2310" s="98"/>
      <c r="Q2310" s="98"/>
      <c r="R2310" s="98"/>
      <c r="S2310" s="98"/>
      <c r="T2310" s="98"/>
      <c r="U2310" s="98"/>
      <c r="V2310" s="98"/>
      <c r="W2310" s="98"/>
      <c r="X2310" s="98"/>
      <c r="Y2310" s="98"/>
      <c r="Z2310" s="98"/>
      <c r="AA2310" s="98"/>
      <c r="AB2310" s="98"/>
      <c r="AC2310" s="98"/>
      <c r="AD2310" s="98"/>
      <c r="AE2310" s="98"/>
      <c r="AF2310" s="98"/>
      <c r="AG2310" s="98"/>
      <c r="AH2310" s="98"/>
      <c r="AI2310" s="98"/>
      <c r="AJ2310" s="98"/>
      <c r="AK2310" s="98"/>
      <c r="AL2310" s="98"/>
      <c r="AM2310" s="98"/>
    </row>
    <row r="2311" spans="1:39" s="100" customFormat="1" ht="15.6" x14ac:dyDescent="0.3">
      <c r="A2311" s="97"/>
      <c r="B2311" s="98"/>
      <c r="C2311" s="98"/>
      <c r="D2311" s="98"/>
      <c r="E2311" s="98"/>
      <c r="F2311" s="98"/>
      <c r="G2311" s="99"/>
      <c r="H2311" s="99"/>
      <c r="I2311" s="99"/>
      <c r="J2311" s="99"/>
      <c r="K2311" s="98"/>
      <c r="L2311" s="98"/>
      <c r="M2311" s="98"/>
      <c r="N2311" s="98"/>
      <c r="O2311" s="98"/>
      <c r="P2311" s="98"/>
      <c r="Q2311" s="98"/>
      <c r="R2311" s="98"/>
      <c r="S2311" s="98"/>
      <c r="T2311" s="98"/>
      <c r="U2311" s="98"/>
      <c r="V2311" s="98"/>
      <c r="W2311" s="98"/>
      <c r="X2311" s="98"/>
      <c r="Y2311" s="98"/>
      <c r="Z2311" s="98"/>
      <c r="AA2311" s="98"/>
      <c r="AB2311" s="98"/>
      <c r="AC2311" s="98"/>
      <c r="AD2311" s="98"/>
      <c r="AE2311" s="98"/>
      <c r="AF2311" s="98"/>
      <c r="AG2311" s="98"/>
      <c r="AH2311" s="98"/>
      <c r="AI2311" s="98"/>
      <c r="AJ2311" s="98"/>
      <c r="AK2311" s="98"/>
      <c r="AL2311" s="98"/>
      <c r="AM2311" s="98"/>
    </row>
    <row r="2312" spans="1:39" s="100" customFormat="1" ht="15.6" x14ac:dyDescent="0.3">
      <c r="A2312" s="97"/>
      <c r="B2312" s="98"/>
      <c r="C2312" s="98"/>
      <c r="D2312" s="98"/>
      <c r="E2312" s="98"/>
      <c r="F2312" s="98"/>
      <c r="G2312" s="99"/>
      <c r="H2312" s="99"/>
      <c r="I2312" s="99"/>
      <c r="J2312" s="99"/>
      <c r="K2312" s="98"/>
      <c r="L2312" s="98"/>
      <c r="M2312" s="98"/>
      <c r="N2312" s="98"/>
      <c r="O2312" s="98"/>
      <c r="P2312" s="98"/>
      <c r="Q2312" s="98"/>
      <c r="R2312" s="98"/>
      <c r="S2312" s="98"/>
      <c r="T2312" s="98"/>
      <c r="U2312" s="98"/>
      <c r="V2312" s="98"/>
      <c r="W2312" s="98"/>
      <c r="X2312" s="98"/>
      <c r="Y2312" s="98"/>
      <c r="Z2312" s="98"/>
      <c r="AA2312" s="98"/>
      <c r="AB2312" s="98"/>
      <c r="AC2312" s="98"/>
      <c r="AD2312" s="98"/>
      <c r="AE2312" s="98"/>
      <c r="AF2312" s="98"/>
      <c r="AG2312" s="98"/>
      <c r="AH2312" s="98"/>
      <c r="AI2312" s="98"/>
      <c r="AJ2312" s="98"/>
      <c r="AK2312" s="98"/>
      <c r="AL2312" s="98"/>
      <c r="AM2312" s="98"/>
    </row>
    <row r="2313" spans="1:39" s="100" customFormat="1" ht="15.6" x14ac:dyDescent="0.3">
      <c r="A2313" s="97"/>
      <c r="B2313" s="98"/>
      <c r="C2313" s="98"/>
      <c r="D2313" s="98"/>
      <c r="E2313" s="98"/>
      <c r="F2313" s="98"/>
      <c r="G2313" s="99"/>
      <c r="H2313" s="99"/>
      <c r="I2313" s="99"/>
      <c r="J2313" s="99"/>
      <c r="K2313" s="98"/>
      <c r="L2313" s="98"/>
      <c r="M2313" s="98"/>
      <c r="N2313" s="98"/>
      <c r="O2313" s="98"/>
      <c r="P2313" s="98"/>
      <c r="Q2313" s="98"/>
      <c r="R2313" s="98"/>
      <c r="S2313" s="98"/>
      <c r="T2313" s="98"/>
      <c r="U2313" s="98"/>
      <c r="V2313" s="98"/>
      <c r="W2313" s="98"/>
      <c r="X2313" s="98"/>
      <c r="Y2313" s="98"/>
      <c r="Z2313" s="98"/>
      <c r="AA2313" s="98"/>
      <c r="AB2313" s="98"/>
      <c r="AC2313" s="98"/>
      <c r="AD2313" s="98"/>
      <c r="AE2313" s="98"/>
      <c r="AF2313" s="98"/>
      <c r="AG2313" s="98"/>
      <c r="AH2313" s="98"/>
      <c r="AI2313" s="98"/>
      <c r="AJ2313" s="98"/>
      <c r="AK2313" s="98"/>
      <c r="AL2313" s="98"/>
      <c r="AM2313" s="98"/>
    </row>
    <row r="2314" spans="1:39" s="100" customFormat="1" ht="15.6" x14ac:dyDescent="0.3">
      <c r="A2314" s="97"/>
      <c r="B2314" s="98"/>
      <c r="C2314" s="98"/>
      <c r="D2314" s="98"/>
      <c r="E2314" s="98"/>
      <c r="F2314" s="98"/>
      <c r="G2314" s="99"/>
      <c r="H2314" s="99"/>
      <c r="I2314" s="99"/>
      <c r="J2314" s="99"/>
      <c r="K2314" s="98"/>
      <c r="L2314" s="98"/>
      <c r="M2314" s="98"/>
      <c r="N2314" s="98"/>
      <c r="O2314" s="98"/>
      <c r="P2314" s="98"/>
      <c r="Q2314" s="98"/>
      <c r="R2314" s="98"/>
      <c r="S2314" s="98"/>
      <c r="T2314" s="98"/>
      <c r="U2314" s="98"/>
      <c r="V2314" s="98"/>
      <c r="W2314" s="98"/>
      <c r="X2314" s="98"/>
      <c r="Y2314" s="98"/>
      <c r="Z2314" s="98"/>
      <c r="AA2314" s="98"/>
      <c r="AB2314" s="98"/>
      <c r="AC2314" s="98"/>
      <c r="AD2314" s="98"/>
      <c r="AE2314" s="98"/>
      <c r="AF2314" s="98"/>
      <c r="AG2314" s="98"/>
      <c r="AH2314" s="98"/>
      <c r="AI2314" s="98"/>
      <c r="AJ2314" s="98"/>
      <c r="AK2314" s="98"/>
      <c r="AL2314" s="98"/>
      <c r="AM2314" s="98"/>
    </row>
    <row r="2315" spans="1:39" s="100" customFormat="1" ht="15.6" x14ac:dyDescent="0.3">
      <c r="A2315" s="97"/>
      <c r="B2315" s="98"/>
      <c r="C2315" s="98"/>
      <c r="D2315" s="98"/>
      <c r="E2315" s="98"/>
      <c r="F2315" s="98"/>
      <c r="G2315" s="99"/>
      <c r="H2315" s="99"/>
      <c r="I2315" s="99"/>
      <c r="J2315" s="99"/>
      <c r="K2315" s="98"/>
      <c r="L2315" s="98"/>
      <c r="M2315" s="98"/>
      <c r="N2315" s="98"/>
      <c r="O2315" s="98"/>
      <c r="P2315" s="98"/>
      <c r="Q2315" s="98"/>
      <c r="R2315" s="98"/>
      <c r="S2315" s="98"/>
      <c r="T2315" s="98"/>
      <c r="U2315" s="98"/>
      <c r="V2315" s="98"/>
      <c r="W2315" s="98"/>
      <c r="X2315" s="98"/>
      <c r="Y2315" s="98"/>
      <c r="Z2315" s="98"/>
      <c r="AA2315" s="98"/>
      <c r="AB2315" s="98"/>
      <c r="AC2315" s="98"/>
      <c r="AD2315" s="98"/>
      <c r="AE2315" s="98"/>
      <c r="AF2315" s="98"/>
      <c r="AG2315" s="98"/>
      <c r="AH2315" s="98"/>
      <c r="AI2315" s="98"/>
      <c r="AJ2315" s="98"/>
      <c r="AK2315" s="98"/>
      <c r="AL2315" s="98"/>
      <c r="AM2315" s="98"/>
    </row>
    <row r="2316" spans="1:39" s="100" customFormat="1" ht="15.6" x14ac:dyDescent="0.3">
      <c r="A2316" s="97"/>
      <c r="B2316" s="98"/>
      <c r="C2316" s="98"/>
      <c r="D2316" s="98"/>
      <c r="E2316" s="98"/>
      <c r="F2316" s="98"/>
      <c r="G2316" s="99"/>
      <c r="H2316" s="99"/>
      <c r="I2316" s="99"/>
      <c r="J2316" s="99"/>
      <c r="K2316" s="98"/>
      <c r="L2316" s="98"/>
      <c r="M2316" s="98"/>
      <c r="N2316" s="98"/>
      <c r="O2316" s="98"/>
      <c r="P2316" s="98"/>
      <c r="Q2316" s="98"/>
      <c r="R2316" s="98"/>
      <c r="S2316" s="98"/>
      <c r="T2316" s="98"/>
      <c r="U2316" s="98"/>
      <c r="V2316" s="98"/>
      <c r="W2316" s="98"/>
      <c r="X2316" s="98"/>
      <c r="Y2316" s="98"/>
      <c r="Z2316" s="98"/>
      <c r="AA2316" s="98"/>
      <c r="AB2316" s="98"/>
      <c r="AC2316" s="98"/>
      <c r="AD2316" s="98"/>
      <c r="AE2316" s="98"/>
      <c r="AF2316" s="98"/>
      <c r="AG2316" s="98"/>
      <c r="AH2316" s="98"/>
      <c r="AI2316" s="98"/>
      <c r="AJ2316" s="98"/>
      <c r="AK2316" s="98"/>
      <c r="AL2316" s="98"/>
      <c r="AM2316" s="98"/>
    </row>
    <row r="2317" spans="1:39" s="100" customFormat="1" ht="15.6" x14ac:dyDescent="0.3">
      <c r="A2317" s="97"/>
      <c r="B2317" s="98"/>
      <c r="C2317" s="98"/>
      <c r="D2317" s="98"/>
      <c r="E2317" s="98"/>
      <c r="F2317" s="98"/>
      <c r="G2317" s="99"/>
      <c r="H2317" s="99"/>
      <c r="I2317" s="99"/>
      <c r="J2317" s="99"/>
      <c r="K2317" s="98"/>
      <c r="L2317" s="98"/>
      <c r="M2317" s="98"/>
      <c r="N2317" s="98"/>
      <c r="O2317" s="98"/>
      <c r="P2317" s="98"/>
      <c r="Q2317" s="98"/>
      <c r="R2317" s="98"/>
      <c r="S2317" s="98"/>
      <c r="T2317" s="98"/>
      <c r="U2317" s="98"/>
      <c r="V2317" s="98"/>
      <c r="W2317" s="98"/>
      <c r="X2317" s="98"/>
      <c r="Y2317" s="98"/>
      <c r="Z2317" s="98"/>
      <c r="AA2317" s="98"/>
      <c r="AB2317" s="98"/>
      <c r="AC2317" s="98"/>
      <c r="AD2317" s="98"/>
      <c r="AE2317" s="98"/>
      <c r="AF2317" s="98"/>
      <c r="AG2317" s="98"/>
      <c r="AH2317" s="98"/>
      <c r="AI2317" s="98"/>
      <c r="AJ2317" s="98"/>
      <c r="AK2317" s="98"/>
      <c r="AL2317" s="98"/>
      <c r="AM2317" s="98"/>
    </row>
    <row r="2318" spans="1:39" s="100" customFormat="1" ht="15.6" x14ac:dyDescent="0.3">
      <c r="A2318" s="97"/>
      <c r="B2318" s="98"/>
      <c r="C2318" s="98"/>
      <c r="D2318" s="98"/>
      <c r="E2318" s="98"/>
      <c r="F2318" s="98"/>
      <c r="G2318" s="99"/>
      <c r="H2318" s="99"/>
      <c r="I2318" s="99"/>
      <c r="J2318" s="99"/>
      <c r="K2318" s="98"/>
      <c r="L2318" s="98"/>
      <c r="M2318" s="98"/>
      <c r="N2318" s="98"/>
      <c r="O2318" s="98"/>
      <c r="P2318" s="98"/>
      <c r="Q2318" s="98"/>
      <c r="R2318" s="98"/>
      <c r="S2318" s="98"/>
      <c r="T2318" s="98"/>
      <c r="U2318" s="98"/>
      <c r="V2318" s="98"/>
      <c r="W2318" s="98"/>
      <c r="X2318" s="98"/>
      <c r="Y2318" s="98"/>
      <c r="Z2318" s="98"/>
      <c r="AA2318" s="98"/>
      <c r="AB2318" s="98"/>
      <c r="AC2318" s="98"/>
      <c r="AD2318" s="98"/>
      <c r="AE2318" s="98"/>
      <c r="AF2318" s="98"/>
      <c r="AG2318" s="98"/>
      <c r="AH2318" s="98"/>
      <c r="AI2318" s="98"/>
      <c r="AJ2318" s="98"/>
      <c r="AK2318" s="98"/>
      <c r="AL2318" s="98"/>
      <c r="AM2318" s="98"/>
    </row>
    <row r="2319" spans="1:39" s="100" customFormat="1" ht="15.6" x14ac:dyDescent="0.3">
      <c r="A2319" s="97"/>
      <c r="B2319" s="98"/>
      <c r="C2319" s="98"/>
      <c r="D2319" s="98"/>
      <c r="E2319" s="98"/>
      <c r="F2319" s="98"/>
      <c r="G2319" s="99"/>
      <c r="H2319" s="99"/>
      <c r="I2319" s="99"/>
      <c r="J2319" s="99"/>
      <c r="K2319" s="98"/>
      <c r="L2319" s="98"/>
      <c r="M2319" s="98"/>
      <c r="N2319" s="98"/>
      <c r="O2319" s="98"/>
      <c r="P2319" s="98"/>
      <c r="Q2319" s="98"/>
      <c r="R2319" s="98"/>
      <c r="S2319" s="98"/>
      <c r="T2319" s="98"/>
      <c r="U2319" s="98"/>
      <c r="V2319" s="98"/>
      <c r="W2319" s="98"/>
      <c r="X2319" s="98"/>
      <c r="Y2319" s="98"/>
      <c r="Z2319" s="98"/>
      <c r="AA2319" s="98"/>
      <c r="AB2319" s="98"/>
      <c r="AC2319" s="98"/>
      <c r="AD2319" s="98"/>
      <c r="AE2319" s="98"/>
      <c r="AF2319" s="98"/>
      <c r="AG2319" s="98"/>
      <c r="AH2319" s="98"/>
      <c r="AI2319" s="98"/>
      <c r="AJ2319" s="98"/>
      <c r="AK2319" s="98"/>
      <c r="AL2319" s="98"/>
      <c r="AM2319" s="98"/>
    </row>
    <row r="2320" spans="1:39" s="100" customFormat="1" ht="15.6" x14ac:dyDescent="0.3">
      <c r="A2320" s="97"/>
      <c r="B2320" s="98"/>
      <c r="C2320" s="98"/>
      <c r="D2320" s="98"/>
      <c r="E2320" s="98"/>
      <c r="F2320" s="98"/>
      <c r="G2320" s="99"/>
      <c r="H2320" s="99"/>
      <c r="I2320" s="99"/>
      <c r="J2320" s="99"/>
      <c r="K2320" s="98"/>
      <c r="L2320" s="98"/>
      <c r="M2320" s="98"/>
      <c r="N2320" s="98"/>
      <c r="O2320" s="98"/>
      <c r="P2320" s="98"/>
      <c r="Q2320" s="98"/>
      <c r="R2320" s="98"/>
      <c r="S2320" s="98"/>
      <c r="T2320" s="98"/>
      <c r="U2320" s="98"/>
      <c r="V2320" s="98"/>
      <c r="W2320" s="98"/>
      <c r="X2320" s="98"/>
      <c r="Y2320" s="98"/>
      <c r="Z2320" s="98"/>
      <c r="AA2320" s="98"/>
      <c r="AB2320" s="98"/>
      <c r="AC2320" s="98"/>
      <c r="AD2320" s="98"/>
      <c r="AE2320" s="98"/>
      <c r="AF2320" s="98"/>
      <c r="AG2320" s="98"/>
      <c r="AH2320" s="98"/>
      <c r="AI2320" s="98"/>
      <c r="AJ2320" s="98"/>
      <c r="AK2320" s="98"/>
      <c r="AL2320" s="98"/>
      <c r="AM2320" s="98"/>
    </row>
    <row r="2321" spans="1:39" s="100" customFormat="1" ht="15.6" x14ac:dyDescent="0.3">
      <c r="A2321" s="97"/>
      <c r="B2321" s="98"/>
      <c r="C2321" s="98"/>
      <c r="D2321" s="98"/>
      <c r="E2321" s="98"/>
      <c r="F2321" s="98"/>
      <c r="G2321" s="99"/>
      <c r="H2321" s="99"/>
      <c r="I2321" s="99"/>
      <c r="J2321" s="99"/>
      <c r="K2321" s="98"/>
      <c r="L2321" s="98"/>
      <c r="M2321" s="98"/>
      <c r="N2321" s="98"/>
      <c r="O2321" s="98"/>
      <c r="P2321" s="98"/>
      <c r="Q2321" s="98"/>
      <c r="R2321" s="98"/>
      <c r="S2321" s="98"/>
      <c r="T2321" s="98"/>
      <c r="U2321" s="98"/>
      <c r="V2321" s="98"/>
      <c r="W2321" s="98"/>
      <c r="X2321" s="98"/>
      <c r="Y2321" s="98"/>
      <c r="Z2321" s="98"/>
      <c r="AA2321" s="98"/>
      <c r="AB2321" s="98"/>
      <c r="AC2321" s="98"/>
      <c r="AD2321" s="98"/>
      <c r="AE2321" s="98"/>
      <c r="AF2321" s="98"/>
      <c r="AG2321" s="98"/>
      <c r="AH2321" s="98"/>
      <c r="AI2321" s="98"/>
      <c r="AJ2321" s="98"/>
      <c r="AK2321" s="98"/>
      <c r="AL2321" s="98"/>
      <c r="AM2321" s="98"/>
    </row>
    <row r="2322" spans="1:39" s="100" customFormat="1" ht="15.6" x14ac:dyDescent="0.3">
      <c r="A2322" s="97"/>
      <c r="B2322" s="98"/>
      <c r="C2322" s="98"/>
      <c r="D2322" s="98"/>
      <c r="E2322" s="98"/>
      <c r="F2322" s="98"/>
      <c r="G2322" s="99"/>
      <c r="H2322" s="99"/>
      <c r="I2322" s="99"/>
      <c r="J2322" s="99"/>
      <c r="K2322" s="98"/>
      <c r="L2322" s="98"/>
      <c r="M2322" s="98"/>
      <c r="N2322" s="98"/>
      <c r="O2322" s="98"/>
      <c r="P2322" s="98"/>
      <c r="Q2322" s="98"/>
      <c r="R2322" s="98"/>
      <c r="S2322" s="98"/>
      <c r="T2322" s="98"/>
      <c r="U2322" s="98"/>
      <c r="V2322" s="98"/>
      <c r="W2322" s="98"/>
      <c r="X2322" s="98"/>
      <c r="Y2322" s="98"/>
      <c r="Z2322" s="98"/>
      <c r="AA2322" s="98"/>
      <c r="AB2322" s="98"/>
      <c r="AC2322" s="98"/>
      <c r="AD2322" s="98"/>
      <c r="AE2322" s="98"/>
      <c r="AF2322" s="98"/>
      <c r="AG2322" s="98"/>
      <c r="AH2322" s="98"/>
      <c r="AI2322" s="98"/>
      <c r="AJ2322" s="98"/>
      <c r="AK2322" s="98"/>
      <c r="AL2322" s="98"/>
      <c r="AM2322" s="98"/>
    </row>
    <row r="2323" spans="1:39" s="100" customFormat="1" ht="15.6" x14ac:dyDescent="0.3">
      <c r="A2323" s="97"/>
      <c r="B2323" s="98"/>
      <c r="C2323" s="98"/>
      <c r="D2323" s="98"/>
      <c r="E2323" s="98"/>
      <c r="F2323" s="98"/>
      <c r="G2323" s="99"/>
      <c r="H2323" s="99"/>
      <c r="I2323" s="99"/>
      <c r="J2323" s="99"/>
      <c r="K2323" s="98"/>
      <c r="L2323" s="98"/>
      <c r="M2323" s="98"/>
      <c r="N2323" s="98"/>
      <c r="O2323" s="98"/>
      <c r="P2323" s="98"/>
      <c r="Q2323" s="98"/>
      <c r="R2323" s="98"/>
      <c r="S2323" s="98"/>
      <c r="T2323" s="98"/>
      <c r="U2323" s="98"/>
      <c r="V2323" s="98"/>
      <c r="W2323" s="98"/>
      <c r="X2323" s="98"/>
      <c r="Y2323" s="98"/>
      <c r="Z2323" s="98"/>
      <c r="AA2323" s="98"/>
      <c r="AB2323" s="98"/>
      <c r="AC2323" s="98"/>
      <c r="AD2323" s="98"/>
      <c r="AE2323" s="98"/>
      <c r="AF2323" s="98"/>
      <c r="AG2323" s="98"/>
      <c r="AH2323" s="98"/>
      <c r="AI2323" s="98"/>
      <c r="AJ2323" s="98"/>
      <c r="AK2323" s="98"/>
      <c r="AL2323" s="98"/>
      <c r="AM2323" s="98"/>
    </row>
    <row r="2324" spans="1:39" s="100" customFormat="1" ht="15.6" x14ac:dyDescent="0.3">
      <c r="A2324" s="97"/>
      <c r="B2324" s="98"/>
      <c r="C2324" s="98"/>
      <c r="D2324" s="98"/>
      <c r="E2324" s="98"/>
      <c r="F2324" s="98"/>
      <c r="G2324" s="99"/>
      <c r="H2324" s="99"/>
      <c r="I2324" s="99"/>
      <c r="J2324" s="99"/>
      <c r="K2324" s="98"/>
      <c r="L2324" s="98"/>
      <c r="M2324" s="98"/>
      <c r="N2324" s="98"/>
      <c r="O2324" s="98"/>
      <c r="P2324" s="98"/>
      <c r="Q2324" s="98"/>
      <c r="R2324" s="98"/>
      <c r="S2324" s="98"/>
      <c r="T2324" s="98"/>
      <c r="U2324" s="98"/>
      <c r="V2324" s="98"/>
      <c r="W2324" s="98"/>
      <c r="X2324" s="98"/>
      <c r="Y2324" s="98"/>
      <c r="Z2324" s="98"/>
      <c r="AA2324" s="98"/>
      <c r="AB2324" s="98"/>
      <c r="AC2324" s="98"/>
      <c r="AD2324" s="98"/>
      <c r="AE2324" s="98"/>
      <c r="AF2324" s="98"/>
      <c r="AG2324" s="98"/>
      <c r="AH2324" s="98"/>
      <c r="AI2324" s="98"/>
      <c r="AJ2324" s="98"/>
      <c r="AK2324" s="98"/>
      <c r="AL2324" s="98"/>
      <c r="AM2324" s="98"/>
    </row>
    <row r="2325" spans="1:39" s="100" customFormat="1" ht="15.6" x14ac:dyDescent="0.3">
      <c r="A2325" s="97"/>
      <c r="B2325" s="98"/>
      <c r="C2325" s="98"/>
      <c r="D2325" s="98"/>
      <c r="E2325" s="98"/>
      <c r="F2325" s="98"/>
      <c r="G2325" s="99"/>
      <c r="H2325" s="99"/>
      <c r="I2325" s="99"/>
      <c r="J2325" s="99"/>
      <c r="K2325" s="98"/>
      <c r="L2325" s="98"/>
      <c r="M2325" s="98"/>
      <c r="N2325" s="98"/>
      <c r="O2325" s="98"/>
      <c r="P2325" s="98"/>
      <c r="Q2325" s="98"/>
      <c r="R2325" s="98"/>
      <c r="S2325" s="98"/>
      <c r="T2325" s="98"/>
      <c r="U2325" s="98"/>
      <c r="V2325" s="98"/>
      <c r="W2325" s="98"/>
      <c r="X2325" s="98"/>
      <c r="Y2325" s="98"/>
      <c r="Z2325" s="98"/>
      <c r="AA2325" s="98"/>
      <c r="AB2325" s="98"/>
      <c r="AC2325" s="98"/>
      <c r="AD2325" s="98"/>
      <c r="AE2325" s="98"/>
      <c r="AF2325" s="98"/>
      <c r="AG2325" s="98"/>
      <c r="AH2325" s="98"/>
      <c r="AI2325" s="98"/>
      <c r="AJ2325" s="98"/>
      <c r="AK2325" s="98"/>
      <c r="AL2325" s="98"/>
      <c r="AM2325" s="98"/>
    </row>
    <row r="2326" spans="1:39" s="100" customFormat="1" ht="15.6" x14ac:dyDescent="0.3">
      <c r="A2326" s="97"/>
      <c r="B2326" s="98"/>
      <c r="C2326" s="98"/>
      <c r="D2326" s="98"/>
      <c r="E2326" s="98"/>
      <c r="F2326" s="98"/>
      <c r="G2326" s="99"/>
      <c r="H2326" s="99"/>
      <c r="I2326" s="99"/>
      <c r="J2326" s="99"/>
      <c r="K2326" s="98"/>
      <c r="L2326" s="98"/>
      <c r="M2326" s="98"/>
      <c r="N2326" s="98"/>
      <c r="O2326" s="98"/>
      <c r="P2326" s="98"/>
      <c r="Q2326" s="98"/>
      <c r="R2326" s="98"/>
      <c r="S2326" s="98"/>
      <c r="T2326" s="98"/>
      <c r="U2326" s="98"/>
      <c r="V2326" s="98"/>
      <c r="W2326" s="98"/>
      <c r="X2326" s="98"/>
      <c r="Y2326" s="98"/>
      <c r="Z2326" s="98"/>
      <c r="AA2326" s="98"/>
      <c r="AB2326" s="98"/>
      <c r="AC2326" s="98"/>
      <c r="AD2326" s="98"/>
      <c r="AE2326" s="98"/>
      <c r="AF2326" s="98"/>
      <c r="AG2326" s="98"/>
      <c r="AH2326" s="98"/>
      <c r="AI2326" s="98"/>
      <c r="AJ2326" s="98"/>
      <c r="AK2326" s="98"/>
      <c r="AL2326" s="98"/>
      <c r="AM2326" s="98"/>
    </row>
    <row r="2327" spans="1:39" s="100" customFormat="1" ht="15.6" x14ac:dyDescent="0.3">
      <c r="A2327" s="97"/>
      <c r="B2327" s="98"/>
      <c r="C2327" s="98"/>
      <c r="D2327" s="98"/>
      <c r="E2327" s="98"/>
      <c r="F2327" s="98"/>
      <c r="G2327" s="99"/>
      <c r="H2327" s="99"/>
      <c r="I2327" s="99"/>
      <c r="J2327" s="99"/>
      <c r="K2327" s="98"/>
      <c r="L2327" s="98"/>
      <c r="M2327" s="98"/>
      <c r="N2327" s="98"/>
      <c r="O2327" s="98"/>
      <c r="P2327" s="98"/>
      <c r="Q2327" s="98"/>
      <c r="R2327" s="98"/>
      <c r="S2327" s="98"/>
      <c r="T2327" s="98"/>
      <c r="U2327" s="98"/>
      <c r="V2327" s="98"/>
      <c r="W2327" s="98"/>
      <c r="X2327" s="98"/>
      <c r="Y2327" s="98"/>
      <c r="Z2327" s="98"/>
      <c r="AA2327" s="98"/>
      <c r="AB2327" s="98"/>
      <c r="AC2327" s="98"/>
      <c r="AD2327" s="98"/>
      <c r="AE2327" s="98"/>
      <c r="AF2327" s="98"/>
      <c r="AG2327" s="98"/>
      <c r="AH2327" s="98"/>
      <c r="AI2327" s="98"/>
      <c r="AJ2327" s="98"/>
      <c r="AK2327" s="98"/>
      <c r="AL2327" s="98"/>
      <c r="AM2327" s="98"/>
    </row>
    <row r="2328" spans="1:39" s="100" customFormat="1" ht="15.6" x14ac:dyDescent="0.3">
      <c r="A2328" s="97"/>
      <c r="B2328" s="98"/>
      <c r="C2328" s="98"/>
      <c r="D2328" s="98"/>
      <c r="E2328" s="98"/>
      <c r="F2328" s="98"/>
      <c r="G2328" s="99"/>
      <c r="H2328" s="99"/>
      <c r="I2328" s="99"/>
      <c r="J2328" s="99"/>
      <c r="K2328" s="98"/>
      <c r="L2328" s="98"/>
      <c r="M2328" s="98"/>
      <c r="N2328" s="98"/>
      <c r="O2328" s="98"/>
      <c r="P2328" s="98"/>
      <c r="Q2328" s="98"/>
      <c r="R2328" s="98"/>
      <c r="S2328" s="98"/>
      <c r="T2328" s="98"/>
      <c r="U2328" s="98"/>
      <c r="V2328" s="98"/>
      <c r="W2328" s="98"/>
      <c r="X2328" s="98"/>
      <c r="Y2328" s="98"/>
      <c r="Z2328" s="98"/>
      <c r="AA2328" s="98"/>
      <c r="AB2328" s="98"/>
      <c r="AC2328" s="98"/>
      <c r="AD2328" s="98"/>
      <c r="AE2328" s="98"/>
      <c r="AF2328" s="98"/>
      <c r="AG2328" s="98"/>
      <c r="AH2328" s="98"/>
      <c r="AI2328" s="98"/>
      <c r="AJ2328" s="98"/>
      <c r="AK2328" s="98"/>
      <c r="AL2328" s="98"/>
      <c r="AM2328" s="98"/>
    </row>
    <row r="2329" spans="1:39" s="100" customFormat="1" ht="15.6" x14ac:dyDescent="0.3">
      <c r="A2329" s="97"/>
      <c r="B2329" s="98"/>
      <c r="C2329" s="98"/>
      <c r="D2329" s="98"/>
      <c r="E2329" s="98"/>
      <c r="F2329" s="98"/>
      <c r="G2329" s="99"/>
      <c r="H2329" s="99"/>
      <c r="I2329" s="99"/>
      <c r="J2329" s="99"/>
      <c r="K2329" s="98"/>
      <c r="L2329" s="98"/>
      <c r="M2329" s="98"/>
      <c r="N2329" s="98"/>
      <c r="O2329" s="98"/>
      <c r="P2329" s="98"/>
      <c r="Q2329" s="98"/>
      <c r="R2329" s="98"/>
      <c r="S2329" s="98"/>
      <c r="T2329" s="98"/>
      <c r="U2329" s="98"/>
      <c r="V2329" s="98"/>
      <c r="W2329" s="98"/>
      <c r="X2329" s="98"/>
      <c r="Y2329" s="98"/>
      <c r="Z2329" s="98"/>
      <c r="AA2329" s="98"/>
      <c r="AB2329" s="98"/>
      <c r="AC2329" s="98"/>
      <c r="AD2329" s="98"/>
      <c r="AE2329" s="98"/>
      <c r="AF2329" s="98"/>
      <c r="AG2329" s="98"/>
      <c r="AH2329" s="98"/>
      <c r="AI2329" s="98"/>
      <c r="AJ2329" s="98"/>
      <c r="AK2329" s="98"/>
      <c r="AL2329" s="98"/>
      <c r="AM2329" s="98"/>
    </row>
    <row r="2330" spans="1:39" s="100" customFormat="1" ht="15.6" x14ac:dyDescent="0.3">
      <c r="A2330" s="97"/>
      <c r="B2330" s="98"/>
      <c r="C2330" s="98"/>
      <c r="D2330" s="98"/>
      <c r="E2330" s="98"/>
      <c r="F2330" s="98"/>
      <c r="G2330" s="99"/>
      <c r="H2330" s="99"/>
      <c r="I2330" s="99"/>
      <c r="J2330" s="99"/>
      <c r="K2330" s="98"/>
      <c r="L2330" s="98"/>
      <c r="M2330" s="98"/>
      <c r="N2330" s="98"/>
      <c r="O2330" s="98"/>
      <c r="P2330" s="98"/>
      <c r="Q2330" s="98"/>
      <c r="R2330" s="98"/>
      <c r="S2330" s="98"/>
      <c r="T2330" s="98"/>
      <c r="U2330" s="98"/>
      <c r="V2330" s="98"/>
      <c r="W2330" s="98"/>
      <c r="X2330" s="98"/>
      <c r="Y2330" s="98"/>
      <c r="Z2330" s="98"/>
      <c r="AA2330" s="98"/>
      <c r="AB2330" s="98"/>
      <c r="AC2330" s="98"/>
      <c r="AD2330" s="98"/>
      <c r="AE2330" s="98"/>
      <c r="AF2330" s="98"/>
      <c r="AG2330" s="98"/>
      <c r="AH2330" s="98"/>
      <c r="AI2330" s="98"/>
      <c r="AJ2330" s="98"/>
      <c r="AK2330" s="98"/>
      <c r="AL2330" s="98"/>
      <c r="AM2330" s="98"/>
    </row>
    <row r="2331" spans="1:39" s="100" customFormat="1" ht="15.6" x14ac:dyDescent="0.3">
      <c r="A2331" s="97"/>
      <c r="B2331" s="98"/>
      <c r="C2331" s="98"/>
      <c r="D2331" s="98"/>
      <c r="E2331" s="98"/>
      <c r="F2331" s="98"/>
      <c r="G2331" s="99"/>
      <c r="H2331" s="99"/>
      <c r="I2331" s="99"/>
      <c r="J2331" s="99"/>
      <c r="K2331" s="98"/>
      <c r="L2331" s="98"/>
      <c r="M2331" s="98"/>
      <c r="N2331" s="98"/>
      <c r="O2331" s="98"/>
      <c r="P2331" s="98"/>
      <c r="Q2331" s="98"/>
      <c r="R2331" s="98"/>
      <c r="S2331" s="98"/>
      <c r="T2331" s="98"/>
      <c r="U2331" s="98"/>
      <c r="V2331" s="98"/>
      <c r="W2331" s="98"/>
      <c r="X2331" s="98"/>
      <c r="Y2331" s="98"/>
      <c r="Z2331" s="98"/>
      <c r="AA2331" s="98"/>
      <c r="AB2331" s="98"/>
      <c r="AC2331" s="98"/>
      <c r="AD2331" s="98"/>
      <c r="AE2331" s="98"/>
      <c r="AF2331" s="98"/>
      <c r="AG2331" s="98"/>
      <c r="AH2331" s="98"/>
      <c r="AI2331" s="98"/>
      <c r="AJ2331" s="98"/>
      <c r="AK2331" s="98"/>
      <c r="AL2331" s="98"/>
      <c r="AM2331" s="98"/>
    </row>
    <row r="2332" spans="1:39" s="100" customFormat="1" ht="15.6" x14ac:dyDescent="0.3">
      <c r="A2332" s="97"/>
      <c r="B2332" s="98"/>
      <c r="C2332" s="98"/>
      <c r="D2332" s="98"/>
      <c r="E2332" s="98"/>
      <c r="F2332" s="98"/>
      <c r="G2332" s="99"/>
      <c r="H2332" s="99"/>
      <c r="I2332" s="99"/>
      <c r="J2332" s="99"/>
      <c r="K2332" s="98"/>
      <c r="L2332" s="98"/>
      <c r="M2332" s="98"/>
      <c r="N2332" s="98"/>
      <c r="O2332" s="98"/>
      <c r="P2332" s="98"/>
      <c r="Q2332" s="98"/>
      <c r="R2332" s="98"/>
      <c r="S2332" s="98"/>
      <c r="T2332" s="98"/>
      <c r="U2332" s="98"/>
      <c r="V2332" s="98"/>
      <c r="W2332" s="98"/>
      <c r="X2332" s="98"/>
      <c r="Y2332" s="98"/>
      <c r="Z2332" s="98"/>
      <c r="AA2332" s="98"/>
      <c r="AB2332" s="98"/>
      <c r="AC2332" s="98"/>
      <c r="AD2332" s="98"/>
      <c r="AE2332" s="98"/>
      <c r="AF2332" s="98"/>
      <c r="AG2332" s="98"/>
      <c r="AH2332" s="98"/>
      <c r="AI2332" s="98"/>
      <c r="AJ2332" s="98"/>
      <c r="AK2332" s="98"/>
      <c r="AL2332" s="98"/>
      <c r="AM2332" s="98"/>
    </row>
    <row r="2333" spans="1:39" s="100" customFormat="1" ht="15.6" x14ac:dyDescent="0.3">
      <c r="A2333" s="97"/>
      <c r="B2333" s="98"/>
      <c r="C2333" s="98"/>
      <c r="D2333" s="98"/>
      <c r="E2333" s="98"/>
      <c r="F2333" s="98"/>
      <c r="G2333" s="99"/>
      <c r="H2333" s="99"/>
      <c r="I2333" s="99"/>
      <c r="J2333" s="99"/>
      <c r="K2333" s="98"/>
      <c r="L2333" s="98"/>
      <c r="M2333" s="98"/>
      <c r="N2333" s="98"/>
      <c r="O2333" s="98"/>
      <c r="P2333" s="98"/>
      <c r="Q2333" s="98"/>
      <c r="R2333" s="98"/>
      <c r="S2333" s="98"/>
      <c r="T2333" s="98"/>
      <c r="U2333" s="98"/>
      <c r="V2333" s="98"/>
      <c r="W2333" s="98"/>
      <c r="X2333" s="98"/>
      <c r="Y2333" s="98"/>
      <c r="Z2333" s="98"/>
      <c r="AA2333" s="98"/>
      <c r="AB2333" s="98"/>
      <c r="AC2333" s="98"/>
      <c r="AD2333" s="98"/>
      <c r="AE2333" s="98"/>
      <c r="AF2333" s="98"/>
      <c r="AG2333" s="98"/>
      <c r="AH2333" s="98"/>
      <c r="AI2333" s="98"/>
      <c r="AJ2333" s="98"/>
      <c r="AK2333" s="98"/>
      <c r="AL2333" s="98"/>
      <c r="AM2333" s="98"/>
    </row>
    <row r="2334" spans="1:39" s="100" customFormat="1" ht="15.6" x14ac:dyDescent="0.3">
      <c r="A2334" s="97"/>
      <c r="B2334" s="98"/>
      <c r="C2334" s="98"/>
      <c r="D2334" s="98"/>
      <c r="E2334" s="98"/>
      <c r="F2334" s="98"/>
      <c r="G2334" s="99"/>
      <c r="H2334" s="99"/>
      <c r="I2334" s="99"/>
      <c r="J2334" s="99"/>
      <c r="K2334" s="98"/>
      <c r="L2334" s="98"/>
      <c r="M2334" s="98"/>
      <c r="N2334" s="98"/>
      <c r="O2334" s="98"/>
      <c r="P2334" s="98"/>
      <c r="Q2334" s="98"/>
      <c r="R2334" s="98"/>
      <c r="S2334" s="98"/>
      <c r="T2334" s="98"/>
      <c r="U2334" s="98"/>
      <c r="V2334" s="98"/>
      <c r="W2334" s="98"/>
      <c r="X2334" s="98"/>
      <c r="Y2334" s="98"/>
      <c r="Z2334" s="98"/>
      <c r="AA2334" s="98"/>
      <c r="AB2334" s="98"/>
      <c r="AC2334" s="98"/>
      <c r="AD2334" s="98"/>
      <c r="AE2334" s="98"/>
      <c r="AF2334" s="98"/>
      <c r="AG2334" s="98"/>
      <c r="AH2334" s="98"/>
      <c r="AI2334" s="98"/>
      <c r="AJ2334" s="98"/>
      <c r="AK2334" s="98"/>
      <c r="AL2334" s="98"/>
      <c r="AM2334" s="98"/>
    </row>
    <row r="2335" spans="1:39" s="100" customFormat="1" ht="15.6" x14ac:dyDescent="0.3">
      <c r="A2335" s="97"/>
      <c r="B2335" s="98"/>
      <c r="C2335" s="98"/>
      <c r="D2335" s="98"/>
      <c r="E2335" s="98"/>
      <c r="F2335" s="98"/>
      <c r="G2335" s="99"/>
      <c r="H2335" s="99"/>
      <c r="I2335" s="99"/>
      <c r="J2335" s="99"/>
      <c r="K2335" s="98"/>
      <c r="L2335" s="98"/>
      <c r="M2335" s="98"/>
      <c r="N2335" s="98"/>
      <c r="O2335" s="98"/>
      <c r="P2335" s="98"/>
      <c r="Q2335" s="98"/>
      <c r="R2335" s="98"/>
      <c r="S2335" s="98"/>
      <c r="T2335" s="98"/>
      <c r="U2335" s="98"/>
      <c r="V2335" s="98"/>
      <c r="W2335" s="98"/>
      <c r="X2335" s="98"/>
      <c r="Y2335" s="98"/>
      <c r="Z2335" s="98"/>
      <c r="AA2335" s="98"/>
      <c r="AB2335" s="98"/>
      <c r="AC2335" s="98"/>
      <c r="AD2335" s="98"/>
      <c r="AE2335" s="98"/>
      <c r="AF2335" s="98"/>
      <c r="AG2335" s="98"/>
      <c r="AH2335" s="98"/>
      <c r="AI2335" s="98"/>
      <c r="AJ2335" s="98"/>
      <c r="AK2335" s="98"/>
      <c r="AL2335" s="98"/>
      <c r="AM2335" s="98"/>
    </row>
    <row r="2336" spans="1:39" s="100" customFormat="1" ht="15.6" x14ac:dyDescent="0.3">
      <c r="A2336" s="97"/>
      <c r="B2336" s="98"/>
      <c r="C2336" s="98"/>
      <c r="D2336" s="98"/>
      <c r="E2336" s="98"/>
      <c r="F2336" s="98"/>
      <c r="G2336" s="99"/>
      <c r="H2336" s="99"/>
      <c r="I2336" s="99"/>
      <c r="J2336" s="99"/>
      <c r="K2336" s="98"/>
      <c r="L2336" s="98"/>
      <c r="M2336" s="98"/>
      <c r="N2336" s="98"/>
      <c r="O2336" s="98"/>
      <c r="P2336" s="98"/>
      <c r="Q2336" s="98"/>
      <c r="R2336" s="98"/>
      <c r="S2336" s="98"/>
      <c r="T2336" s="98"/>
      <c r="U2336" s="98"/>
      <c r="V2336" s="98"/>
      <c r="W2336" s="98"/>
      <c r="X2336" s="98"/>
      <c r="Y2336" s="98"/>
      <c r="Z2336" s="98"/>
      <c r="AA2336" s="98"/>
      <c r="AB2336" s="98"/>
      <c r="AC2336" s="98"/>
      <c r="AD2336" s="98"/>
      <c r="AE2336" s="98"/>
      <c r="AF2336" s="98"/>
      <c r="AG2336" s="98"/>
      <c r="AH2336" s="98"/>
      <c r="AI2336" s="98"/>
      <c r="AJ2336" s="98"/>
      <c r="AK2336" s="98"/>
      <c r="AL2336" s="98"/>
      <c r="AM2336" s="98"/>
    </row>
    <row r="2337" spans="1:39" s="100" customFormat="1" ht="15.6" x14ac:dyDescent="0.3">
      <c r="A2337" s="97"/>
      <c r="B2337" s="98"/>
      <c r="C2337" s="98"/>
      <c r="D2337" s="98"/>
      <c r="E2337" s="98"/>
      <c r="F2337" s="98"/>
      <c r="G2337" s="99"/>
      <c r="H2337" s="99"/>
      <c r="I2337" s="99"/>
      <c r="J2337" s="99"/>
      <c r="K2337" s="98"/>
      <c r="L2337" s="98"/>
      <c r="M2337" s="98"/>
      <c r="N2337" s="98"/>
      <c r="O2337" s="98"/>
      <c r="P2337" s="98"/>
      <c r="Q2337" s="98"/>
      <c r="R2337" s="98"/>
      <c r="S2337" s="98"/>
      <c r="T2337" s="98"/>
      <c r="U2337" s="98"/>
      <c r="V2337" s="98"/>
      <c r="W2337" s="98"/>
      <c r="X2337" s="98"/>
      <c r="Y2337" s="98"/>
      <c r="Z2337" s="98"/>
      <c r="AA2337" s="98"/>
      <c r="AB2337" s="98"/>
      <c r="AC2337" s="98"/>
      <c r="AD2337" s="98"/>
      <c r="AE2337" s="98"/>
      <c r="AF2337" s="98"/>
      <c r="AG2337" s="98"/>
      <c r="AH2337" s="98"/>
      <c r="AI2337" s="98"/>
      <c r="AJ2337" s="98"/>
      <c r="AK2337" s="98"/>
      <c r="AL2337" s="98"/>
      <c r="AM2337" s="98"/>
    </row>
    <row r="2338" spans="1:39" s="100" customFormat="1" ht="15.6" x14ac:dyDescent="0.3">
      <c r="A2338" s="97"/>
      <c r="B2338" s="98"/>
      <c r="C2338" s="98"/>
      <c r="D2338" s="98"/>
      <c r="E2338" s="98"/>
      <c r="F2338" s="98"/>
      <c r="G2338" s="99"/>
      <c r="H2338" s="99"/>
      <c r="I2338" s="99"/>
      <c r="J2338" s="99"/>
      <c r="K2338" s="98"/>
      <c r="L2338" s="98"/>
      <c r="M2338" s="98"/>
      <c r="N2338" s="98"/>
      <c r="O2338" s="98"/>
      <c r="P2338" s="98"/>
      <c r="Q2338" s="98"/>
      <c r="R2338" s="98"/>
      <c r="S2338" s="98"/>
      <c r="T2338" s="98"/>
      <c r="U2338" s="98"/>
      <c r="V2338" s="98"/>
      <c r="W2338" s="98"/>
      <c r="X2338" s="98"/>
      <c r="Y2338" s="98"/>
      <c r="Z2338" s="98"/>
      <c r="AA2338" s="98"/>
      <c r="AB2338" s="98"/>
      <c r="AC2338" s="98"/>
      <c r="AD2338" s="98"/>
      <c r="AE2338" s="98"/>
      <c r="AF2338" s="98"/>
      <c r="AG2338" s="98"/>
      <c r="AH2338" s="98"/>
      <c r="AI2338" s="98"/>
      <c r="AJ2338" s="98"/>
      <c r="AK2338" s="98"/>
      <c r="AL2338" s="98"/>
      <c r="AM2338" s="98"/>
    </row>
    <row r="2339" spans="1:39" s="100" customFormat="1" ht="15.6" x14ac:dyDescent="0.3">
      <c r="A2339" s="97"/>
      <c r="B2339" s="98"/>
      <c r="C2339" s="98"/>
      <c r="D2339" s="98"/>
      <c r="E2339" s="98"/>
      <c r="F2339" s="98"/>
      <c r="G2339" s="99"/>
      <c r="H2339" s="99"/>
      <c r="I2339" s="99"/>
      <c r="J2339" s="99"/>
      <c r="K2339" s="98"/>
      <c r="L2339" s="98"/>
      <c r="M2339" s="98"/>
      <c r="N2339" s="98"/>
      <c r="O2339" s="98"/>
      <c r="P2339" s="98"/>
      <c r="Q2339" s="98"/>
      <c r="R2339" s="98"/>
      <c r="S2339" s="98"/>
      <c r="T2339" s="98"/>
      <c r="U2339" s="98"/>
      <c r="V2339" s="98"/>
      <c r="W2339" s="98"/>
      <c r="X2339" s="98"/>
      <c r="Y2339" s="98"/>
      <c r="Z2339" s="98"/>
      <c r="AA2339" s="98"/>
      <c r="AB2339" s="98"/>
      <c r="AC2339" s="98"/>
      <c r="AD2339" s="98"/>
      <c r="AE2339" s="98"/>
      <c r="AF2339" s="98"/>
      <c r="AG2339" s="98"/>
      <c r="AH2339" s="98"/>
      <c r="AI2339" s="98"/>
      <c r="AJ2339" s="98"/>
      <c r="AK2339" s="98"/>
      <c r="AL2339" s="98"/>
      <c r="AM2339" s="98"/>
    </row>
    <row r="2340" spans="1:39" s="100" customFormat="1" ht="15.6" x14ac:dyDescent="0.3">
      <c r="A2340" s="97"/>
      <c r="B2340" s="98"/>
      <c r="C2340" s="98"/>
      <c r="D2340" s="98"/>
      <c r="E2340" s="98"/>
      <c r="F2340" s="98"/>
      <c r="G2340" s="99"/>
      <c r="H2340" s="99"/>
      <c r="I2340" s="99"/>
      <c r="J2340" s="99"/>
      <c r="K2340" s="98"/>
      <c r="L2340" s="98"/>
      <c r="M2340" s="98"/>
      <c r="N2340" s="98"/>
      <c r="O2340" s="98"/>
      <c r="P2340" s="98"/>
      <c r="Q2340" s="98"/>
      <c r="R2340" s="98"/>
      <c r="S2340" s="98"/>
      <c r="T2340" s="98"/>
      <c r="U2340" s="98"/>
      <c r="V2340" s="98"/>
      <c r="W2340" s="98"/>
      <c r="X2340" s="98"/>
      <c r="Y2340" s="98"/>
      <c r="Z2340" s="98"/>
      <c r="AA2340" s="98"/>
      <c r="AB2340" s="98"/>
      <c r="AC2340" s="98"/>
      <c r="AD2340" s="98"/>
      <c r="AE2340" s="98"/>
      <c r="AF2340" s="98"/>
      <c r="AG2340" s="98"/>
      <c r="AH2340" s="98"/>
      <c r="AI2340" s="98"/>
      <c r="AJ2340" s="98"/>
      <c r="AK2340" s="98"/>
      <c r="AL2340" s="98"/>
      <c r="AM2340" s="98"/>
    </row>
    <row r="2341" spans="1:39" s="100" customFormat="1" ht="15.6" x14ac:dyDescent="0.3">
      <c r="A2341" s="97"/>
      <c r="B2341" s="98"/>
      <c r="C2341" s="98"/>
      <c r="D2341" s="98"/>
      <c r="E2341" s="98"/>
      <c r="F2341" s="98"/>
      <c r="G2341" s="99"/>
      <c r="H2341" s="99"/>
      <c r="I2341" s="99"/>
      <c r="J2341" s="99"/>
      <c r="K2341" s="98"/>
      <c r="L2341" s="98"/>
      <c r="M2341" s="98"/>
      <c r="N2341" s="98"/>
      <c r="O2341" s="98"/>
      <c r="P2341" s="98"/>
      <c r="Q2341" s="98"/>
      <c r="R2341" s="98"/>
      <c r="S2341" s="98"/>
      <c r="T2341" s="98"/>
      <c r="U2341" s="98"/>
      <c r="V2341" s="98"/>
      <c r="W2341" s="98"/>
      <c r="X2341" s="98"/>
      <c r="Y2341" s="98"/>
      <c r="Z2341" s="98"/>
      <c r="AA2341" s="98"/>
      <c r="AB2341" s="98"/>
      <c r="AC2341" s="98"/>
      <c r="AD2341" s="98"/>
      <c r="AE2341" s="98"/>
      <c r="AF2341" s="98"/>
      <c r="AG2341" s="98"/>
      <c r="AH2341" s="98"/>
      <c r="AI2341" s="98"/>
      <c r="AJ2341" s="98"/>
      <c r="AK2341" s="98"/>
      <c r="AL2341" s="98"/>
      <c r="AM2341" s="98"/>
    </row>
    <row r="2342" spans="1:39" s="100" customFormat="1" ht="15.6" x14ac:dyDescent="0.3">
      <c r="A2342" s="97"/>
      <c r="B2342" s="98"/>
      <c r="C2342" s="98"/>
      <c r="D2342" s="98"/>
      <c r="E2342" s="98"/>
      <c r="F2342" s="98"/>
      <c r="G2342" s="99"/>
      <c r="H2342" s="99"/>
      <c r="I2342" s="99"/>
      <c r="J2342" s="99"/>
      <c r="K2342" s="98"/>
      <c r="L2342" s="98"/>
      <c r="M2342" s="98"/>
      <c r="N2342" s="98"/>
      <c r="O2342" s="98"/>
      <c r="P2342" s="98"/>
      <c r="Q2342" s="98"/>
      <c r="R2342" s="98"/>
      <c r="S2342" s="98"/>
      <c r="T2342" s="98"/>
      <c r="U2342" s="98"/>
      <c r="V2342" s="98"/>
      <c r="W2342" s="98"/>
      <c r="X2342" s="98"/>
      <c r="Y2342" s="98"/>
      <c r="Z2342" s="98"/>
      <c r="AA2342" s="98"/>
      <c r="AB2342" s="98"/>
      <c r="AC2342" s="98"/>
      <c r="AD2342" s="98"/>
      <c r="AE2342" s="98"/>
      <c r="AF2342" s="98"/>
      <c r="AG2342" s="98"/>
      <c r="AH2342" s="98"/>
      <c r="AI2342" s="98"/>
      <c r="AJ2342" s="98"/>
      <c r="AK2342" s="98"/>
      <c r="AL2342" s="98"/>
      <c r="AM2342" s="98"/>
    </row>
    <row r="2343" spans="1:39" s="100" customFormat="1" ht="15.6" x14ac:dyDescent="0.3">
      <c r="A2343" s="97"/>
      <c r="B2343" s="98"/>
      <c r="C2343" s="98"/>
      <c r="D2343" s="98"/>
      <c r="E2343" s="98"/>
      <c r="F2343" s="98"/>
      <c r="G2343" s="99"/>
      <c r="H2343" s="99"/>
      <c r="I2343" s="99"/>
      <c r="J2343" s="99"/>
      <c r="K2343" s="98"/>
      <c r="L2343" s="98"/>
      <c r="M2343" s="98"/>
      <c r="N2343" s="98"/>
      <c r="O2343" s="98"/>
      <c r="P2343" s="98"/>
      <c r="Q2343" s="98"/>
      <c r="R2343" s="98"/>
      <c r="S2343" s="98"/>
      <c r="T2343" s="98"/>
      <c r="U2343" s="98"/>
      <c r="V2343" s="98"/>
      <c r="W2343" s="98"/>
      <c r="X2343" s="98"/>
      <c r="Y2343" s="98"/>
      <c r="Z2343" s="98"/>
      <c r="AA2343" s="98"/>
      <c r="AB2343" s="98"/>
      <c r="AC2343" s="98"/>
      <c r="AD2343" s="98"/>
      <c r="AE2343" s="98"/>
      <c r="AF2343" s="98"/>
      <c r="AG2343" s="98"/>
      <c r="AH2343" s="98"/>
      <c r="AI2343" s="98"/>
      <c r="AJ2343" s="98"/>
      <c r="AK2343" s="98"/>
      <c r="AL2343" s="98"/>
      <c r="AM2343" s="98"/>
    </row>
    <row r="2344" spans="1:39" s="100" customFormat="1" ht="15.6" x14ac:dyDescent="0.3">
      <c r="A2344" s="97"/>
      <c r="B2344" s="98"/>
      <c r="C2344" s="98"/>
      <c r="D2344" s="98"/>
      <c r="E2344" s="98"/>
      <c r="F2344" s="98"/>
      <c r="G2344" s="99"/>
      <c r="H2344" s="99"/>
      <c r="I2344" s="99"/>
      <c r="J2344" s="99"/>
      <c r="K2344" s="98"/>
      <c r="L2344" s="98"/>
      <c r="M2344" s="98"/>
      <c r="N2344" s="98"/>
      <c r="O2344" s="98"/>
      <c r="P2344" s="98"/>
      <c r="Q2344" s="98"/>
      <c r="R2344" s="98"/>
      <c r="S2344" s="98"/>
      <c r="T2344" s="98"/>
      <c r="U2344" s="98"/>
      <c r="V2344" s="98"/>
      <c r="W2344" s="98"/>
      <c r="X2344" s="98"/>
      <c r="Y2344" s="98"/>
      <c r="Z2344" s="98"/>
      <c r="AA2344" s="98"/>
      <c r="AB2344" s="98"/>
      <c r="AC2344" s="98"/>
      <c r="AD2344" s="98"/>
      <c r="AE2344" s="98"/>
      <c r="AF2344" s="98"/>
      <c r="AG2344" s="98"/>
      <c r="AH2344" s="98"/>
      <c r="AI2344" s="98"/>
      <c r="AJ2344" s="98"/>
      <c r="AK2344" s="98"/>
      <c r="AL2344" s="98"/>
      <c r="AM2344" s="98"/>
    </row>
    <row r="2345" spans="1:39" s="100" customFormat="1" ht="15.6" x14ac:dyDescent="0.3">
      <c r="A2345" s="97"/>
      <c r="B2345" s="98"/>
      <c r="C2345" s="98"/>
      <c r="D2345" s="98"/>
      <c r="E2345" s="98"/>
      <c r="F2345" s="98"/>
      <c r="G2345" s="99"/>
      <c r="H2345" s="99"/>
      <c r="I2345" s="99"/>
      <c r="J2345" s="99"/>
      <c r="K2345" s="98"/>
      <c r="L2345" s="98"/>
      <c r="M2345" s="98"/>
      <c r="N2345" s="98"/>
      <c r="O2345" s="98"/>
      <c r="P2345" s="98"/>
      <c r="Q2345" s="98"/>
      <c r="R2345" s="98"/>
      <c r="S2345" s="98"/>
      <c r="T2345" s="98"/>
      <c r="U2345" s="98"/>
      <c r="V2345" s="98"/>
      <c r="W2345" s="98"/>
      <c r="X2345" s="98"/>
      <c r="Y2345" s="98"/>
      <c r="Z2345" s="98"/>
      <c r="AA2345" s="98"/>
      <c r="AB2345" s="98"/>
      <c r="AC2345" s="98"/>
      <c r="AD2345" s="98"/>
      <c r="AE2345" s="98"/>
      <c r="AF2345" s="98"/>
      <c r="AG2345" s="98"/>
      <c r="AH2345" s="98"/>
      <c r="AI2345" s="98"/>
      <c r="AJ2345" s="98"/>
      <c r="AK2345" s="98"/>
      <c r="AL2345" s="98"/>
      <c r="AM2345" s="98"/>
    </row>
    <row r="2346" spans="1:39" s="100" customFormat="1" ht="15.6" x14ac:dyDescent="0.3">
      <c r="A2346" s="97"/>
      <c r="B2346" s="98"/>
      <c r="C2346" s="98"/>
      <c r="D2346" s="98"/>
      <c r="E2346" s="98"/>
      <c r="F2346" s="98"/>
      <c r="G2346" s="99"/>
      <c r="H2346" s="99"/>
      <c r="I2346" s="99"/>
      <c r="J2346" s="99"/>
      <c r="K2346" s="98"/>
      <c r="L2346" s="98"/>
      <c r="M2346" s="98"/>
      <c r="N2346" s="98"/>
      <c r="O2346" s="98"/>
      <c r="P2346" s="98"/>
      <c r="Q2346" s="98"/>
      <c r="R2346" s="98"/>
      <c r="S2346" s="98"/>
      <c r="T2346" s="98"/>
      <c r="U2346" s="98"/>
      <c r="V2346" s="98"/>
      <c r="W2346" s="98"/>
      <c r="X2346" s="98"/>
      <c r="Y2346" s="98"/>
      <c r="Z2346" s="98"/>
      <c r="AA2346" s="98"/>
      <c r="AB2346" s="98"/>
      <c r="AC2346" s="98"/>
      <c r="AD2346" s="98"/>
      <c r="AE2346" s="98"/>
      <c r="AF2346" s="98"/>
      <c r="AG2346" s="98"/>
      <c r="AH2346" s="98"/>
      <c r="AI2346" s="98"/>
      <c r="AJ2346" s="98"/>
      <c r="AK2346" s="98"/>
      <c r="AL2346" s="98"/>
      <c r="AM2346" s="98"/>
    </row>
    <row r="2347" spans="1:39" s="100" customFormat="1" ht="15.6" x14ac:dyDescent="0.3">
      <c r="A2347" s="97"/>
      <c r="B2347" s="98"/>
      <c r="C2347" s="98"/>
      <c r="D2347" s="98"/>
      <c r="E2347" s="98"/>
      <c r="F2347" s="98"/>
      <c r="G2347" s="99"/>
      <c r="H2347" s="99"/>
      <c r="I2347" s="99"/>
      <c r="J2347" s="99"/>
      <c r="K2347" s="98"/>
      <c r="L2347" s="98"/>
      <c r="M2347" s="98"/>
      <c r="N2347" s="98"/>
      <c r="O2347" s="98"/>
      <c r="P2347" s="98"/>
      <c r="Q2347" s="98"/>
      <c r="R2347" s="98"/>
      <c r="S2347" s="98"/>
      <c r="T2347" s="98"/>
      <c r="U2347" s="98"/>
      <c r="V2347" s="98"/>
      <c r="W2347" s="98"/>
      <c r="X2347" s="98"/>
      <c r="Y2347" s="98"/>
      <c r="Z2347" s="98"/>
      <c r="AA2347" s="98"/>
      <c r="AB2347" s="98"/>
      <c r="AC2347" s="98"/>
      <c r="AD2347" s="98"/>
      <c r="AE2347" s="98"/>
      <c r="AF2347" s="98"/>
      <c r="AG2347" s="98"/>
      <c r="AH2347" s="98"/>
      <c r="AI2347" s="98"/>
      <c r="AJ2347" s="98"/>
      <c r="AK2347" s="98"/>
      <c r="AL2347" s="98"/>
      <c r="AM2347" s="98"/>
    </row>
    <row r="2348" spans="1:39" s="100" customFormat="1" ht="15.6" x14ac:dyDescent="0.3">
      <c r="A2348" s="97"/>
      <c r="B2348" s="98"/>
      <c r="C2348" s="98"/>
      <c r="D2348" s="98"/>
      <c r="E2348" s="98"/>
      <c r="F2348" s="98"/>
      <c r="G2348" s="99"/>
      <c r="H2348" s="99"/>
      <c r="I2348" s="99"/>
      <c r="J2348" s="99"/>
      <c r="K2348" s="98"/>
      <c r="L2348" s="98"/>
      <c r="M2348" s="98"/>
      <c r="N2348" s="98"/>
      <c r="O2348" s="98"/>
      <c r="P2348" s="98"/>
      <c r="Q2348" s="98"/>
      <c r="R2348" s="98"/>
      <c r="S2348" s="98"/>
      <c r="T2348" s="98"/>
      <c r="U2348" s="98"/>
      <c r="V2348" s="98"/>
      <c r="W2348" s="98"/>
      <c r="X2348" s="98"/>
      <c r="Y2348" s="98"/>
      <c r="Z2348" s="98"/>
      <c r="AA2348" s="98"/>
      <c r="AB2348" s="98"/>
      <c r="AC2348" s="98"/>
      <c r="AD2348" s="98"/>
      <c r="AE2348" s="98"/>
      <c r="AF2348" s="98"/>
      <c r="AG2348" s="98"/>
      <c r="AH2348" s="98"/>
      <c r="AI2348" s="98"/>
      <c r="AJ2348" s="98"/>
      <c r="AK2348" s="98"/>
      <c r="AL2348" s="98"/>
      <c r="AM2348" s="98"/>
    </row>
    <row r="2349" spans="1:39" s="100" customFormat="1" ht="15.6" x14ac:dyDescent="0.3">
      <c r="A2349" s="97"/>
      <c r="B2349" s="98"/>
      <c r="C2349" s="98"/>
      <c r="D2349" s="98"/>
      <c r="E2349" s="98"/>
      <c r="F2349" s="98"/>
      <c r="G2349" s="99"/>
      <c r="H2349" s="99"/>
      <c r="I2349" s="99"/>
      <c r="J2349" s="99"/>
      <c r="K2349" s="98"/>
      <c r="L2349" s="98"/>
      <c r="M2349" s="98"/>
      <c r="N2349" s="98"/>
      <c r="O2349" s="98"/>
      <c r="P2349" s="98"/>
      <c r="Q2349" s="98"/>
      <c r="R2349" s="98"/>
      <c r="S2349" s="98"/>
      <c r="T2349" s="98"/>
      <c r="U2349" s="98"/>
      <c r="V2349" s="98"/>
      <c r="W2349" s="98"/>
      <c r="X2349" s="98"/>
      <c r="Y2349" s="98"/>
      <c r="Z2349" s="98"/>
      <c r="AA2349" s="98"/>
      <c r="AB2349" s="98"/>
      <c r="AC2349" s="98"/>
      <c r="AD2349" s="98"/>
      <c r="AE2349" s="98"/>
      <c r="AF2349" s="98"/>
      <c r="AG2349" s="98"/>
      <c r="AH2349" s="98"/>
      <c r="AI2349" s="98"/>
      <c r="AJ2349" s="98"/>
      <c r="AK2349" s="98"/>
      <c r="AL2349" s="98"/>
      <c r="AM2349" s="98"/>
    </row>
    <row r="2350" spans="1:39" s="100" customFormat="1" ht="15.6" x14ac:dyDescent="0.3">
      <c r="A2350" s="97"/>
      <c r="B2350" s="98"/>
      <c r="C2350" s="98"/>
      <c r="D2350" s="98"/>
      <c r="E2350" s="98"/>
      <c r="F2350" s="98"/>
      <c r="G2350" s="99"/>
      <c r="H2350" s="99"/>
      <c r="I2350" s="99"/>
      <c r="J2350" s="99"/>
      <c r="K2350" s="98"/>
      <c r="L2350" s="98"/>
      <c r="M2350" s="98"/>
      <c r="N2350" s="98"/>
      <c r="O2350" s="98"/>
      <c r="P2350" s="98"/>
      <c r="Q2350" s="98"/>
      <c r="R2350" s="98"/>
      <c r="S2350" s="98"/>
      <c r="T2350" s="98"/>
      <c r="U2350" s="98"/>
      <c r="V2350" s="98"/>
      <c r="W2350" s="98"/>
      <c r="X2350" s="98"/>
      <c r="Y2350" s="98"/>
      <c r="Z2350" s="98"/>
      <c r="AA2350" s="98"/>
      <c r="AB2350" s="98"/>
      <c r="AC2350" s="98"/>
      <c r="AD2350" s="98"/>
      <c r="AE2350" s="98"/>
      <c r="AF2350" s="98"/>
      <c r="AG2350" s="98"/>
      <c r="AH2350" s="98"/>
      <c r="AI2350" s="98"/>
      <c r="AJ2350" s="98"/>
      <c r="AK2350" s="98"/>
      <c r="AL2350" s="98"/>
      <c r="AM2350" s="98"/>
    </row>
    <row r="2351" spans="1:39" s="100" customFormat="1" ht="15.6" x14ac:dyDescent="0.3">
      <c r="A2351" s="97"/>
      <c r="B2351" s="98"/>
      <c r="C2351" s="98"/>
      <c r="D2351" s="98"/>
      <c r="E2351" s="98"/>
      <c r="F2351" s="98"/>
      <c r="G2351" s="99"/>
      <c r="H2351" s="99"/>
      <c r="I2351" s="99"/>
      <c r="J2351" s="99"/>
      <c r="K2351" s="98"/>
      <c r="L2351" s="98"/>
      <c r="M2351" s="98"/>
      <c r="N2351" s="98"/>
      <c r="O2351" s="98"/>
      <c r="P2351" s="98"/>
      <c r="Q2351" s="98"/>
      <c r="R2351" s="98"/>
      <c r="S2351" s="98"/>
      <c r="T2351" s="98"/>
      <c r="U2351" s="98"/>
      <c r="V2351" s="98"/>
      <c r="W2351" s="98"/>
      <c r="X2351" s="98"/>
      <c r="Y2351" s="98"/>
      <c r="Z2351" s="98"/>
      <c r="AA2351" s="98"/>
      <c r="AB2351" s="98"/>
      <c r="AC2351" s="98"/>
      <c r="AD2351" s="98"/>
      <c r="AE2351" s="98"/>
      <c r="AF2351" s="98"/>
      <c r="AG2351" s="98"/>
      <c r="AH2351" s="98"/>
      <c r="AI2351" s="98"/>
      <c r="AJ2351" s="98"/>
      <c r="AK2351" s="98"/>
      <c r="AL2351" s="98"/>
      <c r="AM2351" s="98"/>
    </row>
    <row r="2352" spans="1:39" s="100" customFormat="1" ht="15.6" x14ac:dyDescent="0.3">
      <c r="A2352" s="97"/>
      <c r="B2352" s="98"/>
      <c r="C2352" s="98"/>
      <c r="D2352" s="98"/>
      <c r="E2352" s="98"/>
      <c r="F2352" s="98"/>
      <c r="G2352" s="99"/>
      <c r="H2352" s="99"/>
      <c r="I2352" s="99"/>
      <c r="J2352" s="99"/>
      <c r="K2352" s="98"/>
      <c r="L2352" s="98"/>
      <c r="M2352" s="98"/>
      <c r="N2352" s="98"/>
      <c r="O2352" s="98"/>
      <c r="P2352" s="98"/>
      <c r="Q2352" s="98"/>
      <c r="R2352" s="98"/>
      <c r="S2352" s="98"/>
      <c r="T2352" s="98"/>
      <c r="U2352" s="98"/>
      <c r="V2352" s="98"/>
      <c r="W2352" s="98"/>
      <c r="X2352" s="98"/>
      <c r="Y2352" s="98"/>
      <c r="Z2352" s="98"/>
      <c r="AA2352" s="98"/>
      <c r="AB2352" s="98"/>
      <c r="AC2352" s="98"/>
      <c r="AD2352" s="98"/>
      <c r="AE2352" s="98"/>
      <c r="AF2352" s="98"/>
      <c r="AG2352" s="98"/>
      <c r="AH2352" s="98"/>
      <c r="AI2352" s="98"/>
      <c r="AJ2352" s="98"/>
      <c r="AK2352" s="98"/>
      <c r="AL2352" s="98"/>
      <c r="AM2352" s="98"/>
    </row>
    <row r="2353" spans="1:39" s="100" customFormat="1" ht="15.6" x14ac:dyDescent="0.3">
      <c r="A2353" s="97"/>
      <c r="B2353" s="98"/>
      <c r="C2353" s="98"/>
      <c r="D2353" s="98"/>
      <c r="E2353" s="98"/>
      <c r="F2353" s="98"/>
      <c r="G2353" s="99"/>
      <c r="H2353" s="99"/>
      <c r="I2353" s="99"/>
      <c r="J2353" s="99"/>
      <c r="K2353" s="98"/>
      <c r="L2353" s="98"/>
      <c r="M2353" s="98"/>
      <c r="N2353" s="98"/>
      <c r="O2353" s="98"/>
      <c r="P2353" s="98"/>
      <c r="Q2353" s="98"/>
      <c r="R2353" s="98"/>
      <c r="S2353" s="98"/>
      <c r="T2353" s="98"/>
      <c r="U2353" s="98"/>
      <c r="V2353" s="98"/>
      <c r="W2353" s="98"/>
      <c r="X2353" s="98"/>
      <c r="Y2353" s="98"/>
      <c r="Z2353" s="98"/>
      <c r="AA2353" s="98"/>
      <c r="AB2353" s="98"/>
      <c r="AC2353" s="98"/>
      <c r="AD2353" s="98"/>
      <c r="AE2353" s="98"/>
      <c r="AF2353" s="98"/>
      <c r="AG2353" s="98"/>
      <c r="AH2353" s="98"/>
      <c r="AI2353" s="98"/>
      <c r="AJ2353" s="98"/>
      <c r="AK2353" s="98"/>
      <c r="AL2353" s="98"/>
      <c r="AM2353" s="98"/>
    </row>
    <row r="2354" spans="1:39" s="100" customFormat="1" ht="15.6" x14ac:dyDescent="0.3">
      <c r="A2354" s="97"/>
      <c r="B2354" s="98"/>
      <c r="C2354" s="98"/>
      <c r="D2354" s="98"/>
      <c r="E2354" s="98"/>
      <c r="F2354" s="98"/>
      <c r="G2354" s="99"/>
      <c r="H2354" s="99"/>
      <c r="I2354" s="99"/>
      <c r="J2354" s="99"/>
      <c r="K2354" s="98"/>
      <c r="L2354" s="98"/>
      <c r="M2354" s="98"/>
      <c r="N2354" s="98"/>
      <c r="O2354" s="98"/>
      <c r="P2354" s="98"/>
      <c r="Q2354" s="98"/>
      <c r="R2354" s="98"/>
      <c r="S2354" s="98"/>
      <c r="T2354" s="98"/>
      <c r="U2354" s="98"/>
      <c r="V2354" s="98"/>
      <c r="W2354" s="98"/>
      <c r="X2354" s="98"/>
      <c r="Y2354" s="98"/>
      <c r="Z2354" s="98"/>
      <c r="AA2354" s="98"/>
      <c r="AB2354" s="98"/>
      <c r="AC2354" s="98"/>
      <c r="AD2354" s="98"/>
      <c r="AE2354" s="98"/>
      <c r="AF2354" s="98"/>
      <c r="AG2354" s="98"/>
      <c r="AH2354" s="98"/>
      <c r="AI2354" s="98"/>
      <c r="AJ2354" s="98"/>
      <c r="AK2354" s="98"/>
      <c r="AL2354" s="98"/>
      <c r="AM2354" s="98"/>
    </row>
    <row r="2355" spans="1:39" s="100" customFormat="1" ht="15.6" x14ac:dyDescent="0.3">
      <c r="A2355" s="97"/>
      <c r="B2355" s="98"/>
      <c r="C2355" s="98"/>
      <c r="D2355" s="98"/>
      <c r="E2355" s="98"/>
      <c r="F2355" s="98"/>
      <c r="G2355" s="99"/>
      <c r="H2355" s="99"/>
      <c r="I2355" s="99"/>
      <c r="J2355" s="99"/>
      <c r="K2355" s="98"/>
      <c r="L2355" s="98"/>
      <c r="M2355" s="98"/>
      <c r="N2355" s="98"/>
      <c r="O2355" s="98"/>
      <c r="P2355" s="98"/>
      <c r="Q2355" s="98"/>
      <c r="R2355" s="98"/>
      <c r="S2355" s="98"/>
      <c r="T2355" s="98"/>
      <c r="U2355" s="98"/>
      <c r="V2355" s="98"/>
      <c r="W2355" s="98"/>
      <c r="X2355" s="98"/>
      <c r="Y2355" s="98"/>
      <c r="Z2355" s="98"/>
      <c r="AA2355" s="98"/>
      <c r="AB2355" s="98"/>
      <c r="AC2355" s="98"/>
      <c r="AD2355" s="98"/>
      <c r="AE2355" s="98"/>
      <c r="AF2355" s="98"/>
      <c r="AG2355" s="98"/>
      <c r="AH2355" s="98"/>
      <c r="AI2355" s="98"/>
      <c r="AJ2355" s="98"/>
      <c r="AK2355" s="98"/>
      <c r="AL2355" s="98"/>
      <c r="AM2355" s="98"/>
    </row>
    <row r="2356" spans="1:39" s="100" customFormat="1" ht="15.6" x14ac:dyDescent="0.3">
      <c r="A2356" s="97"/>
      <c r="B2356" s="98"/>
      <c r="C2356" s="98"/>
      <c r="D2356" s="98"/>
      <c r="E2356" s="98"/>
      <c r="F2356" s="98"/>
      <c r="G2356" s="99"/>
      <c r="H2356" s="99"/>
      <c r="I2356" s="99"/>
      <c r="J2356" s="99"/>
      <c r="K2356" s="98"/>
      <c r="L2356" s="98"/>
      <c r="M2356" s="98"/>
      <c r="N2356" s="98"/>
      <c r="O2356" s="98"/>
      <c r="P2356" s="98"/>
      <c r="Q2356" s="98"/>
      <c r="R2356" s="98"/>
      <c r="S2356" s="98"/>
      <c r="T2356" s="98"/>
      <c r="U2356" s="98"/>
      <c r="V2356" s="98"/>
      <c r="W2356" s="98"/>
      <c r="X2356" s="98"/>
      <c r="Y2356" s="98"/>
      <c r="Z2356" s="98"/>
      <c r="AA2356" s="98"/>
      <c r="AB2356" s="98"/>
      <c r="AC2356" s="98"/>
      <c r="AD2356" s="98"/>
      <c r="AE2356" s="98"/>
      <c r="AF2356" s="98"/>
      <c r="AG2356" s="98"/>
      <c r="AH2356" s="98"/>
      <c r="AI2356" s="98"/>
      <c r="AJ2356" s="98"/>
      <c r="AK2356" s="98"/>
      <c r="AL2356" s="98"/>
      <c r="AM2356" s="98"/>
    </row>
    <row r="2357" spans="1:39" s="100" customFormat="1" ht="15.6" x14ac:dyDescent="0.3">
      <c r="A2357" s="97"/>
      <c r="B2357" s="98"/>
      <c r="C2357" s="98"/>
      <c r="D2357" s="98"/>
      <c r="E2357" s="98"/>
      <c r="F2357" s="98"/>
      <c r="G2357" s="99"/>
      <c r="H2357" s="99"/>
      <c r="I2357" s="99"/>
      <c r="J2357" s="99"/>
      <c r="K2357" s="98"/>
      <c r="L2357" s="98"/>
      <c r="M2357" s="98"/>
      <c r="N2357" s="98"/>
      <c r="O2357" s="98"/>
      <c r="P2357" s="98"/>
      <c r="Q2357" s="98"/>
      <c r="R2357" s="98"/>
      <c r="S2357" s="98"/>
      <c r="T2357" s="98"/>
      <c r="U2357" s="98"/>
      <c r="V2357" s="98"/>
      <c r="W2357" s="98"/>
      <c r="X2357" s="98"/>
      <c r="Y2357" s="98"/>
      <c r="Z2357" s="98"/>
      <c r="AA2357" s="98"/>
      <c r="AB2357" s="98"/>
      <c r="AC2357" s="98"/>
      <c r="AD2357" s="98"/>
      <c r="AE2357" s="98"/>
      <c r="AF2357" s="98"/>
      <c r="AG2357" s="98"/>
      <c r="AH2357" s="98"/>
      <c r="AI2357" s="98"/>
      <c r="AJ2357" s="98"/>
      <c r="AK2357" s="98"/>
      <c r="AL2357" s="98"/>
      <c r="AM2357" s="98"/>
    </row>
    <row r="2358" spans="1:39" s="100" customFormat="1" ht="15.6" x14ac:dyDescent="0.3">
      <c r="A2358" s="97"/>
      <c r="B2358" s="98"/>
      <c r="C2358" s="98"/>
      <c r="D2358" s="98"/>
      <c r="E2358" s="98"/>
      <c r="F2358" s="98"/>
      <c r="G2358" s="99"/>
      <c r="H2358" s="99"/>
      <c r="I2358" s="99"/>
      <c r="J2358" s="99"/>
      <c r="K2358" s="98"/>
      <c r="L2358" s="98"/>
      <c r="M2358" s="98"/>
      <c r="N2358" s="98"/>
      <c r="O2358" s="98"/>
      <c r="P2358" s="98"/>
      <c r="Q2358" s="98"/>
      <c r="R2358" s="98"/>
      <c r="S2358" s="98"/>
      <c r="T2358" s="98"/>
      <c r="U2358" s="98"/>
      <c r="V2358" s="98"/>
      <c r="W2358" s="98"/>
      <c r="X2358" s="98"/>
      <c r="Y2358" s="98"/>
      <c r="Z2358" s="98"/>
      <c r="AA2358" s="98"/>
      <c r="AB2358" s="98"/>
      <c r="AC2358" s="98"/>
      <c r="AD2358" s="98"/>
      <c r="AE2358" s="98"/>
      <c r="AF2358" s="98"/>
      <c r="AG2358" s="98"/>
      <c r="AH2358" s="98"/>
      <c r="AI2358" s="98"/>
      <c r="AJ2358" s="98"/>
      <c r="AK2358" s="98"/>
      <c r="AL2358" s="98"/>
      <c r="AM2358" s="98"/>
    </row>
    <row r="2359" spans="1:39" s="100" customFormat="1" ht="15.6" x14ac:dyDescent="0.3">
      <c r="A2359" s="97"/>
      <c r="B2359" s="98"/>
      <c r="C2359" s="98"/>
      <c r="D2359" s="98"/>
      <c r="E2359" s="98"/>
      <c r="F2359" s="98"/>
      <c r="G2359" s="99"/>
      <c r="H2359" s="99"/>
      <c r="I2359" s="99"/>
      <c r="J2359" s="99"/>
      <c r="K2359" s="98"/>
      <c r="L2359" s="98"/>
      <c r="M2359" s="98"/>
      <c r="N2359" s="98"/>
      <c r="O2359" s="98"/>
      <c r="P2359" s="98"/>
      <c r="Q2359" s="98"/>
      <c r="R2359" s="98"/>
      <c r="S2359" s="98"/>
      <c r="T2359" s="98"/>
      <c r="U2359" s="98"/>
      <c r="V2359" s="98"/>
      <c r="W2359" s="98"/>
      <c r="X2359" s="98"/>
      <c r="Y2359" s="98"/>
      <c r="Z2359" s="98"/>
      <c r="AA2359" s="98"/>
      <c r="AB2359" s="98"/>
      <c r="AC2359" s="98"/>
      <c r="AD2359" s="98"/>
      <c r="AE2359" s="98"/>
      <c r="AF2359" s="98"/>
      <c r="AG2359" s="98"/>
      <c r="AH2359" s="98"/>
      <c r="AI2359" s="98"/>
      <c r="AJ2359" s="98"/>
      <c r="AK2359" s="98"/>
      <c r="AL2359" s="98"/>
      <c r="AM2359" s="98"/>
    </row>
    <row r="2360" spans="1:39" s="100" customFormat="1" ht="15.6" x14ac:dyDescent="0.3">
      <c r="A2360" s="97"/>
      <c r="B2360" s="98"/>
      <c r="C2360" s="98"/>
      <c r="D2360" s="98"/>
      <c r="E2360" s="98"/>
      <c r="F2360" s="98"/>
      <c r="G2360" s="99"/>
      <c r="H2360" s="99"/>
      <c r="I2360" s="99"/>
      <c r="J2360" s="99"/>
      <c r="K2360" s="98"/>
      <c r="L2360" s="98"/>
      <c r="M2360" s="98"/>
      <c r="N2360" s="98"/>
      <c r="O2360" s="98"/>
      <c r="P2360" s="98"/>
      <c r="Q2360" s="98"/>
      <c r="R2360" s="98"/>
      <c r="S2360" s="98"/>
      <c r="T2360" s="98"/>
      <c r="U2360" s="98"/>
      <c r="V2360" s="98"/>
      <c r="W2360" s="98"/>
      <c r="X2360" s="98"/>
      <c r="Y2360" s="98"/>
      <c r="Z2360" s="98"/>
      <c r="AA2360" s="98"/>
      <c r="AB2360" s="98"/>
      <c r="AC2360" s="98"/>
      <c r="AD2360" s="98"/>
      <c r="AE2360" s="98"/>
      <c r="AF2360" s="98"/>
      <c r="AG2360" s="98"/>
      <c r="AH2360" s="98"/>
      <c r="AI2360" s="98"/>
      <c r="AJ2360" s="98"/>
      <c r="AK2360" s="98"/>
      <c r="AL2360" s="98"/>
      <c r="AM2360" s="98"/>
    </row>
    <row r="2361" spans="1:39" s="100" customFormat="1" ht="15.6" x14ac:dyDescent="0.3">
      <c r="A2361" s="97"/>
      <c r="B2361" s="98"/>
      <c r="C2361" s="98"/>
      <c r="D2361" s="98"/>
      <c r="E2361" s="98"/>
      <c r="F2361" s="98"/>
      <c r="G2361" s="99"/>
      <c r="H2361" s="99"/>
      <c r="I2361" s="99"/>
      <c r="J2361" s="99"/>
      <c r="K2361" s="98"/>
      <c r="L2361" s="98"/>
      <c r="M2361" s="98"/>
      <c r="N2361" s="98"/>
      <c r="O2361" s="98"/>
      <c r="P2361" s="98"/>
      <c r="Q2361" s="98"/>
      <c r="R2361" s="98"/>
      <c r="S2361" s="98"/>
      <c r="T2361" s="98"/>
      <c r="U2361" s="98"/>
      <c r="V2361" s="98"/>
      <c r="W2361" s="98"/>
      <c r="X2361" s="98"/>
      <c r="Y2361" s="98"/>
      <c r="Z2361" s="98"/>
      <c r="AA2361" s="98"/>
      <c r="AB2361" s="98"/>
      <c r="AC2361" s="98"/>
      <c r="AD2361" s="98"/>
      <c r="AE2361" s="98"/>
      <c r="AF2361" s="98"/>
      <c r="AG2361" s="98"/>
      <c r="AH2361" s="98"/>
      <c r="AI2361" s="98"/>
      <c r="AJ2361" s="98"/>
      <c r="AK2361" s="98"/>
      <c r="AL2361" s="98"/>
      <c r="AM2361" s="98"/>
    </row>
    <row r="2362" spans="1:39" s="100" customFormat="1" ht="15.6" x14ac:dyDescent="0.3">
      <c r="A2362" s="97"/>
      <c r="B2362" s="98"/>
      <c r="C2362" s="98"/>
      <c r="D2362" s="98"/>
      <c r="E2362" s="98"/>
      <c r="F2362" s="98"/>
      <c r="G2362" s="99"/>
      <c r="H2362" s="99"/>
      <c r="I2362" s="99"/>
      <c r="J2362" s="99"/>
      <c r="K2362" s="98"/>
      <c r="L2362" s="98"/>
      <c r="M2362" s="98"/>
      <c r="N2362" s="98"/>
      <c r="O2362" s="98"/>
      <c r="P2362" s="98"/>
      <c r="Q2362" s="98"/>
      <c r="R2362" s="98"/>
      <c r="S2362" s="98"/>
      <c r="T2362" s="98"/>
      <c r="U2362" s="98"/>
      <c r="V2362" s="98"/>
      <c r="W2362" s="98"/>
      <c r="X2362" s="98"/>
      <c r="Y2362" s="98"/>
      <c r="Z2362" s="98"/>
      <c r="AA2362" s="98"/>
      <c r="AB2362" s="98"/>
      <c r="AC2362" s="98"/>
      <c r="AD2362" s="98"/>
      <c r="AE2362" s="98"/>
      <c r="AF2362" s="98"/>
      <c r="AG2362" s="98"/>
      <c r="AH2362" s="98"/>
      <c r="AI2362" s="98"/>
      <c r="AJ2362" s="98"/>
      <c r="AK2362" s="98"/>
      <c r="AL2362" s="98"/>
      <c r="AM2362" s="98"/>
    </row>
    <row r="2363" spans="1:39" s="100" customFormat="1" ht="15.6" x14ac:dyDescent="0.3">
      <c r="A2363" s="97"/>
      <c r="B2363" s="98"/>
      <c r="C2363" s="98"/>
      <c r="D2363" s="98"/>
      <c r="E2363" s="98"/>
      <c r="F2363" s="98"/>
      <c r="G2363" s="99"/>
      <c r="H2363" s="99"/>
      <c r="I2363" s="99"/>
      <c r="J2363" s="99"/>
      <c r="K2363" s="98"/>
      <c r="L2363" s="98"/>
      <c r="M2363" s="98"/>
      <c r="N2363" s="98"/>
      <c r="O2363" s="98"/>
      <c r="P2363" s="98"/>
      <c r="Q2363" s="98"/>
      <c r="R2363" s="98"/>
      <c r="S2363" s="98"/>
      <c r="T2363" s="98"/>
      <c r="U2363" s="98"/>
      <c r="V2363" s="98"/>
      <c r="W2363" s="98"/>
      <c r="X2363" s="98"/>
      <c r="Y2363" s="98"/>
      <c r="Z2363" s="98"/>
      <c r="AA2363" s="98"/>
      <c r="AB2363" s="98"/>
      <c r="AC2363" s="98"/>
      <c r="AD2363" s="98"/>
      <c r="AE2363" s="98"/>
      <c r="AF2363" s="98"/>
      <c r="AG2363" s="98"/>
      <c r="AH2363" s="98"/>
      <c r="AI2363" s="98"/>
      <c r="AJ2363" s="98"/>
      <c r="AK2363" s="98"/>
      <c r="AL2363" s="98"/>
      <c r="AM2363" s="98"/>
    </row>
    <row r="2364" spans="1:39" s="100" customFormat="1" ht="15.6" x14ac:dyDescent="0.3">
      <c r="A2364" s="97"/>
      <c r="B2364" s="98"/>
      <c r="C2364" s="98"/>
      <c r="D2364" s="98"/>
      <c r="E2364" s="98"/>
      <c r="F2364" s="98"/>
      <c r="G2364" s="99"/>
      <c r="H2364" s="99"/>
      <c r="I2364" s="99"/>
      <c r="J2364" s="99"/>
      <c r="K2364" s="98"/>
      <c r="L2364" s="98"/>
      <c r="M2364" s="98"/>
      <c r="N2364" s="98"/>
      <c r="O2364" s="98"/>
      <c r="P2364" s="98"/>
      <c r="Q2364" s="98"/>
      <c r="R2364" s="98"/>
      <c r="S2364" s="98"/>
      <c r="T2364" s="98"/>
      <c r="U2364" s="98"/>
      <c r="V2364" s="98"/>
      <c r="W2364" s="98"/>
      <c r="X2364" s="98"/>
      <c r="Y2364" s="98"/>
      <c r="Z2364" s="98"/>
      <c r="AA2364" s="98"/>
      <c r="AB2364" s="98"/>
      <c r="AC2364" s="98"/>
      <c r="AD2364" s="98"/>
      <c r="AE2364" s="98"/>
      <c r="AF2364" s="98"/>
      <c r="AG2364" s="98"/>
      <c r="AH2364" s="98"/>
      <c r="AI2364" s="98"/>
      <c r="AJ2364" s="98"/>
      <c r="AK2364" s="98"/>
      <c r="AL2364" s="98"/>
      <c r="AM2364" s="98"/>
    </row>
    <row r="2365" spans="1:39" s="100" customFormat="1" ht="15.6" x14ac:dyDescent="0.3">
      <c r="A2365" s="97"/>
      <c r="B2365" s="98"/>
      <c r="C2365" s="98"/>
      <c r="D2365" s="98"/>
      <c r="E2365" s="98"/>
      <c r="F2365" s="98"/>
      <c r="G2365" s="99"/>
      <c r="H2365" s="99"/>
      <c r="I2365" s="99"/>
      <c r="J2365" s="99"/>
      <c r="K2365" s="98"/>
      <c r="L2365" s="98"/>
      <c r="M2365" s="98"/>
      <c r="N2365" s="98"/>
      <c r="O2365" s="98"/>
      <c r="P2365" s="98"/>
      <c r="Q2365" s="98"/>
      <c r="R2365" s="98"/>
      <c r="S2365" s="98"/>
      <c r="T2365" s="98"/>
      <c r="U2365" s="98"/>
      <c r="V2365" s="98"/>
      <c r="W2365" s="98"/>
      <c r="X2365" s="98"/>
      <c r="Y2365" s="98"/>
      <c r="Z2365" s="98"/>
      <c r="AA2365" s="98"/>
      <c r="AB2365" s="98"/>
      <c r="AC2365" s="98"/>
      <c r="AD2365" s="98"/>
      <c r="AE2365" s="98"/>
      <c r="AF2365" s="98"/>
      <c r="AG2365" s="98"/>
      <c r="AH2365" s="98"/>
      <c r="AI2365" s="98"/>
      <c r="AJ2365" s="98"/>
      <c r="AK2365" s="98"/>
      <c r="AL2365" s="98"/>
      <c r="AM2365" s="98"/>
    </row>
    <row r="2366" spans="1:39" s="100" customFormat="1" ht="15.6" x14ac:dyDescent="0.3">
      <c r="A2366" s="97"/>
      <c r="B2366" s="98"/>
      <c r="C2366" s="98"/>
      <c r="D2366" s="98"/>
      <c r="E2366" s="98"/>
      <c r="F2366" s="98"/>
      <c r="G2366" s="99"/>
      <c r="H2366" s="99"/>
      <c r="I2366" s="99"/>
      <c r="J2366" s="99"/>
      <c r="K2366" s="98"/>
      <c r="L2366" s="98"/>
      <c r="M2366" s="98"/>
      <c r="N2366" s="98"/>
      <c r="O2366" s="98"/>
      <c r="P2366" s="98"/>
      <c r="Q2366" s="98"/>
      <c r="R2366" s="98"/>
      <c r="S2366" s="98"/>
      <c r="T2366" s="98"/>
      <c r="U2366" s="98"/>
      <c r="V2366" s="98"/>
      <c r="W2366" s="98"/>
      <c r="X2366" s="98"/>
      <c r="Y2366" s="98"/>
      <c r="Z2366" s="98"/>
      <c r="AA2366" s="98"/>
      <c r="AB2366" s="98"/>
      <c r="AC2366" s="98"/>
      <c r="AD2366" s="98"/>
      <c r="AE2366" s="98"/>
      <c r="AF2366" s="98"/>
      <c r="AG2366" s="98"/>
      <c r="AH2366" s="98"/>
      <c r="AI2366" s="98"/>
      <c r="AJ2366" s="98"/>
      <c r="AK2366" s="98"/>
      <c r="AL2366" s="98"/>
      <c r="AM2366" s="98"/>
    </row>
    <row r="2367" spans="1:39" s="100" customFormat="1" ht="15.6" x14ac:dyDescent="0.3">
      <c r="A2367" s="97"/>
      <c r="B2367" s="98"/>
      <c r="C2367" s="98"/>
      <c r="D2367" s="98"/>
      <c r="E2367" s="98"/>
      <c r="F2367" s="98"/>
      <c r="G2367" s="99"/>
      <c r="H2367" s="99"/>
      <c r="I2367" s="99"/>
      <c r="J2367" s="99"/>
      <c r="K2367" s="98"/>
      <c r="L2367" s="98"/>
      <c r="M2367" s="98"/>
      <c r="N2367" s="98"/>
      <c r="O2367" s="98"/>
      <c r="P2367" s="98"/>
      <c r="Q2367" s="98"/>
      <c r="R2367" s="98"/>
      <c r="S2367" s="98"/>
      <c r="T2367" s="98"/>
      <c r="U2367" s="98"/>
      <c r="V2367" s="98"/>
      <c r="W2367" s="98"/>
      <c r="X2367" s="98"/>
      <c r="Y2367" s="98"/>
      <c r="Z2367" s="98"/>
      <c r="AA2367" s="98"/>
      <c r="AB2367" s="98"/>
      <c r="AC2367" s="98"/>
      <c r="AD2367" s="98"/>
      <c r="AE2367" s="98"/>
      <c r="AF2367" s="98"/>
      <c r="AG2367" s="98"/>
      <c r="AH2367" s="98"/>
      <c r="AI2367" s="98"/>
      <c r="AJ2367" s="98"/>
      <c r="AK2367" s="98"/>
      <c r="AL2367" s="98"/>
      <c r="AM2367" s="98"/>
    </row>
    <row r="2368" spans="1:39" s="100" customFormat="1" ht="15.6" x14ac:dyDescent="0.3">
      <c r="A2368" s="97"/>
      <c r="B2368" s="98"/>
      <c r="C2368" s="98"/>
      <c r="D2368" s="98"/>
      <c r="E2368" s="98"/>
      <c r="F2368" s="98"/>
      <c r="G2368" s="99"/>
      <c r="H2368" s="99"/>
      <c r="I2368" s="99"/>
      <c r="J2368" s="99"/>
      <c r="K2368" s="98"/>
      <c r="L2368" s="98"/>
      <c r="M2368" s="98"/>
      <c r="N2368" s="98"/>
      <c r="O2368" s="98"/>
      <c r="P2368" s="98"/>
      <c r="Q2368" s="98"/>
      <c r="R2368" s="98"/>
      <c r="S2368" s="98"/>
      <c r="T2368" s="98"/>
      <c r="U2368" s="98"/>
      <c r="V2368" s="98"/>
      <c r="W2368" s="98"/>
      <c r="X2368" s="98"/>
      <c r="Y2368" s="98"/>
      <c r="Z2368" s="98"/>
      <c r="AA2368" s="98"/>
      <c r="AB2368" s="98"/>
      <c r="AC2368" s="98"/>
      <c r="AD2368" s="98"/>
      <c r="AE2368" s="98"/>
      <c r="AF2368" s="98"/>
      <c r="AG2368" s="98"/>
      <c r="AH2368" s="98"/>
      <c r="AI2368" s="98"/>
      <c r="AJ2368" s="98"/>
      <c r="AK2368" s="98"/>
      <c r="AL2368" s="98"/>
      <c r="AM2368" s="98"/>
    </row>
    <row r="2369" spans="1:39" s="100" customFormat="1" ht="15.6" x14ac:dyDescent="0.3">
      <c r="A2369" s="97"/>
      <c r="B2369" s="98"/>
      <c r="C2369" s="98"/>
      <c r="D2369" s="98"/>
      <c r="E2369" s="98"/>
      <c r="F2369" s="98"/>
      <c r="G2369" s="99"/>
      <c r="H2369" s="99"/>
      <c r="I2369" s="99"/>
      <c r="J2369" s="99"/>
      <c r="K2369" s="98"/>
      <c r="L2369" s="98"/>
      <c r="M2369" s="98"/>
      <c r="N2369" s="98"/>
      <c r="O2369" s="98"/>
      <c r="P2369" s="98"/>
      <c r="Q2369" s="98"/>
      <c r="R2369" s="98"/>
      <c r="S2369" s="98"/>
      <c r="T2369" s="98"/>
      <c r="U2369" s="98"/>
      <c r="V2369" s="98"/>
      <c r="W2369" s="98"/>
      <c r="X2369" s="98"/>
      <c r="Y2369" s="98"/>
      <c r="Z2369" s="98"/>
      <c r="AA2369" s="98"/>
      <c r="AB2369" s="98"/>
      <c r="AC2369" s="98"/>
      <c r="AD2369" s="98"/>
      <c r="AE2369" s="98"/>
      <c r="AF2369" s="98"/>
      <c r="AG2369" s="98"/>
      <c r="AH2369" s="98"/>
      <c r="AI2369" s="98"/>
      <c r="AJ2369" s="98"/>
      <c r="AK2369" s="98"/>
      <c r="AL2369" s="98"/>
      <c r="AM2369" s="98"/>
    </row>
    <row r="2370" spans="1:39" s="100" customFormat="1" ht="15.6" x14ac:dyDescent="0.3">
      <c r="A2370" s="97"/>
      <c r="B2370" s="98"/>
      <c r="C2370" s="98"/>
      <c r="D2370" s="98"/>
      <c r="E2370" s="98"/>
      <c r="F2370" s="98"/>
      <c r="G2370" s="99"/>
      <c r="H2370" s="99"/>
      <c r="I2370" s="99"/>
      <c r="J2370" s="99"/>
      <c r="K2370" s="98"/>
      <c r="L2370" s="98"/>
      <c r="M2370" s="98"/>
      <c r="N2370" s="98"/>
      <c r="O2370" s="98"/>
      <c r="P2370" s="98"/>
      <c r="Q2370" s="98"/>
      <c r="R2370" s="98"/>
      <c r="S2370" s="98"/>
      <c r="T2370" s="98"/>
      <c r="U2370" s="98"/>
      <c r="V2370" s="98"/>
      <c r="W2370" s="98"/>
      <c r="X2370" s="98"/>
      <c r="Y2370" s="98"/>
      <c r="Z2370" s="98"/>
      <c r="AA2370" s="98"/>
      <c r="AB2370" s="98"/>
      <c r="AC2370" s="98"/>
      <c r="AD2370" s="98"/>
      <c r="AE2370" s="98"/>
      <c r="AF2370" s="98"/>
      <c r="AG2370" s="98"/>
      <c r="AH2370" s="98"/>
      <c r="AI2370" s="98"/>
      <c r="AJ2370" s="98"/>
      <c r="AK2370" s="98"/>
      <c r="AL2370" s="98"/>
      <c r="AM2370" s="98"/>
    </row>
    <row r="2371" spans="1:39" s="100" customFormat="1" ht="15.6" x14ac:dyDescent="0.3">
      <c r="A2371" s="97"/>
      <c r="B2371" s="98"/>
      <c r="C2371" s="98"/>
      <c r="D2371" s="98"/>
      <c r="E2371" s="98"/>
      <c r="F2371" s="98"/>
      <c r="G2371" s="99"/>
      <c r="H2371" s="99"/>
      <c r="I2371" s="99"/>
      <c r="J2371" s="99"/>
      <c r="K2371" s="98"/>
      <c r="L2371" s="98"/>
      <c r="M2371" s="98"/>
      <c r="N2371" s="98"/>
      <c r="O2371" s="98"/>
      <c r="P2371" s="98"/>
      <c r="Q2371" s="98"/>
      <c r="R2371" s="98"/>
      <c r="S2371" s="98"/>
      <c r="T2371" s="98"/>
      <c r="U2371" s="98"/>
      <c r="V2371" s="98"/>
      <c r="W2371" s="98"/>
      <c r="X2371" s="98"/>
      <c r="Y2371" s="98"/>
      <c r="Z2371" s="98"/>
      <c r="AA2371" s="98"/>
      <c r="AB2371" s="98"/>
      <c r="AC2371" s="98"/>
      <c r="AD2371" s="98"/>
      <c r="AE2371" s="98"/>
      <c r="AF2371" s="98"/>
      <c r="AG2371" s="98"/>
      <c r="AH2371" s="98"/>
      <c r="AI2371" s="98"/>
      <c r="AJ2371" s="98"/>
      <c r="AK2371" s="98"/>
      <c r="AL2371" s="98"/>
      <c r="AM2371" s="98"/>
    </row>
    <row r="2372" spans="1:39" s="100" customFormat="1" ht="15.6" x14ac:dyDescent="0.3">
      <c r="A2372" s="97"/>
      <c r="B2372" s="98"/>
      <c r="C2372" s="98"/>
      <c r="D2372" s="98"/>
      <c r="E2372" s="98"/>
      <c r="F2372" s="98"/>
      <c r="G2372" s="99"/>
      <c r="H2372" s="99"/>
      <c r="I2372" s="99"/>
      <c r="J2372" s="99"/>
      <c r="K2372" s="98"/>
      <c r="L2372" s="98"/>
      <c r="M2372" s="98"/>
      <c r="N2372" s="98"/>
      <c r="O2372" s="98"/>
      <c r="P2372" s="98"/>
      <c r="Q2372" s="98"/>
      <c r="R2372" s="98"/>
      <c r="S2372" s="98"/>
      <c r="T2372" s="98"/>
      <c r="U2372" s="98"/>
      <c r="V2372" s="98"/>
      <c r="W2372" s="98"/>
      <c r="X2372" s="98"/>
      <c r="Y2372" s="98"/>
      <c r="Z2372" s="98"/>
      <c r="AA2372" s="98"/>
      <c r="AB2372" s="98"/>
      <c r="AC2372" s="98"/>
      <c r="AD2372" s="98"/>
      <c r="AE2372" s="98"/>
      <c r="AF2372" s="98"/>
      <c r="AG2372" s="98"/>
      <c r="AH2372" s="98"/>
      <c r="AI2372" s="98"/>
      <c r="AJ2372" s="98"/>
      <c r="AK2372" s="98"/>
      <c r="AL2372" s="98"/>
      <c r="AM2372" s="98"/>
    </row>
    <row r="2373" spans="1:39" s="100" customFormat="1" ht="15.6" x14ac:dyDescent="0.3">
      <c r="A2373" s="97"/>
      <c r="B2373" s="98"/>
      <c r="C2373" s="98"/>
      <c r="D2373" s="98"/>
      <c r="E2373" s="98"/>
      <c r="F2373" s="98"/>
      <c r="G2373" s="99"/>
      <c r="H2373" s="99"/>
      <c r="I2373" s="99"/>
      <c r="J2373" s="99"/>
      <c r="K2373" s="98"/>
      <c r="L2373" s="98"/>
      <c r="M2373" s="98"/>
      <c r="N2373" s="98"/>
      <c r="O2373" s="98"/>
      <c r="P2373" s="98"/>
      <c r="Q2373" s="98"/>
      <c r="R2373" s="98"/>
      <c r="S2373" s="98"/>
      <c r="T2373" s="98"/>
      <c r="U2373" s="98"/>
      <c r="V2373" s="98"/>
      <c r="W2373" s="98"/>
      <c r="X2373" s="98"/>
      <c r="Y2373" s="98"/>
      <c r="Z2373" s="98"/>
      <c r="AA2373" s="98"/>
      <c r="AB2373" s="98"/>
      <c r="AC2373" s="98"/>
      <c r="AD2373" s="98"/>
      <c r="AE2373" s="98"/>
      <c r="AF2373" s="98"/>
      <c r="AG2373" s="98"/>
      <c r="AH2373" s="98"/>
      <c r="AI2373" s="98"/>
      <c r="AJ2373" s="98"/>
      <c r="AK2373" s="98"/>
      <c r="AL2373" s="98"/>
      <c r="AM2373" s="98"/>
    </row>
    <row r="2374" spans="1:39" s="100" customFormat="1" ht="15.6" x14ac:dyDescent="0.3">
      <c r="A2374" s="97"/>
      <c r="B2374" s="98"/>
      <c r="C2374" s="98"/>
      <c r="D2374" s="98"/>
      <c r="E2374" s="98"/>
      <c r="F2374" s="98"/>
      <c r="G2374" s="99"/>
      <c r="H2374" s="99"/>
      <c r="I2374" s="99"/>
      <c r="J2374" s="99"/>
      <c r="K2374" s="98"/>
      <c r="L2374" s="98"/>
      <c r="M2374" s="98"/>
      <c r="N2374" s="98"/>
      <c r="O2374" s="98"/>
      <c r="P2374" s="98"/>
      <c r="Q2374" s="98"/>
      <c r="R2374" s="98"/>
      <c r="S2374" s="98"/>
      <c r="T2374" s="98"/>
      <c r="U2374" s="98"/>
      <c r="V2374" s="98"/>
      <c r="W2374" s="98"/>
      <c r="X2374" s="98"/>
      <c r="Y2374" s="98"/>
      <c r="Z2374" s="98"/>
      <c r="AA2374" s="98"/>
      <c r="AB2374" s="98"/>
      <c r="AC2374" s="98"/>
      <c r="AD2374" s="98"/>
      <c r="AE2374" s="98"/>
      <c r="AF2374" s="98"/>
      <c r="AG2374" s="98"/>
      <c r="AH2374" s="98"/>
      <c r="AI2374" s="98"/>
      <c r="AJ2374" s="98"/>
      <c r="AK2374" s="98"/>
      <c r="AL2374" s="98"/>
      <c r="AM2374" s="98"/>
    </row>
    <row r="2375" spans="1:39" s="100" customFormat="1" ht="15.6" x14ac:dyDescent="0.3">
      <c r="A2375" s="97"/>
      <c r="B2375" s="98"/>
      <c r="C2375" s="98"/>
      <c r="D2375" s="98"/>
      <c r="E2375" s="98"/>
      <c r="F2375" s="98"/>
      <c r="G2375" s="99"/>
      <c r="H2375" s="99"/>
      <c r="I2375" s="99"/>
      <c r="J2375" s="99"/>
      <c r="K2375" s="98"/>
      <c r="L2375" s="98"/>
      <c r="M2375" s="98"/>
      <c r="N2375" s="98"/>
      <c r="O2375" s="98"/>
      <c r="P2375" s="98"/>
      <c r="Q2375" s="98"/>
      <c r="R2375" s="98"/>
      <c r="S2375" s="98"/>
      <c r="T2375" s="98"/>
      <c r="U2375" s="98"/>
      <c r="V2375" s="98"/>
      <c r="W2375" s="98"/>
      <c r="X2375" s="98"/>
      <c r="Y2375" s="98"/>
      <c r="Z2375" s="98"/>
      <c r="AA2375" s="98"/>
      <c r="AB2375" s="98"/>
      <c r="AC2375" s="98"/>
      <c r="AD2375" s="98"/>
      <c r="AE2375" s="98"/>
      <c r="AF2375" s="98"/>
      <c r="AG2375" s="98"/>
      <c r="AH2375" s="98"/>
      <c r="AI2375" s="98"/>
      <c r="AJ2375" s="98"/>
      <c r="AK2375" s="98"/>
      <c r="AL2375" s="98"/>
      <c r="AM2375" s="98"/>
    </row>
    <row r="2376" spans="1:39" s="100" customFormat="1" ht="15.6" x14ac:dyDescent="0.3">
      <c r="A2376" s="97"/>
      <c r="B2376" s="98"/>
      <c r="C2376" s="98"/>
      <c r="D2376" s="98"/>
      <c r="E2376" s="98"/>
      <c r="F2376" s="98"/>
      <c r="G2376" s="99"/>
      <c r="H2376" s="99"/>
      <c r="I2376" s="99"/>
      <c r="J2376" s="99"/>
      <c r="K2376" s="98"/>
      <c r="L2376" s="98"/>
      <c r="M2376" s="98"/>
      <c r="N2376" s="98"/>
      <c r="O2376" s="98"/>
      <c r="P2376" s="98"/>
      <c r="Q2376" s="98"/>
      <c r="R2376" s="98"/>
      <c r="S2376" s="98"/>
      <c r="T2376" s="98"/>
      <c r="U2376" s="98"/>
      <c r="V2376" s="98"/>
      <c r="W2376" s="98"/>
      <c r="X2376" s="98"/>
      <c r="Y2376" s="98"/>
      <c r="Z2376" s="98"/>
      <c r="AA2376" s="98"/>
      <c r="AB2376" s="98"/>
      <c r="AC2376" s="98"/>
      <c r="AD2376" s="98"/>
      <c r="AE2376" s="98"/>
      <c r="AF2376" s="98"/>
      <c r="AG2376" s="98"/>
      <c r="AH2376" s="98"/>
      <c r="AI2376" s="98"/>
      <c r="AJ2376" s="98"/>
      <c r="AK2376" s="98"/>
      <c r="AL2376" s="98"/>
      <c r="AM2376" s="98"/>
    </row>
    <row r="2377" spans="1:39" s="100" customFormat="1" ht="15.6" x14ac:dyDescent="0.3">
      <c r="A2377" s="97"/>
      <c r="B2377" s="98"/>
      <c r="C2377" s="98"/>
      <c r="D2377" s="98"/>
      <c r="E2377" s="98"/>
      <c r="F2377" s="98"/>
      <c r="G2377" s="99"/>
      <c r="H2377" s="99"/>
      <c r="I2377" s="99"/>
      <c r="J2377" s="99"/>
      <c r="K2377" s="98"/>
      <c r="L2377" s="98"/>
      <c r="M2377" s="98"/>
      <c r="N2377" s="98"/>
      <c r="O2377" s="98"/>
      <c r="P2377" s="98"/>
      <c r="Q2377" s="98"/>
      <c r="R2377" s="98"/>
      <c r="S2377" s="98"/>
      <c r="T2377" s="98"/>
      <c r="U2377" s="98"/>
      <c r="V2377" s="98"/>
      <c r="W2377" s="98"/>
      <c r="X2377" s="98"/>
      <c r="Y2377" s="98"/>
      <c r="Z2377" s="98"/>
      <c r="AA2377" s="98"/>
      <c r="AB2377" s="98"/>
      <c r="AC2377" s="98"/>
      <c r="AD2377" s="98"/>
      <c r="AE2377" s="98"/>
      <c r="AF2377" s="98"/>
      <c r="AG2377" s="98"/>
      <c r="AH2377" s="98"/>
      <c r="AI2377" s="98"/>
      <c r="AJ2377" s="98"/>
      <c r="AK2377" s="98"/>
      <c r="AL2377" s="98"/>
      <c r="AM2377" s="98"/>
    </row>
    <row r="2378" spans="1:39" s="100" customFormat="1" ht="15.6" x14ac:dyDescent="0.3">
      <c r="A2378" s="97"/>
      <c r="B2378" s="98"/>
      <c r="C2378" s="98"/>
      <c r="D2378" s="98"/>
      <c r="E2378" s="98"/>
      <c r="F2378" s="98"/>
      <c r="G2378" s="99"/>
      <c r="H2378" s="99"/>
      <c r="I2378" s="99"/>
      <c r="J2378" s="99"/>
      <c r="K2378" s="98"/>
      <c r="L2378" s="98"/>
      <c r="M2378" s="98"/>
      <c r="N2378" s="98"/>
      <c r="O2378" s="98"/>
      <c r="P2378" s="98"/>
      <c r="Q2378" s="98"/>
      <c r="R2378" s="98"/>
      <c r="S2378" s="98"/>
      <c r="T2378" s="98"/>
      <c r="U2378" s="98"/>
      <c r="V2378" s="98"/>
      <c r="W2378" s="98"/>
      <c r="X2378" s="98"/>
      <c r="Y2378" s="98"/>
      <c r="Z2378" s="98"/>
      <c r="AA2378" s="98"/>
      <c r="AB2378" s="98"/>
      <c r="AC2378" s="98"/>
      <c r="AD2378" s="98"/>
      <c r="AE2378" s="98"/>
      <c r="AF2378" s="98"/>
      <c r="AG2378" s="98"/>
      <c r="AH2378" s="98"/>
      <c r="AI2378" s="98"/>
      <c r="AJ2378" s="98"/>
      <c r="AK2378" s="98"/>
      <c r="AL2378" s="98"/>
      <c r="AM2378" s="98"/>
    </row>
    <row r="2379" spans="1:39" s="100" customFormat="1" ht="15.6" x14ac:dyDescent="0.3">
      <c r="A2379" s="97"/>
      <c r="B2379" s="98"/>
      <c r="C2379" s="98"/>
      <c r="D2379" s="98"/>
      <c r="E2379" s="98"/>
      <c r="F2379" s="98"/>
      <c r="G2379" s="99"/>
      <c r="H2379" s="99"/>
      <c r="I2379" s="99"/>
      <c r="J2379" s="99"/>
      <c r="K2379" s="98"/>
      <c r="L2379" s="98"/>
      <c r="M2379" s="98"/>
      <c r="N2379" s="98"/>
      <c r="O2379" s="98"/>
      <c r="P2379" s="98"/>
      <c r="Q2379" s="98"/>
      <c r="R2379" s="98"/>
      <c r="S2379" s="98"/>
      <c r="T2379" s="98"/>
      <c r="U2379" s="98"/>
      <c r="V2379" s="98"/>
      <c r="W2379" s="98"/>
      <c r="X2379" s="98"/>
      <c r="Y2379" s="98"/>
      <c r="Z2379" s="98"/>
      <c r="AA2379" s="98"/>
      <c r="AB2379" s="98"/>
      <c r="AC2379" s="98"/>
      <c r="AD2379" s="98"/>
      <c r="AE2379" s="98"/>
      <c r="AF2379" s="98"/>
      <c r="AG2379" s="98"/>
      <c r="AH2379" s="98"/>
      <c r="AI2379" s="98"/>
      <c r="AJ2379" s="98"/>
      <c r="AK2379" s="98"/>
      <c r="AL2379" s="98"/>
      <c r="AM2379" s="98"/>
    </row>
    <row r="2380" spans="1:39" s="100" customFormat="1" ht="15.6" x14ac:dyDescent="0.3">
      <c r="A2380" s="97"/>
      <c r="B2380" s="98"/>
      <c r="C2380" s="98"/>
      <c r="D2380" s="98"/>
      <c r="E2380" s="98"/>
      <c r="F2380" s="98"/>
      <c r="G2380" s="99"/>
      <c r="H2380" s="99"/>
      <c r="I2380" s="99"/>
      <c r="J2380" s="99"/>
      <c r="K2380" s="98"/>
      <c r="L2380" s="98"/>
      <c r="M2380" s="98"/>
      <c r="N2380" s="98"/>
      <c r="O2380" s="98"/>
      <c r="P2380" s="98"/>
      <c r="Q2380" s="98"/>
      <c r="R2380" s="98"/>
      <c r="S2380" s="98"/>
      <c r="T2380" s="98"/>
      <c r="U2380" s="98"/>
      <c r="V2380" s="98"/>
      <c r="W2380" s="98"/>
      <c r="X2380" s="98"/>
      <c r="Y2380" s="98"/>
      <c r="Z2380" s="98"/>
      <c r="AA2380" s="98"/>
      <c r="AB2380" s="98"/>
      <c r="AC2380" s="98"/>
      <c r="AD2380" s="98"/>
      <c r="AE2380" s="98"/>
      <c r="AF2380" s="98"/>
      <c r="AG2380" s="98"/>
      <c r="AH2380" s="98"/>
      <c r="AI2380" s="98"/>
      <c r="AJ2380" s="98"/>
      <c r="AK2380" s="98"/>
      <c r="AL2380" s="98"/>
      <c r="AM2380" s="98"/>
    </row>
    <row r="2381" spans="1:39" s="100" customFormat="1" ht="15.6" x14ac:dyDescent="0.3">
      <c r="A2381" s="97"/>
      <c r="B2381" s="98"/>
      <c r="C2381" s="98"/>
      <c r="D2381" s="98"/>
      <c r="E2381" s="98"/>
      <c r="F2381" s="98"/>
      <c r="G2381" s="99"/>
      <c r="H2381" s="99"/>
      <c r="I2381" s="99"/>
      <c r="J2381" s="99"/>
      <c r="K2381" s="98"/>
      <c r="L2381" s="98"/>
      <c r="M2381" s="98"/>
      <c r="N2381" s="98"/>
      <c r="O2381" s="98"/>
      <c r="P2381" s="98"/>
      <c r="Q2381" s="98"/>
      <c r="R2381" s="98"/>
      <c r="S2381" s="98"/>
      <c r="T2381" s="98"/>
      <c r="U2381" s="98"/>
      <c r="V2381" s="98"/>
      <c r="W2381" s="98"/>
      <c r="X2381" s="98"/>
      <c r="Y2381" s="98"/>
      <c r="Z2381" s="98"/>
      <c r="AA2381" s="98"/>
      <c r="AB2381" s="98"/>
      <c r="AC2381" s="98"/>
      <c r="AD2381" s="98"/>
      <c r="AE2381" s="98"/>
      <c r="AF2381" s="98"/>
      <c r="AG2381" s="98"/>
      <c r="AH2381" s="98"/>
      <c r="AI2381" s="98"/>
      <c r="AJ2381" s="98"/>
      <c r="AK2381" s="98"/>
      <c r="AL2381" s="98"/>
      <c r="AM2381" s="98"/>
    </row>
    <row r="2382" spans="1:39" s="100" customFormat="1" ht="15.6" x14ac:dyDescent="0.3">
      <c r="A2382" s="97"/>
      <c r="B2382" s="98"/>
      <c r="C2382" s="98"/>
      <c r="D2382" s="98"/>
      <c r="E2382" s="98"/>
      <c r="F2382" s="98"/>
      <c r="G2382" s="99"/>
      <c r="H2382" s="99"/>
      <c r="I2382" s="99"/>
      <c r="J2382" s="99"/>
      <c r="K2382" s="98"/>
      <c r="L2382" s="98"/>
      <c r="M2382" s="98"/>
      <c r="N2382" s="98"/>
      <c r="O2382" s="98"/>
      <c r="P2382" s="98"/>
      <c r="Q2382" s="98"/>
      <c r="R2382" s="98"/>
      <c r="S2382" s="98"/>
      <c r="T2382" s="98"/>
      <c r="U2382" s="98"/>
      <c r="V2382" s="98"/>
      <c r="W2382" s="98"/>
      <c r="X2382" s="98"/>
      <c r="Y2382" s="98"/>
      <c r="Z2382" s="98"/>
      <c r="AA2382" s="98"/>
      <c r="AB2382" s="98"/>
      <c r="AC2382" s="98"/>
      <c r="AD2382" s="98"/>
      <c r="AE2382" s="98"/>
      <c r="AF2382" s="98"/>
      <c r="AG2382" s="98"/>
      <c r="AH2382" s="98"/>
      <c r="AI2382" s="98"/>
      <c r="AJ2382" s="98"/>
      <c r="AK2382" s="98"/>
      <c r="AL2382" s="98"/>
      <c r="AM2382" s="98"/>
    </row>
    <row r="2383" spans="1:39" s="100" customFormat="1" ht="15.6" x14ac:dyDescent="0.3">
      <c r="A2383" s="97"/>
      <c r="B2383" s="98"/>
      <c r="C2383" s="98"/>
      <c r="D2383" s="98"/>
      <c r="E2383" s="98"/>
      <c r="F2383" s="98"/>
      <c r="G2383" s="99"/>
      <c r="H2383" s="99"/>
      <c r="I2383" s="99"/>
      <c r="J2383" s="99"/>
      <c r="K2383" s="98"/>
      <c r="L2383" s="98"/>
      <c r="M2383" s="98"/>
      <c r="N2383" s="98"/>
      <c r="O2383" s="98"/>
      <c r="P2383" s="98"/>
      <c r="Q2383" s="98"/>
      <c r="R2383" s="98"/>
      <c r="S2383" s="98"/>
      <c r="T2383" s="98"/>
      <c r="U2383" s="98"/>
      <c r="V2383" s="98"/>
      <c r="W2383" s="98"/>
      <c r="X2383" s="98"/>
      <c r="Y2383" s="98"/>
      <c r="Z2383" s="98"/>
      <c r="AA2383" s="98"/>
      <c r="AB2383" s="98"/>
      <c r="AC2383" s="98"/>
      <c r="AD2383" s="98"/>
      <c r="AE2383" s="98"/>
      <c r="AF2383" s="98"/>
      <c r="AG2383" s="98"/>
      <c r="AH2383" s="98"/>
      <c r="AI2383" s="98"/>
      <c r="AJ2383" s="98"/>
      <c r="AK2383" s="98"/>
      <c r="AL2383" s="98"/>
      <c r="AM2383" s="98"/>
    </row>
    <row r="2384" spans="1:39" s="100" customFormat="1" ht="15.6" x14ac:dyDescent="0.3">
      <c r="A2384" s="97"/>
      <c r="B2384" s="98"/>
      <c r="C2384" s="98"/>
      <c r="D2384" s="98"/>
      <c r="E2384" s="98"/>
      <c r="F2384" s="98"/>
      <c r="G2384" s="99"/>
      <c r="H2384" s="99"/>
      <c r="I2384" s="99"/>
      <c r="J2384" s="99"/>
      <c r="K2384" s="98"/>
      <c r="L2384" s="98"/>
      <c r="M2384" s="98"/>
      <c r="N2384" s="98"/>
      <c r="O2384" s="98"/>
      <c r="P2384" s="98"/>
      <c r="Q2384" s="98"/>
      <c r="R2384" s="98"/>
      <c r="S2384" s="98"/>
      <c r="T2384" s="98"/>
      <c r="U2384" s="98"/>
      <c r="V2384" s="98"/>
      <c r="W2384" s="98"/>
      <c r="X2384" s="98"/>
      <c r="Y2384" s="98"/>
      <c r="Z2384" s="98"/>
      <c r="AA2384" s="98"/>
      <c r="AB2384" s="98"/>
      <c r="AC2384" s="98"/>
      <c r="AD2384" s="98"/>
      <c r="AE2384" s="98"/>
      <c r="AF2384" s="98"/>
      <c r="AG2384" s="98"/>
      <c r="AH2384" s="98"/>
      <c r="AI2384" s="98"/>
      <c r="AJ2384" s="98"/>
      <c r="AK2384" s="98"/>
      <c r="AL2384" s="98"/>
      <c r="AM2384" s="98"/>
    </row>
    <row r="2385" spans="1:39" s="100" customFormat="1" ht="15.6" x14ac:dyDescent="0.3">
      <c r="A2385" s="97"/>
      <c r="B2385" s="98"/>
      <c r="C2385" s="98"/>
      <c r="D2385" s="98"/>
      <c r="E2385" s="98"/>
      <c r="F2385" s="98"/>
      <c r="G2385" s="99"/>
      <c r="H2385" s="99"/>
      <c r="I2385" s="99"/>
      <c r="J2385" s="99"/>
      <c r="K2385" s="98"/>
      <c r="L2385" s="98"/>
      <c r="M2385" s="98"/>
      <c r="N2385" s="98"/>
      <c r="O2385" s="98"/>
      <c r="P2385" s="98"/>
      <c r="Q2385" s="98"/>
      <c r="R2385" s="98"/>
      <c r="S2385" s="98"/>
      <c r="T2385" s="98"/>
      <c r="U2385" s="98"/>
      <c r="V2385" s="98"/>
      <c r="W2385" s="98"/>
      <c r="X2385" s="98"/>
      <c r="Y2385" s="98"/>
      <c r="Z2385" s="98"/>
      <c r="AA2385" s="98"/>
      <c r="AB2385" s="98"/>
      <c r="AC2385" s="98"/>
      <c r="AD2385" s="98"/>
      <c r="AE2385" s="98"/>
      <c r="AF2385" s="98"/>
      <c r="AG2385" s="98"/>
      <c r="AH2385" s="98"/>
      <c r="AI2385" s="98"/>
      <c r="AJ2385" s="98"/>
      <c r="AK2385" s="98"/>
      <c r="AL2385" s="98"/>
      <c r="AM2385" s="98"/>
    </row>
    <row r="2386" spans="1:39" s="100" customFormat="1" ht="15.6" x14ac:dyDescent="0.3">
      <c r="A2386" s="97"/>
      <c r="B2386" s="98"/>
      <c r="C2386" s="98"/>
      <c r="D2386" s="98"/>
      <c r="E2386" s="98"/>
      <c r="F2386" s="98"/>
      <c r="G2386" s="99"/>
      <c r="H2386" s="99"/>
      <c r="I2386" s="99"/>
      <c r="J2386" s="99"/>
      <c r="K2386" s="98"/>
      <c r="L2386" s="98"/>
      <c r="M2386" s="98"/>
      <c r="N2386" s="98"/>
      <c r="O2386" s="98"/>
      <c r="P2386" s="98"/>
      <c r="Q2386" s="98"/>
      <c r="R2386" s="98"/>
      <c r="S2386" s="98"/>
      <c r="T2386" s="98"/>
      <c r="U2386" s="98"/>
      <c r="V2386" s="98"/>
      <c r="W2386" s="98"/>
      <c r="X2386" s="98"/>
      <c r="Y2386" s="98"/>
      <c r="Z2386" s="98"/>
      <c r="AA2386" s="98"/>
      <c r="AB2386" s="98"/>
      <c r="AC2386" s="98"/>
      <c r="AD2386" s="98"/>
      <c r="AE2386" s="98"/>
      <c r="AF2386" s="98"/>
      <c r="AG2386" s="98"/>
      <c r="AH2386" s="98"/>
      <c r="AI2386" s="98"/>
      <c r="AJ2386" s="98"/>
      <c r="AK2386" s="98"/>
      <c r="AL2386" s="98"/>
      <c r="AM2386" s="98"/>
    </row>
    <row r="2387" spans="1:39" s="100" customFormat="1" ht="15.6" x14ac:dyDescent="0.3">
      <c r="A2387" s="97"/>
      <c r="B2387" s="98"/>
      <c r="C2387" s="98"/>
      <c r="D2387" s="98"/>
      <c r="E2387" s="98"/>
      <c r="F2387" s="98"/>
      <c r="G2387" s="99"/>
      <c r="H2387" s="99"/>
      <c r="I2387" s="99"/>
      <c r="J2387" s="99"/>
      <c r="K2387" s="98"/>
      <c r="L2387" s="98"/>
      <c r="M2387" s="98"/>
      <c r="N2387" s="98"/>
      <c r="O2387" s="98"/>
      <c r="P2387" s="98"/>
      <c r="Q2387" s="98"/>
      <c r="R2387" s="98"/>
      <c r="S2387" s="98"/>
      <c r="T2387" s="98"/>
      <c r="U2387" s="98"/>
      <c r="V2387" s="98"/>
      <c r="W2387" s="98"/>
      <c r="X2387" s="98"/>
      <c r="Y2387" s="98"/>
      <c r="Z2387" s="98"/>
      <c r="AA2387" s="98"/>
      <c r="AB2387" s="98"/>
      <c r="AC2387" s="98"/>
      <c r="AD2387" s="98"/>
      <c r="AE2387" s="98"/>
      <c r="AF2387" s="98"/>
      <c r="AG2387" s="98"/>
      <c r="AH2387" s="98"/>
      <c r="AI2387" s="98"/>
      <c r="AJ2387" s="98"/>
      <c r="AK2387" s="98"/>
      <c r="AL2387" s="98"/>
      <c r="AM2387" s="98"/>
    </row>
    <row r="2388" spans="1:39" s="100" customFormat="1" ht="15.6" x14ac:dyDescent="0.3">
      <c r="A2388" s="97"/>
      <c r="B2388" s="98"/>
      <c r="C2388" s="98"/>
      <c r="D2388" s="98"/>
      <c r="E2388" s="98"/>
      <c r="F2388" s="98"/>
      <c r="G2388" s="99"/>
      <c r="H2388" s="99"/>
      <c r="I2388" s="99"/>
      <c r="J2388" s="99"/>
      <c r="K2388" s="98"/>
      <c r="L2388" s="98"/>
      <c r="M2388" s="98"/>
      <c r="N2388" s="98"/>
      <c r="O2388" s="98"/>
      <c r="P2388" s="98"/>
      <c r="Q2388" s="98"/>
      <c r="R2388" s="98"/>
      <c r="S2388" s="98"/>
      <c r="T2388" s="98"/>
      <c r="U2388" s="98"/>
      <c r="V2388" s="98"/>
      <c r="W2388" s="98"/>
      <c r="X2388" s="98"/>
      <c r="Y2388" s="98"/>
      <c r="Z2388" s="98"/>
      <c r="AA2388" s="98"/>
      <c r="AB2388" s="98"/>
      <c r="AC2388" s="98"/>
      <c r="AD2388" s="98"/>
      <c r="AE2388" s="98"/>
      <c r="AF2388" s="98"/>
      <c r="AG2388" s="98"/>
      <c r="AH2388" s="98"/>
      <c r="AI2388" s="98"/>
      <c r="AJ2388" s="98"/>
      <c r="AK2388" s="98"/>
      <c r="AL2388" s="98"/>
      <c r="AM2388" s="98"/>
    </row>
    <row r="2389" spans="1:39" s="100" customFormat="1" ht="15.6" x14ac:dyDescent="0.3">
      <c r="A2389" s="97"/>
      <c r="B2389" s="98"/>
      <c r="C2389" s="98"/>
      <c r="D2389" s="98"/>
      <c r="E2389" s="98"/>
      <c r="F2389" s="98"/>
      <c r="G2389" s="99"/>
      <c r="H2389" s="99"/>
      <c r="I2389" s="99"/>
      <c r="J2389" s="99"/>
      <c r="K2389" s="98"/>
      <c r="L2389" s="98"/>
      <c r="M2389" s="98"/>
      <c r="N2389" s="98"/>
      <c r="O2389" s="98"/>
      <c r="P2389" s="98"/>
      <c r="Q2389" s="98"/>
      <c r="R2389" s="98"/>
      <c r="S2389" s="98"/>
      <c r="T2389" s="98"/>
      <c r="U2389" s="98"/>
      <c r="V2389" s="98"/>
      <c r="W2389" s="98"/>
      <c r="X2389" s="98"/>
      <c r="Y2389" s="98"/>
      <c r="Z2389" s="98"/>
      <c r="AA2389" s="98"/>
      <c r="AB2389" s="98"/>
      <c r="AC2389" s="98"/>
      <c r="AD2389" s="98"/>
      <c r="AE2389" s="98"/>
      <c r="AF2389" s="98"/>
      <c r="AG2389" s="98"/>
      <c r="AH2389" s="98"/>
      <c r="AI2389" s="98"/>
      <c r="AJ2389" s="98"/>
      <c r="AK2389" s="98"/>
      <c r="AL2389" s="98"/>
      <c r="AM2389" s="98"/>
    </row>
    <row r="2390" spans="1:39" s="100" customFormat="1" ht="15.6" x14ac:dyDescent="0.3">
      <c r="A2390" s="97"/>
      <c r="B2390" s="98"/>
      <c r="C2390" s="98"/>
      <c r="D2390" s="98"/>
      <c r="E2390" s="98"/>
      <c r="F2390" s="98"/>
      <c r="G2390" s="99"/>
      <c r="H2390" s="99"/>
      <c r="I2390" s="99"/>
      <c r="J2390" s="99"/>
      <c r="K2390" s="98"/>
      <c r="L2390" s="98"/>
      <c r="M2390" s="98"/>
      <c r="N2390" s="98"/>
      <c r="O2390" s="98"/>
      <c r="P2390" s="98"/>
      <c r="Q2390" s="98"/>
      <c r="R2390" s="98"/>
      <c r="S2390" s="98"/>
      <c r="T2390" s="98"/>
      <c r="U2390" s="98"/>
      <c r="V2390" s="98"/>
      <c r="W2390" s="98"/>
      <c r="X2390" s="98"/>
      <c r="Y2390" s="98"/>
      <c r="Z2390" s="98"/>
      <c r="AA2390" s="98"/>
      <c r="AB2390" s="98"/>
      <c r="AC2390" s="98"/>
      <c r="AD2390" s="98"/>
      <c r="AE2390" s="98"/>
      <c r="AF2390" s="98"/>
      <c r="AG2390" s="98"/>
      <c r="AH2390" s="98"/>
      <c r="AI2390" s="98"/>
      <c r="AJ2390" s="98"/>
      <c r="AK2390" s="98"/>
      <c r="AL2390" s="98"/>
      <c r="AM2390" s="98"/>
    </row>
    <row r="2391" spans="1:39" s="100" customFormat="1" ht="15.6" x14ac:dyDescent="0.3">
      <c r="A2391" s="97"/>
      <c r="B2391" s="98"/>
      <c r="C2391" s="98"/>
      <c r="D2391" s="98"/>
      <c r="E2391" s="98"/>
      <c r="F2391" s="98"/>
      <c r="G2391" s="99"/>
      <c r="H2391" s="99"/>
      <c r="I2391" s="99"/>
      <c r="J2391" s="99"/>
      <c r="K2391" s="98"/>
      <c r="L2391" s="98"/>
      <c r="M2391" s="98"/>
      <c r="N2391" s="98"/>
      <c r="O2391" s="98"/>
      <c r="P2391" s="98"/>
      <c r="Q2391" s="98"/>
      <c r="R2391" s="98"/>
      <c r="S2391" s="98"/>
      <c r="T2391" s="98"/>
      <c r="U2391" s="98"/>
      <c r="V2391" s="98"/>
      <c r="W2391" s="98"/>
      <c r="X2391" s="98"/>
      <c r="Y2391" s="98"/>
      <c r="Z2391" s="98"/>
      <c r="AA2391" s="98"/>
      <c r="AB2391" s="98"/>
      <c r="AC2391" s="98"/>
      <c r="AD2391" s="98"/>
      <c r="AE2391" s="98"/>
      <c r="AF2391" s="98"/>
      <c r="AG2391" s="98"/>
      <c r="AH2391" s="98"/>
      <c r="AI2391" s="98"/>
      <c r="AJ2391" s="98"/>
      <c r="AK2391" s="98"/>
      <c r="AL2391" s="98"/>
      <c r="AM2391" s="98"/>
    </row>
    <row r="2392" spans="1:39" s="100" customFormat="1" ht="15.6" x14ac:dyDescent="0.3">
      <c r="A2392" s="97"/>
      <c r="B2392" s="98"/>
      <c r="C2392" s="98"/>
      <c r="D2392" s="98"/>
      <c r="E2392" s="98"/>
      <c r="F2392" s="98"/>
      <c r="G2392" s="99"/>
      <c r="H2392" s="99"/>
      <c r="I2392" s="99"/>
      <c r="J2392" s="99"/>
      <c r="K2392" s="98"/>
      <c r="L2392" s="98"/>
      <c r="M2392" s="98"/>
      <c r="N2392" s="98"/>
      <c r="O2392" s="98"/>
      <c r="P2392" s="98"/>
      <c r="Q2392" s="98"/>
      <c r="R2392" s="98"/>
      <c r="S2392" s="98"/>
      <c r="T2392" s="98"/>
      <c r="U2392" s="98"/>
      <c r="V2392" s="98"/>
      <c r="W2392" s="98"/>
      <c r="X2392" s="98"/>
      <c r="Y2392" s="98"/>
      <c r="Z2392" s="98"/>
      <c r="AA2392" s="98"/>
      <c r="AB2392" s="98"/>
      <c r="AC2392" s="98"/>
      <c r="AD2392" s="98"/>
      <c r="AE2392" s="98"/>
      <c r="AF2392" s="98"/>
      <c r="AG2392" s="98"/>
      <c r="AH2392" s="98"/>
      <c r="AI2392" s="98"/>
      <c r="AJ2392" s="98"/>
      <c r="AK2392" s="98"/>
      <c r="AL2392" s="98"/>
      <c r="AM2392" s="98"/>
    </row>
    <row r="2393" spans="1:39" s="100" customFormat="1" ht="15.6" x14ac:dyDescent="0.3">
      <c r="A2393" s="97"/>
      <c r="B2393" s="98"/>
      <c r="C2393" s="98"/>
      <c r="D2393" s="98"/>
      <c r="E2393" s="98"/>
      <c r="F2393" s="98"/>
      <c r="G2393" s="99"/>
      <c r="H2393" s="99"/>
      <c r="I2393" s="99"/>
      <c r="J2393" s="99"/>
      <c r="K2393" s="98"/>
      <c r="L2393" s="98"/>
      <c r="M2393" s="98"/>
      <c r="N2393" s="98"/>
      <c r="O2393" s="98"/>
      <c r="P2393" s="98"/>
      <c r="Q2393" s="98"/>
      <c r="R2393" s="98"/>
      <c r="S2393" s="98"/>
      <c r="T2393" s="98"/>
      <c r="U2393" s="98"/>
      <c r="V2393" s="98"/>
      <c r="W2393" s="98"/>
      <c r="X2393" s="98"/>
      <c r="Y2393" s="98"/>
      <c r="Z2393" s="98"/>
      <c r="AA2393" s="98"/>
      <c r="AB2393" s="98"/>
      <c r="AC2393" s="98"/>
      <c r="AD2393" s="98"/>
      <c r="AE2393" s="98"/>
      <c r="AF2393" s="98"/>
      <c r="AG2393" s="98"/>
      <c r="AH2393" s="98"/>
      <c r="AI2393" s="98"/>
      <c r="AJ2393" s="98"/>
      <c r="AK2393" s="98"/>
      <c r="AL2393" s="98"/>
      <c r="AM2393" s="98"/>
    </row>
    <row r="2394" spans="1:39" s="100" customFormat="1" ht="15.6" x14ac:dyDescent="0.3">
      <c r="A2394" s="97"/>
      <c r="B2394" s="98"/>
      <c r="C2394" s="98"/>
      <c r="D2394" s="98"/>
      <c r="E2394" s="98"/>
      <c r="F2394" s="98"/>
      <c r="G2394" s="99"/>
      <c r="H2394" s="99"/>
      <c r="I2394" s="99"/>
      <c r="J2394" s="99"/>
      <c r="K2394" s="98"/>
      <c r="L2394" s="98"/>
      <c r="M2394" s="98"/>
      <c r="N2394" s="98"/>
      <c r="O2394" s="98"/>
      <c r="P2394" s="98"/>
      <c r="Q2394" s="98"/>
      <c r="R2394" s="98"/>
      <c r="S2394" s="98"/>
      <c r="T2394" s="98"/>
      <c r="U2394" s="98"/>
      <c r="V2394" s="98"/>
      <c r="W2394" s="98"/>
      <c r="X2394" s="98"/>
      <c r="Y2394" s="98"/>
      <c r="Z2394" s="98"/>
      <c r="AA2394" s="98"/>
      <c r="AB2394" s="98"/>
      <c r="AC2394" s="98"/>
      <c r="AD2394" s="98"/>
      <c r="AE2394" s="98"/>
      <c r="AF2394" s="98"/>
      <c r="AG2394" s="98"/>
      <c r="AH2394" s="98"/>
      <c r="AI2394" s="98"/>
      <c r="AJ2394" s="98"/>
      <c r="AK2394" s="98"/>
      <c r="AL2394" s="98"/>
      <c r="AM2394" s="98"/>
    </row>
    <row r="2395" spans="1:39" s="100" customFormat="1" ht="15.6" x14ac:dyDescent="0.3">
      <c r="A2395" s="97"/>
      <c r="B2395" s="98"/>
      <c r="C2395" s="98"/>
      <c r="D2395" s="98"/>
      <c r="E2395" s="98"/>
      <c r="F2395" s="98"/>
      <c r="G2395" s="99"/>
      <c r="H2395" s="99"/>
      <c r="I2395" s="99"/>
      <c r="J2395" s="99"/>
      <c r="K2395" s="98"/>
      <c r="L2395" s="98"/>
      <c r="M2395" s="98"/>
      <c r="N2395" s="98"/>
      <c r="O2395" s="98"/>
      <c r="P2395" s="98"/>
      <c r="Q2395" s="98"/>
      <c r="R2395" s="98"/>
      <c r="S2395" s="98"/>
      <c r="T2395" s="98"/>
      <c r="U2395" s="98"/>
      <c r="V2395" s="98"/>
      <c r="W2395" s="98"/>
      <c r="X2395" s="98"/>
      <c r="Y2395" s="98"/>
      <c r="Z2395" s="98"/>
      <c r="AA2395" s="98"/>
      <c r="AB2395" s="98"/>
      <c r="AC2395" s="98"/>
      <c r="AD2395" s="98"/>
      <c r="AE2395" s="98"/>
      <c r="AF2395" s="98"/>
      <c r="AG2395" s="98"/>
      <c r="AH2395" s="98"/>
      <c r="AI2395" s="98"/>
      <c r="AJ2395" s="98"/>
      <c r="AK2395" s="98"/>
      <c r="AL2395" s="98"/>
      <c r="AM2395" s="98"/>
    </row>
    <row r="2396" spans="1:39" s="100" customFormat="1" ht="15.6" x14ac:dyDescent="0.3">
      <c r="A2396" s="97"/>
      <c r="B2396" s="98"/>
      <c r="C2396" s="98"/>
      <c r="D2396" s="98"/>
      <c r="E2396" s="98"/>
      <c r="F2396" s="98"/>
      <c r="G2396" s="99"/>
      <c r="H2396" s="99"/>
      <c r="I2396" s="99"/>
      <c r="J2396" s="99"/>
      <c r="K2396" s="98"/>
      <c r="L2396" s="98"/>
      <c r="M2396" s="98"/>
      <c r="N2396" s="98"/>
      <c r="O2396" s="98"/>
      <c r="P2396" s="98"/>
      <c r="Q2396" s="98"/>
      <c r="R2396" s="98"/>
      <c r="S2396" s="98"/>
      <c r="T2396" s="98"/>
      <c r="U2396" s="98"/>
      <c r="V2396" s="98"/>
      <c r="W2396" s="98"/>
      <c r="X2396" s="98"/>
      <c r="Y2396" s="98"/>
      <c r="Z2396" s="98"/>
      <c r="AA2396" s="98"/>
      <c r="AB2396" s="98"/>
      <c r="AC2396" s="98"/>
      <c r="AD2396" s="98"/>
      <c r="AE2396" s="98"/>
      <c r="AF2396" s="98"/>
      <c r="AG2396" s="98"/>
      <c r="AH2396" s="98"/>
      <c r="AI2396" s="98"/>
      <c r="AJ2396" s="98"/>
      <c r="AK2396" s="98"/>
      <c r="AL2396" s="98"/>
      <c r="AM2396" s="98"/>
    </row>
    <row r="2397" spans="1:39" s="100" customFormat="1" ht="15.6" x14ac:dyDescent="0.3">
      <c r="A2397" s="97"/>
      <c r="B2397" s="98"/>
      <c r="C2397" s="98"/>
      <c r="D2397" s="98"/>
      <c r="E2397" s="98"/>
      <c r="F2397" s="98"/>
      <c r="G2397" s="99"/>
      <c r="H2397" s="99"/>
      <c r="I2397" s="99"/>
      <c r="J2397" s="99"/>
      <c r="K2397" s="98"/>
      <c r="L2397" s="98"/>
      <c r="M2397" s="98"/>
      <c r="N2397" s="98"/>
      <c r="O2397" s="98"/>
      <c r="P2397" s="98"/>
      <c r="Q2397" s="98"/>
      <c r="R2397" s="98"/>
      <c r="S2397" s="98"/>
      <c r="T2397" s="98"/>
      <c r="U2397" s="98"/>
      <c r="V2397" s="98"/>
      <c r="W2397" s="98"/>
      <c r="X2397" s="98"/>
      <c r="Y2397" s="98"/>
      <c r="Z2397" s="98"/>
      <c r="AA2397" s="98"/>
      <c r="AB2397" s="98"/>
      <c r="AC2397" s="98"/>
      <c r="AD2397" s="98"/>
      <c r="AE2397" s="98"/>
      <c r="AF2397" s="98"/>
      <c r="AG2397" s="98"/>
      <c r="AH2397" s="98"/>
      <c r="AI2397" s="98"/>
      <c r="AJ2397" s="98"/>
      <c r="AK2397" s="98"/>
      <c r="AL2397" s="98"/>
      <c r="AM2397" s="98"/>
    </row>
    <row r="2398" spans="1:39" s="100" customFormat="1" ht="15.6" x14ac:dyDescent="0.3">
      <c r="A2398" s="97"/>
      <c r="B2398" s="98"/>
      <c r="C2398" s="98"/>
      <c r="D2398" s="98"/>
      <c r="E2398" s="98"/>
      <c r="F2398" s="98"/>
      <c r="G2398" s="99"/>
      <c r="H2398" s="99"/>
      <c r="I2398" s="99"/>
      <c r="J2398" s="99"/>
      <c r="K2398" s="98"/>
      <c r="L2398" s="98"/>
      <c r="M2398" s="98"/>
      <c r="N2398" s="98"/>
      <c r="O2398" s="98"/>
      <c r="P2398" s="98"/>
      <c r="Q2398" s="98"/>
      <c r="R2398" s="98"/>
      <c r="S2398" s="98"/>
      <c r="T2398" s="98"/>
      <c r="U2398" s="98"/>
      <c r="V2398" s="98"/>
      <c r="W2398" s="98"/>
      <c r="X2398" s="98"/>
      <c r="Y2398" s="98"/>
      <c r="Z2398" s="98"/>
      <c r="AA2398" s="98"/>
      <c r="AB2398" s="98"/>
      <c r="AC2398" s="98"/>
      <c r="AD2398" s="98"/>
      <c r="AE2398" s="98"/>
      <c r="AF2398" s="98"/>
      <c r="AG2398" s="98"/>
      <c r="AH2398" s="98"/>
      <c r="AI2398" s="98"/>
      <c r="AJ2398" s="98"/>
      <c r="AK2398" s="98"/>
      <c r="AL2398" s="98"/>
      <c r="AM2398" s="98"/>
    </row>
    <row r="2399" spans="1:39" s="100" customFormat="1" ht="15.6" x14ac:dyDescent="0.3">
      <c r="A2399" s="97"/>
      <c r="B2399" s="98"/>
      <c r="C2399" s="98"/>
      <c r="D2399" s="98"/>
      <c r="E2399" s="98"/>
      <c r="F2399" s="98"/>
      <c r="G2399" s="99"/>
      <c r="H2399" s="99"/>
      <c r="I2399" s="99"/>
      <c r="J2399" s="99"/>
      <c r="K2399" s="98"/>
      <c r="L2399" s="98"/>
      <c r="M2399" s="98"/>
      <c r="N2399" s="98"/>
      <c r="O2399" s="98"/>
      <c r="P2399" s="98"/>
      <c r="Q2399" s="98"/>
      <c r="R2399" s="98"/>
      <c r="S2399" s="98"/>
      <c r="T2399" s="98"/>
      <c r="U2399" s="98"/>
      <c r="V2399" s="98"/>
      <c r="W2399" s="98"/>
      <c r="X2399" s="98"/>
      <c r="Y2399" s="98"/>
      <c r="Z2399" s="98"/>
      <c r="AA2399" s="98"/>
      <c r="AB2399" s="98"/>
      <c r="AC2399" s="98"/>
      <c r="AD2399" s="98"/>
      <c r="AE2399" s="98"/>
      <c r="AF2399" s="98"/>
      <c r="AG2399" s="98"/>
      <c r="AH2399" s="98"/>
      <c r="AI2399" s="98"/>
      <c r="AJ2399" s="98"/>
      <c r="AK2399" s="98"/>
      <c r="AL2399" s="98"/>
      <c r="AM2399" s="98"/>
    </row>
    <row r="2400" spans="1:39" s="100" customFormat="1" ht="15.6" x14ac:dyDescent="0.3">
      <c r="A2400" s="97"/>
      <c r="B2400" s="98"/>
      <c r="C2400" s="98"/>
      <c r="D2400" s="98"/>
      <c r="E2400" s="98"/>
      <c r="F2400" s="98"/>
      <c r="G2400" s="99"/>
      <c r="H2400" s="99"/>
      <c r="I2400" s="99"/>
      <c r="J2400" s="99"/>
      <c r="K2400" s="98"/>
      <c r="L2400" s="98"/>
      <c r="M2400" s="98"/>
      <c r="N2400" s="98"/>
      <c r="O2400" s="98"/>
      <c r="P2400" s="98"/>
      <c r="Q2400" s="98"/>
      <c r="R2400" s="98"/>
      <c r="S2400" s="98"/>
      <c r="T2400" s="98"/>
      <c r="U2400" s="98"/>
      <c r="V2400" s="98"/>
      <c r="W2400" s="98"/>
      <c r="X2400" s="98"/>
      <c r="Y2400" s="98"/>
      <c r="Z2400" s="98"/>
      <c r="AA2400" s="98"/>
      <c r="AB2400" s="98"/>
      <c r="AC2400" s="98"/>
      <c r="AD2400" s="98"/>
      <c r="AE2400" s="98"/>
      <c r="AF2400" s="98"/>
      <c r="AG2400" s="98"/>
      <c r="AH2400" s="98"/>
      <c r="AI2400" s="98"/>
      <c r="AJ2400" s="98"/>
      <c r="AK2400" s="98"/>
      <c r="AL2400" s="98"/>
      <c r="AM2400" s="98"/>
    </row>
    <row r="2401" spans="1:39" s="100" customFormat="1" ht="15.6" x14ac:dyDescent="0.3">
      <c r="A2401" s="97"/>
      <c r="B2401" s="98"/>
      <c r="C2401" s="98"/>
      <c r="D2401" s="98"/>
      <c r="E2401" s="98"/>
      <c r="F2401" s="98"/>
      <c r="G2401" s="99"/>
      <c r="H2401" s="99"/>
      <c r="I2401" s="99"/>
      <c r="J2401" s="99"/>
      <c r="K2401" s="98"/>
      <c r="L2401" s="98"/>
      <c r="M2401" s="98"/>
      <c r="N2401" s="98"/>
      <c r="O2401" s="98"/>
      <c r="P2401" s="98"/>
      <c r="Q2401" s="98"/>
      <c r="R2401" s="98"/>
      <c r="S2401" s="98"/>
      <c r="T2401" s="98"/>
      <c r="U2401" s="98"/>
      <c r="V2401" s="98"/>
      <c r="W2401" s="98"/>
      <c r="X2401" s="98"/>
      <c r="Y2401" s="98"/>
      <c r="Z2401" s="98"/>
      <c r="AA2401" s="98"/>
      <c r="AB2401" s="98"/>
      <c r="AC2401" s="98"/>
      <c r="AD2401" s="98"/>
      <c r="AE2401" s="98"/>
      <c r="AF2401" s="98"/>
      <c r="AG2401" s="98"/>
      <c r="AH2401" s="98"/>
      <c r="AI2401" s="98"/>
      <c r="AJ2401" s="98"/>
      <c r="AK2401" s="98"/>
      <c r="AL2401" s="98"/>
      <c r="AM2401" s="98"/>
    </row>
    <row r="2402" spans="1:39" s="100" customFormat="1" ht="15.6" x14ac:dyDescent="0.3">
      <c r="A2402" s="97"/>
      <c r="B2402" s="98"/>
      <c r="C2402" s="98"/>
      <c r="D2402" s="98"/>
      <c r="E2402" s="98"/>
      <c r="F2402" s="98"/>
      <c r="G2402" s="99"/>
      <c r="H2402" s="99"/>
      <c r="I2402" s="99"/>
      <c r="J2402" s="99"/>
      <c r="K2402" s="98"/>
      <c r="L2402" s="98"/>
      <c r="M2402" s="98"/>
      <c r="N2402" s="98"/>
      <c r="O2402" s="98"/>
      <c r="P2402" s="98"/>
      <c r="Q2402" s="98"/>
      <c r="R2402" s="98"/>
      <c r="S2402" s="98"/>
      <c r="T2402" s="98"/>
      <c r="U2402" s="98"/>
      <c r="V2402" s="98"/>
      <c r="W2402" s="98"/>
      <c r="X2402" s="98"/>
      <c r="Y2402" s="98"/>
      <c r="Z2402" s="98"/>
      <c r="AA2402" s="98"/>
      <c r="AB2402" s="98"/>
      <c r="AC2402" s="98"/>
      <c r="AD2402" s="98"/>
      <c r="AE2402" s="98"/>
      <c r="AF2402" s="98"/>
      <c r="AG2402" s="98"/>
      <c r="AH2402" s="98"/>
      <c r="AI2402" s="98"/>
      <c r="AJ2402" s="98"/>
      <c r="AK2402" s="98"/>
      <c r="AL2402" s="98"/>
      <c r="AM2402" s="98"/>
    </row>
    <row r="2403" spans="1:39" s="100" customFormat="1" ht="15.6" x14ac:dyDescent="0.3">
      <c r="A2403" s="97"/>
      <c r="B2403" s="98"/>
      <c r="C2403" s="98"/>
      <c r="D2403" s="98"/>
      <c r="E2403" s="98"/>
      <c r="F2403" s="98"/>
      <c r="G2403" s="99"/>
      <c r="H2403" s="99"/>
      <c r="I2403" s="99"/>
      <c r="J2403" s="99"/>
      <c r="K2403" s="98"/>
      <c r="L2403" s="98"/>
      <c r="M2403" s="98"/>
      <c r="N2403" s="98"/>
      <c r="O2403" s="98"/>
      <c r="P2403" s="98"/>
      <c r="Q2403" s="98"/>
      <c r="R2403" s="98"/>
      <c r="S2403" s="98"/>
      <c r="T2403" s="98"/>
      <c r="U2403" s="98"/>
      <c r="V2403" s="98"/>
      <c r="W2403" s="98"/>
      <c r="X2403" s="98"/>
      <c r="Y2403" s="98"/>
      <c r="Z2403" s="98"/>
      <c r="AA2403" s="98"/>
      <c r="AB2403" s="98"/>
      <c r="AC2403" s="98"/>
      <c r="AD2403" s="98"/>
      <c r="AE2403" s="98"/>
      <c r="AF2403" s="98"/>
      <c r="AG2403" s="98"/>
      <c r="AH2403" s="98"/>
      <c r="AI2403" s="98"/>
      <c r="AJ2403" s="98"/>
      <c r="AK2403" s="98"/>
      <c r="AL2403" s="98"/>
      <c r="AM2403" s="98"/>
    </row>
    <row r="2404" spans="1:39" s="100" customFormat="1" ht="15.6" x14ac:dyDescent="0.3">
      <c r="A2404" s="97"/>
      <c r="B2404" s="98"/>
      <c r="C2404" s="98"/>
      <c r="D2404" s="98"/>
      <c r="E2404" s="98"/>
      <c r="F2404" s="98"/>
      <c r="G2404" s="99"/>
      <c r="H2404" s="99"/>
      <c r="I2404" s="99"/>
      <c r="J2404" s="99"/>
      <c r="K2404" s="98"/>
      <c r="L2404" s="98"/>
      <c r="M2404" s="98"/>
      <c r="N2404" s="98"/>
      <c r="O2404" s="98"/>
      <c r="P2404" s="98"/>
      <c r="Q2404" s="98"/>
      <c r="R2404" s="98"/>
      <c r="S2404" s="98"/>
      <c r="T2404" s="98"/>
      <c r="U2404" s="98"/>
      <c r="V2404" s="98"/>
      <c r="W2404" s="98"/>
      <c r="X2404" s="98"/>
      <c r="Y2404" s="98"/>
      <c r="Z2404" s="98"/>
      <c r="AA2404" s="98"/>
      <c r="AB2404" s="98"/>
      <c r="AC2404" s="98"/>
      <c r="AD2404" s="98"/>
      <c r="AE2404" s="98"/>
      <c r="AF2404" s="98"/>
      <c r="AG2404" s="98"/>
      <c r="AH2404" s="98"/>
      <c r="AI2404" s="98"/>
      <c r="AJ2404" s="98"/>
      <c r="AK2404" s="98"/>
      <c r="AL2404" s="98"/>
      <c r="AM2404" s="98"/>
    </row>
    <row r="2405" spans="1:39" s="100" customFormat="1" ht="15.6" x14ac:dyDescent="0.3">
      <c r="A2405" s="97"/>
      <c r="B2405" s="98"/>
      <c r="C2405" s="98"/>
      <c r="D2405" s="98"/>
      <c r="E2405" s="98"/>
      <c r="F2405" s="98"/>
      <c r="G2405" s="99"/>
      <c r="H2405" s="99"/>
      <c r="I2405" s="99"/>
      <c r="J2405" s="99"/>
      <c r="K2405" s="98"/>
      <c r="L2405" s="98"/>
      <c r="M2405" s="98"/>
      <c r="N2405" s="98"/>
      <c r="O2405" s="98"/>
      <c r="P2405" s="98"/>
      <c r="Q2405" s="98"/>
      <c r="R2405" s="98"/>
      <c r="S2405" s="98"/>
      <c r="T2405" s="98"/>
      <c r="U2405" s="98"/>
      <c r="V2405" s="98"/>
      <c r="W2405" s="98"/>
      <c r="X2405" s="98"/>
      <c r="Y2405" s="98"/>
      <c r="Z2405" s="98"/>
      <c r="AA2405" s="98"/>
      <c r="AB2405" s="98"/>
      <c r="AC2405" s="98"/>
      <c r="AD2405" s="98"/>
      <c r="AE2405" s="98"/>
      <c r="AF2405" s="98"/>
      <c r="AG2405" s="98"/>
      <c r="AH2405" s="98"/>
      <c r="AI2405" s="98"/>
      <c r="AJ2405" s="98"/>
      <c r="AK2405" s="98"/>
      <c r="AL2405" s="98"/>
      <c r="AM2405" s="98"/>
    </row>
    <row r="2406" spans="1:39" s="100" customFormat="1" ht="15.6" x14ac:dyDescent="0.3">
      <c r="A2406" s="97"/>
      <c r="B2406" s="98"/>
      <c r="C2406" s="98"/>
      <c r="D2406" s="98"/>
      <c r="E2406" s="98"/>
      <c r="F2406" s="98"/>
      <c r="G2406" s="99"/>
      <c r="H2406" s="99"/>
      <c r="I2406" s="99"/>
      <c r="J2406" s="99"/>
      <c r="K2406" s="98"/>
      <c r="L2406" s="98"/>
      <c r="M2406" s="98"/>
      <c r="N2406" s="98"/>
      <c r="O2406" s="98"/>
      <c r="P2406" s="98"/>
      <c r="Q2406" s="98"/>
      <c r="R2406" s="98"/>
      <c r="S2406" s="98"/>
      <c r="T2406" s="98"/>
      <c r="U2406" s="98"/>
      <c r="V2406" s="98"/>
      <c r="W2406" s="98"/>
      <c r="X2406" s="98"/>
      <c r="Y2406" s="98"/>
      <c r="Z2406" s="98"/>
      <c r="AA2406" s="98"/>
      <c r="AB2406" s="98"/>
      <c r="AC2406" s="98"/>
      <c r="AD2406" s="98"/>
      <c r="AE2406" s="98"/>
      <c r="AF2406" s="98"/>
      <c r="AG2406" s="98"/>
      <c r="AH2406" s="98"/>
      <c r="AI2406" s="98"/>
      <c r="AJ2406" s="98"/>
      <c r="AK2406" s="98"/>
      <c r="AL2406" s="98"/>
      <c r="AM2406" s="98"/>
    </row>
    <row r="2407" spans="1:39" s="100" customFormat="1" ht="15.6" x14ac:dyDescent="0.3">
      <c r="A2407" s="97"/>
      <c r="B2407" s="98"/>
      <c r="C2407" s="98"/>
      <c r="D2407" s="98"/>
      <c r="E2407" s="98"/>
      <c r="F2407" s="98"/>
      <c r="G2407" s="99"/>
      <c r="H2407" s="99"/>
      <c r="I2407" s="99"/>
      <c r="J2407" s="99"/>
      <c r="K2407" s="98"/>
      <c r="L2407" s="98"/>
      <c r="M2407" s="98"/>
      <c r="N2407" s="98"/>
      <c r="O2407" s="98"/>
      <c r="P2407" s="98"/>
      <c r="Q2407" s="98"/>
      <c r="R2407" s="98"/>
      <c r="S2407" s="98"/>
      <c r="T2407" s="98"/>
      <c r="U2407" s="98"/>
      <c r="V2407" s="98"/>
      <c r="W2407" s="98"/>
      <c r="X2407" s="98"/>
      <c r="Y2407" s="98"/>
      <c r="Z2407" s="98"/>
      <c r="AA2407" s="98"/>
      <c r="AB2407" s="98"/>
      <c r="AC2407" s="98"/>
      <c r="AD2407" s="98"/>
      <c r="AE2407" s="98"/>
      <c r="AF2407" s="98"/>
      <c r="AG2407" s="98"/>
      <c r="AH2407" s="98"/>
      <c r="AI2407" s="98"/>
      <c r="AJ2407" s="98"/>
      <c r="AK2407" s="98"/>
      <c r="AL2407" s="98"/>
      <c r="AM2407" s="98"/>
    </row>
    <row r="2408" spans="1:39" s="100" customFormat="1" ht="15.6" x14ac:dyDescent="0.3">
      <c r="A2408" s="97"/>
      <c r="B2408" s="98"/>
      <c r="C2408" s="98"/>
      <c r="D2408" s="98"/>
      <c r="E2408" s="98"/>
      <c r="F2408" s="98"/>
      <c r="G2408" s="99"/>
      <c r="H2408" s="99"/>
      <c r="I2408" s="99"/>
      <c r="J2408" s="99"/>
      <c r="K2408" s="98"/>
      <c r="L2408" s="98"/>
      <c r="M2408" s="98"/>
      <c r="N2408" s="98"/>
      <c r="O2408" s="98"/>
      <c r="P2408" s="98"/>
      <c r="Q2408" s="98"/>
      <c r="R2408" s="98"/>
      <c r="S2408" s="98"/>
      <c r="T2408" s="98"/>
      <c r="U2408" s="98"/>
      <c r="V2408" s="98"/>
      <c r="W2408" s="98"/>
      <c r="X2408" s="98"/>
      <c r="Y2408" s="98"/>
      <c r="Z2408" s="98"/>
      <c r="AA2408" s="98"/>
      <c r="AB2408" s="98"/>
      <c r="AC2408" s="98"/>
      <c r="AD2408" s="98"/>
      <c r="AE2408" s="98"/>
      <c r="AF2408" s="98"/>
      <c r="AG2408" s="98"/>
      <c r="AH2408" s="98"/>
      <c r="AI2408" s="98"/>
      <c r="AJ2408" s="98"/>
      <c r="AK2408" s="98"/>
      <c r="AL2408" s="98"/>
      <c r="AM2408" s="98"/>
    </row>
    <row r="2409" spans="1:39" s="100" customFormat="1" ht="15.6" x14ac:dyDescent="0.3">
      <c r="A2409" s="97"/>
      <c r="B2409" s="98"/>
      <c r="C2409" s="98"/>
      <c r="D2409" s="98"/>
      <c r="E2409" s="98"/>
      <c r="F2409" s="98"/>
      <c r="G2409" s="99"/>
      <c r="H2409" s="99"/>
      <c r="I2409" s="99"/>
      <c r="J2409" s="99"/>
      <c r="K2409" s="98"/>
      <c r="L2409" s="98"/>
      <c r="M2409" s="98"/>
      <c r="N2409" s="98"/>
      <c r="O2409" s="98"/>
      <c r="P2409" s="98"/>
      <c r="Q2409" s="98"/>
      <c r="R2409" s="98"/>
      <c r="S2409" s="98"/>
      <c r="T2409" s="98"/>
      <c r="U2409" s="98"/>
      <c r="V2409" s="98"/>
      <c r="W2409" s="98"/>
      <c r="X2409" s="98"/>
      <c r="Y2409" s="98"/>
      <c r="Z2409" s="98"/>
      <c r="AA2409" s="98"/>
      <c r="AB2409" s="98"/>
      <c r="AC2409" s="98"/>
      <c r="AD2409" s="98"/>
      <c r="AE2409" s="98"/>
      <c r="AF2409" s="98"/>
      <c r="AG2409" s="98"/>
      <c r="AH2409" s="98"/>
      <c r="AI2409" s="98"/>
      <c r="AJ2409" s="98"/>
      <c r="AK2409" s="98"/>
      <c r="AL2409" s="98"/>
      <c r="AM2409" s="98"/>
    </row>
    <row r="2410" spans="1:39" s="100" customFormat="1" ht="15.6" x14ac:dyDescent="0.3">
      <c r="A2410" s="97"/>
      <c r="B2410" s="98"/>
      <c r="C2410" s="98"/>
      <c r="D2410" s="98"/>
      <c r="E2410" s="98"/>
      <c r="F2410" s="98"/>
      <c r="G2410" s="99"/>
      <c r="H2410" s="99"/>
      <c r="I2410" s="99"/>
      <c r="J2410" s="99"/>
      <c r="K2410" s="98"/>
      <c r="L2410" s="98"/>
      <c r="M2410" s="98"/>
      <c r="N2410" s="98"/>
      <c r="O2410" s="98"/>
      <c r="P2410" s="98"/>
      <c r="Q2410" s="98"/>
      <c r="R2410" s="98"/>
      <c r="S2410" s="98"/>
      <c r="T2410" s="98"/>
      <c r="U2410" s="98"/>
      <c r="V2410" s="98"/>
      <c r="W2410" s="98"/>
      <c r="X2410" s="98"/>
      <c r="Y2410" s="98"/>
      <c r="Z2410" s="98"/>
      <c r="AA2410" s="98"/>
      <c r="AB2410" s="98"/>
      <c r="AC2410" s="98"/>
      <c r="AD2410" s="98"/>
      <c r="AE2410" s="98"/>
      <c r="AF2410" s="98"/>
      <c r="AG2410" s="98"/>
      <c r="AH2410" s="98"/>
      <c r="AI2410" s="98"/>
      <c r="AJ2410" s="98"/>
      <c r="AK2410" s="98"/>
      <c r="AL2410" s="98"/>
      <c r="AM2410" s="98"/>
    </row>
    <row r="2411" spans="1:39" s="100" customFormat="1" ht="15.6" x14ac:dyDescent="0.3">
      <c r="A2411" s="97"/>
      <c r="B2411" s="98"/>
      <c r="C2411" s="98"/>
      <c r="D2411" s="98"/>
      <c r="E2411" s="98"/>
      <c r="F2411" s="98"/>
      <c r="G2411" s="99"/>
      <c r="H2411" s="99"/>
      <c r="I2411" s="99"/>
      <c r="J2411" s="99"/>
      <c r="K2411" s="98"/>
      <c r="L2411" s="98"/>
      <c r="M2411" s="98"/>
      <c r="N2411" s="98"/>
      <c r="O2411" s="98"/>
      <c r="P2411" s="98"/>
      <c r="Q2411" s="98"/>
      <c r="R2411" s="98"/>
      <c r="S2411" s="98"/>
      <c r="T2411" s="98"/>
      <c r="U2411" s="98"/>
      <c r="V2411" s="98"/>
      <c r="W2411" s="98"/>
      <c r="X2411" s="98"/>
      <c r="Y2411" s="98"/>
      <c r="Z2411" s="98"/>
      <c r="AA2411" s="98"/>
      <c r="AB2411" s="98"/>
      <c r="AC2411" s="98"/>
      <c r="AD2411" s="98"/>
      <c r="AE2411" s="98"/>
      <c r="AF2411" s="98"/>
      <c r="AG2411" s="98"/>
      <c r="AH2411" s="98"/>
      <c r="AI2411" s="98"/>
      <c r="AJ2411" s="98"/>
      <c r="AK2411" s="98"/>
      <c r="AL2411" s="98"/>
      <c r="AM2411" s="98"/>
    </row>
    <row r="2412" spans="1:39" s="100" customFormat="1" ht="15.6" x14ac:dyDescent="0.3">
      <c r="A2412" s="97"/>
      <c r="B2412" s="98"/>
      <c r="C2412" s="98"/>
      <c r="D2412" s="98"/>
      <c r="E2412" s="98"/>
      <c r="F2412" s="98"/>
      <c r="G2412" s="99"/>
      <c r="H2412" s="99"/>
      <c r="I2412" s="99"/>
      <c r="J2412" s="99"/>
      <c r="K2412" s="98"/>
      <c r="L2412" s="98"/>
      <c r="M2412" s="98"/>
      <c r="N2412" s="98"/>
      <c r="O2412" s="98"/>
      <c r="P2412" s="98"/>
      <c r="Q2412" s="98"/>
      <c r="R2412" s="98"/>
      <c r="S2412" s="98"/>
      <c r="T2412" s="98"/>
      <c r="U2412" s="98"/>
      <c r="V2412" s="98"/>
      <c r="W2412" s="98"/>
      <c r="X2412" s="98"/>
      <c r="Y2412" s="98"/>
      <c r="Z2412" s="98"/>
      <c r="AA2412" s="98"/>
      <c r="AB2412" s="98"/>
      <c r="AC2412" s="98"/>
      <c r="AD2412" s="98"/>
      <c r="AE2412" s="98"/>
      <c r="AF2412" s="98"/>
      <c r="AG2412" s="98"/>
      <c r="AH2412" s="98"/>
      <c r="AI2412" s="98"/>
      <c r="AJ2412" s="98"/>
      <c r="AK2412" s="98"/>
      <c r="AL2412" s="98"/>
      <c r="AM2412" s="98"/>
    </row>
    <row r="2413" spans="1:39" s="100" customFormat="1" ht="15.6" x14ac:dyDescent="0.3">
      <c r="A2413" s="97"/>
      <c r="B2413" s="98"/>
      <c r="C2413" s="98"/>
      <c r="D2413" s="98"/>
      <c r="E2413" s="98"/>
      <c r="F2413" s="98"/>
      <c r="G2413" s="99"/>
      <c r="H2413" s="99"/>
      <c r="I2413" s="99"/>
      <c r="J2413" s="99"/>
      <c r="K2413" s="98"/>
      <c r="L2413" s="98"/>
      <c r="M2413" s="98"/>
      <c r="N2413" s="98"/>
      <c r="O2413" s="98"/>
      <c r="P2413" s="98"/>
      <c r="Q2413" s="98"/>
      <c r="R2413" s="98"/>
      <c r="S2413" s="98"/>
      <c r="T2413" s="98"/>
      <c r="U2413" s="98"/>
      <c r="V2413" s="98"/>
      <c r="W2413" s="98"/>
      <c r="X2413" s="98"/>
      <c r="Y2413" s="98"/>
      <c r="Z2413" s="98"/>
      <c r="AA2413" s="98"/>
      <c r="AB2413" s="98"/>
      <c r="AC2413" s="98"/>
      <c r="AD2413" s="98"/>
      <c r="AE2413" s="98"/>
      <c r="AF2413" s="98"/>
      <c r="AG2413" s="98"/>
      <c r="AH2413" s="98"/>
      <c r="AI2413" s="98"/>
      <c r="AJ2413" s="98"/>
      <c r="AK2413" s="98"/>
      <c r="AL2413" s="98"/>
      <c r="AM2413" s="98"/>
    </row>
    <row r="2414" spans="1:39" s="100" customFormat="1" ht="15.6" x14ac:dyDescent="0.3">
      <c r="A2414" s="97"/>
      <c r="B2414" s="98"/>
      <c r="C2414" s="98"/>
      <c r="D2414" s="98"/>
      <c r="E2414" s="98"/>
      <c r="F2414" s="98"/>
      <c r="G2414" s="99"/>
      <c r="H2414" s="99"/>
      <c r="I2414" s="99"/>
      <c r="J2414" s="99"/>
      <c r="K2414" s="98"/>
      <c r="L2414" s="98"/>
      <c r="M2414" s="98"/>
      <c r="N2414" s="98"/>
      <c r="O2414" s="98"/>
      <c r="P2414" s="98"/>
      <c r="Q2414" s="98"/>
      <c r="R2414" s="98"/>
      <c r="S2414" s="98"/>
      <c r="T2414" s="98"/>
      <c r="U2414" s="98"/>
      <c r="V2414" s="98"/>
      <c r="W2414" s="98"/>
      <c r="X2414" s="98"/>
      <c r="Y2414" s="98"/>
      <c r="Z2414" s="98"/>
      <c r="AA2414" s="98"/>
      <c r="AB2414" s="98"/>
      <c r="AC2414" s="98"/>
      <c r="AD2414" s="98"/>
      <c r="AE2414" s="98"/>
      <c r="AF2414" s="98"/>
      <c r="AG2414" s="98"/>
      <c r="AH2414" s="98"/>
      <c r="AI2414" s="98"/>
      <c r="AJ2414" s="98"/>
      <c r="AK2414" s="98"/>
      <c r="AL2414" s="98"/>
      <c r="AM2414" s="98"/>
    </row>
    <row r="2415" spans="1:39" s="100" customFormat="1" ht="15.6" x14ac:dyDescent="0.3">
      <c r="A2415" s="97"/>
      <c r="B2415" s="98"/>
      <c r="C2415" s="98"/>
      <c r="D2415" s="98"/>
      <c r="E2415" s="98"/>
      <c r="F2415" s="98"/>
      <c r="G2415" s="99"/>
      <c r="H2415" s="99"/>
      <c r="I2415" s="99"/>
      <c r="J2415" s="99"/>
      <c r="K2415" s="98"/>
      <c r="L2415" s="98"/>
      <c r="M2415" s="98"/>
      <c r="N2415" s="98"/>
      <c r="O2415" s="98"/>
      <c r="P2415" s="98"/>
      <c r="Q2415" s="98"/>
      <c r="R2415" s="98"/>
      <c r="S2415" s="98"/>
      <c r="T2415" s="98"/>
      <c r="U2415" s="98"/>
      <c r="V2415" s="98"/>
      <c r="W2415" s="98"/>
      <c r="X2415" s="98"/>
      <c r="Y2415" s="98"/>
      <c r="Z2415" s="98"/>
      <c r="AA2415" s="98"/>
      <c r="AB2415" s="98"/>
      <c r="AC2415" s="98"/>
      <c r="AD2415" s="98"/>
      <c r="AE2415" s="98"/>
      <c r="AF2415" s="98"/>
      <c r="AG2415" s="98"/>
      <c r="AH2415" s="98"/>
      <c r="AI2415" s="98"/>
      <c r="AJ2415" s="98"/>
      <c r="AK2415" s="98"/>
      <c r="AL2415" s="98"/>
      <c r="AM2415" s="98"/>
    </row>
    <row r="2416" spans="1:39" s="100" customFormat="1" ht="15.6" x14ac:dyDescent="0.3">
      <c r="A2416" s="97"/>
      <c r="B2416" s="98"/>
      <c r="C2416" s="98"/>
      <c r="D2416" s="98"/>
      <c r="E2416" s="98"/>
      <c r="F2416" s="98"/>
      <c r="G2416" s="99"/>
      <c r="H2416" s="99"/>
      <c r="I2416" s="99"/>
      <c r="J2416" s="99"/>
      <c r="K2416" s="98"/>
      <c r="L2416" s="98"/>
      <c r="M2416" s="98"/>
      <c r="N2416" s="98"/>
      <c r="O2416" s="98"/>
      <c r="P2416" s="98"/>
      <c r="Q2416" s="98"/>
      <c r="R2416" s="98"/>
      <c r="S2416" s="98"/>
      <c r="T2416" s="98"/>
      <c r="U2416" s="98"/>
      <c r="V2416" s="98"/>
      <c r="W2416" s="98"/>
      <c r="X2416" s="98"/>
      <c r="Y2416" s="98"/>
      <c r="Z2416" s="98"/>
      <c r="AA2416" s="98"/>
      <c r="AB2416" s="98"/>
      <c r="AC2416" s="98"/>
      <c r="AD2416" s="98"/>
      <c r="AE2416" s="98"/>
      <c r="AF2416" s="98"/>
      <c r="AG2416" s="98"/>
      <c r="AH2416" s="98"/>
      <c r="AI2416" s="98"/>
      <c r="AJ2416" s="98"/>
      <c r="AK2416" s="98"/>
      <c r="AL2416" s="98"/>
      <c r="AM2416" s="98"/>
    </row>
    <row r="2417" spans="1:39" s="100" customFormat="1" ht="15.6" x14ac:dyDescent="0.3">
      <c r="A2417" s="97"/>
      <c r="B2417" s="98"/>
      <c r="C2417" s="98"/>
      <c r="D2417" s="98"/>
      <c r="E2417" s="98"/>
      <c r="F2417" s="98"/>
      <c r="G2417" s="99"/>
      <c r="H2417" s="99"/>
      <c r="I2417" s="99"/>
      <c r="J2417" s="99"/>
      <c r="K2417" s="98"/>
      <c r="L2417" s="98"/>
      <c r="M2417" s="98"/>
      <c r="N2417" s="98"/>
      <c r="O2417" s="98"/>
      <c r="P2417" s="98"/>
      <c r="Q2417" s="98"/>
      <c r="R2417" s="98"/>
      <c r="S2417" s="98"/>
      <c r="T2417" s="98"/>
      <c r="U2417" s="98"/>
      <c r="V2417" s="98"/>
      <c r="W2417" s="98"/>
      <c r="X2417" s="98"/>
      <c r="Y2417" s="98"/>
      <c r="Z2417" s="98"/>
      <c r="AA2417" s="98"/>
      <c r="AB2417" s="98"/>
      <c r="AC2417" s="98"/>
      <c r="AD2417" s="98"/>
      <c r="AE2417" s="98"/>
      <c r="AF2417" s="98"/>
      <c r="AG2417" s="98"/>
      <c r="AH2417" s="98"/>
      <c r="AI2417" s="98"/>
      <c r="AJ2417" s="98"/>
      <c r="AK2417" s="98"/>
      <c r="AL2417" s="98"/>
      <c r="AM2417" s="98"/>
    </row>
    <row r="2418" spans="1:39" s="100" customFormat="1" ht="15.6" x14ac:dyDescent="0.3">
      <c r="A2418" s="97"/>
      <c r="B2418" s="98"/>
      <c r="C2418" s="98"/>
      <c r="D2418" s="98"/>
      <c r="E2418" s="98"/>
      <c r="F2418" s="98"/>
      <c r="G2418" s="99"/>
      <c r="H2418" s="99"/>
      <c r="I2418" s="99"/>
      <c r="J2418" s="99"/>
      <c r="K2418" s="98"/>
      <c r="L2418" s="98"/>
      <c r="M2418" s="98"/>
      <c r="N2418" s="98"/>
      <c r="O2418" s="98"/>
      <c r="P2418" s="98"/>
      <c r="Q2418" s="98"/>
      <c r="R2418" s="98"/>
      <c r="S2418" s="98"/>
      <c r="T2418" s="98"/>
      <c r="U2418" s="98"/>
      <c r="V2418" s="98"/>
      <c r="W2418" s="98"/>
      <c r="X2418" s="98"/>
      <c r="Y2418" s="98"/>
      <c r="Z2418" s="98"/>
      <c r="AA2418" s="98"/>
      <c r="AB2418" s="98"/>
      <c r="AC2418" s="98"/>
      <c r="AD2418" s="98"/>
      <c r="AE2418" s="98"/>
      <c r="AF2418" s="98"/>
      <c r="AG2418" s="98"/>
      <c r="AH2418" s="98"/>
      <c r="AI2418" s="98"/>
      <c r="AJ2418" s="98"/>
      <c r="AK2418" s="98"/>
      <c r="AL2418" s="98"/>
      <c r="AM2418" s="98"/>
    </row>
    <row r="2419" spans="1:39" s="100" customFormat="1" ht="15.6" x14ac:dyDescent="0.3">
      <c r="A2419" s="97"/>
      <c r="B2419" s="98"/>
      <c r="C2419" s="98"/>
      <c r="D2419" s="98"/>
      <c r="E2419" s="98"/>
      <c r="F2419" s="98"/>
      <c r="G2419" s="99"/>
      <c r="H2419" s="99"/>
      <c r="I2419" s="99"/>
      <c r="J2419" s="99"/>
      <c r="K2419" s="98"/>
      <c r="L2419" s="98"/>
      <c r="M2419" s="98"/>
      <c r="N2419" s="98"/>
      <c r="O2419" s="98"/>
      <c r="P2419" s="98"/>
      <c r="Q2419" s="98"/>
      <c r="R2419" s="98"/>
      <c r="S2419" s="98"/>
      <c r="T2419" s="98"/>
      <c r="U2419" s="98"/>
      <c r="V2419" s="98"/>
      <c r="W2419" s="98"/>
      <c r="X2419" s="98"/>
      <c r="Y2419" s="98"/>
      <c r="Z2419" s="98"/>
      <c r="AA2419" s="98"/>
      <c r="AB2419" s="98"/>
      <c r="AC2419" s="98"/>
      <c r="AD2419" s="98"/>
      <c r="AE2419" s="98"/>
      <c r="AF2419" s="98"/>
      <c r="AG2419" s="98"/>
      <c r="AH2419" s="98"/>
      <c r="AI2419" s="98"/>
      <c r="AJ2419" s="98"/>
      <c r="AK2419" s="98"/>
      <c r="AL2419" s="98"/>
      <c r="AM2419" s="98"/>
    </row>
    <row r="2420" spans="1:39" s="100" customFormat="1" ht="15.6" x14ac:dyDescent="0.3">
      <c r="A2420" s="97"/>
      <c r="B2420" s="98"/>
      <c r="C2420" s="98"/>
      <c r="D2420" s="98"/>
      <c r="E2420" s="98"/>
      <c r="F2420" s="98"/>
      <c r="G2420" s="99"/>
      <c r="H2420" s="99"/>
      <c r="I2420" s="99"/>
      <c r="J2420" s="99"/>
      <c r="K2420" s="98"/>
      <c r="L2420" s="98"/>
      <c r="M2420" s="98"/>
      <c r="N2420" s="98"/>
      <c r="O2420" s="98"/>
      <c r="P2420" s="98"/>
      <c r="Q2420" s="98"/>
      <c r="R2420" s="98"/>
      <c r="S2420" s="98"/>
      <c r="T2420" s="98"/>
      <c r="U2420" s="98"/>
      <c r="V2420" s="98"/>
      <c r="W2420" s="98"/>
      <c r="X2420" s="98"/>
      <c r="Y2420" s="98"/>
      <c r="Z2420" s="98"/>
      <c r="AA2420" s="98"/>
      <c r="AB2420" s="98"/>
      <c r="AC2420" s="98"/>
      <c r="AD2420" s="98"/>
      <c r="AE2420" s="98"/>
      <c r="AF2420" s="98"/>
      <c r="AG2420" s="98"/>
      <c r="AH2420" s="98"/>
      <c r="AI2420" s="98"/>
      <c r="AJ2420" s="98"/>
      <c r="AK2420" s="98"/>
      <c r="AL2420" s="98"/>
      <c r="AM2420" s="98"/>
    </row>
    <row r="2421" spans="1:39" s="100" customFormat="1" ht="15.6" x14ac:dyDescent="0.3">
      <c r="A2421" s="97"/>
      <c r="B2421" s="98"/>
      <c r="C2421" s="98"/>
      <c r="D2421" s="98"/>
      <c r="E2421" s="98"/>
      <c r="F2421" s="98"/>
      <c r="G2421" s="99"/>
      <c r="H2421" s="99"/>
      <c r="I2421" s="99"/>
      <c r="J2421" s="99"/>
      <c r="K2421" s="98"/>
      <c r="L2421" s="98"/>
      <c r="M2421" s="98"/>
      <c r="N2421" s="98"/>
      <c r="O2421" s="98"/>
      <c r="P2421" s="98"/>
      <c r="Q2421" s="98"/>
      <c r="R2421" s="98"/>
      <c r="S2421" s="98"/>
      <c r="T2421" s="98"/>
      <c r="U2421" s="98"/>
      <c r="V2421" s="98"/>
      <c r="W2421" s="98"/>
      <c r="X2421" s="98"/>
      <c r="Y2421" s="98"/>
      <c r="Z2421" s="98"/>
      <c r="AA2421" s="98"/>
      <c r="AB2421" s="98"/>
      <c r="AC2421" s="98"/>
      <c r="AD2421" s="98"/>
      <c r="AE2421" s="98"/>
      <c r="AF2421" s="98"/>
      <c r="AG2421" s="98"/>
      <c r="AH2421" s="98"/>
      <c r="AI2421" s="98"/>
      <c r="AJ2421" s="98"/>
      <c r="AK2421" s="98"/>
      <c r="AL2421" s="98"/>
      <c r="AM2421" s="98"/>
    </row>
    <row r="2422" spans="1:39" s="100" customFormat="1" ht="15.6" x14ac:dyDescent="0.3">
      <c r="A2422" s="97"/>
      <c r="B2422" s="98"/>
      <c r="C2422" s="98"/>
      <c r="D2422" s="98"/>
      <c r="E2422" s="98"/>
      <c r="F2422" s="98"/>
      <c r="G2422" s="99"/>
      <c r="H2422" s="99"/>
      <c r="I2422" s="99"/>
      <c r="J2422" s="99"/>
      <c r="K2422" s="98"/>
      <c r="L2422" s="98"/>
      <c r="M2422" s="98"/>
      <c r="N2422" s="98"/>
      <c r="O2422" s="98"/>
      <c r="P2422" s="98"/>
      <c r="Q2422" s="98"/>
      <c r="R2422" s="98"/>
      <c r="S2422" s="98"/>
      <c r="T2422" s="98"/>
      <c r="U2422" s="98"/>
      <c r="V2422" s="98"/>
      <c r="W2422" s="98"/>
      <c r="X2422" s="98"/>
      <c r="Y2422" s="98"/>
      <c r="Z2422" s="98"/>
      <c r="AA2422" s="98"/>
      <c r="AB2422" s="98"/>
      <c r="AC2422" s="98"/>
      <c r="AD2422" s="98"/>
      <c r="AE2422" s="98"/>
      <c r="AF2422" s="98"/>
      <c r="AG2422" s="98"/>
      <c r="AH2422" s="98"/>
      <c r="AI2422" s="98"/>
      <c r="AJ2422" s="98"/>
      <c r="AK2422" s="98"/>
      <c r="AL2422" s="98"/>
      <c r="AM2422" s="98"/>
    </row>
    <row r="2423" spans="1:39" s="100" customFormat="1" ht="15.6" x14ac:dyDescent="0.3">
      <c r="A2423" s="97"/>
      <c r="B2423" s="98"/>
      <c r="C2423" s="98"/>
      <c r="D2423" s="98"/>
      <c r="E2423" s="98"/>
      <c r="F2423" s="98"/>
      <c r="G2423" s="99"/>
      <c r="H2423" s="99"/>
      <c r="I2423" s="99"/>
      <c r="J2423" s="99"/>
      <c r="K2423" s="98"/>
      <c r="L2423" s="98"/>
      <c r="M2423" s="98"/>
      <c r="N2423" s="98"/>
      <c r="O2423" s="98"/>
      <c r="P2423" s="98"/>
      <c r="Q2423" s="98"/>
      <c r="R2423" s="98"/>
      <c r="S2423" s="98"/>
      <c r="T2423" s="98"/>
      <c r="U2423" s="98"/>
      <c r="V2423" s="98"/>
      <c r="W2423" s="98"/>
      <c r="X2423" s="98"/>
      <c r="Y2423" s="98"/>
      <c r="Z2423" s="98"/>
      <c r="AA2423" s="98"/>
      <c r="AB2423" s="98"/>
      <c r="AC2423" s="98"/>
      <c r="AD2423" s="98"/>
      <c r="AE2423" s="98"/>
      <c r="AF2423" s="98"/>
      <c r="AG2423" s="98"/>
      <c r="AH2423" s="98"/>
      <c r="AI2423" s="98"/>
      <c r="AJ2423" s="98"/>
      <c r="AK2423" s="98"/>
      <c r="AL2423" s="98"/>
      <c r="AM2423" s="98"/>
    </row>
    <row r="2424" spans="1:39" s="100" customFormat="1" ht="15.6" x14ac:dyDescent="0.3">
      <c r="A2424" s="97"/>
      <c r="B2424" s="98"/>
      <c r="C2424" s="98"/>
      <c r="D2424" s="98"/>
      <c r="E2424" s="98"/>
      <c r="F2424" s="98"/>
      <c r="G2424" s="99"/>
      <c r="H2424" s="99"/>
      <c r="I2424" s="99"/>
      <c r="J2424" s="99"/>
      <c r="K2424" s="98"/>
      <c r="L2424" s="98"/>
      <c r="M2424" s="98"/>
      <c r="N2424" s="98"/>
      <c r="O2424" s="98"/>
      <c r="P2424" s="98"/>
      <c r="Q2424" s="98"/>
      <c r="R2424" s="98"/>
      <c r="S2424" s="98"/>
      <c r="T2424" s="98"/>
      <c r="U2424" s="98"/>
      <c r="V2424" s="98"/>
      <c r="W2424" s="98"/>
      <c r="X2424" s="98"/>
      <c r="Y2424" s="98"/>
      <c r="Z2424" s="98"/>
      <c r="AA2424" s="98"/>
      <c r="AB2424" s="98"/>
      <c r="AC2424" s="98"/>
      <c r="AD2424" s="98"/>
      <c r="AE2424" s="98"/>
      <c r="AF2424" s="98"/>
      <c r="AG2424" s="98"/>
      <c r="AH2424" s="98"/>
      <c r="AI2424" s="98"/>
      <c r="AJ2424" s="98"/>
      <c r="AK2424" s="98"/>
      <c r="AL2424" s="98"/>
      <c r="AM2424" s="98"/>
    </row>
    <row r="2425" spans="1:39" s="100" customFormat="1" ht="15.6" x14ac:dyDescent="0.3">
      <c r="A2425" s="97"/>
      <c r="B2425" s="98"/>
      <c r="C2425" s="98"/>
      <c r="D2425" s="98"/>
      <c r="E2425" s="98"/>
      <c r="F2425" s="98"/>
      <c r="G2425" s="99"/>
      <c r="H2425" s="99"/>
      <c r="I2425" s="99"/>
      <c r="J2425" s="99"/>
      <c r="K2425" s="98"/>
      <c r="L2425" s="98"/>
      <c r="M2425" s="98"/>
      <c r="N2425" s="98"/>
      <c r="O2425" s="98"/>
      <c r="P2425" s="98"/>
      <c r="Q2425" s="98"/>
      <c r="R2425" s="98"/>
      <c r="S2425" s="98"/>
      <c r="T2425" s="98"/>
      <c r="U2425" s="98"/>
      <c r="V2425" s="98"/>
      <c r="W2425" s="98"/>
      <c r="X2425" s="98"/>
      <c r="Y2425" s="98"/>
      <c r="Z2425" s="98"/>
      <c r="AA2425" s="98"/>
      <c r="AB2425" s="98"/>
      <c r="AC2425" s="98"/>
      <c r="AD2425" s="98"/>
      <c r="AE2425" s="98"/>
      <c r="AF2425" s="98"/>
      <c r="AG2425" s="98"/>
      <c r="AH2425" s="98"/>
      <c r="AI2425" s="98"/>
      <c r="AJ2425" s="98"/>
      <c r="AK2425" s="98"/>
      <c r="AL2425" s="98"/>
      <c r="AM2425" s="98"/>
    </row>
    <row r="2426" spans="1:39" s="100" customFormat="1" ht="15.6" x14ac:dyDescent="0.3">
      <c r="A2426" s="97"/>
      <c r="B2426" s="98"/>
      <c r="C2426" s="98"/>
      <c r="D2426" s="98"/>
      <c r="E2426" s="98"/>
      <c r="F2426" s="98"/>
      <c r="G2426" s="99"/>
      <c r="H2426" s="99"/>
      <c r="I2426" s="99"/>
      <c r="J2426" s="99"/>
      <c r="K2426" s="98"/>
      <c r="L2426" s="98"/>
      <c r="M2426" s="98"/>
      <c r="N2426" s="98"/>
      <c r="O2426" s="98"/>
      <c r="P2426" s="98"/>
      <c r="Q2426" s="98"/>
      <c r="R2426" s="98"/>
      <c r="S2426" s="98"/>
      <c r="T2426" s="98"/>
      <c r="U2426" s="98"/>
      <c r="V2426" s="98"/>
      <c r="W2426" s="98"/>
      <c r="X2426" s="98"/>
      <c r="Y2426" s="98"/>
      <c r="Z2426" s="98"/>
      <c r="AA2426" s="98"/>
      <c r="AB2426" s="98"/>
      <c r="AC2426" s="98"/>
      <c r="AD2426" s="98"/>
      <c r="AE2426" s="98"/>
      <c r="AF2426" s="98"/>
      <c r="AG2426" s="98"/>
      <c r="AH2426" s="98"/>
      <c r="AI2426" s="98"/>
      <c r="AJ2426" s="98"/>
      <c r="AK2426" s="98"/>
      <c r="AL2426" s="98"/>
      <c r="AM2426" s="98"/>
    </row>
    <row r="2427" spans="1:39" s="100" customFormat="1" ht="15.6" x14ac:dyDescent="0.3">
      <c r="A2427" s="97"/>
      <c r="B2427" s="98"/>
      <c r="C2427" s="98"/>
      <c r="D2427" s="98"/>
      <c r="E2427" s="98"/>
      <c r="F2427" s="98"/>
      <c r="G2427" s="99"/>
      <c r="H2427" s="99"/>
      <c r="I2427" s="99"/>
      <c r="J2427" s="99"/>
      <c r="K2427" s="98"/>
      <c r="L2427" s="98"/>
      <c r="M2427" s="98"/>
      <c r="N2427" s="98"/>
      <c r="O2427" s="98"/>
      <c r="P2427" s="98"/>
      <c r="Q2427" s="98"/>
      <c r="R2427" s="98"/>
      <c r="S2427" s="98"/>
      <c r="T2427" s="98"/>
      <c r="U2427" s="98"/>
      <c r="V2427" s="98"/>
      <c r="W2427" s="98"/>
      <c r="X2427" s="98"/>
      <c r="Y2427" s="98"/>
      <c r="Z2427" s="98"/>
      <c r="AA2427" s="98"/>
      <c r="AB2427" s="98"/>
      <c r="AC2427" s="98"/>
      <c r="AD2427" s="98"/>
      <c r="AE2427" s="98"/>
      <c r="AF2427" s="98"/>
      <c r="AG2427" s="98"/>
      <c r="AH2427" s="98"/>
      <c r="AI2427" s="98"/>
      <c r="AJ2427" s="98"/>
      <c r="AK2427" s="98"/>
      <c r="AL2427" s="98"/>
      <c r="AM2427" s="98"/>
    </row>
    <row r="2428" spans="1:39" s="100" customFormat="1" ht="15.6" x14ac:dyDescent="0.3">
      <c r="A2428" s="97"/>
      <c r="B2428" s="98"/>
      <c r="C2428" s="98"/>
      <c r="D2428" s="98"/>
      <c r="E2428" s="98"/>
      <c r="F2428" s="98"/>
      <c r="G2428" s="99"/>
      <c r="H2428" s="99"/>
      <c r="I2428" s="99"/>
      <c r="J2428" s="99"/>
      <c r="K2428" s="98"/>
      <c r="L2428" s="98"/>
      <c r="M2428" s="98"/>
      <c r="N2428" s="98"/>
      <c r="O2428" s="98"/>
      <c r="P2428" s="98"/>
      <c r="Q2428" s="98"/>
      <c r="R2428" s="98"/>
      <c r="S2428" s="98"/>
      <c r="T2428" s="98"/>
      <c r="U2428" s="98"/>
      <c r="V2428" s="98"/>
      <c r="W2428" s="98"/>
      <c r="X2428" s="98"/>
      <c r="Y2428" s="98"/>
      <c r="Z2428" s="98"/>
      <c r="AA2428" s="98"/>
      <c r="AB2428" s="98"/>
      <c r="AC2428" s="98"/>
      <c r="AD2428" s="98"/>
      <c r="AE2428" s="98"/>
      <c r="AF2428" s="98"/>
      <c r="AG2428" s="98"/>
      <c r="AH2428" s="98"/>
      <c r="AI2428" s="98"/>
      <c r="AJ2428" s="98"/>
      <c r="AK2428" s="98"/>
      <c r="AL2428" s="98"/>
      <c r="AM2428" s="98"/>
    </row>
    <row r="2429" spans="1:39" s="100" customFormat="1" ht="15.6" x14ac:dyDescent="0.3">
      <c r="A2429" s="97"/>
      <c r="B2429" s="98"/>
      <c r="C2429" s="98"/>
      <c r="D2429" s="98"/>
      <c r="E2429" s="98"/>
      <c r="F2429" s="98"/>
      <c r="G2429" s="99"/>
      <c r="H2429" s="99"/>
      <c r="I2429" s="99"/>
      <c r="J2429" s="99"/>
      <c r="K2429" s="98"/>
      <c r="L2429" s="98"/>
      <c r="M2429" s="98"/>
      <c r="N2429" s="98"/>
      <c r="O2429" s="98"/>
      <c r="P2429" s="98"/>
      <c r="Q2429" s="98"/>
      <c r="R2429" s="98"/>
      <c r="S2429" s="98"/>
      <c r="T2429" s="98"/>
      <c r="U2429" s="98"/>
      <c r="V2429" s="98"/>
      <c r="W2429" s="98"/>
      <c r="X2429" s="98"/>
      <c r="Y2429" s="98"/>
      <c r="Z2429" s="98"/>
      <c r="AA2429" s="98"/>
      <c r="AB2429" s="98"/>
      <c r="AC2429" s="98"/>
      <c r="AD2429" s="98"/>
      <c r="AE2429" s="98"/>
      <c r="AF2429" s="98"/>
      <c r="AG2429" s="98"/>
      <c r="AH2429" s="98"/>
      <c r="AI2429" s="98"/>
      <c r="AJ2429" s="98"/>
      <c r="AK2429" s="98"/>
      <c r="AL2429" s="98"/>
      <c r="AM2429" s="98"/>
    </row>
    <row r="2430" spans="1:39" s="100" customFormat="1" ht="15.6" x14ac:dyDescent="0.3">
      <c r="A2430" s="97"/>
      <c r="B2430" s="98"/>
      <c r="C2430" s="98"/>
      <c r="D2430" s="98"/>
      <c r="E2430" s="98"/>
      <c r="F2430" s="98"/>
      <c r="G2430" s="99"/>
      <c r="H2430" s="99"/>
      <c r="I2430" s="99"/>
      <c r="J2430" s="99"/>
      <c r="K2430" s="98"/>
      <c r="L2430" s="98"/>
      <c r="M2430" s="98"/>
      <c r="N2430" s="98"/>
      <c r="O2430" s="98"/>
      <c r="P2430" s="98"/>
      <c r="Q2430" s="98"/>
      <c r="R2430" s="98"/>
      <c r="S2430" s="98"/>
      <c r="T2430" s="98"/>
      <c r="U2430" s="98"/>
      <c r="V2430" s="98"/>
      <c r="W2430" s="98"/>
      <c r="X2430" s="98"/>
      <c r="Y2430" s="98"/>
      <c r="Z2430" s="98"/>
      <c r="AA2430" s="98"/>
      <c r="AB2430" s="98"/>
      <c r="AC2430" s="98"/>
      <c r="AD2430" s="98"/>
      <c r="AE2430" s="98"/>
      <c r="AF2430" s="98"/>
      <c r="AG2430" s="98"/>
      <c r="AH2430" s="98"/>
      <c r="AI2430" s="98"/>
      <c r="AJ2430" s="98"/>
      <c r="AK2430" s="98"/>
      <c r="AL2430" s="98"/>
      <c r="AM2430" s="98"/>
    </row>
    <row r="2431" spans="1:39" s="100" customFormat="1" ht="15.6" x14ac:dyDescent="0.3">
      <c r="A2431" s="97"/>
      <c r="B2431" s="98"/>
      <c r="C2431" s="98"/>
      <c r="D2431" s="98"/>
      <c r="E2431" s="98"/>
      <c r="F2431" s="98"/>
      <c r="G2431" s="99"/>
      <c r="H2431" s="99"/>
      <c r="I2431" s="99"/>
      <c r="J2431" s="99"/>
      <c r="K2431" s="98"/>
      <c r="L2431" s="98"/>
      <c r="M2431" s="98"/>
      <c r="N2431" s="98"/>
      <c r="O2431" s="98"/>
      <c r="P2431" s="98"/>
      <c r="Q2431" s="98"/>
      <c r="R2431" s="98"/>
      <c r="S2431" s="98"/>
      <c r="T2431" s="98"/>
      <c r="U2431" s="98"/>
      <c r="V2431" s="98"/>
      <c r="W2431" s="98"/>
      <c r="X2431" s="98"/>
      <c r="Y2431" s="98"/>
      <c r="Z2431" s="98"/>
      <c r="AA2431" s="98"/>
      <c r="AB2431" s="98"/>
      <c r="AC2431" s="98"/>
      <c r="AD2431" s="98"/>
      <c r="AE2431" s="98"/>
      <c r="AF2431" s="98"/>
      <c r="AG2431" s="98"/>
      <c r="AH2431" s="98"/>
      <c r="AI2431" s="98"/>
      <c r="AJ2431" s="98"/>
      <c r="AK2431" s="98"/>
      <c r="AL2431" s="98"/>
      <c r="AM2431" s="98"/>
    </row>
    <row r="2432" spans="1:39" s="100" customFormat="1" ht="15.6" x14ac:dyDescent="0.3">
      <c r="A2432" s="97"/>
      <c r="B2432" s="98"/>
      <c r="C2432" s="98"/>
      <c r="D2432" s="98"/>
      <c r="E2432" s="98"/>
      <c r="F2432" s="98"/>
      <c r="G2432" s="99"/>
      <c r="H2432" s="99"/>
      <c r="I2432" s="99"/>
      <c r="J2432" s="99"/>
      <c r="K2432" s="98"/>
      <c r="L2432" s="98"/>
      <c r="M2432" s="98"/>
      <c r="N2432" s="98"/>
      <c r="O2432" s="98"/>
      <c r="P2432" s="98"/>
      <c r="Q2432" s="98"/>
      <c r="R2432" s="98"/>
      <c r="S2432" s="98"/>
      <c r="T2432" s="98"/>
      <c r="U2432" s="98"/>
      <c r="V2432" s="98"/>
      <c r="W2432" s="98"/>
      <c r="X2432" s="98"/>
      <c r="Y2432" s="98"/>
      <c r="Z2432" s="98"/>
      <c r="AA2432" s="98"/>
      <c r="AB2432" s="98"/>
      <c r="AC2432" s="98"/>
      <c r="AD2432" s="98"/>
      <c r="AE2432" s="98"/>
      <c r="AF2432" s="98"/>
      <c r="AG2432" s="98"/>
      <c r="AH2432" s="98"/>
      <c r="AI2432" s="98"/>
      <c r="AJ2432" s="98"/>
      <c r="AK2432" s="98"/>
      <c r="AL2432" s="98"/>
      <c r="AM2432" s="98"/>
    </row>
    <row r="2433" spans="1:39" s="100" customFormat="1" ht="15.6" x14ac:dyDescent="0.3">
      <c r="A2433" s="97"/>
      <c r="B2433" s="98"/>
      <c r="C2433" s="98"/>
      <c r="D2433" s="98"/>
      <c r="E2433" s="98"/>
      <c r="F2433" s="98"/>
      <c r="G2433" s="99"/>
      <c r="H2433" s="99"/>
      <c r="I2433" s="99"/>
      <c r="J2433" s="99"/>
      <c r="K2433" s="98"/>
      <c r="L2433" s="98"/>
      <c r="M2433" s="98"/>
      <c r="N2433" s="98"/>
      <c r="O2433" s="98"/>
      <c r="P2433" s="98"/>
      <c r="Q2433" s="98"/>
      <c r="R2433" s="98"/>
      <c r="S2433" s="98"/>
      <c r="T2433" s="98"/>
      <c r="U2433" s="98"/>
      <c r="V2433" s="98"/>
      <c r="W2433" s="98"/>
      <c r="X2433" s="98"/>
      <c r="Y2433" s="98"/>
      <c r="Z2433" s="98"/>
      <c r="AA2433" s="98"/>
      <c r="AB2433" s="98"/>
      <c r="AC2433" s="98"/>
      <c r="AD2433" s="98"/>
      <c r="AE2433" s="98"/>
      <c r="AF2433" s="98"/>
      <c r="AG2433" s="98"/>
      <c r="AH2433" s="98"/>
      <c r="AI2433" s="98"/>
      <c r="AJ2433" s="98"/>
      <c r="AK2433" s="98"/>
      <c r="AL2433" s="98"/>
      <c r="AM2433" s="98"/>
    </row>
    <row r="2434" spans="1:39" s="100" customFormat="1" ht="15.6" x14ac:dyDescent="0.3">
      <c r="A2434" s="97"/>
      <c r="B2434" s="98"/>
      <c r="C2434" s="98"/>
      <c r="D2434" s="98"/>
      <c r="E2434" s="98"/>
      <c r="F2434" s="98"/>
      <c r="G2434" s="99"/>
      <c r="H2434" s="99"/>
      <c r="I2434" s="99"/>
      <c r="J2434" s="99"/>
      <c r="K2434" s="98"/>
      <c r="L2434" s="98"/>
      <c r="M2434" s="98"/>
      <c r="N2434" s="98"/>
      <c r="O2434" s="98"/>
      <c r="P2434" s="98"/>
      <c r="Q2434" s="98"/>
      <c r="R2434" s="98"/>
      <c r="S2434" s="98"/>
      <c r="T2434" s="98"/>
      <c r="U2434" s="98"/>
      <c r="V2434" s="98"/>
      <c r="W2434" s="98"/>
      <c r="X2434" s="98"/>
      <c r="Y2434" s="98"/>
      <c r="Z2434" s="98"/>
      <c r="AA2434" s="98"/>
      <c r="AB2434" s="98"/>
      <c r="AC2434" s="98"/>
      <c r="AD2434" s="98"/>
      <c r="AE2434" s="98"/>
      <c r="AF2434" s="98"/>
      <c r="AG2434" s="98"/>
      <c r="AH2434" s="98"/>
      <c r="AI2434" s="98"/>
      <c r="AJ2434" s="98"/>
      <c r="AK2434" s="98"/>
      <c r="AL2434" s="98"/>
      <c r="AM2434" s="98"/>
    </row>
    <row r="2435" spans="1:39" s="100" customFormat="1" ht="15.6" x14ac:dyDescent="0.3">
      <c r="A2435" s="97"/>
      <c r="B2435" s="98"/>
      <c r="C2435" s="98"/>
      <c r="D2435" s="98"/>
      <c r="E2435" s="98"/>
      <c r="F2435" s="98"/>
      <c r="G2435" s="99"/>
      <c r="H2435" s="99"/>
      <c r="I2435" s="99"/>
      <c r="J2435" s="99"/>
      <c r="K2435" s="98"/>
      <c r="L2435" s="98"/>
      <c r="M2435" s="98"/>
      <c r="N2435" s="98"/>
      <c r="O2435" s="98"/>
      <c r="P2435" s="98"/>
      <c r="Q2435" s="98"/>
      <c r="R2435" s="98"/>
      <c r="S2435" s="98"/>
      <c r="T2435" s="98"/>
      <c r="U2435" s="98"/>
      <c r="V2435" s="98"/>
      <c r="W2435" s="98"/>
      <c r="X2435" s="98"/>
      <c r="Y2435" s="98"/>
      <c r="Z2435" s="98"/>
      <c r="AA2435" s="98"/>
      <c r="AB2435" s="98"/>
      <c r="AC2435" s="98"/>
      <c r="AD2435" s="98"/>
      <c r="AE2435" s="98"/>
      <c r="AF2435" s="98"/>
      <c r="AG2435" s="98"/>
      <c r="AH2435" s="98"/>
      <c r="AI2435" s="98"/>
      <c r="AJ2435" s="98"/>
      <c r="AK2435" s="98"/>
      <c r="AL2435" s="98"/>
      <c r="AM2435" s="98"/>
    </row>
    <row r="2436" spans="1:39" s="100" customFormat="1" ht="15.6" x14ac:dyDescent="0.3">
      <c r="A2436" s="97"/>
      <c r="B2436" s="98"/>
      <c r="C2436" s="98"/>
      <c r="D2436" s="98"/>
      <c r="E2436" s="98"/>
      <c r="F2436" s="98"/>
      <c r="G2436" s="99"/>
      <c r="H2436" s="99"/>
      <c r="I2436" s="99"/>
      <c r="J2436" s="99"/>
      <c r="K2436" s="98"/>
      <c r="L2436" s="98"/>
      <c r="M2436" s="98"/>
      <c r="N2436" s="98"/>
      <c r="O2436" s="98"/>
      <c r="P2436" s="98"/>
      <c r="Q2436" s="98"/>
      <c r="R2436" s="98"/>
      <c r="S2436" s="98"/>
      <c r="T2436" s="98"/>
      <c r="U2436" s="98"/>
      <c r="V2436" s="98"/>
      <c r="W2436" s="98"/>
      <c r="X2436" s="98"/>
      <c r="Y2436" s="98"/>
      <c r="Z2436" s="98"/>
      <c r="AA2436" s="98"/>
      <c r="AB2436" s="98"/>
      <c r="AC2436" s="98"/>
      <c r="AD2436" s="98"/>
      <c r="AE2436" s="98"/>
      <c r="AF2436" s="98"/>
      <c r="AG2436" s="98"/>
      <c r="AH2436" s="98"/>
      <c r="AI2436" s="98"/>
      <c r="AJ2436" s="98"/>
      <c r="AK2436" s="98"/>
      <c r="AL2436" s="98"/>
      <c r="AM2436" s="98"/>
    </row>
    <row r="2437" spans="1:39" s="100" customFormat="1" ht="15.6" x14ac:dyDescent="0.3">
      <c r="A2437" s="97"/>
      <c r="B2437" s="98"/>
      <c r="C2437" s="98"/>
      <c r="D2437" s="98"/>
      <c r="E2437" s="98"/>
      <c r="F2437" s="98"/>
      <c r="G2437" s="99"/>
      <c r="H2437" s="99"/>
      <c r="I2437" s="99"/>
      <c r="J2437" s="99"/>
      <c r="K2437" s="98"/>
      <c r="L2437" s="98"/>
      <c r="M2437" s="98"/>
      <c r="N2437" s="98"/>
      <c r="O2437" s="98"/>
      <c r="P2437" s="98"/>
      <c r="Q2437" s="98"/>
      <c r="R2437" s="98"/>
      <c r="S2437" s="98"/>
      <c r="T2437" s="98"/>
      <c r="U2437" s="98"/>
      <c r="V2437" s="98"/>
      <c r="W2437" s="98"/>
      <c r="X2437" s="98"/>
      <c r="Y2437" s="98"/>
      <c r="Z2437" s="98"/>
      <c r="AA2437" s="98"/>
      <c r="AB2437" s="98"/>
      <c r="AC2437" s="98"/>
      <c r="AD2437" s="98"/>
      <c r="AE2437" s="98"/>
      <c r="AF2437" s="98"/>
      <c r="AG2437" s="98"/>
      <c r="AH2437" s="98"/>
      <c r="AI2437" s="98"/>
      <c r="AJ2437" s="98"/>
      <c r="AK2437" s="98"/>
      <c r="AL2437" s="98"/>
      <c r="AM2437" s="98"/>
    </row>
    <row r="2438" spans="1:39" s="100" customFormat="1" ht="15.6" x14ac:dyDescent="0.3">
      <c r="A2438" s="97"/>
      <c r="B2438" s="98"/>
      <c r="C2438" s="98"/>
      <c r="D2438" s="98"/>
      <c r="E2438" s="98"/>
      <c r="F2438" s="98"/>
      <c r="G2438" s="99"/>
      <c r="H2438" s="99"/>
      <c r="I2438" s="99"/>
      <c r="J2438" s="99"/>
      <c r="K2438" s="98"/>
      <c r="L2438" s="98"/>
      <c r="M2438" s="98"/>
      <c r="N2438" s="98"/>
      <c r="O2438" s="98"/>
      <c r="P2438" s="98"/>
      <c r="Q2438" s="98"/>
      <c r="R2438" s="98"/>
      <c r="S2438" s="98"/>
      <c r="T2438" s="98"/>
      <c r="U2438" s="98"/>
      <c r="V2438" s="98"/>
      <c r="W2438" s="98"/>
      <c r="X2438" s="98"/>
      <c r="Y2438" s="98"/>
      <c r="Z2438" s="98"/>
      <c r="AA2438" s="98"/>
      <c r="AB2438" s="98"/>
      <c r="AC2438" s="98"/>
      <c r="AD2438" s="98"/>
      <c r="AE2438" s="98"/>
      <c r="AF2438" s="98"/>
      <c r="AG2438" s="98"/>
      <c r="AH2438" s="98"/>
      <c r="AI2438" s="98"/>
      <c r="AJ2438" s="98"/>
      <c r="AK2438" s="98"/>
      <c r="AL2438" s="98"/>
      <c r="AM2438" s="98"/>
    </row>
    <row r="2439" spans="1:39" s="100" customFormat="1" ht="15.6" x14ac:dyDescent="0.3">
      <c r="A2439" s="97"/>
      <c r="B2439" s="98"/>
      <c r="C2439" s="98"/>
      <c r="D2439" s="98"/>
      <c r="E2439" s="98"/>
      <c r="F2439" s="98"/>
      <c r="G2439" s="99"/>
      <c r="H2439" s="99"/>
      <c r="I2439" s="99"/>
      <c r="J2439" s="99"/>
      <c r="K2439" s="98"/>
      <c r="L2439" s="98"/>
      <c r="M2439" s="98"/>
      <c r="N2439" s="98"/>
      <c r="O2439" s="98"/>
      <c r="P2439" s="98"/>
      <c r="Q2439" s="98"/>
      <c r="R2439" s="98"/>
      <c r="S2439" s="98"/>
      <c r="T2439" s="98"/>
      <c r="U2439" s="98"/>
      <c r="V2439" s="98"/>
      <c r="W2439" s="98"/>
      <c r="X2439" s="98"/>
      <c r="Y2439" s="98"/>
      <c r="Z2439" s="98"/>
      <c r="AA2439" s="98"/>
      <c r="AB2439" s="98"/>
      <c r="AC2439" s="98"/>
      <c r="AD2439" s="98"/>
      <c r="AE2439" s="98"/>
      <c r="AF2439" s="98"/>
      <c r="AG2439" s="98"/>
      <c r="AH2439" s="98"/>
      <c r="AI2439" s="98"/>
      <c r="AJ2439" s="98"/>
      <c r="AK2439" s="98"/>
      <c r="AL2439" s="98"/>
      <c r="AM2439" s="98"/>
    </row>
    <row r="2440" spans="1:39" s="100" customFormat="1" ht="15.6" x14ac:dyDescent="0.3">
      <c r="A2440" s="97"/>
      <c r="B2440" s="98"/>
      <c r="C2440" s="98"/>
      <c r="D2440" s="98"/>
      <c r="E2440" s="98"/>
      <c r="F2440" s="98"/>
      <c r="G2440" s="99"/>
      <c r="H2440" s="99"/>
      <c r="I2440" s="99"/>
      <c r="J2440" s="99"/>
      <c r="K2440" s="98"/>
      <c r="L2440" s="98"/>
      <c r="M2440" s="98"/>
      <c r="N2440" s="98"/>
      <c r="O2440" s="98"/>
      <c r="P2440" s="98"/>
      <c r="Q2440" s="98"/>
      <c r="R2440" s="98"/>
      <c r="S2440" s="98"/>
      <c r="T2440" s="98"/>
      <c r="U2440" s="98"/>
      <c r="V2440" s="98"/>
      <c r="W2440" s="98"/>
      <c r="X2440" s="98"/>
      <c r="Y2440" s="98"/>
      <c r="Z2440" s="98"/>
      <c r="AA2440" s="98"/>
      <c r="AB2440" s="98"/>
      <c r="AC2440" s="98"/>
      <c r="AD2440" s="98"/>
      <c r="AE2440" s="98"/>
      <c r="AF2440" s="98"/>
      <c r="AG2440" s="98"/>
      <c r="AH2440" s="98"/>
      <c r="AI2440" s="98"/>
      <c r="AJ2440" s="98"/>
      <c r="AK2440" s="98"/>
      <c r="AL2440" s="98"/>
      <c r="AM2440" s="98"/>
    </row>
    <row r="2441" spans="1:39" s="100" customFormat="1" ht="15.6" x14ac:dyDescent="0.3">
      <c r="A2441" s="97"/>
      <c r="B2441" s="98"/>
      <c r="C2441" s="98"/>
      <c r="D2441" s="98"/>
      <c r="E2441" s="98"/>
      <c r="F2441" s="98"/>
      <c r="G2441" s="99"/>
      <c r="H2441" s="99"/>
      <c r="I2441" s="99"/>
      <c r="J2441" s="99"/>
      <c r="K2441" s="98"/>
      <c r="L2441" s="98"/>
      <c r="M2441" s="98"/>
      <c r="N2441" s="98"/>
      <c r="O2441" s="98"/>
      <c r="P2441" s="98"/>
      <c r="Q2441" s="98"/>
      <c r="R2441" s="98"/>
      <c r="S2441" s="98"/>
      <c r="T2441" s="98"/>
      <c r="U2441" s="98"/>
      <c r="V2441" s="98"/>
      <c r="W2441" s="98"/>
      <c r="X2441" s="98"/>
      <c r="Y2441" s="98"/>
      <c r="Z2441" s="98"/>
      <c r="AA2441" s="98"/>
      <c r="AB2441" s="98"/>
      <c r="AC2441" s="98"/>
      <c r="AD2441" s="98"/>
      <c r="AE2441" s="98"/>
      <c r="AF2441" s="98"/>
      <c r="AG2441" s="98"/>
      <c r="AH2441" s="98"/>
      <c r="AI2441" s="98"/>
      <c r="AJ2441" s="98"/>
      <c r="AK2441" s="98"/>
      <c r="AL2441" s="98"/>
      <c r="AM2441" s="98"/>
    </row>
    <row r="2442" spans="1:39" s="100" customFormat="1" ht="15.6" x14ac:dyDescent="0.3">
      <c r="A2442" s="97"/>
      <c r="B2442" s="98"/>
      <c r="C2442" s="98"/>
      <c r="D2442" s="98"/>
      <c r="E2442" s="98"/>
      <c r="F2442" s="98"/>
      <c r="G2442" s="99"/>
      <c r="H2442" s="99"/>
      <c r="I2442" s="99"/>
      <c r="J2442" s="99"/>
      <c r="K2442" s="98"/>
      <c r="L2442" s="98"/>
      <c r="M2442" s="98"/>
      <c r="N2442" s="98"/>
      <c r="O2442" s="98"/>
      <c r="P2442" s="98"/>
      <c r="Q2442" s="98"/>
      <c r="R2442" s="98"/>
      <c r="S2442" s="98"/>
      <c r="T2442" s="98"/>
      <c r="U2442" s="98"/>
      <c r="V2442" s="98"/>
      <c r="W2442" s="98"/>
      <c r="X2442" s="98"/>
      <c r="Y2442" s="98"/>
      <c r="Z2442" s="98"/>
      <c r="AA2442" s="98"/>
      <c r="AB2442" s="98"/>
      <c r="AC2442" s="98"/>
      <c r="AD2442" s="98"/>
      <c r="AE2442" s="98"/>
      <c r="AF2442" s="98"/>
      <c r="AG2442" s="98"/>
      <c r="AH2442" s="98"/>
      <c r="AI2442" s="98"/>
      <c r="AJ2442" s="98"/>
      <c r="AK2442" s="98"/>
      <c r="AL2442" s="98"/>
      <c r="AM2442" s="98"/>
    </row>
    <row r="2443" spans="1:39" s="100" customFormat="1" ht="15.6" x14ac:dyDescent="0.3">
      <c r="A2443" s="97"/>
      <c r="B2443" s="98"/>
      <c r="C2443" s="98"/>
      <c r="D2443" s="98"/>
      <c r="E2443" s="98"/>
      <c r="F2443" s="98"/>
      <c r="G2443" s="99"/>
      <c r="H2443" s="99"/>
      <c r="I2443" s="99"/>
      <c r="J2443" s="99"/>
      <c r="K2443" s="98"/>
      <c r="L2443" s="98"/>
      <c r="M2443" s="98"/>
      <c r="N2443" s="98"/>
      <c r="O2443" s="98"/>
      <c r="P2443" s="98"/>
      <c r="Q2443" s="98"/>
      <c r="R2443" s="98"/>
      <c r="S2443" s="98"/>
      <c r="T2443" s="98"/>
      <c r="U2443" s="98"/>
      <c r="V2443" s="98"/>
      <c r="W2443" s="98"/>
      <c r="X2443" s="98"/>
      <c r="Y2443" s="98"/>
      <c r="Z2443" s="98"/>
      <c r="AA2443" s="98"/>
      <c r="AB2443" s="98"/>
      <c r="AC2443" s="98"/>
      <c r="AD2443" s="98"/>
      <c r="AE2443" s="98"/>
      <c r="AF2443" s="98"/>
      <c r="AG2443" s="98"/>
      <c r="AH2443" s="98"/>
      <c r="AI2443" s="98"/>
      <c r="AJ2443" s="98"/>
      <c r="AK2443" s="98"/>
      <c r="AL2443" s="98"/>
      <c r="AM2443" s="98"/>
    </row>
    <row r="2444" spans="1:39" s="100" customFormat="1" ht="15.6" x14ac:dyDescent="0.3">
      <c r="A2444" s="97"/>
      <c r="B2444" s="98"/>
      <c r="C2444" s="98"/>
      <c r="D2444" s="98"/>
      <c r="E2444" s="98"/>
      <c r="F2444" s="98"/>
      <c r="G2444" s="99"/>
      <c r="H2444" s="99"/>
      <c r="I2444" s="99"/>
      <c r="J2444" s="99"/>
      <c r="K2444" s="98"/>
      <c r="L2444" s="98"/>
      <c r="M2444" s="98"/>
      <c r="N2444" s="98"/>
      <c r="O2444" s="98"/>
      <c r="P2444" s="98"/>
      <c r="Q2444" s="98"/>
      <c r="R2444" s="98"/>
      <c r="S2444" s="98"/>
      <c r="T2444" s="98"/>
      <c r="U2444" s="98"/>
      <c r="V2444" s="98"/>
      <c r="W2444" s="98"/>
      <c r="X2444" s="98"/>
      <c r="Y2444" s="98"/>
      <c r="Z2444" s="98"/>
      <c r="AA2444" s="98"/>
      <c r="AB2444" s="98"/>
      <c r="AC2444" s="98"/>
      <c r="AD2444" s="98"/>
      <c r="AE2444" s="98"/>
      <c r="AF2444" s="98"/>
      <c r="AG2444" s="98"/>
      <c r="AH2444" s="98"/>
      <c r="AI2444" s="98"/>
      <c r="AJ2444" s="98"/>
      <c r="AK2444" s="98"/>
      <c r="AL2444" s="98"/>
      <c r="AM2444" s="98"/>
    </row>
    <row r="2445" spans="1:39" s="100" customFormat="1" ht="15.6" x14ac:dyDescent="0.3">
      <c r="A2445" s="97"/>
      <c r="B2445" s="98"/>
      <c r="C2445" s="98"/>
      <c r="D2445" s="98"/>
      <c r="E2445" s="98"/>
      <c r="F2445" s="98"/>
      <c r="G2445" s="99"/>
      <c r="H2445" s="99"/>
      <c r="I2445" s="99"/>
      <c r="J2445" s="99"/>
      <c r="K2445" s="98"/>
      <c r="L2445" s="98"/>
      <c r="M2445" s="98"/>
      <c r="N2445" s="98"/>
      <c r="O2445" s="98"/>
      <c r="P2445" s="98"/>
      <c r="Q2445" s="98"/>
      <c r="R2445" s="98"/>
      <c r="S2445" s="98"/>
      <c r="T2445" s="98"/>
      <c r="U2445" s="98"/>
      <c r="V2445" s="98"/>
      <c r="W2445" s="98"/>
      <c r="X2445" s="98"/>
      <c r="Y2445" s="98"/>
      <c r="Z2445" s="98"/>
      <c r="AA2445" s="98"/>
      <c r="AB2445" s="98"/>
      <c r="AC2445" s="98"/>
      <c r="AD2445" s="98"/>
      <c r="AE2445" s="98"/>
      <c r="AF2445" s="98"/>
      <c r="AG2445" s="98"/>
      <c r="AH2445" s="98"/>
      <c r="AI2445" s="98"/>
      <c r="AJ2445" s="98"/>
      <c r="AK2445" s="98"/>
      <c r="AL2445" s="98"/>
      <c r="AM2445" s="98"/>
    </row>
    <row r="2446" spans="1:39" s="100" customFormat="1" ht="15.6" x14ac:dyDescent="0.3">
      <c r="A2446" s="97"/>
      <c r="B2446" s="98"/>
      <c r="C2446" s="98"/>
      <c r="D2446" s="98"/>
      <c r="E2446" s="98"/>
      <c r="F2446" s="98"/>
      <c r="G2446" s="99"/>
      <c r="H2446" s="99"/>
      <c r="I2446" s="99"/>
      <c r="J2446" s="99"/>
      <c r="K2446" s="98"/>
      <c r="L2446" s="98"/>
      <c r="M2446" s="98"/>
      <c r="N2446" s="98"/>
      <c r="O2446" s="98"/>
      <c r="P2446" s="98"/>
      <c r="Q2446" s="98"/>
      <c r="R2446" s="98"/>
      <c r="S2446" s="98"/>
      <c r="T2446" s="98"/>
      <c r="U2446" s="98"/>
      <c r="V2446" s="98"/>
      <c r="W2446" s="98"/>
      <c r="X2446" s="98"/>
      <c r="Y2446" s="98"/>
      <c r="Z2446" s="98"/>
      <c r="AA2446" s="98"/>
      <c r="AB2446" s="98"/>
      <c r="AC2446" s="98"/>
      <c r="AD2446" s="98"/>
      <c r="AE2446" s="98"/>
      <c r="AF2446" s="98"/>
      <c r="AG2446" s="98"/>
      <c r="AH2446" s="98"/>
      <c r="AI2446" s="98"/>
      <c r="AJ2446" s="98"/>
      <c r="AK2446" s="98"/>
      <c r="AL2446" s="98"/>
      <c r="AM2446" s="98"/>
    </row>
    <row r="2447" spans="1:39" s="100" customFormat="1" ht="15.6" x14ac:dyDescent="0.3">
      <c r="A2447" s="97"/>
      <c r="B2447" s="98"/>
      <c r="C2447" s="98"/>
      <c r="D2447" s="98"/>
      <c r="E2447" s="98"/>
      <c r="F2447" s="98"/>
      <c r="G2447" s="99"/>
      <c r="H2447" s="99"/>
      <c r="I2447" s="99"/>
      <c r="J2447" s="99"/>
      <c r="K2447" s="98"/>
      <c r="L2447" s="98"/>
      <c r="M2447" s="98"/>
      <c r="N2447" s="98"/>
      <c r="O2447" s="98"/>
      <c r="P2447" s="98"/>
      <c r="Q2447" s="98"/>
      <c r="R2447" s="98"/>
      <c r="S2447" s="98"/>
      <c r="T2447" s="98"/>
      <c r="U2447" s="98"/>
      <c r="V2447" s="98"/>
      <c r="W2447" s="98"/>
      <c r="X2447" s="98"/>
      <c r="Y2447" s="98"/>
      <c r="Z2447" s="98"/>
      <c r="AA2447" s="98"/>
      <c r="AB2447" s="98"/>
      <c r="AC2447" s="98"/>
      <c r="AD2447" s="98"/>
      <c r="AE2447" s="98"/>
      <c r="AF2447" s="98"/>
      <c r="AG2447" s="98"/>
      <c r="AH2447" s="98"/>
      <c r="AI2447" s="98"/>
      <c r="AJ2447" s="98"/>
      <c r="AK2447" s="98"/>
      <c r="AL2447" s="98"/>
      <c r="AM2447" s="98"/>
    </row>
    <row r="2448" spans="1:39" s="100" customFormat="1" ht="15.6" x14ac:dyDescent="0.3">
      <c r="A2448" s="97"/>
      <c r="B2448" s="98"/>
      <c r="C2448" s="98"/>
      <c r="D2448" s="98"/>
      <c r="E2448" s="98"/>
      <c r="F2448" s="98"/>
      <c r="G2448" s="99"/>
      <c r="H2448" s="99"/>
      <c r="I2448" s="99"/>
      <c r="J2448" s="99"/>
      <c r="K2448" s="98"/>
      <c r="L2448" s="98"/>
      <c r="M2448" s="98"/>
      <c r="N2448" s="98"/>
      <c r="O2448" s="98"/>
      <c r="P2448" s="98"/>
      <c r="Q2448" s="98"/>
      <c r="R2448" s="98"/>
      <c r="S2448" s="98"/>
      <c r="T2448" s="98"/>
      <c r="U2448" s="98"/>
      <c r="V2448" s="98"/>
      <c r="W2448" s="98"/>
      <c r="X2448" s="98"/>
      <c r="Y2448" s="98"/>
      <c r="Z2448" s="98"/>
      <c r="AA2448" s="98"/>
      <c r="AB2448" s="98"/>
      <c r="AC2448" s="98"/>
      <c r="AD2448" s="98"/>
      <c r="AE2448" s="98"/>
      <c r="AF2448" s="98"/>
      <c r="AG2448" s="98"/>
      <c r="AH2448" s="98"/>
      <c r="AI2448" s="98"/>
      <c r="AJ2448" s="98"/>
      <c r="AK2448" s="98"/>
      <c r="AL2448" s="98"/>
      <c r="AM2448" s="98"/>
    </row>
    <row r="2449" spans="1:39" s="100" customFormat="1" ht="15.6" x14ac:dyDescent="0.3">
      <c r="A2449" s="97"/>
      <c r="B2449" s="98"/>
      <c r="C2449" s="98"/>
      <c r="D2449" s="98"/>
      <c r="E2449" s="98"/>
      <c r="F2449" s="98"/>
      <c r="G2449" s="99"/>
      <c r="H2449" s="99"/>
      <c r="I2449" s="99"/>
      <c r="J2449" s="99"/>
      <c r="K2449" s="98"/>
      <c r="L2449" s="98"/>
      <c r="M2449" s="98"/>
      <c r="N2449" s="98"/>
      <c r="O2449" s="98"/>
      <c r="P2449" s="98"/>
      <c r="Q2449" s="98"/>
      <c r="R2449" s="98"/>
      <c r="S2449" s="98"/>
      <c r="T2449" s="98"/>
      <c r="U2449" s="98"/>
      <c r="V2449" s="98"/>
      <c r="W2449" s="98"/>
      <c r="X2449" s="98"/>
      <c r="Y2449" s="98"/>
      <c r="Z2449" s="98"/>
      <c r="AA2449" s="98"/>
      <c r="AB2449" s="98"/>
      <c r="AC2449" s="98"/>
      <c r="AD2449" s="98"/>
      <c r="AE2449" s="98"/>
      <c r="AF2449" s="98"/>
      <c r="AG2449" s="98"/>
      <c r="AH2449" s="98"/>
      <c r="AI2449" s="98"/>
      <c r="AJ2449" s="98"/>
      <c r="AK2449" s="98"/>
      <c r="AL2449" s="98"/>
      <c r="AM2449" s="98"/>
    </row>
    <row r="2450" spans="1:39" s="100" customFormat="1" ht="15.6" x14ac:dyDescent="0.3">
      <c r="A2450" s="97"/>
      <c r="B2450" s="98"/>
      <c r="C2450" s="98"/>
      <c r="D2450" s="98"/>
      <c r="E2450" s="98"/>
      <c r="F2450" s="98"/>
      <c r="G2450" s="99"/>
      <c r="H2450" s="99"/>
      <c r="I2450" s="99"/>
      <c r="J2450" s="99"/>
      <c r="K2450" s="98"/>
      <c r="L2450" s="98"/>
      <c r="M2450" s="98"/>
      <c r="N2450" s="98"/>
      <c r="O2450" s="98"/>
      <c r="P2450" s="98"/>
      <c r="Q2450" s="98"/>
      <c r="R2450" s="98"/>
      <c r="S2450" s="98"/>
      <c r="T2450" s="98"/>
      <c r="U2450" s="98"/>
      <c r="V2450" s="98"/>
      <c r="W2450" s="98"/>
      <c r="X2450" s="98"/>
      <c r="Y2450" s="98"/>
      <c r="Z2450" s="98"/>
      <c r="AA2450" s="98"/>
      <c r="AB2450" s="98"/>
      <c r="AC2450" s="98"/>
      <c r="AD2450" s="98"/>
      <c r="AE2450" s="98"/>
      <c r="AF2450" s="98"/>
      <c r="AG2450" s="98"/>
      <c r="AH2450" s="98"/>
      <c r="AI2450" s="98"/>
      <c r="AJ2450" s="98"/>
      <c r="AK2450" s="98"/>
      <c r="AL2450" s="98"/>
      <c r="AM2450" s="98"/>
    </row>
    <row r="2451" spans="1:39" s="100" customFormat="1" ht="15.6" x14ac:dyDescent="0.3">
      <c r="A2451" s="97"/>
      <c r="B2451" s="98"/>
      <c r="C2451" s="98"/>
      <c r="D2451" s="98"/>
      <c r="E2451" s="98"/>
      <c r="F2451" s="98"/>
      <c r="G2451" s="99"/>
      <c r="H2451" s="99"/>
      <c r="I2451" s="99"/>
      <c r="J2451" s="99"/>
      <c r="K2451" s="98"/>
      <c r="L2451" s="98"/>
      <c r="M2451" s="98"/>
      <c r="N2451" s="98"/>
      <c r="O2451" s="98"/>
      <c r="P2451" s="98"/>
      <c r="Q2451" s="98"/>
      <c r="R2451" s="98"/>
      <c r="S2451" s="98"/>
      <c r="T2451" s="98"/>
      <c r="U2451" s="98"/>
      <c r="V2451" s="98"/>
      <c r="W2451" s="98"/>
      <c r="X2451" s="98"/>
      <c r="Y2451" s="98"/>
      <c r="Z2451" s="98"/>
      <c r="AA2451" s="98"/>
      <c r="AB2451" s="98"/>
      <c r="AC2451" s="98"/>
      <c r="AD2451" s="98"/>
      <c r="AE2451" s="98"/>
      <c r="AF2451" s="98"/>
      <c r="AG2451" s="98"/>
      <c r="AH2451" s="98"/>
      <c r="AI2451" s="98"/>
      <c r="AJ2451" s="98"/>
      <c r="AK2451" s="98"/>
      <c r="AL2451" s="98"/>
      <c r="AM2451" s="98"/>
    </row>
    <row r="2452" spans="1:39" s="100" customFormat="1" ht="15.6" x14ac:dyDescent="0.3">
      <c r="A2452" s="97"/>
      <c r="B2452" s="98"/>
      <c r="C2452" s="98"/>
      <c r="D2452" s="98"/>
      <c r="E2452" s="98"/>
      <c r="F2452" s="98"/>
      <c r="G2452" s="99"/>
      <c r="H2452" s="99"/>
      <c r="I2452" s="99"/>
      <c r="J2452" s="99"/>
      <c r="K2452" s="98"/>
      <c r="L2452" s="98"/>
      <c r="M2452" s="98"/>
      <c r="N2452" s="98"/>
      <c r="O2452" s="98"/>
      <c r="P2452" s="98"/>
      <c r="Q2452" s="98"/>
      <c r="R2452" s="98"/>
      <c r="S2452" s="98"/>
      <c r="T2452" s="98"/>
      <c r="U2452" s="98"/>
      <c r="V2452" s="98"/>
      <c r="W2452" s="98"/>
      <c r="X2452" s="98"/>
      <c r="Y2452" s="98"/>
      <c r="Z2452" s="98"/>
      <c r="AA2452" s="98"/>
      <c r="AB2452" s="98"/>
      <c r="AC2452" s="98"/>
      <c r="AD2452" s="98"/>
      <c r="AE2452" s="98"/>
      <c r="AF2452" s="98"/>
      <c r="AG2452" s="98"/>
      <c r="AH2452" s="98"/>
      <c r="AI2452" s="98"/>
      <c r="AJ2452" s="98"/>
      <c r="AK2452" s="98"/>
      <c r="AL2452" s="98"/>
      <c r="AM2452" s="98"/>
    </row>
    <row r="2453" spans="1:39" s="100" customFormat="1" ht="15.6" x14ac:dyDescent="0.3">
      <c r="A2453" s="97"/>
      <c r="B2453" s="98"/>
      <c r="C2453" s="98"/>
      <c r="D2453" s="98"/>
      <c r="E2453" s="98"/>
      <c r="F2453" s="98"/>
      <c r="G2453" s="99"/>
      <c r="H2453" s="99"/>
      <c r="I2453" s="99"/>
      <c r="J2453" s="99"/>
      <c r="K2453" s="98"/>
      <c r="L2453" s="98"/>
      <c r="M2453" s="98"/>
      <c r="N2453" s="98"/>
      <c r="O2453" s="98"/>
      <c r="P2453" s="98"/>
      <c r="Q2453" s="98"/>
      <c r="R2453" s="98"/>
      <c r="S2453" s="98"/>
      <c r="T2453" s="98"/>
      <c r="U2453" s="98"/>
      <c r="V2453" s="98"/>
      <c r="W2453" s="98"/>
      <c r="X2453" s="98"/>
      <c r="Y2453" s="98"/>
      <c r="Z2453" s="98"/>
      <c r="AA2453" s="98"/>
      <c r="AB2453" s="98"/>
      <c r="AC2453" s="98"/>
      <c r="AD2453" s="98"/>
      <c r="AE2453" s="98"/>
      <c r="AF2453" s="98"/>
      <c r="AG2453" s="98"/>
      <c r="AH2453" s="98"/>
      <c r="AI2453" s="98"/>
      <c r="AJ2453" s="98"/>
      <c r="AK2453" s="98"/>
      <c r="AL2453" s="98"/>
      <c r="AM2453" s="98"/>
    </row>
    <row r="2454" spans="1:39" s="100" customFormat="1" ht="15.6" x14ac:dyDescent="0.3">
      <c r="A2454" s="97"/>
      <c r="B2454" s="98"/>
      <c r="C2454" s="98"/>
      <c r="D2454" s="98"/>
      <c r="E2454" s="98"/>
      <c r="F2454" s="98"/>
      <c r="G2454" s="99"/>
      <c r="H2454" s="99"/>
      <c r="I2454" s="99"/>
      <c r="J2454" s="99"/>
      <c r="K2454" s="98"/>
      <c r="L2454" s="98"/>
      <c r="M2454" s="98"/>
      <c r="N2454" s="98"/>
      <c r="O2454" s="98"/>
      <c r="P2454" s="98"/>
      <c r="Q2454" s="98"/>
      <c r="R2454" s="98"/>
      <c r="S2454" s="98"/>
      <c r="T2454" s="98"/>
      <c r="U2454" s="98"/>
      <c r="V2454" s="98"/>
      <c r="W2454" s="98"/>
      <c r="X2454" s="98"/>
      <c r="Y2454" s="98"/>
      <c r="Z2454" s="98"/>
      <c r="AA2454" s="98"/>
      <c r="AB2454" s="98"/>
      <c r="AC2454" s="98"/>
      <c r="AD2454" s="98"/>
      <c r="AE2454" s="98"/>
      <c r="AF2454" s="98"/>
      <c r="AG2454" s="98"/>
      <c r="AH2454" s="98"/>
      <c r="AI2454" s="98"/>
      <c r="AJ2454" s="98"/>
      <c r="AK2454" s="98"/>
      <c r="AL2454" s="98"/>
      <c r="AM2454" s="98"/>
    </row>
    <row r="2455" spans="1:39" s="100" customFormat="1" ht="15.6" x14ac:dyDescent="0.3">
      <c r="A2455" s="97"/>
      <c r="B2455" s="98"/>
      <c r="C2455" s="98"/>
      <c r="D2455" s="98"/>
      <c r="E2455" s="98"/>
      <c r="F2455" s="98"/>
      <c r="G2455" s="99"/>
      <c r="H2455" s="99"/>
      <c r="I2455" s="99"/>
      <c r="J2455" s="99"/>
      <c r="K2455" s="98"/>
      <c r="L2455" s="98"/>
      <c r="M2455" s="98"/>
      <c r="N2455" s="98"/>
      <c r="O2455" s="98"/>
      <c r="P2455" s="98"/>
      <c r="Q2455" s="98"/>
      <c r="R2455" s="98"/>
      <c r="S2455" s="98"/>
      <c r="T2455" s="98"/>
      <c r="U2455" s="98"/>
      <c r="V2455" s="98"/>
      <c r="W2455" s="98"/>
      <c r="X2455" s="98"/>
      <c r="Y2455" s="98"/>
      <c r="Z2455" s="98"/>
      <c r="AA2455" s="98"/>
      <c r="AB2455" s="98"/>
      <c r="AC2455" s="98"/>
      <c r="AD2455" s="98"/>
      <c r="AE2455" s="98"/>
      <c r="AF2455" s="98"/>
      <c r="AG2455" s="98"/>
      <c r="AH2455" s="98"/>
      <c r="AI2455" s="98"/>
      <c r="AJ2455" s="98"/>
      <c r="AK2455" s="98"/>
      <c r="AL2455" s="98"/>
      <c r="AM2455" s="98"/>
    </row>
    <row r="2456" spans="1:39" s="100" customFormat="1" ht="15.6" x14ac:dyDescent="0.3">
      <c r="A2456" s="97"/>
      <c r="B2456" s="98"/>
      <c r="C2456" s="98"/>
      <c r="D2456" s="98"/>
      <c r="E2456" s="98"/>
      <c r="F2456" s="98"/>
      <c r="G2456" s="99"/>
      <c r="H2456" s="99"/>
      <c r="I2456" s="99"/>
      <c r="J2456" s="99"/>
      <c r="K2456" s="98"/>
      <c r="L2456" s="98"/>
      <c r="M2456" s="98"/>
      <c r="N2456" s="98"/>
      <c r="O2456" s="98"/>
      <c r="P2456" s="98"/>
      <c r="Q2456" s="98"/>
      <c r="R2456" s="98"/>
      <c r="S2456" s="98"/>
      <c r="T2456" s="98"/>
      <c r="U2456" s="98"/>
      <c r="V2456" s="98"/>
      <c r="W2456" s="98"/>
      <c r="X2456" s="98"/>
      <c r="Y2456" s="98"/>
      <c r="Z2456" s="98"/>
      <c r="AA2456" s="98"/>
      <c r="AB2456" s="98"/>
      <c r="AC2456" s="98"/>
      <c r="AD2456" s="98"/>
      <c r="AE2456" s="98"/>
      <c r="AF2456" s="98"/>
      <c r="AG2456" s="98"/>
      <c r="AH2456" s="98"/>
      <c r="AI2456" s="98"/>
      <c r="AJ2456" s="98"/>
      <c r="AK2456" s="98"/>
      <c r="AL2456" s="98"/>
      <c r="AM2456" s="98"/>
    </row>
    <row r="2457" spans="1:39" s="100" customFormat="1" ht="15.6" x14ac:dyDescent="0.3">
      <c r="A2457" s="97"/>
      <c r="B2457" s="98"/>
      <c r="C2457" s="98"/>
      <c r="D2457" s="98"/>
      <c r="E2457" s="98"/>
      <c r="F2457" s="98"/>
      <c r="G2457" s="99"/>
      <c r="H2457" s="99"/>
      <c r="I2457" s="99"/>
      <c r="J2457" s="99"/>
      <c r="K2457" s="98"/>
      <c r="L2457" s="98"/>
      <c r="M2457" s="98"/>
      <c r="N2457" s="98"/>
      <c r="O2457" s="98"/>
      <c r="P2457" s="98"/>
      <c r="Q2457" s="98"/>
      <c r="R2457" s="98"/>
      <c r="S2457" s="98"/>
      <c r="T2457" s="98"/>
      <c r="U2457" s="98"/>
      <c r="V2457" s="98"/>
      <c r="W2457" s="98"/>
      <c r="X2457" s="98"/>
      <c r="Y2457" s="98"/>
      <c r="Z2457" s="98"/>
      <c r="AA2457" s="98"/>
      <c r="AB2457" s="98"/>
      <c r="AC2457" s="98"/>
      <c r="AD2457" s="98"/>
      <c r="AE2457" s="98"/>
      <c r="AF2457" s="98"/>
      <c r="AG2457" s="98"/>
      <c r="AH2457" s="98"/>
      <c r="AI2457" s="98"/>
      <c r="AJ2457" s="98"/>
      <c r="AK2457" s="98"/>
      <c r="AL2457" s="98"/>
      <c r="AM2457" s="98"/>
    </row>
    <row r="2458" spans="1:39" s="100" customFormat="1" ht="15.6" x14ac:dyDescent="0.3">
      <c r="A2458" s="97"/>
      <c r="B2458" s="98"/>
      <c r="C2458" s="98"/>
      <c r="D2458" s="98"/>
      <c r="E2458" s="98"/>
      <c r="F2458" s="98"/>
      <c r="G2458" s="99"/>
      <c r="H2458" s="99"/>
      <c r="I2458" s="99"/>
      <c r="J2458" s="99"/>
      <c r="K2458" s="98"/>
      <c r="L2458" s="98"/>
      <c r="M2458" s="98"/>
      <c r="N2458" s="98"/>
      <c r="O2458" s="98"/>
      <c r="P2458" s="98"/>
      <c r="Q2458" s="98"/>
      <c r="R2458" s="98"/>
      <c r="S2458" s="98"/>
      <c r="T2458" s="98"/>
      <c r="U2458" s="98"/>
      <c r="V2458" s="98"/>
      <c r="W2458" s="98"/>
      <c r="X2458" s="98"/>
      <c r="Y2458" s="98"/>
      <c r="Z2458" s="98"/>
      <c r="AA2458" s="98"/>
      <c r="AB2458" s="98"/>
      <c r="AC2458" s="98"/>
      <c r="AD2458" s="98"/>
      <c r="AE2458" s="98"/>
      <c r="AF2458" s="98"/>
      <c r="AG2458" s="98"/>
      <c r="AH2458" s="98"/>
      <c r="AI2458" s="98"/>
      <c r="AJ2458" s="98"/>
      <c r="AK2458" s="98"/>
      <c r="AL2458" s="98"/>
      <c r="AM2458" s="98"/>
    </row>
    <row r="2459" spans="1:39" s="100" customFormat="1" ht="15.6" x14ac:dyDescent="0.3">
      <c r="A2459" s="97"/>
      <c r="B2459" s="98"/>
      <c r="C2459" s="98"/>
      <c r="D2459" s="98"/>
      <c r="E2459" s="98"/>
      <c r="F2459" s="98"/>
      <c r="G2459" s="99"/>
      <c r="H2459" s="99"/>
      <c r="I2459" s="99"/>
      <c r="J2459" s="99"/>
      <c r="K2459" s="98"/>
      <c r="L2459" s="98"/>
      <c r="M2459" s="98"/>
      <c r="N2459" s="98"/>
      <c r="O2459" s="98"/>
      <c r="P2459" s="98"/>
      <c r="Q2459" s="98"/>
      <c r="R2459" s="98"/>
      <c r="S2459" s="98"/>
      <c r="T2459" s="98"/>
      <c r="U2459" s="98"/>
      <c r="V2459" s="98"/>
      <c r="W2459" s="98"/>
      <c r="X2459" s="98"/>
      <c r="Y2459" s="98"/>
      <c r="Z2459" s="98"/>
      <c r="AA2459" s="98"/>
      <c r="AB2459" s="98"/>
      <c r="AC2459" s="98"/>
      <c r="AD2459" s="98"/>
      <c r="AE2459" s="98"/>
      <c r="AF2459" s="98"/>
      <c r="AG2459" s="98"/>
      <c r="AH2459" s="98"/>
      <c r="AI2459" s="98"/>
      <c r="AJ2459" s="98"/>
      <c r="AK2459" s="98"/>
      <c r="AL2459" s="98"/>
      <c r="AM2459" s="98"/>
    </row>
    <row r="2460" spans="1:39" s="100" customFormat="1" ht="15.6" x14ac:dyDescent="0.3">
      <c r="A2460" s="97"/>
      <c r="B2460" s="98"/>
      <c r="C2460" s="98"/>
      <c r="D2460" s="98"/>
      <c r="E2460" s="98"/>
      <c r="F2460" s="98"/>
      <c r="G2460" s="99"/>
      <c r="H2460" s="99"/>
      <c r="I2460" s="99"/>
      <c r="J2460" s="99"/>
      <c r="K2460" s="98"/>
      <c r="L2460" s="98"/>
      <c r="M2460" s="98"/>
      <c r="N2460" s="98"/>
      <c r="O2460" s="98"/>
      <c r="P2460" s="98"/>
      <c r="Q2460" s="98"/>
      <c r="R2460" s="98"/>
      <c r="S2460" s="98"/>
      <c r="T2460" s="98"/>
      <c r="U2460" s="98"/>
      <c r="V2460" s="98"/>
      <c r="W2460" s="98"/>
      <c r="X2460" s="98"/>
      <c r="Y2460" s="98"/>
      <c r="Z2460" s="98"/>
      <c r="AA2460" s="98"/>
      <c r="AB2460" s="98"/>
      <c r="AC2460" s="98"/>
      <c r="AD2460" s="98"/>
      <c r="AE2460" s="98"/>
      <c r="AF2460" s="98"/>
      <c r="AG2460" s="98"/>
      <c r="AH2460" s="98"/>
      <c r="AI2460" s="98"/>
      <c r="AJ2460" s="98"/>
      <c r="AK2460" s="98"/>
      <c r="AL2460" s="98"/>
      <c r="AM2460" s="98"/>
    </row>
    <row r="2461" spans="1:39" s="100" customFormat="1" ht="15.6" x14ac:dyDescent="0.3">
      <c r="A2461" s="97"/>
      <c r="B2461" s="98"/>
      <c r="C2461" s="98"/>
      <c r="D2461" s="98"/>
      <c r="E2461" s="98"/>
      <c r="F2461" s="98"/>
      <c r="G2461" s="99"/>
      <c r="H2461" s="99"/>
      <c r="I2461" s="99"/>
      <c r="J2461" s="99"/>
      <c r="K2461" s="98"/>
      <c r="L2461" s="98"/>
      <c r="M2461" s="98"/>
      <c r="N2461" s="98"/>
      <c r="O2461" s="98"/>
      <c r="P2461" s="98"/>
      <c r="Q2461" s="98"/>
      <c r="R2461" s="98"/>
      <c r="S2461" s="98"/>
      <c r="T2461" s="98"/>
      <c r="U2461" s="98"/>
      <c r="V2461" s="98"/>
      <c r="W2461" s="98"/>
      <c r="X2461" s="98"/>
      <c r="Y2461" s="98"/>
      <c r="Z2461" s="98"/>
      <c r="AA2461" s="98"/>
      <c r="AB2461" s="98"/>
      <c r="AC2461" s="98"/>
      <c r="AD2461" s="98"/>
      <c r="AE2461" s="98"/>
      <c r="AF2461" s="98"/>
      <c r="AG2461" s="98"/>
      <c r="AH2461" s="98"/>
      <c r="AI2461" s="98"/>
      <c r="AJ2461" s="98"/>
      <c r="AK2461" s="98"/>
      <c r="AL2461" s="98"/>
      <c r="AM2461" s="98"/>
    </row>
    <row r="2462" spans="1:39" s="100" customFormat="1" ht="15.6" x14ac:dyDescent="0.3">
      <c r="A2462" s="97"/>
      <c r="B2462" s="98"/>
      <c r="C2462" s="98"/>
      <c r="D2462" s="98"/>
      <c r="E2462" s="98"/>
      <c r="F2462" s="98"/>
      <c r="G2462" s="99"/>
      <c r="H2462" s="99"/>
      <c r="I2462" s="99"/>
      <c r="J2462" s="99"/>
      <c r="K2462" s="98"/>
      <c r="L2462" s="98"/>
      <c r="M2462" s="98"/>
      <c r="N2462" s="98"/>
      <c r="O2462" s="98"/>
      <c r="P2462" s="98"/>
      <c r="Q2462" s="98"/>
      <c r="R2462" s="98"/>
      <c r="S2462" s="98"/>
      <c r="T2462" s="98"/>
      <c r="U2462" s="98"/>
      <c r="V2462" s="98"/>
      <c r="W2462" s="98"/>
      <c r="X2462" s="98"/>
      <c r="Y2462" s="98"/>
      <c r="Z2462" s="98"/>
      <c r="AA2462" s="98"/>
      <c r="AB2462" s="98"/>
      <c r="AC2462" s="98"/>
      <c r="AD2462" s="98"/>
      <c r="AE2462" s="98"/>
      <c r="AF2462" s="98"/>
      <c r="AG2462" s="98"/>
      <c r="AH2462" s="98"/>
      <c r="AI2462" s="98"/>
      <c r="AJ2462" s="98"/>
      <c r="AK2462" s="98"/>
      <c r="AL2462" s="98"/>
      <c r="AM2462" s="98"/>
    </row>
    <row r="2463" spans="1:39" s="100" customFormat="1" ht="15.6" x14ac:dyDescent="0.3">
      <c r="A2463" s="97"/>
      <c r="B2463" s="98"/>
      <c r="C2463" s="98"/>
      <c r="D2463" s="98"/>
      <c r="E2463" s="98"/>
      <c r="F2463" s="98"/>
      <c r="G2463" s="99"/>
      <c r="H2463" s="99"/>
      <c r="I2463" s="99"/>
      <c r="J2463" s="99"/>
      <c r="K2463" s="98"/>
      <c r="L2463" s="98"/>
      <c r="M2463" s="98"/>
      <c r="N2463" s="98"/>
      <c r="O2463" s="98"/>
      <c r="P2463" s="98"/>
      <c r="Q2463" s="98"/>
      <c r="R2463" s="98"/>
      <c r="S2463" s="98"/>
      <c r="T2463" s="98"/>
      <c r="U2463" s="98"/>
      <c r="V2463" s="98"/>
      <c r="W2463" s="98"/>
      <c r="X2463" s="98"/>
      <c r="Y2463" s="98"/>
      <c r="Z2463" s="98"/>
      <c r="AA2463" s="98"/>
      <c r="AB2463" s="98"/>
      <c r="AC2463" s="98"/>
      <c r="AD2463" s="98"/>
      <c r="AE2463" s="98"/>
      <c r="AF2463" s="98"/>
      <c r="AG2463" s="98"/>
      <c r="AH2463" s="98"/>
      <c r="AI2463" s="98"/>
      <c r="AJ2463" s="98"/>
      <c r="AK2463" s="98"/>
      <c r="AL2463" s="98"/>
      <c r="AM2463" s="98"/>
    </row>
    <row r="2464" spans="1:39" s="100" customFormat="1" ht="15.6" x14ac:dyDescent="0.3">
      <c r="A2464" s="97"/>
      <c r="B2464" s="98"/>
      <c r="C2464" s="98"/>
      <c r="D2464" s="98"/>
      <c r="E2464" s="98"/>
      <c r="F2464" s="98"/>
      <c r="G2464" s="99"/>
      <c r="H2464" s="99"/>
      <c r="I2464" s="99"/>
      <c r="J2464" s="99"/>
      <c r="K2464" s="98"/>
      <c r="L2464" s="98"/>
      <c r="M2464" s="98"/>
      <c r="N2464" s="98"/>
      <c r="O2464" s="98"/>
      <c r="P2464" s="98"/>
      <c r="Q2464" s="98"/>
      <c r="R2464" s="98"/>
      <c r="S2464" s="98"/>
      <c r="T2464" s="98"/>
      <c r="U2464" s="98"/>
      <c r="V2464" s="98"/>
      <c r="W2464" s="98"/>
      <c r="X2464" s="98"/>
      <c r="Y2464" s="98"/>
      <c r="Z2464" s="98"/>
      <c r="AA2464" s="98"/>
      <c r="AB2464" s="98"/>
      <c r="AC2464" s="98"/>
      <c r="AD2464" s="98"/>
      <c r="AE2464" s="98"/>
      <c r="AF2464" s="98"/>
      <c r="AG2464" s="98"/>
      <c r="AH2464" s="98"/>
      <c r="AI2464" s="98"/>
      <c r="AJ2464" s="98"/>
      <c r="AK2464" s="98"/>
      <c r="AL2464" s="98"/>
      <c r="AM2464" s="98"/>
    </row>
    <row r="2465" spans="1:39" s="100" customFormat="1" ht="15.6" x14ac:dyDescent="0.3">
      <c r="A2465" s="97"/>
      <c r="B2465" s="98"/>
      <c r="C2465" s="98"/>
      <c r="D2465" s="98"/>
      <c r="E2465" s="98"/>
      <c r="F2465" s="98"/>
      <c r="G2465" s="99"/>
      <c r="H2465" s="99"/>
      <c r="I2465" s="99"/>
      <c r="J2465" s="99"/>
      <c r="K2465" s="98"/>
      <c r="L2465" s="98"/>
      <c r="M2465" s="98"/>
      <c r="N2465" s="98"/>
      <c r="O2465" s="98"/>
      <c r="P2465" s="98"/>
      <c r="Q2465" s="98"/>
      <c r="R2465" s="98"/>
      <c r="S2465" s="98"/>
      <c r="T2465" s="98"/>
      <c r="U2465" s="98"/>
      <c r="V2465" s="98"/>
      <c r="W2465" s="98"/>
      <c r="X2465" s="98"/>
      <c r="Y2465" s="98"/>
      <c r="Z2465" s="98"/>
      <c r="AA2465" s="98"/>
      <c r="AB2465" s="98"/>
      <c r="AC2465" s="98"/>
      <c r="AD2465" s="98"/>
      <c r="AE2465" s="98"/>
      <c r="AF2465" s="98"/>
      <c r="AG2465" s="98"/>
      <c r="AH2465" s="98"/>
      <c r="AI2465" s="98"/>
      <c r="AJ2465" s="98"/>
      <c r="AK2465" s="98"/>
      <c r="AL2465" s="98"/>
      <c r="AM2465" s="98"/>
    </row>
    <row r="2466" spans="1:39" s="100" customFormat="1" ht="15.6" x14ac:dyDescent="0.3">
      <c r="A2466" s="97"/>
      <c r="B2466" s="98"/>
      <c r="C2466" s="98"/>
      <c r="D2466" s="98"/>
      <c r="E2466" s="98"/>
      <c r="F2466" s="98"/>
      <c r="G2466" s="99"/>
      <c r="H2466" s="99"/>
      <c r="I2466" s="99"/>
      <c r="J2466" s="99"/>
      <c r="K2466" s="98"/>
      <c r="L2466" s="98"/>
      <c r="M2466" s="98"/>
      <c r="N2466" s="98"/>
      <c r="O2466" s="98"/>
      <c r="P2466" s="98"/>
      <c r="Q2466" s="98"/>
      <c r="R2466" s="98"/>
      <c r="S2466" s="98"/>
      <c r="T2466" s="98"/>
      <c r="U2466" s="98"/>
      <c r="V2466" s="98"/>
      <c r="W2466" s="98"/>
      <c r="X2466" s="98"/>
      <c r="Y2466" s="98"/>
      <c r="Z2466" s="98"/>
      <c r="AA2466" s="98"/>
      <c r="AB2466" s="98"/>
      <c r="AC2466" s="98"/>
      <c r="AD2466" s="98"/>
      <c r="AE2466" s="98"/>
      <c r="AF2466" s="98"/>
      <c r="AG2466" s="98"/>
      <c r="AH2466" s="98"/>
      <c r="AI2466" s="98"/>
      <c r="AJ2466" s="98"/>
      <c r="AK2466" s="98"/>
      <c r="AL2466" s="98"/>
      <c r="AM2466" s="98"/>
    </row>
    <row r="2467" spans="1:39" s="100" customFormat="1" ht="15.6" x14ac:dyDescent="0.3">
      <c r="A2467" s="97"/>
      <c r="B2467" s="98"/>
      <c r="C2467" s="98"/>
      <c r="D2467" s="98"/>
      <c r="E2467" s="98"/>
      <c r="F2467" s="98"/>
      <c r="G2467" s="99"/>
      <c r="H2467" s="99"/>
      <c r="I2467" s="99"/>
      <c r="J2467" s="99"/>
      <c r="K2467" s="98"/>
      <c r="L2467" s="98"/>
      <c r="M2467" s="98"/>
      <c r="N2467" s="98"/>
      <c r="O2467" s="98"/>
      <c r="P2467" s="98"/>
      <c r="Q2467" s="98"/>
      <c r="R2467" s="98"/>
      <c r="S2467" s="98"/>
      <c r="T2467" s="98"/>
      <c r="U2467" s="98"/>
      <c r="V2467" s="98"/>
      <c r="W2467" s="98"/>
      <c r="X2467" s="98"/>
      <c r="Y2467" s="98"/>
      <c r="Z2467" s="98"/>
      <c r="AA2467" s="98"/>
      <c r="AB2467" s="98"/>
      <c r="AC2467" s="98"/>
      <c r="AD2467" s="98"/>
      <c r="AE2467" s="98"/>
      <c r="AF2467" s="98"/>
      <c r="AG2467" s="98"/>
      <c r="AH2467" s="98"/>
      <c r="AI2467" s="98"/>
      <c r="AJ2467" s="98"/>
      <c r="AK2467" s="98"/>
      <c r="AL2467" s="98"/>
      <c r="AM2467" s="98"/>
    </row>
    <row r="2468" spans="1:39" s="100" customFormat="1" ht="15.6" x14ac:dyDescent="0.3">
      <c r="A2468" s="97"/>
      <c r="B2468" s="98"/>
      <c r="C2468" s="98"/>
      <c r="D2468" s="98"/>
      <c r="E2468" s="98"/>
      <c r="F2468" s="98"/>
      <c r="G2468" s="99"/>
      <c r="H2468" s="99"/>
      <c r="I2468" s="99"/>
      <c r="J2468" s="99"/>
      <c r="K2468" s="98"/>
      <c r="L2468" s="98"/>
      <c r="M2468" s="98"/>
      <c r="N2468" s="98"/>
      <c r="O2468" s="98"/>
      <c r="P2468" s="98"/>
      <c r="Q2468" s="98"/>
      <c r="R2468" s="98"/>
      <c r="S2468" s="98"/>
      <c r="T2468" s="98"/>
      <c r="U2468" s="98"/>
      <c r="V2468" s="98"/>
      <c r="W2468" s="98"/>
      <c r="X2468" s="98"/>
      <c r="Y2468" s="98"/>
      <c r="Z2468" s="98"/>
      <c r="AA2468" s="98"/>
      <c r="AB2468" s="98"/>
      <c r="AC2468" s="98"/>
      <c r="AD2468" s="98"/>
      <c r="AE2468" s="98"/>
      <c r="AF2468" s="98"/>
      <c r="AG2468" s="98"/>
      <c r="AH2468" s="98"/>
      <c r="AI2468" s="98"/>
      <c r="AJ2468" s="98"/>
      <c r="AK2468" s="98"/>
      <c r="AL2468" s="98"/>
      <c r="AM2468" s="98"/>
    </row>
    <row r="2469" spans="1:39" s="100" customFormat="1" ht="15.6" x14ac:dyDescent="0.3">
      <c r="A2469" s="97"/>
      <c r="B2469" s="98"/>
      <c r="C2469" s="98"/>
      <c r="D2469" s="98"/>
      <c r="E2469" s="98"/>
      <c r="F2469" s="98"/>
      <c r="G2469" s="99"/>
      <c r="H2469" s="99"/>
      <c r="I2469" s="99"/>
      <c r="J2469" s="99"/>
      <c r="K2469" s="98"/>
      <c r="L2469" s="98"/>
      <c r="M2469" s="98"/>
      <c r="N2469" s="98"/>
      <c r="O2469" s="98"/>
      <c r="P2469" s="98"/>
      <c r="Q2469" s="98"/>
      <c r="R2469" s="98"/>
      <c r="S2469" s="98"/>
      <c r="T2469" s="98"/>
      <c r="U2469" s="98"/>
      <c r="V2469" s="98"/>
      <c r="W2469" s="98"/>
      <c r="X2469" s="98"/>
      <c r="Y2469" s="98"/>
      <c r="Z2469" s="98"/>
      <c r="AA2469" s="98"/>
      <c r="AB2469" s="98"/>
      <c r="AC2469" s="98"/>
      <c r="AD2469" s="98"/>
      <c r="AE2469" s="98"/>
      <c r="AF2469" s="98"/>
      <c r="AG2469" s="98"/>
      <c r="AH2469" s="98"/>
      <c r="AI2469" s="98"/>
      <c r="AJ2469" s="98"/>
      <c r="AK2469" s="98"/>
      <c r="AL2469" s="98"/>
      <c r="AM2469" s="98"/>
    </row>
    <row r="2470" spans="1:39" s="100" customFormat="1" ht="15.6" x14ac:dyDescent="0.3">
      <c r="A2470" s="97"/>
      <c r="B2470" s="98"/>
      <c r="C2470" s="98"/>
      <c r="D2470" s="98"/>
      <c r="E2470" s="98"/>
      <c r="F2470" s="98"/>
      <c r="G2470" s="99"/>
      <c r="H2470" s="99"/>
      <c r="I2470" s="99"/>
      <c r="J2470" s="99"/>
      <c r="K2470" s="98"/>
      <c r="L2470" s="98"/>
      <c r="M2470" s="98"/>
      <c r="N2470" s="98"/>
      <c r="O2470" s="98"/>
      <c r="P2470" s="98"/>
      <c r="Q2470" s="98"/>
      <c r="R2470" s="98"/>
      <c r="S2470" s="98"/>
      <c r="T2470" s="98"/>
      <c r="U2470" s="98"/>
      <c r="V2470" s="98"/>
      <c r="W2470" s="98"/>
      <c r="X2470" s="98"/>
      <c r="Y2470" s="98"/>
      <c r="Z2470" s="98"/>
      <c r="AA2470" s="98"/>
      <c r="AB2470" s="98"/>
      <c r="AC2470" s="98"/>
      <c r="AD2470" s="98"/>
      <c r="AE2470" s="98"/>
      <c r="AF2470" s="98"/>
      <c r="AG2470" s="98"/>
      <c r="AH2470" s="98"/>
      <c r="AI2470" s="98"/>
      <c r="AJ2470" s="98"/>
      <c r="AK2470" s="98"/>
      <c r="AL2470" s="98"/>
      <c r="AM2470" s="98"/>
    </row>
    <row r="2471" spans="1:39" s="100" customFormat="1" ht="15.6" x14ac:dyDescent="0.3">
      <c r="A2471" s="97"/>
      <c r="B2471" s="98"/>
      <c r="C2471" s="98"/>
      <c r="D2471" s="98"/>
      <c r="E2471" s="98"/>
      <c r="F2471" s="98"/>
      <c r="G2471" s="99"/>
      <c r="H2471" s="99"/>
      <c r="I2471" s="99"/>
      <c r="J2471" s="99"/>
      <c r="K2471" s="98"/>
      <c r="L2471" s="98"/>
      <c r="M2471" s="98"/>
      <c r="N2471" s="98"/>
      <c r="O2471" s="98"/>
      <c r="P2471" s="98"/>
      <c r="Q2471" s="98"/>
      <c r="R2471" s="98"/>
      <c r="S2471" s="98"/>
      <c r="T2471" s="98"/>
      <c r="U2471" s="98"/>
      <c r="V2471" s="98"/>
      <c r="W2471" s="98"/>
      <c r="X2471" s="98"/>
      <c r="Y2471" s="98"/>
      <c r="Z2471" s="98"/>
      <c r="AA2471" s="98"/>
      <c r="AB2471" s="98"/>
      <c r="AC2471" s="98"/>
      <c r="AD2471" s="98"/>
      <c r="AE2471" s="98"/>
      <c r="AF2471" s="98"/>
      <c r="AG2471" s="98"/>
      <c r="AH2471" s="98"/>
      <c r="AI2471" s="98"/>
      <c r="AJ2471" s="98"/>
      <c r="AK2471" s="98"/>
      <c r="AL2471" s="98"/>
      <c r="AM2471" s="98"/>
    </row>
    <row r="2472" spans="1:39" s="100" customFormat="1" ht="15.6" x14ac:dyDescent="0.3">
      <c r="A2472" s="97"/>
      <c r="B2472" s="98"/>
      <c r="C2472" s="98"/>
      <c r="D2472" s="98"/>
      <c r="E2472" s="98"/>
      <c r="F2472" s="98"/>
      <c r="G2472" s="99"/>
      <c r="H2472" s="99"/>
      <c r="I2472" s="99"/>
      <c r="J2472" s="99"/>
      <c r="K2472" s="98"/>
      <c r="L2472" s="98"/>
      <c r="M2472" s="98"/>
      <c r="N2472" s="98"/>
      <c r="O2472" s="98"/>
      <c r="P2472" s="98"/>
      <c r="Q2472" s="98"/>
      <c r="R2472" s="98"/>
      <c r="S2472" s="98"/>
      <c r="T2472" s="98"/>
      <c r="U2472" s="98"/>
      <c r="V2472" s="98"/>
      <c r="W2472" s="98"/>
      <c r="X2472" s="98"/>
      <c r="Y2472" s="98"/>
      <c r="Z2472" s="98"/>
      <c r="AA2472" s="98"/>
      <c r="AB2472" s="98"/>
      <c r="AC2472" s="98"/>
      <c r="AD2472" s="98"/>
      <c r="AE2472" s="98"/>
      <c r="AF2472" s="98"/>
      <c r="AG2472" s="98"/>
      <c r="AH2472" s="98"/>
      <c r="AI2472" s="98"/>
      <c r="AJ2472" s="98"/>
      <c r="AK2472" s="98"/>
      <c r="AL2472" s="98"/>
      <c r="AM2472" s="98"/>
    </row>
    <row r="2473" spans="1:39" s="100" customFormat="1" ht="15.6" x14ac:dyDescent="0.3">
      <c r="A2473" s="97"/>
      <c r="B2473" s="98"/>
      <c r="C2473" s="98"/>
      <c r="D2473" s="98"/>
      <c r="E2473" s="98"/>
      <c r="F2473" s="98"/>
      <c r="G2473" s="99"/>
      <c r="H2473" s="99"/>
      <c r="I2473" s="99"/>
      <c r="J2473" s="99"/>
      <c r="K2473" s="98"/>
      <c r="L2473" s="98"/>
      <c r="M2473" s="98"/>
      <c r="N2473" s="98"/>
      <c r="O2473" s="98"/>
      <c r="P2473" s="98"/>
      <c r="Q2473" s="98"/>
      <c r="R2473" s="98"/>
      <c r="S2473" s="98"/>
      <c r="T2473" s="98"/>
      <c r="U2473" s="98"/>
      <c r="V2473" s="98"/>
      <c r="W2473" s="98"/>
      <c r="X2473" s="98"/>
      <c r="Y2473" s="98"/>
      <c r="Z2473" s="98"/>
      <c r="AA2473" s="98"/>
      <c r="AB2473" s="98"/>
      <c r="AC2473" s="98"/>
      <c r="AD2473" s="98"/>
      <c r="AE2473" s="98"/>
      <c r="AF2473" s="98"/>
      <c r="AG2473" s="98"/>
      <c r="AH2473" s="98"/>
      <c r="AI2473" s="98"/>
      <c r="AJ2473" s="98"/>
      <c r="AK2473" s="98"/>
      <c r="AL2473" s="98"/>
      <c r="AM2473" s="98"/>
    </row>
    <row r="2474" spans="1:39" s="100" customFormat="1" ht="15.6" x14ac:dyDescent="0.3">
      <c r="A2474" s="97"/>
      <c r="B2474" s="98"/>
      <c r="C2474" s="98"/>
      <c r="D2474" s="98"/>
      <c r="E2474" s="98"/>
      <c r="F2474" s="98"/>
      <c r="G2474" s="99"/>
      <c r="H2474" s="99"/>
      <c r="I2474" s="99"/>
      <c r="J2474" s="99"/>
      <c r="K2474" s="98"/>
      <c r="L2474" s="98"/>
      <c r="M2474" s="98"/>
      <c r="N2474" s="98"/>
      <c r="O2474" s="98"/>
      <c r="P2474" s="98"/>
      <c r="Q2474" s="98"/>
      <c r="R2474" s="98"/>
      <c r="S2474" s="98"/>
      <c r="T2474" s="98"/>
      <c r="U2474" s="98"/>
      <c r="V2474" s="98"/>
      <c r="W2474" s="98"/>
      <c r="X2474" s="98"/>
      <c r="Y2474" s="98"/>
      <c r="Z2474" s="98"/>
      <c r="AA2474" s="98"/>
      <c r="AB2474" s="98"/>
      <c r="AC2474" s="98"/>
      <c r="AD2474" s="98"/>
      <c r="AE2474" s="98"/>
      <c r="AF2474" s="98"/>
      <c r="AG2474" s="98"/>
      <c r="AH2474" s="98"/>
      <c r="AI2474" s="98"/>
      <c r="AJ2474" s="98"/>
      <c r="AK2474" s="98"/>
      <c r="AL2474" s="98"/>
      <c r="AM2474" s="98"/>
    </row>
    <row r="2475" spans="1:39" s="100" customFormat="1" ht="15.6" x14ac:dyDescent="0.3">
      <c r="A2475" s="97"/>
      <c r="B2475" s="98"/>
      <c r="C2475" s="98"/>
      <c r="D2475" s="98"/>
      <c r="E2475" s="98"/>
      <c r="F2475" s="98"/>
      <c r="G2475" s="99"/>
      <c r="H2475" s="99"/>
      <c r="I2475" s="99"/>
      <c r="J2475" s="99"/>
      <c r="K2475" s="98"/>
      <c r="L2475" s="98"/>
      <c r="M2475" s="98"/>
      <c r="N2475" s="98"/>
      <c r="O2475" s="98"/>
      <c r="P2475" s="98"/>
      <c r="Q2475" s="98"/>
      <c r="R2475" s="98"/>
      <c r="S2475" s="98"/>
      <c r="T2475" s="98"/>
      <c r="U2475" s="98"/>
      <c r="V2475" s="98"/>
      <c r="W2475" s="98"/>
      <c r="X2475" s="98"/>
      <c r="Y2475" s="98"/>
      <c r="Z2475" s="98"/>
      <c r="AA2475" s="98"/>
      <c r="AB2475" s="98"/>
      <c r="AC2475" s="98"/>
      <c r="AD2475" s="98"/>
      <c r="AE2475" s="98"/>
      <c r="AF2475" s="98"/>
      <c r="AG2475" s="98"/>
      <c r="AH2475" s="98"/>
      <c r="AI2475" s="98"/>
      <c r="AJ2475" s="98"/>
      <c r="AK2475" s="98"/>
      <c r="AL2475" s="98"/>
      <c r="AM2475" s="98"/>
    </row>
    <row r="2476" spans="1:39" s="100" customFormat="1" ht="15.6" x14ac:dyDescent="0.3">
      <c r="A2476" s="97"/>
      <c r="B2476" s="98"/>
      <c r="C2476" s="98"/>
      <c r="D2476" s="98"/>
      <c r="E2476" s="98"/>
      <c r="F2476" s="98"/>
      <c r="G2476" s="99"/>
      <c r="H2476" s="99"/>
      <c r="I2476" s="99"/>
      <c r="J2476" s="99"/>
      <c r="K2476" s="98"/>
      <c r="L2476" s="98"/>
      <c r="M2476" s="98"/>
      <c r="N2476" s="98"/>
      <c r="O2476" s="98"/>
      <c r="P2476" s="98"/>
      <c r="Q2476" s="98"/>
      <c r="R2476" s="98"/>
      <c r="S2476" s="98"/>
      <c r="T2476" s="98"/>
      <c r="U2476" s="98"/>
      <c r="V2476" s="98"/>
      <c r="W2476" s="98"/>
      <c r="X2476" s="98"/>
      <c r="Y2476" s="98"/>
      <c r="Z2476" s="98"/>
      <c r="AA2476" s="98"/>
      <c r="AB2476" s="98"/>
      <c r="AC2476" s="98"/>
      <c r="AD2476" s="98"/>
      <c r="AE2476" s="98"/>
      <c r="AF2476" s="98"/>
      <c r="AG2476" s="98"/>
      <c r="AH2476" s="98"/>
      <c r="AI2476" s="98"/>
      <c r="AJ2476" s="98"/>
      <c r="AK2476" s="98"/>
      <c r="AL2476" s="98"/>
      <c r="AM2476" s="98"/>
    </row>
    <row r="2477" spans="1:39" s="100" customFormat="1" ht="15.6" x14ac:dyDescent="0.3">
      <c r="A2477" s="97"/>
      <c r="B2477" s="98"/>
      <c r="C2477" s="98"/>
      <c r="D2477" s="98"/>
      <c r="E2477" s="98"/>
      <c r="F2477" s="98"/>
      <c r="G2477" s="99"/>
      <c r="H2477" s="99"/>
      <c r="I2477" s="99"/>
      <c r="J2477" s="99"/>
      <c r="K2477" s="98"/>
      <c r="L2477" s="98"/>
      <c r="M2477" s="98"/>
      <c r="N2477" s="98"/>
      <c r="O2477" s="98"/>
      <c r="P2477" s="98"/>
      <c r="Q2477" s="98"/>
      <c r="R2477" s="98"/>
      <c r="S2477" s="98"/>
      <c r="T2477" s="98"/>
      <c r="U2477" s="98"/>
      <c r="V2477" s="98"/>
      <c r="W2477" s="98"/>
      <c r="X2477" s="98"/>
      <c r="Y2477" s="98"/>
      <c r="Z2477" s="98"/>
      <c r="AA2477" s="98"/>
      <c r="AB2477" s="98"/>
      <c r="AC2477" s="98"/>
      <c r="AD2477" s="98"/>
      <c r="AE2477" s="98"/>
      <c r="AF2477" s="98"/>
      <c r="AG2477" s="98"/>
      <c r="AH2477" s="98"/>
      <c r="AI2477" s="98"/>
      <c r="AJ2477" s="98"/>
      <c r="AK2477" s="98"/>
      <c r="AL2477" s="98"/>
      <c r="AM2477" s="98"/>
    </row>
    <row r="2478" spans="1:39" s="100" customFormat="1" ht="15.6" x14ac:dyDescent="0.3">
      <c r="A2478" s="97"/>
      <c r="B2478" s="98"/>
      <c r="C2478" s="98"/>
      <c r="D2478" s="98"/>
      <c r="E2478" s="98"/>
      <c r="F2478" s="98"/>
      <c r="G2478" s="99"/>
      <c r="H2478" s="99"/>
      <c r="I2478" s="99"/>
      <c r="J2478" s="99"/>
      <c r="K2478" s="98"/>
      <c r="L2478" s="98"/>
      <c r="M2478" s="98"/>
      <c r="N2478" s="98"/>
      <c r="O2478" s="98"/>
      <c r="P2478" s="98"/>
      <c r="Q2478" s="98"/>
      <c r="R2478" s="98"/>
      <c r="S2478" s="98"/>
      <c r="T2478" s="98"/>
      <c r="U2478" s="98"/>
      <c r="V2478" s="98"/>
      <c r="W2478" s="98"/>
      <c r="X2478" s="98"/>
      <c r="Y2478" s="98"/>
      <c r="Z2478" s="98"/>
      <c r="AA2478" s="98"/>
      <c r="AB2478" s="98"/>
      <c r="AC2478" s="98"/>
      <c r="AD2478" s="98"/>
      <c r="AE2478" s="98"/>
      <c r="AF2478" s="98"/>
      <c r="AG2478" s="98"/>
      <c r="AH2478" s="98"/>
      <c r="AI2478" s="98"/>
      <c r="AJ2478" s="98"/>
      <c r="AK2478" s="98"/>
      <c r="AL2478" s="98"/>
      <c r="AM2478" s="98"/>
    </row>
    <row r="2479" spans="1:39" s="100" customFormat="1" ht="15.6" x14ac:dyDescent="0.3">
      <c r="A2479" s="97"/>
      <c r="B2479" s="98"/>
      <c r="C2479" s="98"/>
      <c r="D2479" s="98"/>
      <c r="E2479" s="98"/>
      <c r="F2479" s="98"/>
      <c r="G2479" s="99"/>
      <c r="H2479" s="99"/>
      <c r="I2479" s="99"/>
      <c r="J2479" s="99"/>
      <c r="K2479" s="98"/>
      <c r="L2479" s="98"/>
      <c r="M2479" s="98"/>
      <c r="N2479" s="98"/>
      <c r="O2479" s="98"/>
      <c r="P2479" s="98"/>
      <c r="Q2479" s="98"/>
      <c r="R2479" s="98"/>
      <c r="S2479" s="98"/>
      <c r="T2479" s="98"/>
      <c r="U2479" s="98"/>
      <c r="V2479" s="98"/>
      <c r="W2479" s="98"/>
      <c r="X2479" s="98"/>
      <c r="Y2479" s="98"/>
      <c r="Z2479" s="98"/>
      <c r="AA2479" s="98"/>
      <c r="AB2479" s="98"/>
      <c r="AC2479" s="98"/>
      <c r="AD2479" s="98"/>
      <c r="AE2479" s="98"/>
      <c r="AF2479" s="98"/>
      <c r="AG2479" s="98"/>
      <c r="AH2479" s="98"/>
      <c r="AI2479" s="98"/>
      <c r="AJ2479" s="98"/>
      <c r="AK2479" s="98"/>
      <c r="AL2479" s="98"/>
      <c r="AM2479" s="98"/>
    </row>
    <row r="2480" spans="1:39" s="100" customFormat="1" ht="15.6" x14ac:dyDescent="0.3">
      <c r="A2480" s="97"/>
      <c r="B2480" s="98"/>
      <c r="C2480" s="98"/>
      <c r="D2480" s="98"/>
      <c r="E2480" s="98"/>
      <c r="F2480" s="98"/>
      <c r="G2480" s="99"/>
      <c r="H2480" s="99"/>
      <c r="I2480" s="99"/>
      <c r="J2480" s="99"/>
      <c r="K2480" s="98"/>
      <c r="L2480" s="98"/>
      <c r="M2480" s="98"/>
      <c r="N2480" s="98"/>
      <c r="O2480" s="98"/>
      <c r="P2480" s="98"/>
      <c r="Q2480" s="98"/>
      <c r="R2480" s="98"/>
      <c r="S2480" s="98"/>
      <c r="T2480" s="98"/>
      <c r="U2480" s="98"/>
      <c r="V2480" s="98"/>
      <c r="W2480" s="98"/>
      <c r="X2480" s="98"/>
      <c r="Y2480" s="98"/>
      <c r="Z2480" s="98"/>
      <c r="AA2480" s="98"/>
      <c r="AB2480" s="98"/>
      <c r="AC2480" s="98"/>
      <c r="AD2480" s="98"/>
      <c r="AE2480" s="98"/>
      <c r="AF2480" s="98"/>
      <c r="AG2480" s="98"/>
      <c r="AH2480" s="98"/>
      <c r="AI2480" s="98"/>
      <c r="AJ2480" s="98"/>
      <c r="AK2480" s="98"/>
      <c r="AL2480" s="98"/>
      <c r="AM2480" s="98"/>
    </row>
    <row r="2481" spans="1:39" s="100" customFormat="1" ht="15.6" x14ac:dyDescent="0.3">
      <c r="A2481" s="97"/>
      <c r="B2481" s="98"/>
      <c r="C2481" s="98"/>
      <c r="D2481" s="98"/>
      <c r="E2481" s="98"/>
      <c r="F2481" s="98"/>
      <c r="G2481" s="99"/>
      <c r="H2481" s="99"/>
      <c r="I2481" s="99"/>
      <c r="J2481" s="99"/>
      <c r="K2481" s="98"/>
      <c r="L2481" s="98"/>
      <c r="M2481" s="98"/>
      <c r="N2481" s="98"/>
      <c r="O2481" s="98"/>
      <c r="P2481" s="98"/>
      <c r="Q2481" s="98"/>
      <c r="R2481" s="98"/>
      <c r="S2481" s="98"/>
      <c r="T2481" s="98"/>
      <c r="U2481" s="98"/>
      <c r="V2481" s="98"/>
      <c r="W2481" s="98"/>
      <c r="X2481" s="98"/>
      <c r="Y2481" s="98"/>
      <c r="Z2481" s="98"/>
      <c r="AA2481" s="98"/>
      <c r="AB2481" s="98"/>
      <c r="AC2481" s="98"/>
      <c r="AD2481" s="98"/>
      <c r="AE2481" s="98"/>
      <c r="AF2481" s="98"/>
      <c r="AG2481" s="98"/>
      <c r="AH2481" s="98"/>
      <c r="AI2481" s="98"/>
      <c r="AJ2481" s="98"/>
      <c r="AK2481" s="98"/>
      <c r="AL2481" s="98"/>
      <c r="AM2481" s="98"/>
    </row>
    <row r="2482" spans="1:39" s="100" customFormat="1" ht="15.6" x14ac:dyDescent="0.3">
      <c r="A2482" s="97"/>
      <c r="B2482" s="98"/>
      <c r="C2482" s="98"/>
      <c r="D2482" s="98"/>
      <c r="E2482" s="98"/>
      <c r="F2482" s="98"/>
      <c r="G2482" s="99"/>
      <c r="H2482" s="99"/>
      <c r="I2482" s="99"/>
      <c r="J2482" s="99"/>
      <c r="K2482" s="98"/>
      <c r="L2482" s="98"/>
      <c r="M2482" s="98"/>
      <c r="N2482" s="98"/>
      <c r="O2482" s="98"/>
      <c r="P2482" s="98"/>
      <c r="Q2482" s="98"/>
      <c r="R2482" s="98"/>
      <c r="S2482" s="98"/>
      <c r="T2482" s="98"/>
      <c r="U2482" s="98"/>
      <c r="V2482" s="98"/>
      <c r="W2482" s="98"/>
      <c r="X2482" s="98"/>
      <c r="Y2482" s="98"/>
      <c r="Z2482" s="98"/>
      <c r="AA2482" s="98"/>
      <c r="AB2482" s="98"/>
      <c r="AC2482" s="98"/>
      <c r="AD2482" s="98"/>
      <c r="AE2482" s="98"/>
      <c r="AF2482" s="98"/>
      <c r="AG2482" s="98"/>
      <c r="AH2482" s="98"/>
      <c r="AI2482" s="98"/>
      <c r="AJ2482" s="98"/>
      <c r="AK2482" s="98"/>
      <c r="AL2482" s="98"/>
      <c r="AM2482" s="98"/>
    </row>
    <row r="2483" spans="1:39" s="100" customFormat="1" ht="15.6" x14ac:dyDescent="0.3">
      <c r="A2483" s="97"/>
      <c r="B2483" s="98"/>
      <c r="C2483" s="98"/>
      <c r="D2483" s="98"/>
      <c r="E2483" s="98"/>
      <c r="F2483" s="98"/>
      <c r="G2483" s="99"/>
      <c r="H2483" s="99"/>
      <c r="I2483" s="99"/>
      <c r="J2483" s="99"/>
      <c r="K2483" s="98"/>
      <c r="L2483" s="98"/>
      <c r="M2483" s="98"/>
      <c r="N2483" s="98"/>
      <c r="O2483" s="98"/>
      <c r="P2483" s="98"/>
      <c r="Q2483" s="98"/>
      <c r="R2483" s="98"/>
      <c r="S2483" s="98"/>
      <c r="T2483" s="98"/>
      <c r="U2483" s="98"/>
      <c r="V2483" s="98"/>
      <c r="W2483" s="98"/>
      <c r="X2483" s="98"/>
      <c r="Y2483" s="98"/>
      <c r="Z2483" s="98"/>
      <c r="AA2483" s="98"/>
      <c r="AB2483" s="98"/>
      <c r="AC2483" s="98"/>
      <c r="AD2483" s="98"/>
      <c r="AE2483" s="98"/>
      <c r="AF2483" s="98"/>
      <c r="AG2483" s="98"/>
      <c r="AH2483" s="98"/>
      <c r="AI2483" s="98"/>
      <c r="AJ2483" s="98"/>
      <c r="AK2483" s="98"/>
      <c r="AL2483" s="98"/>
      <c r="AM2483" s="98"/>
    </row>
    <row r="2484" spans="1:39" s="100" customFormat="1" ht="15.6" x14ac:dyDescent="0.3">
      <c r="A2484" s="97"/>
      <c r="B2484" s="98"/>
      <c r="C2484" s="98"/>
      <c r="D2484" s="98"/>
      <c r="E2484" s="98"/>
      <c r="F2484" s="98"/>
      <c r="G2484" s="99"/>
      <c r="H2484" s="99"/>
      <c r="I2484" s="99"/>
      <c r="J2484" s="99"/>
      <c r="K2484" s="98"/>
      <c r="L2484" s="98"/>
      <c r="M2484" s="98"/>
      <c r="N2484" s="98"/>
      <c r="O2484" s="98"/>
      <c r="P2484" s="98"/>
      <c r="Q2484" s="98"/>
      <c r="R2484" s="98"/>
      <c r="S2484" s="98"/>
      <c r="T2484" s="98"/>
      <c r="U2484" s="98"/>
      <c r="V2484" s="98"/>
      <c r="W2484" s="98"/>
      <c r="X2484" s="98"/>
      <c r="Y2484" s="98"/>
      <c r="Z2484" s="98"/>
      <c r="AA2484" s="98"/>
      <c r="AB2484" s="98"/>
      <c r="AC2484" s="98"/>
      <c r="AD2484" s="98"/>
      <c r="AE2484" s="98"/>
      <c r="AF2484" s="98"/>
      <c r="AG2484" s="98"/>
      <c r="AH2484" s="98"/>
      <c r="AI2484" s="98"/>
      <c r="AJ2484" s="98"/>
      <c r="AK2484" s="98"/>
      <c r="AL2484" s="98"/>
      <c r="AM2484" s="98"/>
    </row>
    <row r="2485" spans="1:39" s="100" customFormat="1" ht="15.6" x14ac:dyDescent="0.3">
      <c r="A2485" s="97"/>
      <c r="B2485" s="98"/>
      <c r="C2485" s="98"/>
      <c r="D2485" s="98"/>
      <c r="E2485" s="98"/>
      <c r="F2485" s="98"/>
      <c r="G2485" s="99"/>
      <c r="H2485" s="99"/>
      <c r="I2485" s="99"/>
      <c r="J2485" s="99"/>
      <c r="K2485" s="98"/>
      <c r="L2485" s="98"/>
      <c r="M2485" s="98"/>
      <c r="N2485" s="98"/>
      <c r="O2485" s="98"/>
      <c r="P2485" s="98"/>
      <c r="Q2485" s="98"/>
      <c r="R2485" s="98"/>
      <c r="S2485" s="98"/>
      <c r="T2485" s="98"/>
      <c r="U2485" s="98"/>
      <c r="V2485" s="98"/>
      <c r="W2485" s="98"/>
      <c r="X2485" s="98"/>
      <c r="Y2485" s="98"/>
      <c r="Z2485" s="98"/>
      <c r="AA2485" s="98"/>
      <c r="AB2485" s="98"/>
      <c r="AC2485" s="98"/>
      <c r="AD2485" s="98"/>
      <c r="AE2485" s="98"/>
      <c r="AF2485" s="98"/>
      <c r="AG2485" s="98"/>
      <c r="AH2485" s="98"/>
      <c r="AI2485" s="98"/>
      <c r="AJ2485" s="98"/>
      <c r="AK2485" s="98"/>
      <c r="AL2485" s="98"/>
      <c r="AM2485" s="98"/>
    </row>
    <row r="2486" spans="1:39" s="100" customFormat="1" ht="15.6" x14ac:dyDescent="0.3">
      <c r="A2486" s="97"/>
      <c r="B2486" s="98"/>
      <c r="C2486" s="98"/>
      <c r="D2486" s="98"/>
      <c r="E2486" s="98"/>
      <c r="F2486" s="98"/>
      <c r="G2486" s="99"/>
      <c r="H2486" s="99"/>
      <c r="I2486" s="99"/>
      <c r="J2486" s="99"/>
      <c r="K2486" s="98"/>
      <c r="L2486" s="98"/>
      <c r="M2486" s="98"/>
      <c r="N2486" s="98"/>
      <c r="O2486" s="98"/>
      <c r="P2486" s="98"/>
      <c r="Q2486" s="98"/>
      <c r="R2486" s="98"/>
      <c r="S2486" s="98"/>
      <c r="T2486" s="98"/>
      <c r="U2486" s="98"/>
      <c r="V2486" s="98"/>
      <c r="W2486" s="98"/>
      <c r="X2486" s="98"/>
      <c r="Y2486" s="98"/>
      <c r="Z2486" s="98"/>
      <c r="AA2486" s="98"/>
      <c r="AB2486" s="98"/>
      <c r="AC2486" s="98"/>
      <c r="AD2486" s="98"/>
      <c r="AE2486" s="98"/>
      <c r="AF2486" s="98"/>
      <c r="AG2486" s="98"/>
      <c r="AH2486" s="98"/>
      <c r="AI2486" s="98"/>
      <c r="AJ2486" s="98"/>
      <c r="AK2486" s="98"/>
      <c r="AL2486" s="98"/>
      <c r="AM2486" s="98"/>
    </row>
    <row r="2487" spans="1:39" s="100" customFormat="1" ht="15.6" x14ac:dyDescent="0.3">
      <c r="A2487" s="97"/>
      <c r="B2487" s="98"/>
      <c r="C2487" s="98"/>
      <c r="D2487" s="98"/>
      <c r="E2487" s="98"/>
      <c r="F2487" s="98"/>
      <c r="G2487" s="99"/>
      <c r="H2487" s="99"/>
      <c r="I2487" s="99"/>
      <c r="J2487" s="99"/>
      <c r="K2487" s="98"/>
      <c r="L2487" s="98"/>
      <c r="M2487" s="98"/>
      <c r="N2487" s="98"/>
      <c r="O2487" s="98"/>
      <c r="P2487" s="98"/>
      <c r="Q2487" s="98"/>
      <c r="R2487" s="98"/>
      <c r="S2487" s="98"/>
      <c r="T2487" s="98"/>
      <c r="U2487" s="98"/>
      <c r="V2487" s="98"/>
      <c r="W2487" s="98"/>
      <c r="X2487" s="98"/>
      <c r="Y2487" s="98"/>
      <c r="Z2487" s="98"/>
      <c r="AA2487" s="98"/>
      <c r="AB2487" s="98"/>
      <c r="AC2487" s="98"/>
      <c r="AD2487" s="98"/>
      <c r="AE2487" s="98"/>
      <c r="AF2487" s="98"/>
      <c r="AG2487" s="98"/>
      <c r="AH2487" s="98"/>
      <c r="AI2487" s="98"/>
      <c r="AJ2487" s="98"/>
      <c r="AK2487" s="98"/>
      <c r="AL2487" s="98"/>
      <c r="AM2487" s="98"/>
    </row>
    <row r="2488" spans="1:39" s="100" customFormat="1" ht="15.6" x14ac:dyDescent="0.3">
      <c r="A2488" s="97"/>
      <c r="B2488" s="98"/>
      <c r="C2488" s="98"/>
      <c r="D2488" s="98"/>
      <c r="E2488" s="98"/>
      <c r="F2488" s="98"/>
      <c r="G2488" s="99"/>
      <c r="H2488" s="99"/>
      <c r="I2488" s="99"/>
      <c r="J2488" s="99"/>
      <c r="K2488" s="98"/>
      <c r="L2488" s="98"/>
      <c r="M2488" s="98"/>
      <c r="N2488" s="98"/>
      <c r="O2488" s="98"/>
      <c r="P2488" s="98"/>
      <c r="Q2488" s="98"/>
      <c r="R2488" s="98"/>
      <c r="S2488" s="98"/>
      <c r="T2488" s="98"/>
      <c r="U2488" s="98"/>
      <c r="V2488" s="98"/>
      <c r="W2488" s="98"/>
      <c r="X2488" s="98"/>
      <c r="Y2488" s="98"/>
      <c r="Z2488" s="98"/>
      <c r="AA2488" s="98"/>
      <c r="AB2488" s="98"/>
      <c r="AC2488" s="98"/>
      <c r="AD2488" s="98"/>
      <c r="AE2488" s="98"/>
      <c r="AF2488" s="98"/>
      <c r="AG2488" s="98"/>
      <c r="AH2488" s="98"/>
      <c r="AI2488" s="98"/>
      <c r="AJ2488" s="98"/>
      <c r="AK2488" s="98"/>
      <c r="AL2488" s="98"/>
      <c r="AM2488" s="98"/>
    </row>
    <row r="2489" spans="1:39" s="100" customFormat="1" ht="15.6" x14ac:dyDescent="0.3">
      <c r="A2489" s="97"/>
      <c r="B2489" s="98"/>
      <c r="C2489" s="98"/>
      <c r="D2489" s="98"/>
      <c r="E2489" s="98"/>
      <c r="F2489" s="98"/>
      <c r="G2489" s="99"/>
      <c r="H2489" s="99"/>
      <c r="I2489" s="99"/>
      <c r="J2489" s="99"/>
      <c r="K2489" s="98"/>
      <c r="L2489" s="98"/>
      <c r="M2489" s="98"/>
      <c r="N2489" s="98"/>
      <c r="O2489" s="98"/>
      <c r="P2489" s="98"/>
      <c r="Q2489" s="98"/>
      <c r="R2489" s="98"/>
      <c r="S2489" s="98"/>
      <c r="T2489" s="98"/>
      <c r="U2489" s="98"/>
      <c r="V2489" s="98"/>
      <c r="W2489" s="98"/>
      <c r="X2489" s="98"/>
      <c r="Y2489" s="98"/>
      <c r="Z2489" s="98"/>
      <c r="AA2489" s="98"/>
      <c r="AB2489" s="98"/>
      <c r="AC2489" s="98"/>
      <c r="AD2489" s="98"/>
      <c r="AE2489" s="98"/>
      <c r="AF2489" s="98"/>
      <c r="AG2489" s="98"/>
      <c r="AH2489" s="98"/>
      <c r="AI2489" s="98"/>
      <c r="AJ2489" s="98"/>
      <c r="AK2489" s="98"/>
      <c r="AL2489" s="98"/>
      <c r="AM2489" s="98"/>
    </row>
    <row r="2490" spans="1:39" s="100" customFormat="1" ht="15.6" x14ac:dyDescent="0.3">
      <c r="A2490" s="97"/>
      <c r="B2490" s="98"/>
      <c r="C2490" s="98"/>
      <c r="D2490" s="98"/>
      <c r="E2490" s="98"/>
      <c r="F2490" s="98"/>
      <c r="G2490" s="99"/>
      <c r="H2490" s="99"/>
      <c r="I2490" s="99"/>
      <c r="J2490" s="99"/>
      <c r="K2490" s="98"/>
      <c r="L2490" s="98"/>
      <c r="M2490" s="98"/>
      <c r="N2490" s="98"/>
      <c r="O2490" s="98"/>
      <c r="P2490" s="98"/>
      <c r="Q2490" s="98"/>
      <c r="R2490" s="98"/>
      <c r="S2490" s="98"/>
      <c r="T2490" s="98"/>
      <c r="U2490" s="98"/>
      <c r="V2490" s="98"/>
      <c r="W2490" s="98"/>
      <c r="X2490" s="98"/>
      <c r="Y2490" s="98"/>
      <c r="Z2490" s="98"/>
      <c r="AA2490" s="98"/>
      <c r="AB2490" s="98"/>
      <c r="AC2490" s="98"/>
      <c r="AD2490" s="98"/>
      <c r="AE2490" s="98"/>
      <c r="AF2490" s="98"/>
      <c r="AG2490" s="98"/>
      <c r="AH2490" s="98"/>
      <c r="AI2490" s="98"/>
      <c r="AJ2490" s="98"/>
      <c r="AK2490" s="98"/>
      <c r="AL2490" s="98"/>
      <c r="AM2490" s="98"/>
    </row>
    <row r="2491" spans="1:39" s="100" customFormat="1" ht="15.6" x14ac:dyDescent="0.3">
      <c r="A2491" s="97"/>
      <c r="B2491" s="98"/>
      <c r="C2491" s="98"/>
      <c r="D2491" s="98"/>
      <c r="E2491" s="98"/>
      <c r="F2491" s="98"/>
      <c r="G2491" s="99"/>
      <c r="H2491" s="99"/>
      <c r="I2491" s="99"/>
      <c r="J2491" s="99"/>
      <c r="K2491" s="98"/>
      <c r="L2491" s="98"/>
      <c r="M2491" s="98"/>
      <c r="N2491" s="98"/>
      <c r="O2491" s="98"/>
      <c r="P2491" s="98"/>
      <c r="Q2491" s="98"/>
      <c r="R2491" s="98"/>
      <c r="S2491" s="98"/>
      <c r="T2491" s="98"/>
      <c r="U2491" s="98"/>
      <c r="V2491" s="98"/>
      <c r="W2491" s="98"/>
      <c r="X2491" s="98"/>
      <c r="Y2491" s="98"/>
      <c r="Z2491" s="98"/>
      <c r="AA2491" s="98"/>
      <c r="AB2491" s="98"/>
      <c r="AC2491" s="98"/>
      <c r="AD2491" s="98"/>
      <c r="AE2491" s="98"/>
      <c r="AF2491" s="98"/>
      <c r="AG2491" s="98"/>
      <c r="AH2491" s="98"/>
      <c r="AI2491" s="98"/>
      <c r="AJ2491" s="98"/>
      <c r="AK2491" s="98"/>
      <c r="AL2491" s="98"/>
      <c r="AM2491" s="98"/>
    </row>
    <row r="2492" spans="1:39" s="100" customFormat="1" ht="15.6" x14ac:dyDescent="0.3">
      <c r="A2492" s="97"/>
      <c r="B2492" s="98"/>
      <c r="C2492" s="98"/>
      <c r="D2492" s="98"/>
      <c r="E2492" s="98"/>
      <c r="F2492" s="98"/>
      <c r="G2492" s="99"/>
      <c r="H2492" s="99"/>
      <c r="I2492" s="99"/>
      <c r="J2492" s="99"/>
      <c r="K2492" s="98"/>
      <c r="L2492" s="98"/>
      <c r="M2492" s="98"/>
      <c r="N2492" s="98"/>
      <c r="O2492" s="98"/>
      <c r="P2492" s="98"/>
      <c r="Q2492" s="98"/>
      <c r="R2492" s="98"/>
      <c r="S2492" s="98"/>
      <c r="T2492" s="98"/>
      <c r="U2492" s="98"/>
      <c r="V2492" s="98"/>
      <c r="W2492" s="98"/>
      <c r="X2492" s="98"/>
      <c r="Y2492" s="98"/>
      <c r="Z2492" s="98"/>
      <c r="AA2492" s="98"/>
      <c r="AB2492" s="98"/>
      <c r="AC2492" s="98"/>
      <c r="AD2492" s="98"/>
      <c r="AE2492" s="98"/>
      <c r="AF2492" s="98"/>
      <c r="AG2492" s="98"/>
      <c r="AH2492" s="98"/>
      <c r="AI2492" s="98"/>
      <c r="AJ2492" s="98"/>
      <c r="AK2492" s="98"/>
      <c r="AL2492" s="98"/>
      <c r="AM2492" s="98"/>
    </row>
    <row r="2493" spans="1:39" s="100" customFormat="1" ht="15.6" x14ac:dyDescent="0.3">
      <c r="A2493" s="97"/>
      <c r="B2493" s="98"/>
      <c r="C2493" s="98"/>
      <c r="D2493" s="98"/>
      <c r="E2493" s="98"/>
      <c r="F2493" s="98"/>
      <c r="G2493" s="99"/>
      <c r="H2493" s="99"/>
      <c r="I2493" s="99"/>
      <c r="J2493" s="99"/>
      <c r="K2493" s="98"/>
      <c r="L2493" s="98"/>
      <c r="M2493" s="98"/>
      <c r="N2493" s="98"/>
      <c r="O2493" s="98"/>
      <c r="P2493" s="98"/>
      <c r="Q2493" s="98"/>
      <c r="R2493" s="98"/>
      <c r="S2493" s="98"/>
      <c r="T2493" s="98"/>
      <c r="U2493" s="98"/>
      <c r="V2493" s="98"/>
      <c r="W2493" s="98"/>
      <c r="X2493" s="98"/>
      <c r="Y2493" s="98"/>
      <c r="Z2493" s="98"/>
      <c r="AA2493" s="98"/>
      <c r="AB2493" s="98"/>
      <c r="AC2493" s="98"/>
      <c r="AD2493" s="98"/>
      <c r="AE2493" s="98"/>
      <c r="AF2493" s="98"/>
      <c r="AG2493" s="98"/>
      <c r="AH2493" s="98"/>
      <c r="AI2493" s="98"/>
      <c r="AJ2493" s="98"/>
      <c r="AK2493" s="98"/>
      <c r="AL2493" s="98"/>
      <c r="AM2493" s="98"/>
    </row>
    <row r="2494" spans="1:39" s="100" customFormat="1" ht="15.6" x14ac:dyDescent="0.3">
      <c r="A2494" s="97"/>
      <c r="B2494" s="98"/>
      <c r="C2494" s="98"/>
      <c r="D2494" s="98"/>
      <c r="E2494" s="98"/>
      <c r="F2494" s="98"/>
      <c r="G2494" s="99"/>
      <c r="H2494" s="99"/>
      <c r="I2494" s="99"/>
      <c r="J2494" s="99"/>
      <c r="K2494" s="98"/>
      <c r="L2494" s="98"/>
      <c r="M2494" s="98"/>
      <c r="N2494" s="98"/>
      <c r="O2494" s="98"/>
      <c r="P2494" s="98"/>
      <c r="Q2494" s="98"/>
      <c r="R2494" s="98"/>
      <c r="S2494" s="98"/>
      <c r="T2494" s="98"/>
      <c r="U2494" s="98"/>
      <c r="V2494" s="98"/>
      <c r="W2494" s="98"/>
      <c r="X2494" s="98"/>
      <c r="Y2494" s="98"/>
      <c r="Z2494" s="98"/>
      <c r="AA2494" s="98"/>
      <c r="AB2494" s="98"/>
      <c r="AC2494" s="98"/>
      <c r="AD2494" s="98"/>
      <c r="AE2494" s="98"/>
      <c r="AF2494" s="98"/>
      <c r="AG2494" s="98"/>
      <c r="AH2494" s="98"/>
      <c r="AI2494" s="98"/>
      <c r="AJ2494" s="98"/>
      <c r="AK2494" s="98"/>
      <c r="AL2494" s="98"/>
      <c r="AM2494" s="98"/>
    </row>
    <row r="2495" spans="1:39" s="100" customFormat="1" ht="15.6" x14ac:dyDescent="0.3">
      <c r="A2495" s="97"/>
      <c r="B2495" s="98"/>
      <c r="C2495" s="98"/>
      <c r="D2495" s="98"/>
      <c r="E2495" s="98"/>
      <c r="F2495" s="98"/>
      <c r="G2495" s="99"/>
      <c r="H2495" s="99"/>
      <c r="I2495" s="99"/>
      <c r="J2495" s="99"/>
      <c r="K2495" s="98"/>
      <c r="L2495" s="98"/>
      <c r="M2495" s="98"/>
      <c r="N2495" s="98"/>
      <c r="O2495" s="98"/>
      <c r="P2495" s="98"/>
      <c r="Q2495" s="98"/>
      <c r="R2495" s="98"/>
      <c r="S2495" s="98"/>
      <c r="T2495" s="98"/>
      <c r="U2495" s="98"/>
      <c r="V2495" s="98"/>
      <c r="W2495" s="98"/>
      <c r="X2495" s="98"/>
      <c r="Y2495" s="98"/>
      <c r="Z2495" s="98"/>
      <c r="AA2495" s="98"/>
      <c r="AB2495" s="98"/>
      <c r="AC2495" s="98"/>
      <c r="AD2495" s="98"/>
      <c r="AE2495" s="98"/>
      <c r="AF2495" s="98"/>
      <c r="AG2495" s="98"/>
      <c r="AH2495" s="98"/>
      <c r="AI2495" s="98"/>
      <c r="AJ2495" s="98"/>
      <c r="AK2495" s="98"/>
      <c r="AL2495" s="98"/>
      <c r="AM2495" s="98"/>
    </row>
    <row r="2496" spans="1:39" s="100" customFormat="1" ht="15.6" x14ac:dyDescent="0.3">
      <c r="A2496" s="97"/>
      <c r="B2496" s="98"/>
      <c r="C2496" s="98"/>
      <c r="D2496" s="98"/>
      <c r="E2496" s="98"/>
      <c r="F2496" s="98"/>
      <c r="G2496" s="99"/>
      <c r="H2496" s="99"/>
      <c r="I2496" s="99"/>
      <c r="J2496" s="99"/>
      <c r="K2496" s="98"/>
      <c r="L2496" s="98"/>
      <c r="M2496" s="98"/>
      <c r="N2496" s="98"/>
      <c r="O2496" s="98"/>
      <c r="P2496" s="98"/>
      <c r="Q2496" s="98"/>
      <c r="R2496" s="98"/>
      <c r="S2496" s="98"/>
      <c r="T2496" s="98"/>
      <c r="U2496" s="98"/>
      <c r="V2496" s="98"/>
      <c r="W2496" s="98"/>
      <c r="X2496" s="98"/>
      <c r="Y2496" s="98"/>
      <c r="Z2496" s="98"/>
      <c r="AA2496" s="98"/>
      <c r="AB2496" s="98"/>
      <c r="AC2496" s="98"/>
      <c r="AD2496" s="98"/>
      <c r="AE2496" s="98"/>
      <c r="AF2496" s="98"/>
      <c r="AG2496" s="98"/>
      <c r="AH2496" s="98"/>
      <c r="AI2496" s="98"/>
      <c r="AJ2496" s="98"/>
      <c r="AK2496" s="98"/>
      <c r="AL2496" s="98"/>
      <c r="AM2496" s="98"/>
    </row>
    <row r="2497" spans="1:39" s="100" customFormat="1" ht="15.6" x14ac:dyDescent="0.3">
      <c r="A2497" s="97"/>
      <c r="B2497" s="98"/>
      <c r="C2497" s="98"/>
      <c r="D2497" s="98"/>
      <c r="E2497" s="98"/>
      <c r="F2497" s="98"/>
      <c r="G2497" s="99"/>
      <c r="H2497" s="99"/>
      <c r="I2497" s="99"/>
      <c r="J2497" s="99"/>
      <c r="K2497" s="98"/>
      <c r="L2497" s="98"/>
      <c r="M2497" s="98"/>
      <c r="N2497" s="98"/>
      <c r="O2497" s="98"/>
      <c r="P2497" s="98"/>
      <c r="Q2497" s="98"/>
      <c r="R2497" s="98"/>
      <c r="S2497" s="98"/>
      <c r="T2497" s="98"/>
      <c r="U2497" s="98"/>
      <c r="V2497" s="98"/>
      <c r="W2497" s="98"/>
      <c r="X2497" s="98"/>
      <c r="Y2497" s="98"/>
      <c r="Z2497" s="98"/>
      <c r="AA2497" s="98"/>
      <c r="AB2497" s="98"/>
      <c r="AC2497" s="98"/>
      <c r="AD2497" s="98"/>
      <c r="AE2497" s="98"/>
      <c r="AF2497" s="98"/>
      <c r="AG2497" s="98"/>
      <c r="AH2497" s="98"/>
      <c r="AI2497" s="98"/>
      <c r="AJ2497" s="98"/>
      <c r="AK2497" s="98"/>
      <c r="AL2497" s="98"/>
      <c r="AM2497" s="98"/>
    </row>
    <row r="2498" spans="1:39" s="100" customFormat="1" ht="15.6" x14ac:dyDescent="0.3">
      <c r="A2498" s="97"/>
      <c r="B2498" s="98"/>
      <c r="C2498" s="98"/>
      <c r="D2498" s="98"/>
      <c r="E2498" s="98"/>
      <c r="F2498" s="98"/>
      <c r="G2498" s="99"/>
      <c r="H2498" s="99"/>
      <c r="I2498" s="99"/>
      <c r="J2498" s="99"/>
      <c r="K2498" s="98"/>
      <c r="L2498" s="98"/>
      <c r="M2498" s="98"/>
      <c r="N2498" s="98"/>
      <c r="O2498" s="98"/>
      <c r="P2498" s="98"/>
      <c r="Q2498" s="98"/>
      <c r="R2498" s="98"/>
      <c r="S2498" s="98"/>
      <c r="T2498" s="98"/>
      <c r="U2498" s="98"/>
      <c r="V2498" s="98"/>
      <c r="W2498" s="98"/>
      <c r="X2498" s="98"/>
      <c r="Y2498" s="98"/>
      <c r="Z2498" s="98"/>
      <c r="AA2498" s="98"/>
      <c r="AB2498" s="98"/>
      <c r="AC2498" s="98"/>
      <c r="AD2498" s="98"/>
      <c r="AE2498" s="98"/>
      <c r="AF2498" s="98"/>
      <c r="AG2498" s="98"/>
      <c r="AH2498" s="98"/>
      <c r="AI2498" s="98"/>
      <c r="AJ2498" s="98"/>
      <c r="AK2498" s="98"/>
      <c r="AL2498" s="98"/>
      <c r="AM2498" s="98"/>
    </row>
    <row r="2499" spans="1:39" s="100" customFormat="1" ht="15.6" x14ac:dyDescent="0.3">
      <c r="A2499" s="97"/>
      <c r="B2499" s="98"/>
      <c r="C2499" s="98"/>
      <c r="D2499" s="98"/>
      <c r="E2499" s="98"/>
      <c r="F2499" s="98"/>
      <c r="G2499" s="99"/>
      <c r="H2499" s="99"/>
      <c r="I2499" s="99"/>
      <c r="J2499" s="99"/>
      <c r="K2499" s="98"/>
      <c r="L2499" s="98"/>
      <c r="M2499" s="98"/>
      <c r="N2499" s="98"/>
      <c r="O2499" s="98"/>
      <c r="P2499" s="98"/>
      <c r="Q2499" s="98"/>
      <c r="R2499" s="98"/>
      <c r="S2499" s="98"/>
      <c r="T2499" s="98"/>
      <c r="U2499" s="98"/>
      <c r="V2499" s="98"/>
      <c r="W2499" s="98"/>
      <c r="X2499" s="98"/>
      <c r="Y2499" s="98"/>
      <c r="Z2499" s="98"/>
      <c r="AA2499" s="98"/>
      <c r="AB2499" s="98"/>
      <c r="AC2499" s="98"/>
      <c r="AD2499" s="98"/>
      <c r="AE2499" s="98"/>
      <c r="AF2499" s="98"/>
      <c r="AG2499" s="98"/>
      <c r="AH2499" s="98"/>
      <c r="AI2499" s="98"/>
      <c r="AJ2499" s="98"/>
      <c r="AK2499" s="98"/>
      <c r="AL2499" s="98"/>
      <c r="AM2499" s="98"/>
    </row>
    <row r="2500" spans="1:39" s="100" customFormat="1" ht="15.6" x14ac:dyDescent="0.3">
      <c r="A2500" s="97"/>
      <c r="B2500" s="98"/>
      <c r="C2500" s="98"/>
      <c r="D2500" s="98"/>
      <c r="E2500" s="98"/>
      <c r="F2500" s="98"/>
      <c r="G2500" s="99"/>
      <c r="H2500" s="99"/>
      <c r="I2500" s="99"/>
      <c r="J2500" s="99"/>
      <c r="K2500" s="98"/>
      <c r="L2500" s="98"/>
      <c r="M2500" s="98"/>
      <c r="N2500" s="98"/>
      <c r="O2500" s="98"/>
      <c r="P2500" s="98"/>
      <c r="Q2500" s="98"/>
      <c r="R2500" s="98"/>
      <c r="S2500" s="98"/>
      <c r="T2500" s="98"/>
      <c r="U2500" s="98"/>
      <c r="V2500" s="98"/>
      <c r="W2500" s="98"/>
      <c r="X2500" s="98"/>
      <c r="Y2500" s="98"/>
      <c r="Z2500" s="98"/>
      <c r="AA2500" s="98"/>
      <c r="AB2500" s="98"/>
      <c r="AC2500" s="98"/>
      <c r="AD2500" s="98"/>
      <c r="AE2500" s="98"/>
      <c r="AF2500" s="98"/>
      <c r="AG2500" s="98"/>
      <c r="AH2500" s="98"/>
      <c r="AI2500" s="98"/>
      <c r="AJ2500" s="98"/>
      <c r="AK2500" s="98"/>
      <c r="AL2500" s="98"/>
      <c r="AM2500" s="98"/>
    </row>
    <row r="2501" spans="1:39" s="100" customFormat="1" ht="15.6" x14ac:dyDescent="0.3">
      <c r="A2501" s="97"/>
      <c r="B2501" s="98"/>
      <c r="C2501" s="98"/>
      <c r="D2501" s="98"/>
      <c r="E2501" s="98"/>
      <c r="F2501" s="98"/>
      <c r="G2501" s="99"/>
      <c r="H2501" s="99"/>
      <c r="I2501" s="99"/>
      <c r="J2501" s="99"/>
      <c r="K2501" s="98"/>
      <c r="L2501" s="98"/>
      <c r="M2501" s="98"/>
      <c r="N2501" s="98"/>
      <c r="O2501" s="98"/>
      <c r="P2501" s="98"/>
      <c r="Q2501" s="98"/>
      <c r="R2501" s="98"/>
      <c r="S2501" s="98"/>
      <c r="T2501" s="98"/>
      <c r="U2501" s="98"/>
      <c r="V2501" s="98"/>
      <c r="W2501" s="98"/>
      <c r="X2501" s="98"/>
      <c r="Y2501" s="98"/>
      <c r="Z2501" s="98"/>
      <c r="AA2501" s="98"/>
      <c r="AB2501" s="98"/>
      <c r="AC2501" s="98"/>
      <c r="AD2501" s="98"/>
      <c r="AE2501" s="98"/>
      <c r="AF2501" s="98"/>
      <c r="AG2501" s="98"/>
      <c r="AH2501" s="98"/>
      <c r="AI2501" s="98"/>
      <c r="AJ2501" s="98"/>
      <c r="AK2501" s="98"/>
      <c r="AL2501" s="98"/>
      <c r="AM2501" s="98"/>
    </row>
    <row r="2502" spans="1:39" s="100" customFormat="1" ht="15.6" x14ac:dyDescent="0.3">
      <c r="A2502" s="97"/>
      <c r="B2502" s="98"/>
      <c r="C2502" s="98"/>
      <c r="D2502" s="98"/>
      <c r="E2502" s="98"/>
      <c r="F2502" s="98"/>
      <c r="G2502" s="99"/>
      <c r="H2502" s="99"/>
      <c r="I2502" s="99"/>
      <c r="J2502" s="99"/>
      <c r="K2502" s="98"/>
      <c r="L2502" s="98"/>
      <c r="M2502" s="98"/>
      <c r="N2502" s="98"/>
      <c r="O2502" s="98"/>
      <c r="P2502" s="98"/>
      <c r="Q2502" s="98"/>
      <c r="R2502" s="98"/>
      <c r="S2502" s="98"/>
      <c r="T2502" s="98"/>
      <c r="U2502" s="98"/>
      <c r="V2502" s="98"/>
      <c r="W2502" s="98"/>
      <c r="X2502" s="98"/>
      <c r="Y2502" s="98"/>
      <c r="Z2502" s="98"/>
      <c r="AA2502" s="98"/>
      <c r="AB2502" s="98"/>
      <c r="AC2502" s="98"/>
      <c r="AD2502" s="98"/>
      <c r="AE2502" s="98"/>
      <c r="AF2502" s="98"/>
      <c r="AG2502" s="98"/>
      <c r="AH2502" s="98"/>
      <c r="AI2502" s="98"/>
      <c r="AJ2502" s="98"/>
      <c r="AK2502" s="98"/>
      <c r="AL2502" s="98"/>
      <c r="AM2502" s="98"/>
    </row>
    <row r="2503" spans="1:39" s="100" customFormat="1" ht="15.6" x14ac:dyDescent="0.3">
      <c r="A2503" s="97"/>
      <c r="B2503" s="98"/>
      <c r="C2503" s="98"/>
      <c r="D2503" s="98"/>
      <c r="E2503" s="98"/>
      <c r="F2503" s="98"/>
      <c r="G2503" s="99"/>
      <c r="H2503" s="99"/>
      <c r="I2503" s="99"/>
      <c r="J2503" s="99"/>
      <c r="K2503" s="98"/>
      <c r="L2503" s="98"/>
      <c r="M2503" s="98"/>
      <c r="N2503" s="98"/>
      <c r="O2503" s="98"/>
      <c r="P2503" s="98"/>
      <c r="Q2503" s="98"/>
      <c r="R2503" s="98"/>
      <c r="S2503" s="98"/>
      <c r="T2503" s="98"/>
      <c r="U2503" s="98"/>
      <c r="V2503" s="98"/>
      <c r="W2503" s="98"/>
      <c r="X2503" s="98"/>
      <c r="Y2503" s="98"/>
      <c r="Z2503" s="98"/>
      <c r="AA2503" s="98"/>
      <c r="AB2503" s="98"/>
      <c r="AC2503" s="98"/>
      <c r="AD2503" s="98"/>
      <c r="AE2503" s="98"/>
      <c r="AF2503" s="98"/>
      <c r="AG2503" s="98"/>
      <c r="AH2503" s="98"/>
      <c r="AI2503" s="98"/>
      <c r="AJ2503" s="98"/>
      <c r="AK2503" s="98"/>
      <c r="AL2503" s="98"/>
      <c r="AM2503" s="98"/>
    </row>
    <row r="2504" spans="1:39" s="100" customFormat="1" ht="15.6" x14ac:dyDescent="0.3">
      <c r="A2504" s="97"/>
      <c r="B2504" s="98"/>
      <c r="C2504" s="98"/>
      <c r="D2504" s="98"/>
      <c r="E2504" s="98"/>
      <c r="F2504" s="98"/>
      <c r="G2504" s="99"/>
      <c r="H2504" s="99"/>
      <c r="I2504" s="99"/>
      <c r="J2504" s="99"/>
      <c r="K2504" s="98"/>
      <c r="L2504" s="98"/>
      <c r="M2504" s="98"/>
      <c r="N2504" s="98"/>
      <c r="O2504" s="98"/>
      <c r="P2504" s="98"/>
      <c r="Q2504" s="98"/>
      <c r="R2504" s="98"/>
      <c r="S2504" s="98"/>
      <c r="T2504" s="98"/>
      <c r="U2504" s="98"/>
      <c r="V2504" s="98"/>
      <c r="W2504" s="98"/>
      <c r="X2504" s="98"/>
      <c r="Y2504" s="98"/>
      <c r="Z2504" s="98"/>
      <c r="AA2504" s="98"/>
      <c r="AB2504" s="98"/>
      <c r="AC2504" s="98"/>
      <c r="AD2504" s="98"/>
      <c r="AE2504" s="98"/>
      <c r="AF2504" s="98"/>
      <c r="AG2504" s="98"/>
      <c r="AH2504" s="98"/>
      <c r="AI2504" s="98"/>
      <c r="AJ2504" s="98"/>
      <c r="AK2504" s="98"/>
      <c r="AL2504" s="98"/>
      <c r="AM2504" s="98"/>
    </row>
    <row r="2505" spans="1:39" s="100" customFormat="1" ht="15.6" x14ac:dyDescent="0.3">
      <c r="A2505" s="97"/>
      <c r="B2505" s="98"/>
      <c r="C2505" s="98"/>
      <c r="D2505" s="98"/>
      <c r="E2505" s="98"/>
      <c r="F2505" s="98"/>
      <c r="G2505" s="99"/>
      <c r="H2505" s="99"/>
      <c r="I2505" s="99"/>
      <c r="J2505" s="99"/>
      <c r="K2505" s="98"/>
      <c r="L2505" s="98"/>
      <c r="M2505" s="98"/>
      <c r="N2505" s="98"/>
      <c r="O2505" s="98"/>
      <c r="P2505" s="98"/>
      <c r="Q2505" s="98"/>
      <c r="R2505" s="98"/>
      <c r="S2505" s="98"/>
      <c r="T2505" s="98"/>
      <c r="U2505" s="98"/>
      <c r="V2505" s="98"/>
      <c r="W2505" s="98"/>
      <c r="X2505" s="98"/>
      <c r="Y2505" s="98"/>
      <c r="Z2505" s="98"/>
      <c r="AA2505" s="98"/>
      <c r="AB2505" s="98"/>
      <c r="AC2505" s="98"/>
      <c r="AD2505" s="98"/>
      <c r="AE2505" s="98"/>
      <c r="AF2505" s="98"/>
      <c r="AG2505" s="98"/>
      <c r="AH2505" s="98"/>
      <c r="AI2505" s="98"/>
      <c r="AJ2505" s="98"/>
      <c r="AK2505" s="98"/>
      <c r="AL2505" s="98"/>
      <c r="AM2505" s="98"/>
    </row>
    <row r="2506" spans="1:39" s="100" customFormat="1" ht="15.6" x14ac:dyDescent="0.3">
      <c r="A2506" s="97"/>
      <c r="B2506" s="98"/>
      <c r="C2506" s="98"/>
      <c r="D2506" s="98"/>
      <c r="E2506" s="98"/>
      <c r="F2506" s="98"/>
      <c r="G2506" s="99"/>
      <c r="H2506" s="99"/>
      <c r="I2506" s="99"/>
      <c r="J2506" s="99"/>
      <c r="K2506" s="98"/>
      <c r="L2506" s="98"/>
      <c r="M2506" s="98"/>
      <c r="N2506" s="98"/>
      <c r="O2506" s="98"/>
      <c r="P2506" s="98"/>
      <c r="Q2506" s="98"/>
      <c r="R2506" s="98"/>
      <c r="S2506" s="98"/>
      <c r="T2506" s="98"/>
      <c r="U2506" s="98"/>
      <c r="V2506" s="98"/>
      <c r="W2506" s="98"/>
      <c r="X2506" s="98"/>
      <c r="Y2506" s="98"/>
      <c r="Z2506" s="98"/>
      <c r="AA2506" s="98"/>
      <c r="AB2506" s="98"/>
      <c r="AC2506" s="98"/>
      <c r="AD2506" s="98"/>
      <c r="AE2506" s="98"/>
      <c r="AF2506" s="98"/>
      <c r="AG2506" s="98"/>
      <c r="AH2506" s="98"/>
      <c r="AI2506" s="98"/>
      <c r="AJ2506" s="98"/>
      <c r="AK2506" s="98"/>
      <c r="AL2506" s="98"/>
      <c r="AM2506" s="98"/>
    </row>
    <row r="2507" spans="1:39" s="100" customFormat="1" ht="15.6" x14ac:dyDescent="0.3">
      <c r="A2507" s="97"/>
      <c r="B2507" s="98"/>
      <c r="C2507" s="98"/>
      <c r="D2507" s="98"/>
      <c r="E2507" s="98"/>
      <c r="F2507" s="98"/>
      <c r="G2507" s="99"/>
      <c r="H2507" s="99"/>
      <c r="I2507" s="99"/>
      <c r="J2507" s="99"/>
      <c r="K2507" s="98"/>
      <c r="L2507" s="98"/>
      <c r="M2507" s="98"/>
      <c r="N2507" s="98"/>
      <c r="O2507" s="98"/>
      <c r="P2507" s="98"/>
      <c r="Q2507" s="98"/>
      <c r="R2507" s="98"/>
      <c r="S2507" s="98"/>
      <c r="T2507" s="98"/>
      <c r="U2507" s="98"/>
      <c r="V2507" s="98"/>
      <c r="W2507" s="98"/>
      <c r="X2507" s="98"/>
      <c r="Y2507" s="98"/>
      <c r="Z2507" s="98"/>
      <c r="AA2507" s="98"/>
      <c r="AB2507" s="98"/>
      <c r="AC2507" s="98"/>
      <c r="AD2507" s="98"/>
      <c r="AE2507" s="98"/>
      <c r="AF2507" s="98"/>
      <c r="AG2507" s="98"/>
      <c r="AH2507" s="98"/>
      <c r="AI2507" s="98"/>
      <c r="AJ2507" s="98"/>
      <c r="AK2507" s="98"/>
      <c r="AL2507" s="98"/>
      <c r="AM2507" s="98"/>
    </row>
    <row r="2508" spans="1:39" s="100" customFormat="1" ht="15.6" x14ac:dyDescent="0.3">
      <c r="A2508" s="97"/>
      <c r="B2508" s="98"/>
      <c r="C2508" s="98"/>
      <c r="D2508" s="98"/>
      <c r="E2508" s="98"/>
      <c r="F2508" s="98"/>
      <c r="G2508" s="99"/>
      <c r="H2508" s="99"/>
      <c r="I2508" s="99"/>
      <c r="J2508" s="99"/>
      <c r="K2508" s="98"/>
      <c r="L2508" s="98"/>
      <c r="M2508" s="98"/>
      <c r="N2508" s="98"/>
      <c r="O2508" s="98"/>
      <c r="P2508" s="98"/>
      <c r="Q2508" s="98"/>
      <c r="R2508" s="98"/>
      <c r="S2508" s="98"/>
      <c r="T2508" s="98"/>
      <c r="U2508" s="98"/>
      <c r="V2508" s="98"/>
      <c r="W2508" s="98"/>
      <c r="X2508" s="98"/>
      <c r="Y2508" s="98"/>
      <c r="Z2508" s="98"/>
      <c r="AA2508" s="98"/>
      <c r="AB2508" s="98"/>
      <c r="AC2508" s="98"/>
      <c r="AD2508" s="98"/>
      <c r="AE2508" s="98"/>
      <c r="AF2508" s="98"/>
      <c r="AG2508" s="98"/>
      <c r="AH2508" s="98"/>
      <c r="AI2508" s="98"/>
      <c r="AJ2508" s="98"/>
      <c r="AK2508" s="98"/>
      <c r="AL2508" s="98"/>
      <c r="AM2508" s="98"/>
    </row>
    <row r="2509" spans="1:39" s="100" customFormat="1" ht="15.6" x14ac:dyDescent="0.3">
      <c r="A2509" s="97"/>
      <c r="B2509" s="98"/>
      <c r="C2509" s="98"/>
      <c r="D2509" s="98"/>
      <c r="E2509" s="98"/>
      <c r="F2509" s="98"/>
      <c r="G2509" s="99"/>
      <c r="H2509" s="99"/>
      <c r="I2509" s="99"/>
      <c r="J2509" s="99"/>
      <c r="K2509" s="98"/>
      <c r="L2509" s="98"/>
      <c r="M2509" s="98"/>
      <c r="N2509" s="98"/>
      <c r="O2509" s="98"/>
      <c r="P2509" s="98"/>
      <c r="Q2509" s="98"/>
      <c r="R2509" s="98"/>
      <c r="S2509" s="98"/>
      <c r="T2509" s="98"/>
      <c r="U2509" s="98"/>
      <c r="V2509" s="98"/>
      <c r="W2509" s="98"/>
      <c r="X2509" s="98"/>
      <c r="Y2509" s="98"/>
      <c r="Z2509" s="98"/>
      <c r="AA2509" s="98"/>
      <c r="AB2509" s="98"/>
      <c r="AC2509" s="98"/>
      <c r="AD2509" s="98"/>
      <c r="AE2509" s="98"/>
      <c r="AF2509" s="98"/>
      <c r="AG2509" s="98"/>
      <c r="AH2509" s="98"/>
      <c r="AI2509" s="98"/>
      <c r="AJ2509" s="98"/>
      <c r="AK2509" s="98"/>
      <c r="AL2509" s="98"/>
      <c r="AM2509" s="98"/>
    </row>
    <row r="2510" spans="1:39" s="100" customFormat="1" ht="15.6" x14ac:dyDescent="0.3">
      <c r="A2510" s="97"/>
      <c r="B2510" s="98"/>
      <c r="C2510" s="98"/>
      <c r="D2510" s="98"/>
      <c r="E2510" s="98"/>
      <c r="F2510" s="98"/>
      <c r="G2510" s="99"/>
      <c r="H2510" s="99"/>
      <c r="I2510" s="99"/>
      <c r="J2510" s="99"/>
      <c r="K2510" s="98"/>
      <c r="L2510" s="98"/>
      <c r="M2510" s="98"/>
      <c r="N2510" s="98"/>
      <c r="O2510" s="98"/>
      <c r="P2510" s="98"/>
      <c r="Q2510" s="98"/>
      <c r="R2510" s="98"/>
      <c r="S2510" s="98"/>
      <c r="T2510" s="98"/>
      <c r="U2510" s="98"/>
      <c r="V2510" s="98"/>
      <c r="W2510" s="98"/>
      <c r="X2510" s="98"/>
      <c r="Y2510" s="98"/>
      <c r="Z2510" s="98"/>
      <c r="AA2510" s="98"/>
      <c r="AB2510" s="98"/>
      <c r="AC2510" s="98"/>
      <c r="AD2510" s="98"/>
      <c r="AE2510" s="98"/>
      <c r="AF2510" s="98"/>
      <c r="AG2510" s="98"/>
      <c r="AH2510" s="98"/>
      <c r="AI2510" s="98"/>
      <c r="AJ2510" s="98"/>
      <c r="AK2510" s="98"/>
      <c r="AL2510" s="98"/>
      <c r="AM2510" s="98"/>
    </row>
    <row r="2511" spans="1:39" s="100" customFormat="1" ht="15.6" x14ac:dyDescent="0.3">
      <c r="A2511" s="97"/>
      <c r="B2511" s="98"/>
      <c r="C2511" s="98"/>
      <c r="D2511" s="98"/>
      <c r="E2511" s="98"/>
      <c r="F2511" s="98"/>
      <c r="G2511" s="99"/>
      <c r="H2511" s="99"/>
      <c r="I2511" s="99"/>
      <c r="J2511" s="99"/>
      <c r="K2511" s="98"/>
      <c r="L2511" s="98"/>
      <c r="M2511" s="98"/>
      <c r="N2511" s="98"/>
      <c r="O2511" s="98"/>
      <c r="P2511" s="98"/>
      <c r="Q2511" s="98"/>
      <c r="R2511" s="98"/>
      <c r="S2511" s="98"/>
      <c r="T2511" s="98"/>
      <c r="U2511" s="98"/>
      <c r="V2511" s="98"/>
      <c r="W2511" s="98"/>
      <c r="X2511" s="98"/>
      <c r="Y2511" s="98"/>
      <c r="Z2511" s="98"/>
      <c r="AA2511" s="98"/>
      <c r="AB2511" s="98"/>
      <c r="AC2511" s="98"/>
      <c r="AD2511" s="98"/>
      <c r="AE2511" s="98"/>
      <c r="AF2511" s="98"/>
      <c r="AG2511" s="98"/>
      <c r="AH2511" s="98"/>
      <c r="AI2511" s="98"/>
      <c r="AJ2511" s="98"/>
      <c r="AK2511" s="98"/>
      <c r="AL2511" s="98"/>
      <c r="AM2511" s="98"/>
    </row>
    <row r="2512" spans="1:39" s="100" customFormat="1" ht="15.6" x14ac:dyDescent="0.3">
      <c r="A2512" s="97"/>
      <c r="B2512" s="98"/>
      <c r="C2512" s="98"/>
      <c r="D2512" s="98"/>
      <c r="E2512" s="98"/>
      <c r="F2512" s="98"/>
      <c r="G2512" s="99"/>
      <c r="H2512" s="99"/>
      <c r="I2512" s="99"/>
      <c r="J2512" s="99"/>
      <c r="K2512" s="98"/>
      <c r="L2512" s="98"/>
      <c r="M2512" s="98"/>
      <c r="N2512" s="98"/>
      <c r="O2512" s="98"/>
      <c r="P2512" s="98"/>
      <c r="Q2512" s="98"/>
      <c r="R2512" s="98"/>
      <c r="S2512" s="98"/>
      <c r="T2512" s="98"/>
      <c r="U2512" s="98"/>
      <c r="V2512" s="98"/>
      <c r="W2512" s="98"/>
      <c r="X2512" s="98"/>
      <c r="Y2512" s="98"/>
      <c r="Z2512" s="98"/>
      <c r="AA2512" s="98"/>
      <c r="AB2512" s="98"/>
      <c r="AC2512" s="98"/>
      <c r="AD2512" s="98"/>
      <c r="AE2512" s="98"/>
      <c r="AF2512" s="98"/>
      <c r="AG2512" s="98"/>
      <c r="AH2512" s="98"/>
      <c r="AI2512" s="98"/>
      <c r="AJ2512" s="98"/>
      <c r="AK2512" s="98"/>
      <c r="AL2512" s="98"/>
      <c r="AM2512" s="98"/>
    </row>
    <row r="2513" spans="1:39" s="100" customFormat="1" ht="15.6" x14ac:dyDescent="0.3">
      <c r="A2513" s="97"/>
      <c r="B2513" s="98"/>
      <c r="C2513" s="98"/>
      <c r="D2513" s="98"/>
      <c r="E2513" s="98"/>
      <c r="F2513" s="98"/>
      <c r="G2513" s="99"/>
      <c r="H2513" s="99"/>
      <c r="I2513" s="99"/>
      <c r="J2513" s="99"/>
      <c r="K2513" s="98"/>
      <c r="L2513" s="98"/>
      <c r="M2513" s="98"/>
      <c r="N2513" s="98"/>
      <c r="O2513" s="98"/>
      <c r="P2513" s="98"/>
      <c r="Q2513" s="98"/>
      <c r="R2513" s="98"/>
      <c r="S2513" s="98"/>
      <c r="T2513" s="98"/>
      <c r="U2513" s="98"/>
      <c r="V2513" s="98"/>
      <c r="W2513" s="98"/>
      <c r="X2513" s="98"/>
      <c r="Y2513" s="98"/>
      <c r="Z2513" s="98"/>
      <c r="AA2513" s="98"/>
      <c r="AB2513" s="98"/>
      <c r="AC2513" s="98"/>
      <c r="AD2513" s="98"/>
      <c r="AE2513" s="98"/>
      <c r="AF2513" s="98"/>
      <c r="AG2513" s="98"/>
      <c r="AH2513" s="98"/>
      <c r="AI2513" s="98"/>
      <c r="AJ2513" s="98"/>
      <c r="AK2513" s="98"/>
      <c r="AL2513" s="98"/>
      <c r="AM2513" s="98"/>
    </row>
    <row r="2514" spans="1:39" s="100" customFormat="1" ht="15.6" x14ac:dyDescent="0.3">
      <c r="A2514" s="97"/>
      <c r="B2514" s="98"/>
      <c r="C2514" s="98"/>
      <c r="D2514" s="98"/>
      <c r="E2514" s="98"/>
      <c r="F2514" s="98"/>
      <c r="G2514" s="99"/>
      <c r="H2514" s="99"/>
      <c r="I2514" s="99"/>
      <c r="J2514" s="99"/>
      <c r="K2514" s="98"/>
      <c r="L2514" s="98"/>
      <c r="M2514" s="98"/>
      <c r="N2514" s="98"/>
      <c r="O2514" s="98"/>
      <c r="P2514" s="98"/>
      <c r="Q2514" s="98"/>
      <c r="R2514" s="98"/>
      <c r="S2514" s="98"/>
      <c r="T2514" s="98"/>
      <c r="U2514" s="98"/>
      <c r="V2514" s="98"/>
      <c r="W2514" s="98"/>
      <c r="X2514" s="98"/>
      <c r="Y2514" s="98"/>
      <c r="Z2514" s="98"/>
      <c r="AA2514" s="98"/>
      <c r="AB2514" s="98"/>
      <c r="AC2514" s="98"/>
      <c r="AD2514" s="98"/>
      <c r="AE2514" s="98"/>
      <c r="AF2514" s="98"/>
      <c r="AG2514" s="98"/>
      <c r="AH2514" s="98"/>
      <c r="AI2514" s="98"/>
      <c r="AJ2514" s="98"/>
      <c r="AK2514" s="98"/>
      <c r="AL2514" s="98"/>
      <c r="AM2514" s="98"/>
    </row>
    <row r="2515" spans="1:39" s="100" customFormat="1" ht="15.6" x14ac:dyDescent="0.3">
      <c r="A2515" s="97"/>
      <c r="B2515" s="98"/>
      <c r="C2515" s="98"/>
      <c r="D2515" s="98"/>
      <c r="E2515" s="98"/>
      <c r="F2515" s="98"/>
      <c r="G2515" s="99"/>
      <c r="H2515" s="99"/>
      <c r="I2515" s="99"/>
      <c r="J2515" s="99"/>
      <c r="K2515" s="98"/>
      <c r="L2515" s="98"/>
      <c r="M2515" s="98"/>
      <c r="N2515" s="98"/>
      <c r="O2515" s="98"/>
      <c r="P2515" s="98"/>
      <c r="Q2515" s="98"/>
      <c r="R2515" s="98"/>
      <c r="S2515" s="98"/>
      <c r="T2515" s="98"/>
      <c r="U2515" s="98"/>
      <c r="V2515" s="98"/>
      <c r="W2515" s="98"/>
      <c r="X2515" s="98"/>
      <c r="Y2515" s="98"/>
      <c r="Z2515" s="98"/>
      <c r="AA2515" s="98"/>
      <c r="AB2515" s="98"/>
      <c r="AC2515" s="98"/>
      <c r="AD2515" s="98"/>
      <c r="AE2515" s="98"/>
      <c r="AF2515" s="98"/>
      <c r="AG2515" s="98"/>
      <c r="AH2515" s="98"/>
      <c r="AI2515" s="98"/>
      <c r="AJ2515" s="98"/>
      <c r="AK2515" s="98"/>
      <c r="AL2515" s="98"/>
      <c r="AM2515" s="98"/>
    </row>
    <row r="2516" spans="1:39" s="100" customFormat="1" ht="15.6" x14ac:dyDescent="0.3">
      <c r="A2516" s="97"/>
      <c r="B2516" s="98"/>
      <c r="C2516" s="98"/>
      <c r="D2516" s="98"/>
      <c r="E2516" s="98"/>
      <c r="F2516" s="98"/>
      <c r="G2516" s="99"/>
      <c r="H2516" s="99"/>
      <c r="I2516" s="99"/>
      <c r="J2516" s="99"/>
      <c r="K2516" s="98"/>
      <c r="L2516" s="98"/>
      <c r="M2516" s="98"/>
      <c r="N2516" s="98"/>
      <c r="O2516" s="98"/>
      <c r="P2516" s="98"/>
      <c r="Q2516" s="98"/>
      <c r="R2516" s="98"/>
      <c r="S2516" s="98"/>
      <c r="T2516" s="98"/>
      <c r="U2516" s="98"/>
      <c r="V2516" s="98"/>
      <c r="W2516" s="98"/>
      <c r="X2516" s="98"/>
      <c r="Y2516" s="98"/>
      <c r="Z2516" s="98"/>
      <c r="AA2516" s="98"/>
      <c r="AB2516" s="98"/>
      <c r="AC2516" s="98"/>
      <c r="AD2516" s="98"/>
      <c r="AE2516" s="98"/>
      <c r="AF2516" s="98"/>
      <c r="AG2516" s="98"/>
      <c r="AH2516" s="98"/>
      <c r="AI2516" s="98"/>
      <c r="AJ2516" s="98"/>
      <c r="AK2516" s="98"/>
      <c r="AL2516" s="98"/>
      <c r="AM2516" s="98"/>
    </row>
    <row r="2517" spans="1:39" s="100" customFormat="1" ht="15.6" x14ac:dyDescent="0.3">
      <c r="A2517" s="97"/>
      <c r="B2517" s="98"/>
      <c r="C2517" s="98"/>
      <c r="D2517" s="98"/>
      <c r="E2517" s="98"/>
      <c r="F2517" s="98"/>
      <c r="G2517" s="99"/>
      <c r="H2517" s="99"/>
      <c r="I2517" s="99"/>
      <c r="J2517" s="99"/>
      <c r="K2517" s="98"/>
      <c r="L2517" s="98"/>
      <c r="M2517" s="98"/>
      <c r="N2517" s="98"/>
      <c r="O2517" s="98"/>
      <c r="P2517" s="98"/>
      <c r="Q2517" s="98"/>
      <c r="R2517" s="98"/>
      <c r="S2517" s="98"/>
      <c r="T2517" s="98"/>
      <c r="U2517" s="98"/>
      <c r="V2517" s="98"/>
      <c r="W2517" s="98"/>
      <c r="X2517" s="98"/>
      <c r="Y2517" s="98"/>
      <c r="Z2517" s="98"/>
      <c r="AA2517" s="98"/>
      <c r="AB2517" s="98"/>
      <c r="AC2517" s="98"/>
      <c r="AD2517" s="98"/>
      <c r="AE2517" s="98"/>
      <c r="AF2517" s="98"/>
      <c r="AG2517" s="98"/>
      <c r="AH2517" s="98"/>
      <c r="AI2517" s="98"/>
      <c r="AJ2517" s="98"/>
      <c r="AK2517" s="98"/>
      <c r="AL2517" s="98"/>
      <c r="AM2517" s="98"/>
    </row>
    <row r="2518" spans="1:39" s="100" customFormat="1" ht="15.6" x14ac:dyDescent="0.3">
      <c r="A2518" s="97"/>
      <c r="B2518" s="98"/>
      <c r="C2518" s="98"/>
      <c r="D2518" s="98"/>
      <c r="E2518" s="98"/>
      <c r="F2518" s="98"/>
      <c r="G2518" s="99"/>
      <c r="H2518" s="99"/>
      <c r="I2518" s="99"/>
      <c r="J2518" s="99"/>
      <c r="K2518" s="98"/>
      <c r="L2518" s="98"/>
      <c r="M2518" s="98"/>
      <c r="N2518" s="98"/>
      <c r="O2518" s="98"/>
      <c r="P2518" s="98"/>
      <c r="Q2518" s="98"/>
      <c r="R2518" s="98"/>
      <c r="S2518" s="98"/>
      <c r="T2518" s="98"/>
      <c r="U2518" s="98"/>
      <c r="V2518" s="98"/>
      <c r="W2518" s="98"/>
      <c r="X2518" s="98"/>
      <c r="Y2518" s="98"/>
      <c r="Z2518" s="98"/>
      <c r="AA2518" s="98"/>
      <c r="AB2518" s="98"/>
      <c r="AC2518" s="98"/>
      <c r="AD2518" s="98"/>
      <c r="AE2518" s="98"/>
      <c r="AF2518" s="98"/>
      <c r="AG2518" s="98"/>
      <c r="AH2518" s="98"/>
      <c r="AI2518" s="98"/>
      <c r="AJ2518" s="98"/>
      <c r="AK2518" s="98"/>
      <c r="AL2518" s="98"/>
      <c r="AM2518" s="98"/>
    </row>
    <row r="2519" spans="1:39" s="100" customFormat="1" ht="15.6" x14ac:dyDescent="0.3">
      <c r="A2519" s="97"/>
      <c r="B2519" s="98"/>
      <c r="C2519" s="98"/>
      <c r="D2519" s="98"/>
      <c r="E2519" s="98"/>
      <c r="F2519" s="98"/>
      <c r="G2519" s="99"/>
      <c r="H2519" s="99"/>
      <c r="I2519" s="99"/>
      <c r="J2519" s="99"/>
      <c r="K2519" s="98"/>
      <c r="L2519" s="98"/>
      <c r="M2519" s="98"/>
      <c r="N2519" s="98"/>
      <c r="O2519" s="98"/>
      <c r="P2519" s="98"/>
      <c r="Q2519" s="98"/>
      <c r="R2519" s="98"/>
      <c r="S2519" s="98"/>
      <c r="T2519" s="98"/>
      <c r="U2519" s="98"/>
      <c r="V2519" s="98"/>
      <c r="W2519" s="98"/>
      <c r="X2519" s="98"/>
      <c r="Y2519" s="98"/>
      <c r="Z2519" s="98"/>
      <c r="AA2519" s="98"/>
      <c r="AB2519" s="98"/>
      <c r="AC2519" s="98"/>
      <c r="AD2519" s="98"/>
      <c r="AE2519" s="98"/>
      <c r="AF2519" s="98"/>
      <c r="AG2519" s="98"/>
      <c r="AH2519" s="98"/>
      <c r="AI2519" s="98"/>
      <c r="AJ2519" s="98"/>
      <c r="AK2519" s="98"/>
      <c r="AL2519" s="98"/>
      <c r="AM2519" s="98"/>
    </row>
    <row r="2520" spans="1:39" s="100" customFormat="1" ht="15.6" x14ac:dyDescent="0.3">
      <c r="A2520" s="97"/>
      <c r="B2520" s="98"/>
      <c r="C2520" s="98"/>
      <c r="D2520" s="98"/>
      <c r="E2520" s="98"/>
      <c r="F2520" s="98"/>
      <c r="G2520" s="99"/>
      <c r="H2520" s="99"/>
      <c r="I2520" s="99"/>
      <c r="J2520" s="99"/>
      <c r="K2520" s="98"/>
      <c r="L2520" s="98"/>
      <c r="M2520" s="98"/>
      <c r="N2520" s="98"/>
      <c r="O2520" s="98"/>
      <c r="P2520" s="98"/>
      <c r="Q2520" s="98"/>
      <c r="R2520" s="98"/>
      <c r="S2520" s="98"/>
      <c r="T2520" s="98"/>
      <c r="U2520" s="98"/>
      <c r="V2520" s="98"/>
      <c r="W2520" s="98"/>
      <c r="X2520" s="98"/>
      <c r="Y2520" s="98"/>
      <c r="Z2520" s="98"/>
      <c r="AA2520" s="98"/>
      <c r="AB2520" s="98"/>
      <c r="AC2520" s="98"/>
      <c r="AD2520" s="98"/>
      <c r="AE2520" s="98"/>
      <c r="AF2520" s="98"/>
      <c r="AG2520" s="98"/>
      <c r="AH2520" s="98"/>
      <c r="AI2520" s="98"/>
      <c r="AJ2520" s="98"/>
      <c r="AK2520" s="98"/>
      <c r="AL2520" s="98"/>
      <c r="AM2520" s="98"/>
    </row>
    <row r="2521" spans="1:39" s="100" customFormat="1" ht="15.6" x14ac:dyDescent="0.3">
      <c r="A2521" s="97"/>
      <c r="B2521" s="98"/>
      <c r="C2521" s="98"/>
      <c r="D2521" s="98"/>
      <c r="E2521" s="98"/>
      <c r="F2521" s="98"/>
      <c r="G2521" s="99"/>
      <c r="H2521" s="99"/>
      <c r="I2521" s="99"/>
      <c r="J2521" s="99"/>
      <c r="K2521" s="98"/>
      <c r="L2521" s="98"/>
      <c r="M2521" s="98"/>
      <c r="N2521" s="98"/>
      <c r="O2521" s="98"/>
      <c r="P2521" s="98"/>
      <c r="Q2521" s="98"/>
      <c r="R2521" s="98"/>
      <c r="S2521" s="98"/>
      <c r="T2521" s="98"/>
      <c r="U2521" s="98"/>
      <c r="V2521" s="98"/>
      <c r="W2521" s="98"/>
      <c r="X2521" s="98"/>
      <c r="Y2521" s="98"/>
      <c r="Z2521" s="98"/>
      <c r="AA2521" s="98"/>
      <c r="AB2521" s="98"/>
      <c r="AC2521" s="98"/>
      <c r="AD2521" s="98"/>
      <c r="AE2521" s="98"/>
      <c r="AF2521" s="98"/>
      <c r="AG2521" s="98"/>
      <c r="AH2521" s="98"/>
      <c r="AI2521" s="98"/>
      <c r="AJ2521" s="98"/>
      <c r="AK2521" s="98"/>
      <c r="AL2521" s="98"/>
      <c r="AM2521" s="98"/>
    </row>
    <row r="2522" spans="1:39" s="100" customFormat="1" ht="15.6" x14ac:dyDescent="0.3">
      <c r="A2522" s="97"/>
      <c r="B2522" s="98"/>
      <c r="C2522" s="98"/>
      <c r="D2522" s="98"/>
      <c r="E2522" s="98"/>
      <c r="F2522" s="98"/>
      <c r="G2522" s="99"/>
      <c r="H2522" s="99"/>
      <c r="I2522" s="99"/>
      <c r="J2522" s="99"/>
      <c r="K2522" s="98"/>
      <c r="L2522" s="98"/>
      <c r="M2522" s="98"/>
      <c r="N2522" s="98"/>
      <c r="O2522" s="98"/>
      <c r="P2522" s="98"/>
      <c r="Q2522" s="98"/>
      <c r="R2522" s="98"/>
      <c r="S2522" s="98"/>
      <c r="T2522" s="98"/>
      <c r="U2522" s="98"/>
      <c r="V2522" s="98"/>
      <c r="W2522" s="98"/>
      <c r="X2522" s="98"/>
      <c r="Y2522" s="98"/>
      <c r="Z2522" s="98"/>
      <c r="AA2522" s="98"/>
      <c r="AB2522" s="98"/>
      <c r="AC2522" s="98"/>
      <c r="AD2522" s="98"/>
      <c r="AE2522" s="98"/>
      <c r="AF2522" s="98"/>
      <c r="AG2522" s="98"/>
      <c r="AH2522" s="98"/>
      <c r="AI2522" s="98"/>
      <c r="AJ2522" s="98"/>
      <c r="AK2522" s="98"/>
      <c r="AL2522" s="98"/>
      <c r="AM2522" s="98"/>
    </row>
    <row r="2523" spans="1:39" s="100" customFormat="1" ht="15.6" x14ac:dyDescent="0.3">
      <c r="A2523" s="97"/>
      <c r="B2523" s="98"/>
      <c r="C2523" s="98"/>
      <c r="D2523" s="98"/>
      <c r="E2523" s="98"/>
      <c r="F2523" s="98"/>
      <c r="G2523" s="99"/>
      <c r="H2523" s="99"/>
      <c r="I2523" s="99"/>
      <c r="J2523" s="99"/>
      <c r="K2523" s="98"/>
      <c r="L2523" s="98"/>
      <c r="M2523" s="98"/>
      <c r="N2523" s="98"/>
      <c r="O2523" s="98"/>
      <c r="P2523" s="98"/>
      <c r="Q2523" s="98"/>
      <c r="R2523" s="98"/>
      <c r="S2523" s="98"/>
      <c r="T2523" s="98"/>
      <c r="U2523" s="98"/>
      <c r="V2523" s="98"/>
      <c r="W2523" s="98"/>
      <c r="X2523" s="98"/>
      <c r="Y2523" s="98"/>
      <c r="Z2523" s="98"/>
      <c r="AA2523" s="98"/>
      <c r="AB2523" s="98"/>
      <c r="AC2523" s="98"/>
      <c r="AD2523" s="98"/>
      <c r="AE2523" s="98"/>
      <c r="AF2523" s="98"/>
      <c r="AG2523" s="98"/>
      <c r="AH2523" s="98"/>
      <c r="AI2523" s="98"/>
      <c r="AJ2523" s="98"/>
      <c r="AK2523" s="98"/>
      <c r="AL2523" s="98"/>
      <c r="AM2523" s="98"/>
    </row>
    <row r="2524" spans="1:39" s="100" customFormat="1" ht="15.6" x14ac:dyDescent="0.3">
      <c r="A2524" s="97"/>
      <c r="B2524" s="98"/>
      <c r="C2524" s="98"/>
      <c r="D2524" s="98"/>
      <c r="E2524" s="98"/>
      <c r="F2524" s="98"/>
      <c r="G2524" s="99"/>
      <c r="H2524" s="99"/>
      <c r="I2524" s="99"/>
      <c r="J2524" s="99"/>
      <c r="K2524" s="98"/>
      <c r="L2524" s="98"/>
      <c r="M2524" s="98"/>
      <c r="N2524" s="98"/>
      <c r="O2524" s="98"/>
      <c r="P2524" s="98"/>
      <c r="Q2524" s="98"/>
      <c r="R2524" s="98"/>
      <c r="S2524" s="98"/>
      <c r="T2524" s="98"/>
      <c r="U2524" s="98"/>
      <c r="V2524" s="98"/>
      <c r="W2524" s="98"/>
      <c r="X2524" s="98"/>
      <c r="Y2524" s="98"/>
      <c r="Z2524" s="98"/>
      <c r="AA2524" s="98"/>
      <c r="AB2524" s="98"/>
      <c r="AC2524" s="98"/>
      <c r="AD2524" s="98"/>
      <c r="AE2524" s="98"/>
      <c r="AF2524" s="98"/>
      <c r="AG2524" s="98"/>
      <c r="AH2524" s="98"/>
      <c r="AI2524" s="98"/>
      <c r="AJ2524" s="98"/>
      <c r="AK2524" s="98"/>
      <c r="AL2524" s="98"/>
      <c r="AM2524" s="98"/>
    </row>
    <row r="2525" spans="1:39" s="100" customFormat="1" ht="15.6" x14ac:dyDescent="0.3">
      <c r="A2525" s="97"/>
      <c r="B2525" s="98"/>
      <c r="C2525" s="98"/>
      <c r="D2525" s="98"/>
      <c r="E2525" s="98"/>
      <c r="F2525" s="98"/>
      <c r="G2525" s="99"/>
      <c r="H2525" s="99"/>
      <c r="I2525" s="99"/>
      <c r="J2525" s="99"/>
      <c r="K2525" s="98"/>
      <c r="L2525" s="98"/>
      <c r="M2525" s="98"/>
      <c r="N2525" s="98"/>
      <c r="O2525" s="98"/>
      <c r="P2525" s="98"/>
      <c r="Q2525" s="98"/>
      <c r="R2525" s="98"/>
      <c r="S2525" s="98"/>
      <c r="T2525" s="98"/>
      <c r="U2525" s="98"/>
      <c r="V2525" s="98"/>
      <c r="W2525" s="98"/>
      <c r="X2525" s="98"/>
      <c r="Y2525" s="98"/>
      <c r="Z2525" s="98"/>
      <c r="AA2525" s="98"/>
      <c r="AB2525" s="98"/>
      <c r="AC2525" s="98"/>
      <c r="AD2525" s="98"/>
      <c r="AE2525" s="98"/>
      <c r="AF2525" s="98"/>
      <c r="AG2525" s="98"/>
      <c r="AH2525" s="98"/>
      <c r="AI2525" s="98"/>
      <c r="AJ2525" s="98"/>
      <c r="AK2525" s="98"/>
      <c r="AL2525" s="98"/>
      <c r="AM2525" s="98"/>
    </row>
    <row r="2526" spans="1:39" s="100" customFormat="1" ht="15.6" x14ac:dyDescent="0.3">
      <c r="A2526" s="97"/>
      <c r="B2526" s="98"/>
      <c r="C2526" s="98"/>
      <c r="D2526" s="98"/>
      <c r="E2526" s="98"/>
      <c r="F2526" s="98"/>
      <c r="G2526" s="99"/>
      <c r="H2526" s="99"/>
      <c r="I2526" s="99"/>
      <c r="J2526" s="99"/>
      <c r="K2526" s="98"/>
      <c r="L2526" s="98"/>
      <c r="M2526" s="98"/>
      <c r="N2526" s="98"/>
      <c r="O2526" s="98"/>
      <c r="P2526" s="98"/>
      <c r="Q2526" s="98"/>
      <c r="R2526" s="98"/>
      <c r="S2526" s="98"/>
      <c r="T2526" s="98"/>
      <c r="U2526" s="98"/>
      <c r="V2526" s="98"/>
      <c r="W2526" s="98"/>
      <c r="X2526" s="98"/>
      <c r="Y2526" s="98"/>
      <c r="Z2526" s="98"/>
      <c r="AA2526" s="98"/>
      <c r="AB2526" s="98"/>
      <c r="AC2526" s="98"/>
      <c r="AD2526" s="98"/>
      <c r="AE2526" s="98"/>
      <c r="AF2526" s="98"/>
      <c r="AG2526" s="98"/>
      <c r="AH2526" s="98"/>
      <c r="AI2526" s="98"/>
      <c r="AJ2526" s="98"/>
      <c r="AK2526" s="98"/>
      <c r="AL2526" s="98"/>
      <c r="AM2526" s="98"/>
    </row>
    <row r="2527" spans="1:39" s="100" customFormat="1" ht="15.6" x14ac:dyDescent="0.3">
      <c r="A2527" s="97"/>
      <c r="B2527" s="98"/>
      <c r="C2527" s="98"/>
      <c r="D2527" s="98"/>
      <c r="E2527" s="98"/>
      <c r="F2527" s="98"/>
      <c r="G2527" s="99"/>
      <c r="H2527" s="99"/>
      <c r="I2527" s="99"/>
      <c r="J2527" s="99"/>
      <c r="K2527" s="98"/>
      <c r="L2527" s="98"/>
      <c r="M2527" s="98"/>
      <c r="N2527" s="98"/>
      <c r="O2527" s="98"/>
      <c r="P2527" s="98"/>
      <c r="Q2527" s="98"/>
      <c r="R2527" s="98"/>
      <c r="S2527" s="98"/>
      <c r="T2527" s="98"/>
      <c r="U2527" s="98"/>
      <c r="V2527" s="98"/>
      <c r="W2527" s="98"/>
      <c r="X2527" s="98"/>
      <c r="Y2527" s="98"/>
      <c r="Z2527" s="98"/>
      <c r="AA2527" s="98"/>
      <c r="AB2527" s="98"/>
      <c r="AC2527" s="98"/>
      <c r="AD2527" s="98"/>
      <c r="AE2527" s="98"/>
      <c r="AF2527" s="98"/>
      <c r="AG2527" s="98"/>
      <c r="AH2527" s="98"/>
      <c r="AI2527" s="98"/>
      <c r="AJ2527" s="98"/>
      <c r="AK2527" s="98"/>
      <c r="AL2527" s="98"/>
      <c r="AM2527" s="98"/>
    </row>
    <row r="2528" spans="1:39" s="100" customFormat="1" ht="15.6" x14ac:dyDescent="0.3">
      <c r="A2528" s="97"/>
      <c r="B2528" s="98"/>
      <c r="C2528" s="98"/>
      <c r="D2528" s="98"/>
      <c r="E2528" s="98"/>
      <c r="F2528" s="98"/>
      <c r="G2528" s="99"/>
      <c r="H2528" s="99"/>
      <c r="I2528" s="99"/>
      <c r="J2528" s="99"/>
      <c r="K2528" s="98"/>
      <c r="L2528" s="98"/>
      <c r="M2528" s="98"/>
      <c r="N2528" s="98"/>
      <c r="O2528" s="98"/>
      <c r="P2528" s="98"/>
      <c r="Q2528" s="98"/>
      <c r="R2528" s="98"/>
      <c r="S2528" s="98"/>
      <c r="T2528" s="98"/>
      <c r="U2528" s="98"/>
      <c r="V2528" s="98"/>
      <c r="W2528" s="98"/>
      <c r="X2528" s="98"/>
      <c r="Y2528" s="98"/>
      <c r="Z2528" s="98"/>
      <c r="AA2528" s="98"/>
      <c r="AB2528" s="98"/>
      <c r="AC2528" s="98"/>
      <c r="AD2528" s="98"/>
      <c r="AE2528" s="98"/>
      <c r="AF2528" s="98"/>
      <c r="AG2528" s="98"/>
      <c r="AH2528" s="98"/>
      <c r="AI2528" s="98"/>
      <c r="AJ2528" s="98"/>
      <c r="AK2528" s="98"/>
      <c r="AL2528" s="98"/>
      <c r="AM2528" s="98"/>
    </row>
    <row r="2529" spans="1:39" s="100" customFormat="1" ht="15.6" x14ac:dyDescent="0.3">
      <c r="A2529" s="97"/>
      <c r="B2529" s="98"/>
      <c r="C2529" s="98"/>
      <c r="D2529" s="98"/>
      <c r="E2529" s="98"/>
      <c r="F2529" s="98"/>
      <c r="G2529" s="99"/>
      <c r="H2529" s="99"/>
      <c r="I2529" s="99"/>
      <c r="J2529" s="99"/>
      <c r="K2529" s="98"/>
      <c r="L2529" s="98"/>
      <c r="M2529" s="98"/>
      <c r="N2529" s="98"/>
      <c r="O2529" s="98"/>
      <c r="P2529" s="98"/>
      <c r="Q2529" s="98"/>
      <c r="R2529" s="98"/>
      <c r="S2529" s="98"/>
      <c r="T2529" s="98"/>
      <c r="U2529" s="98"/>
      <c r="V2529" s="98"/>
      <c r="W2529" s="98"/>
      <c r="X2529" s="98"/>
      <c r="Y2529" s="98"/>
      <c r="Z2529" s="98"/>
      <c r="AA2529" s="98"/>
      <c r="AB2529" s="98"/>
      <c r="AC2529" s="98"/>
      <c r="AD2529" s="98"/>
      <c r="AE2529" s="98"/>
      <c r="AF2529" s="98"/>
      <c r="AG2529" s="98"/>
      <c r="AH2529" s="98"/>
      <c r="AI2529" s="98"/>
      <c r="AJ2529" s="98"/>
      <c r="AK2529" s="98"/>
      <c r="AL2529" s="98"/>
      <c r="AM2529" s="98"/>
    </row>
    <row r="2530" spans="1:39" s="100" customFormat="1" ht="15.6" x14ac:dyDescent="0.3">
      <c r="A2530" s="97"/>
      <c r="B2530" s="98"/>
      <c r="C2530" s="98"/>
      <c r="D2530" s="98"/>
      <c r="E2530" s="98"/>
      <c r="F2530" s="98"/>
      <c r="G2530" s="99"/>
      <c r="H2530" s="99"/>
      <c r="I2530" s="99"/>
      <c r="J2530" s="99"/>
      <c r="K2530" s="98"/>
      <c r="L2530" s="98"/>
      <c r="M2530" s="98"/>
      <c r="N2530" s="98"/>
      <c r="O2530" s="98"/>
      <c r="P2530" s="98"/>
      <c r="Q2530" s="98"/>
      <c r="R2530" s="98"/>
      <c r="S2530" s="98"/>
      <c r="T2530" s="98"/>
      <c r="U2530" s="98"/>
      <c r="V2530" s="98"/>
      <c r="W2530" s="98"/>
      <c r="X2530" s="98"/>
      <c r="Y2530" s="98"/>
      <c r="Z2530" s="98"/>
      <c r="AA2530" s="98"/>
      <c r="AB2530" s="98"/>
      <c r="AC2530" s="98"/>
      <c r="AD2530" s="98"/>
      <c r="AE2530" s="98"/>
      <c r="AF2530" s="98"/>
      <c r="AG2530" s="98"/>
      <c r="AH2530" s="98"/>
      <c r="AI2530" s="98"/>
      <c r="AJ2530" s="98"/>
      <c r="AK2530" s="98"/>
      <c r="AL2530" s="98"/>
      <c r="AM2530" s="98"/>
    </row>
    <row r="2531" spans="1:39" s="100" customFormat="1" ht="15.6" x14ac:dyDescent="0.3">
      <c r="A2531" s="97"/>
      <c r="B2531" s="98"/>
      <c r="C2531" s="98"/>
      <c r="D2531" s="98"/>
      <c r="E2531" s="98"/>
      <c r="F2531" s="98"/>
      <c r="G2531" s="99"/>
      <c r="H2531" s="99"/>
      <c r="I2531" s="99"/>
      <c r="J2531" s="99"/>
      <c r="K2531" s="98"/>
      <c r="L2531" s="98"/>
      <c r="M2531" s="98"/>
      <c r="N2531" s="98"/>
      <c r="O2531" s="98"/>
      <c r="P2531" s="98"/>
      <c r="Q2531" s="98"/>
      <c r="R2531" s="98"/>
      <c r="S2531" s="98"/>
      <c r="T2531" s="98"/>
      <c r="U2531" s="98"/>
      <c r="V2531" s="98"/>
      <c r="W2531" s="98"/>
      <c r="X2531" s="98"/>
      <c r="Y2531" s="98"/>
      <c r="Z2531" s="98"/>
      <c r="AA2531" s="98"/>
      <c r="AB2531" s="98"/>
      <c r="AC2531" s="98"/>
      <c r="AD2531" s="98"/>
      <c r="AE2531" s="98"/>
      <c r="AF2531" s="98"/>
      <c r="AG2531" s="98"/>
      <c r="AH2531" s="98"/>
      <c r="AI2531" s="98"/>
      <c r="AJ2531" s="98"/>
      <c r="AK2531" s="98"/>
      <c r="AL2531" s="98"/>
      <c r="AM2531" s="98"/>
    </row>
    <row r="2532" spans="1:39" s="100" customFormat="1" ht="15.6" x14ac:dyDescent="0.3">
      <c r="A2532" s="97"/>
      <c r="B2532" s="98"/>
      <c r="C2532" s="98"/>
      <c r="D2532" s="98"/>
      <c r="E2532" s="98"/>
      <c r="F2532" s="98"/>
      <c r="G2532" s="99"/>
      <c r="H2532" s="99"/>
      <c r="I2532" s="99"/>
      <c r="J2532" s="99"/>
      <c r="K2532" s="98"/>
      <c r="L2532" s="98"/>
      <c r="M2532" s="98"/>
      <c r="N2532" s="98"/>
      <c r="O2532" s="98"/>
      <c r="P2532" s="98"/>
      <c r="Q2532" s="98"/>
      <c r="R2532" s="98"/>
      <c r="S2532" s="98"/>
      <c r="T2532" s="98"/>
      <c r="U2532" s="98"/>
      <c r="V2532" s="98"/>
      <c r="W2532" s="98"/>
      <c r="X2532" s="98"/>
      <c r="Y2532" s="98"/>
      <c r="Z2532" s="98"/>
      <c r="AA2532" s="98"/>
      <c r="AB2532" s="98"/>
      <c r="AC2532" s="98"/>
      <c r="AD2532" s="98"/>
      <c r="AE2532" s="98"/>
      <c r="AF2532" s="98"/>
      <c r="AG2532" s="98"/>
      <c r="AH2532" s="98"/>
      <c r="AI2532" s="98"/>
      <c r="AJ2532" s="98"/>
      <c r="AK2532" s="98"/>
      <c r="AL2532" s="98"/>
      <c r="AM2532" s="98"/>
    </row>
    <row r="2533" spans="1:39" s="100" customFormat="1" ht="15.6" x14ac:dyDescent="0.3">
      <c r="A2533" s="97"/>
      <c r="B2533" s="98"/>
      <c r="C2533" s="98"/>
      <c r="D2533" s="98"/>
      <c r="E2533" s="98"/>
      <c r="F2533" s="98"/>
      <c r="G2533" s="99"/>
      <c r="H2533" s="99"/>
      <c r="I2533" s="99"/>
      <c r="J2533" s="99"/>
      <c r="K2533" s="98"/>
      <c r="L2533" s="98"/>
      <c r="M2533" s="98"/>
      <c r="N2533" s="98"/>
      <c r="O2533" s="98"/>
      <c r="P2533" s="98"/>
      <c r="Q2533" s="98"/>
      <c r="R2533" s="98"/>
      <c r="S2533" s="98"/>
      <c r="T2533" s="98"/>
      <c r="U2533" s="98"/>
      <c r="V2533" s="98"/>
      <c r="W2533" s="98"/>
      <c r="X2533" s="98"/>
      <c r="Y2533" s="98"/>
      <c r="Z2533" s="98"/>
      <c r="AA2533" s="98"/>
      <c r="AB2533" s="98"/>
      <c r="AC2533" s="98"/>
      <c r="AD2533" s="98"/>
      <c r="AE2533" s="98"/>
      <c r="AF2533" s="98"/>
      <c r="AG2533" s="98"/>
      <c r="AH2533" s="98"/>
      <c r="AI2533" s="98"/>
      <c r="AJ2533" s="98"/>
      <c r="AK2533" s="98"/>
      <c r="AL2533" s="98"/>
      <c r="AM2533" s="98"/>
    </row>
    <row r="2534" spans="1:39" s="100" customFormat="1" ht="15.6" x14ac:dyDescent="0.3">
      <c r="A2534" s="97"/>
      <c r="B2534" s="98"/>
      <c r="C2534" s="98"/>
      <c r="D2534" s="98"/>
      <c r="E2534" s="98"/>
      <c r="F2534" s="98"/>
      <c r="G2534" s="99"/>
      <c r="H2534" s="99"/>
      <c r="I2534" s="99"/>
      <c r="J2534" s="99"/>
      <c r="K2534" s="98"/>
      <c r="L2534" s="98"/>
      <c r="M2534" s="98"/>
      <c r="N2534" s="98"/>
      <c r="O2534" s="98"/>
      <c r="P2534" s="98"/>
      <c r="Q2534" s="98"/>
      <c r="R2534" s="98"/>
      <c r="S2534" s="98"/>
      <c r="T2534" s="98"/>
      <c r="U2534" s="98"/>
      <c r="V2534" s="98"/>
      <c r="W2534" s="98"/>
      <c r="X2534" s="98"/>
      <c r="Y2534" s="98"/>
      <c r="Z2534" s="98"/>
      <c r="AA2534" s="98"/>
      <c r="AB2534" s="98"/>
      <c r="AC2534" s="98"/>
      <c r="AD2534" s="98"/>
      <c r="AE2534" s="98"/>
      <c r="AF2534" s="98"/>
      <c r="AG2534" s="98"/>
      <c r="AH2534" s="98"/>
      <c r="AI2534" s="98"/>
      <c r="AJ2534" s="98"/>
      <c r="AK2534" s="98"/>
      <c r="AL2534" s="98"/>
      <c r="AM2534" s="98"/>
    </row>
    <row r="2535" spans="1:39" s="100" customFormat="1" ht="15.6" x14ac:dyDescent="0.3">
      <c r="A2535" s="97"/>
      <c r="B2535" s="98"/>
      <c r="C2535" s="98"/>
      <c r="D2535" s="98"/>
      <c r="E2535" s="98"/>
      <c r="F2535" s="98"/>
      <c r="G2535" s="99"/>
      <c r="H2535" s="99"/>
      <c r="I2535" s="99"/>
      <c r="J2535" s="99"/>
      <c r="K2535" s="98"/>
      <c r="L2535" s="98"/>
      <c r="M2535" s="98"/>
      <c r="N2535" s="98"/>
      <c r="O2535" s="98"/>
      <c r="P2535" s="98"/>
      <c r="Q2535" s="98"/>
      <c r="R2535" s="98"/>
      <c r="S2535" s="98"/>
      <c r="T2535" s="98"/>
      <c r="U2535" s="98"/>
      <c r="V2535" s="98"/>
      <c r="W2535" s="98"/>
      <c r="X2535" s="98"/>
      <c r="Y2535" s="98"/>
      <c r="Z2535" s="98"/>
      <c r="AA2535" s="98"/>
      <c r="AB2535" s="98"/>
      <c r="AC2535" s="98"/>
      <c r="AD2535" s="98"/>
      <c r="AE2535" s="98"/>
      <c r="AF2535" s="98"/>
      <c r="AG2535" s="98"/>
      <c r="AH2535" s="98"/>
      <c r="AI2535" s="98"/>
      <c r="AJ2535" s="98"/>
      <c r="AK2535" s="98"/>
      <c r="AL2535" s="98"/>
      <c r="AM2535" s="98"/>
    </row>
    <row r="2536" spans="1:39" s="100" customFormat="1" ht="15.6" x14ac:dyDescent="0.3">
      <c r="A2536" s="97"/>
      <c r="B2536" s="98"/>
      <c r="C2536" s="98"/>
      <c r="D2536" s="98"/>
      <c r="E2536" s="98"/>
      <c r="F2536" s="98"/>
      <c r="G2536" s="99"/>
      <c r="H2536" s="99"/>
      <c r="I2536" s="99"/>
      <c r="J2536" s="99"/>
      <c r="K2536" s="98"/>
      <c r="L2536" s="98"/>
      <c r="M2536" s="98"/>
      <c r="N2536" s="98"/>
      <c r="O2536" s="98"/>
      <c r="P2536" s="98"/>
      <c r="Q2536" s="98"/>
      <c r="R2536" s="98"/>
      <c r="S2536" s="98"/>
      <c r="T2536" s="98"/>
      <c r="U2536" s="98"/>
      <c r="V2536" s="98"/>
      <c r="W2536" s="98"/>
      <c r="X2536" s="98"/>
      <c r="Y2536" s="98"/>
      <c r="Z2536" s="98"/>
      <c r="AA2536" s="98"/>
      <c r="AB2536" s="98"/>
      <c r="AC2536" s="98"/>
      <c r="AD2536" s="98"/>
      <c r="AE2536" s="98"/>
      <c r="AF2536" s="98"/>
      <c r="AG2536" s="98"/>
      <c r="AH2536" s="98"/>
      <c r="AI2536" s="98"/>
      <c r="AJ2536" s="98"/>
      <c r="AK2536" s="98"/>
      <c r="AL2536" s="98"/>
      <c r="AM2536" s="98"/>
    </row>
    <row r="2537" spans="1:39" s="100" customFormat="1" ht="15.6" x14ac:dyDescent="0.3">
      <c r="A2537" s="97"/>
      <c r="B2537" s="98"/>
      <c r="C2537" s="98"/>
      <c r="D2537" s="98"/>
      <c r="E2537" s="98"/>
      <c r="F2537" s="98"/>
      <c r="G2537" s="99"/>
      <c r="H2537" s="99"/>
      <c r="I2537" s="99"/>
      <c r="J2537" s="99"/>
      <c r="K2537" s="98"/>
      <c r="L2537" s="98"/>
      <c r="M2537" s="98"/>
      <c r="N2537" s="98"/>
      <c r="O2537" s="98"/>
      <c r="P2537" s="98"/>
      <c r="Q2537" s="98"/>
      <c r="R2537" s="98"/>
      <c r="S2537" s="98"/>
      <c r="T2537" s="98"/>
      <c r="U2537" s="98"/>
      <c r="V2537" s="98"/>
      <c r="W2537" s="98"/>
      <c r="X2537" s="98"/>
      <c r="Y2537" s="98"/>
      <c r="Z2537" s="98"/>
      <c r="AA2537" s="98"/>
      <c r="AB2537" s="98"/>
      <c r="AC2537" s="98"/>
      <c r="AD2537" s="98"/>
      <c r="AE2537" s="98"/>
      <c r="AF2537" s="98"/>
      <c r="AG2537" s="98"/>
      <c r="AH2537" s="98"/>
      <c r="AI2537" s="98"/>
      <c r="AJ2537" s="98"/>
      <c r="AK2537" s="98"/>
      <c r="AL2537" s="98"/>
      <c r="AM2537" s="98"/>
    </row>
    <row r="2538" spans="1:39" s="100" customFormat="1" ht="15.6" x14ac:dyDescent="0.3">
      <c r="A2538" s="97"/>
      <c r="B2538" s="98"/>
      <c r="C2538" s="98"/>
      <c r="D2538" s="98"/>
      <c r="E2538" s="98"/>
      <c r="F2538" s="98"/>
      <c r="G2538" s="99"/>
      <c r="H2538" s="99"/>
      <c r="I2538" s="99"/>
      <c r="J2538" s="99"/>
      <c r="K2538" s="98"/>
      <c r="L2538" s="98"/>
      <c r="M2538" s="98"/>
      <c r="N2538" s="98"/>
      <c r="O2538" s="98"/>
      <c r="P2538" s="98"/>
      <c r="Q2538" s="98"/>
      <c r="R2538" s="98"/>
      <c r="S2538" s="98"/>
      <c r="T2538" s="98"/>
      <c r="U2538" s="98"/>
      <c r="V2538" s="98"/>
      <c r="W2538" s="98"/>
      <c r="X2538" s="98"/>
      <c r="Y2538" s="98"/>
      <c r="Z2538" s="98"/>
      <c r="AA2538" s="98"/>
      <c r="AB2538" s="98"/>
      <c r="AC2538" s="98"/>
      <c r="AD2538" s="98"/>
      <c r="AE2538" s="98"/>
      <c r="AF2538" s="98"/>
      <c r="AG2538" s="98"/>
      <c r="AH2538" s="98"/>
      <c r="AI2538" s="98"/>
      <c r="AJ2538" s="98"/>
      <c r="AK2538" s="98"/>
      <c r="AL2538" s="98"/>
      <c r="AM2538" s="98"/>
    </row>
    <row r="2539" spans="1:39" s="100" customFormat="1" ht="15.6" x14ac:dyDescent="0.3">
      <c r="A2539" s="97"/>
      <c r="B2539" s="98"/>
      <c r="C2539" s="98"/>
      <c r="D2539" s="98"/>
      <c r="E2539" s="98"/>
      <c r="F2539" s="98"/>
      <c r="G2539" s="99"/>
      <c r="H2539" s="99"/>
      <c r="I2539" s="99"/>
      <c r="J2539" s="99"/>
      <c r="K2539" s="98"/>
      <c r="L2539" s="98"/>
      <c r="M2539" s="98"/>
      <c r="N2539" s="98"/>
      <c r="O2539" s="98"/>
      <c r="P2539" s="98"/>
      <c r="Q2539" s="98"/>
      <c r="R2539" s="98"/>
      <c r="S2539" s="98"/>
      <c r="T2539" s="98"/>
      <c r="U2539" s="98"/>
      <c r="V2539" s="98"/>
      <c r="W2539" s="98"/>
      <c r="X2539" s="98"/>
      <c r="Y2539" s="98"/>
      <c r="Z2539" s="98"/>
      <c r="AA2539" s="98"/>
      <c r="AB2539" s="98"/>
      <c r="AC2539" s="98"/>
      <c r="AD2539" s="98"/>
      <c r="AE2539" s="98"/>
      <c r="AF2539" s="98"/>
      <c r="AG2539" s="98"/>
      <c r="AH2539" s="98"/>
      <c r="AI2539" s="98"/>
      <c r="AJ2539" s="98"/>
      <c r="AK2539" s="98"/>
      <c r="AL2539" s="98"/>
      <c r="AM2539" s="98"/>
    </row>
    <row r="2540" spans="1:39" s="100" customFormat="1" ht="15.6" x14ac:dyDescent="0.3">
      <c r="A2540" s="97"/>
      <c r="B2540" s="98"/>
      <c r="C2540" s="98"/>
      <c r="D2540" s="98"/>
      <c r="E2540" s="98"/>
      <c r="F2540" s="98"/>
      <c r="G2540" s="99"/>
      <c r="H2540" s="99"/>
      <c r="I2540" s="99"/>
      <c r="J2540" s="99"/>
      <c r="K2540" s="98"/>
      <c r="L2540" s="98"/>
      <c r="M2540" s="98"/>
      <c r="N2540" s="98"/>
      <c r="O2540" s="98"/>
      <c r="P2540" s="98"/>
      <c r="Q2540" s="98"/>
      <c r="R2540" s="98"/>
      <c r="S2540" s="98"/>
      <c r="T2540" s="98"/>
      <c r="U2540" s="98"/>
      <c r="V2540" s="98"/>
      <c r="W2540" s="98"/>
      <c r="X2540" s="98"/>
      <c r="Y2540" s="98"/>
      <c r="Z2540" s="98"/>
      <c r="AA2540" s="98"/>
      <c r="AB2540" s="98"/>
      <c r="AC2540" s="98"/>
      <c r="AD2540" s="98"/>
      <c r="AE2540" s="98"/>
      <c r="AF2540" s="98"/>
      <c r="AG2540" s="98"/>
      <c r="AH2540" s="98"/>
      <c r="AI2540" s="98"/>
      <c r="AJ2540" s="98"/>
      <c r="AK2540" s="98"/>
      <c r="AL2540" s="98"/>
      <c r="AM2540" s="98"/>
    </row>
    <row r="2541" spans="1:39" s="100" customFormat="1" ht="15.6" x14ac:dyDescent="0.3">
      <c r="A2541" s="97"/>
      <c r="B2541" s="98"/>
      <c r="C2541" s="98"/>
      <c r="D2541" s="98"/>
      <c r="E2541" s="98"/>
      <c r="F2541" s="98"/>
      <c r="G2541" s="99"/>
      <c r="H2541" s="99"/>
      <c r="I2541" s="99"/>
      <c r="J2541" s="99"/>
      <c r="K2541" s="98"/>
      <c r="L2541" s="98"/>
      <c r="M2541" s="98"/>
      <c r="N2541" s="98"/>
      <c r="O2541" s="98"/>
      <c r="P2541" s="98"/>
      <c r="Q2541" s="98"/>
      <c r="R2541" s="98"/>
      <c r="S2541" s="98"/>
      <c r="T2541" s="98"/>
      <c r="U2541" s="98"/>
      <c r="V2541" s="98"/>
      <c r="W2541" s="98"/>
      <c r="X2541" s="98"/>
      <c r="Y2541" s="98"/>
      <c r="Z2541" s="98"/>
      <c r="AA2541" s="98"/>
      <c r="AB2541" s="98"/>
      <c r="AC2541" s="98"/>
      <c r="AD2541" s="98"/>
      <c r="AE2541" s="98"/>
      <c r="AF2541" s="98"/>
      <c r="AG2541" s="98"/>
      <c r="AH2541" s="98"/>
      <c r="AI2541" s="98"/>
      <c r="AJ2541" s="98"/>
      <c r="AK2541" s="98"/>
      <c r="AL2541" s="98"/>
      <c r="AM2541" s="98"/>
    </row>
    <row r="2542" spans="1:39" s="100" customFormat="1" ht="15.6" x14ac:dyDescent="0.3">
      <c r="A2542" s="97"/>
      <c r="B2542" s="98"/>
      <c r="C2542" s="98"/>
      <c r="D2542" s="98"/>
      <c r="E2542" s="98"/>
      <c r="F2542" s="98"/>
      <c r="G2542" s="99"/>
      <c r="H2542" s="99"/>
      <c r="I2542" s="99"/>
      <c r="J2542" s="99"/>
      <c r="K2542" s="98"/>
      <c r="L2542" s="98"/>
      <c r="M2542" s="98"/>
      <c r="N2542" s="98"/>
      <c r="O2542" s="98"/>
      <c r="P2542" s="98"/>
      <c r="Q2542" s="98"/>
      <c r="R2542" s="98"/>
      <c r="S2542" s="98"/>
      <c r="T2542" s="98"/>
      <c r="U2542" s="98"/>
      <c r="V2542" s="98"/>
      <c r="W2542" s="98"/>
      <c r="X2542" s="98"/>
      <c r="Y2542" s="98"/>
      <c r="Z2542" s="98"/>
      <c r="AA2542" s="98"/>
      <c r="AB2542" s="98"/>
      <c r="AC2542" s="98"/>
      <c r="AD2542" s="98"/>
      <c r="AE2542" s="98"/>
      <c r="AF2542" s="98"/>
      <c r="AG2542" s="98"/>
      <c r="AH2542" s="98"/>
      <c r="AI2542" s="98"/>
      <c r="AJ2542" s="98"/>
      <c r="AK2542" s="98"/>
      <c r="AL2542" s="98"/>
      <c r="AM2542" s="98"/>
    </row>
    <row r="2543" spans="1:39" s="100" customFormat="1" ht="15.6" x14ac:dyDescent="0.3">
      <c r="A2543" s="97"/>
      <c r="B2543" s="98"/>
      <c r="C2543" s="98"/>
      <c r="D2543" s="98"/>
      <c r="E2543" s="98"/>
      <c r="F2543" s="98"/>
      <c r="G2543" s="99"/>
      <c r="H2543" s="99"/>
      <c r="I2543" s="99"/>
      <c r="J2543" s="99"/>
      <c r="K2543" s="98"/>
      <c r="L2543" s="98"/>
      <c r="M2543" s="98"/>
      <c r="N2543" s="98"/>
      <c r="O2543" s="98"/>
      <c r="P2543" s="98"/>
      <c r="Q2543" s="98"/>
      <c r="R2543" s="98"/>
      <c r="S2543" s="98"/>
      <c r="T2543" s="98"/>
      <c r="U2543" s="98"/>
      <c r="V2543" s="98"/>
      <c r="W2543" s="98"/>
      <c r="X2543" s="98"/>
      <c r="Y2543" s="98"/>
      <c r="Z2543" s="98"/>
      <c r="AA2543" s="98"/>
      <c r="AB2543" s="98"/>
      <c r="AC2543" s="98"/>
      <c r="AD2543" s="98"/>
      <c r="AE2543" s="98"/>
      <c r="AF2543" s="98"/>
      <c r="AG2543" s="98"/>
      <c r="AH2543" s="98"/>
      <c r="AI2543" s="98"/>
      <c r="AJ2543" s="98"/>
      <c r="AK2543" s="98"/>
      <c r="AL2543" s="98"/>
      <c r="AM2543" s="98"/>
    </row>
    <row r="2544" spans="1:39" s="100" customFormat="1" ht="15.6" x14ac:dyDescent="0.3">
      <c r="A2544" s="97"/>
      <c r="B2544" s="98"/>
      <c r="C2544" s="98"/>
      <c r="D2544" s="98"/>
      <c r="E2544" s="98"/>
      <c r="F2544" s="98"/>
      <c r="G2544" s="99"/>
      <c r="H2544" s="99"/>
      <c r="I2544" s="99"/>
      <c r="J2544" s="99"/>
      <c r="K2544" s="98"/>
      <c r="L2544" s="98"/>
      <c r="M2544" s="98"/>
      <c r="N2544" s="98"/>
      <c r="O2544" s="98"/>
      <c r="P2544" s="98"/>
      <c r="Q2544" s="98"/>
      <c r="R2544" s="98"/>
      <c r="S2544" s="98"/>
      <c r="T2544" s="98"/>
      <c r="U2544" s="98"/>
      <c r="V2544" s="98"/>
      <c r="W2544" s="98"/>
      <c r="X2544" s="98"/>
      <c r="Y2544" s="98"/>
      <c r="Z2544" s="98"/>
      <c r="AA2544" s="98"/>
      <c r="AB2544" s="98"/>
      <c r="AC2544" s="98"/>
      <c r="AD2544" s="98"/>
      <c r="AE2544" s="98"/>
      <c r="AF2544" s="98"/>
      <c r="AG2544" s="98"/>
      <c r="AH2544" s="98"/>
      <c r="AI2544" s="98"/>
      <c r="AJ2544" s="98"/>
      <c r="AK2544" s="98"/>
      <c r="AL2544" s="98"/>
      <c r="AM2544" s="98"/>
    </row>
    <row r="2545" spans="1:39" s="100" customFormat="1" ht="15.6" x14ac:dyDescent="0.3">
      <c r="A2545" s="97"/>
      <c r="B2545" s="98"/>
      <c r="C2545" s="98"/>
      <c r="D2545" s="98"/>
      <c r="E2545" s="98"/>
      <c r="F2545" s="98"/>
      <c r="G2545" s="99"/>
      <c r="H2545" s="99"/>
      <c r="I2545" s="99"/>
      <c r="J2545" s="99"/>
      <c r="K2545" s="98"/>
      <c r="L2545" s="98"/>
      <c r="M2545" s="98"/>
      <c r="N2545" s="98"/>
      <c r="O2545" s="98"/>
      <c r="P2545" s="98"/>
      <c r="Q2545" s="98"/>
      <c r="R2545" s="98"/>
      <c r="S2545" s="98"/>
      <c r="T2545" s="98"/>
      <c r="U2545" s="98"/>
      <c r="V2545" s="98"/>
      <c r="W2545" s="98"/>
      <c r="X2545" s="98"/>
      <c r="Y2545" s="98"/>
      <c r="Z2545" s="98"/>
      <c r="AA2545" s="98"/>
      <c r="AB2545" s="98"/>
      <c r="AC2545" s="98"/>
      <c r="AD2545" s="98"/>
      <c r="AE2545" s="98"/>
      <c r="AF2545" s="98"/>
      <c r="AG2545" s="98"/>
      <c r="AH2545" s="98"/>
      <c r="AI2545" s="98"/>
      <c r="AJ2545" s="98"/>
      <c r="AK2545" s="98"/>
      <c r="AL2545" s="98"/>
      <c r="AM2545" s="98"/>
    </row>
    <row r="2546" spans="1:39" s="100" customFormat="1" ht="15.6" x14ac:dyDescent="0.3">
      <c r="A2546" s="97"/>
      <c r="B2546" s="98"/>
      <c r="C2546" s="98"/>
      <c r="D2546" s="98"/>
      <c r="E2546" s="98"/>
      <c r="F2546" s="98"/>
      <c r="G2546" s="99"/>
      <c r="H2546" s="99"/>
      <c r="I2546" s="99"/>
      <c r="J2546" s="99"/>
      <c r="K2546" s="98"/>
      <c r="L2546" s="98"/>
      <c r="M2546" s="98"/>
      <c r="N2546" s="98"/>
      <c r="O2546" s="98"/>
      <c r="P2546" s="98"/>
      <c r="Q2546" s="98"/>
      <c r="R2546" s="98"/>
      <c r="S2546" s="98"/>
      <c r="T2546" s="98"/>
      <c r="U2546" s="98"/>
      <c r="V2546" s="98"/>
      <c r="W2546" s="98"/>
      <c r="X2546" s="98"/>
      <c r="Y2546" s="98"/>
      <c r="Z2546" s="98"/>
      <c r="AA2546" s="98"/>
      <c r="AB2546" s="98"/>
      <c r="AC2546" s="98"/>
      <c r="AD2546" s="98"/>
      <c r="AE2546" s="98"/>
      <c r="AF2546" s="98"/>
      <c r="AG2546" s="98"/>
      <c r="AH2546" s="98"/>
      <c r="AI2546" s="98"/>
      <c r="AJ2546" s="98"/>
      <c r="AK2546" s="98"/>
      <c r="AL2546" s="98"/>
      <c r="AM2546" s="98"/>
    </row>
    <row r="2547" spans="1:39" s="100" customFormat="1" ht="15.6" x14ac:dyDescent="0.3">
      <c r="A2547" s="97"/>
      <c r="B2547" s="98"/>
      <c r="C2547" s="98"/>
      <c r="D2547" s="98"/>
      <c r="E2547" s="98"/>
      <c r="F2547" s="98"/>
      <c r="G2547" s="99"/>
      <c r="H2547" s="99"/>
      <c r="I2547" s="99"/>
      <c r="J2547" s="99"/>
      <c r="K2547" s="98"/>
      <c r="L2547" s="98"/>
      <c r="M2547" s="98"/>
      <c r="N2547" s="98"/>
      <c r="O2547" s="98"/>
      <c r="P2547" s="98"/>
      <c r="Q2547" s="98"/>
      <c r="R2547" s="98"/>
      <c r="S2547" s="98"/>
      <c r="T2547" s="98"/>
      <c r="U2547" s="98"/>
      <c r="V2547" s="98"/>
      <c r="W2547" s="98"/>
      <c r="X2547" s="98"/>
      <c r="Y2547" s="98"/>
      <c r="Z2547" s="98"/>
      <c r="AA2547" s="98"/>
      <c r="AB2547" s="98"/>
      <c r="AC2547" s="98"/>
      <c r="AD2547" s="98"/>
      <c r="AE2547" s="98"/>
      <c r="AF2547" s="98"/>
      <c r="AG2547" s="98"/>
      <c r="AH2547" s="98"/>
      <c r="AI2547" s="98"/>
      <c r="AJ2547" s="98"/>
      <c r="AK2547" s="98"/>
      <c r="AL2547" s="98"/>
      <c r="AM2547" s="98"/>
    </row>
    <row r="2548" spans="1:39" s="100" customFormat="1" ht="15.6" x14ac:dyDescent="0.3">
      <c r="A2548" s="97"/>
      <c r="B2548" s="98"/>
      <c r="C2548" s="98"/>
      <c r="D2548" s="98"/>
      <c r="E2548" s="98"/>
      <c r="F2548" s="98"/>
      <c r="G2548" s="99"/>
      <c r="H2548" s="99"/>
      <c r="I2548" s="99"/>
      <c r="J2548" s="99"/>
      <c r="K2548" s="98"/>
      <c r="L2548" s="98"/>
      <c r="M2548" s="98"/>
      <c r="N2548" s="98"/>
      <c r="O2548" s="98"/>
      <c r="P2548" s="98"/>
      <c r="Q2548" s="98"/>
      <c r="R2548" s="98"/>
      <c r="S2548" s="98"/>
      <c r="T2548" s="98"/>
      <c r="U2548" s="98"/>
      <c r="V2548" s="98"/>
      <c r="W2548" s="98"/>
      <c r="X2548" s="98"/>
      <c r="Y2548" s="98"/>
      <c r="Z2548" s="98"/>
      <c r="AA2548" s="98"/>
      <c r="AB2548" s="98"/>
      <c r="AC2548" s="98"/>
      <c r="AD2548" s="98"/>
      <c r="AE2548" s="98"/>
      <c r="AF2548" s="98"/>
      <c r="AG2548" s="98"/>
      <c r="AH2548" s="98"/>
      <c r="AI2548" s="98"/>
      <c r="AJ2548" s="98"/>
      <c r="AK2548" s="98"/>
      <c r="AL2548" s="98"/>
      <c r="AM2548" s="98"/>
    </row>
    <row r="2549" spans="1:39" s="100" customFormat="1" ht="15.6" x14ac:dyDescent="0.3">
      <c r="A2549" s="97"/>
      <c r="B2549" s="98"/>
      <c r="C2549" s="98"/>
      <c r="D2549" s="98"/>
      <c r="E2549" s="98"/>
      <c r="F2549" s="98"/>
      <c r="G2549" s="99"/>
      <c r="H2549" s="99"/>
      <c r="I2549" s="99"/>
      <c r="J2549" s="99"/>
      <c r="K2549" s="98"/>
      <c r="L2549" s="98"/>
      <c r="M2549" s="98"/>
      <c r="N2549" s="98"/>
      <c r="O2549" s="98"/>
      <c r="P2549" s="98"/>
      <c r="Q2549" s="98"/>
      <c r="R2549" s="98"/>
      <c r="S2549" s="98"/>
      <c r="T2549" s="98"/>
      <c r="U2549" s="98"/>
      <c r="V2549" s="98"/>
      <c r="W2549" s="98"/>
      <c r="X2549" s="98"/>
      <c r="Y2549" s="98"/>
      <c r="Z2549" s="98"/>
      <c r="AA2549" s="98"/>
      <c r="AB2549" s="98"/>
      <c r="AC2549" s="98"/>
      <c r="AD2549" s="98"/>
      <c r="AE2549" s="98"/>
      <c r="AF2549" s="98"/>
      <c r="AG2549" s="98"/>
      <c r="AH2549" s="98"/>
      <c r="AI2549" s="98"/>
      <c r="AJ2549" s="98"/>
      <c r="AK2549" s="98"/>
      <c r="AL2549" s="98"/>
      <c r="AM2549" s="98"/>
    </row>
    <row r="2550" spans="1:39" s="100" customFormat="1" ht="15.6" x14ac:dyDescent="0.3">
      <c r="A2550" s="97"/>
      <c r="B2550" s="98"/>
      <c r="C2550" s="98"/>
      <c r="D2550" s="98"/>
      <c r="E2550" s="98"/>
      <c r="F2550" s="98"/>
      <c r="G2550" s="99"/>
      <c r="H2550" s="99"/>
      <c r="I2550" s="99"/>
      <c r="J2550" s="99"/>
      <c r="K2550" s="98"/>
      <c r="L2550" s="98"/>
      <c r="M2550" s="98"/>
      <c r="N2550" s="98"/>
      <c r="O2550" s="98"/>
      <c r="P2550" s="98"/>
      <c r="Q2550" s="98"/>
      <c r="R2550" s="98"/>
      <c r="S2550" s="98"/>
      <c r="T2550" s="98"/>
      <c r="U2550" s="98"/>
      <c r="V2550" s="98"/>
      <c r="W2550" s="98"/>
      <c r="X2550" s="98"/>
      <c r="Y2550" s="98"/>
      <c r="Z2550" s="98"/>
      <c r="AA2550" s="98"/>
      <c r="AB2550" s="98"/>
      <c r="AC2550" s="98"/>
      <c r="AD2550" s="98"/>
      <c r="AE2550" s="98"/>
      <c r="AF2550" s="98"/>
      <c r="AG2550" s="98"/>
      <c r="AH2550" s="98"/>
      <c r="AI2550" s="98"/>
      <c r="AJ2550" s="98"/>
      <c r="AK2550" s="98"/>
      <c r="AL2550" s="98"/>
      <c r="AM2550" s="98"/>
    </row>
    <row r="2551" spans="1:39" s="100" customFormat="1" ht="15.6" x14ac:dyDescent="0.3">
      <c r="A2551" s="97"/>
      <c r="B2551" s="98"/>
      <c r="C2551" s="98"/>
      <c r="D2551" s="98"/>
      <c r="E2551" s="98"/>
      <c r="F2551" s="98"/>
      <c r="G2551" s="99"/>
      <c r="H2551" s="99"/>
      <c r="I2551" s="99"/>
      <c r="J2551" s="99"/>
      <c r="K2551" s="98"/>
      <c r="L2551" s="98"/>
      <c r="M2551" s="98"/>
      <c r="N2551" s="98"/>
      <c r="O2551" s="98"/>
      <c r="P2551" s="98"/>
      <c r="Q2551" s="98"/>
      <c r="R2551" s="98"/>
      <c r="S2551" s="98"/>
      <c r="T2551" s="98"/>
      <c r="U2551" s="98"/>
      <c r="V2551" s="98"/>
      <c r="W2551" s="98"/>
      <c r="X2551" s="98"/>
      <c r="Y2551" s="98"/>
      <c r="Z2551" s="98"/>
      <c r="AA2551" s="98"/>
      <c r="AB2551" s="98"/>
      <c r="AC2551" s="98"/>
      <c r="AD2551" s="98"/>
      <c r="AE2551" s="98"/>
      <c r="AF2551" s="98"/>
      <c r="AG2551" s="98"/>
      <c r="AH2551" s="98"/>
      <c r="AI2551" s="98"/>
      <c r="AJ2551" s="98"/>
      <c r="AK2551" s="98"/>
      <c r="AL2551" s="98"/>
      <c r="AM2551" s="98"/>
    </row>
    <row r="2552" spans="1:39" s="100" customFormat="1" ht="15.6" x14ac:dyDescent="0.3">
      <c r="A2552" s="97"/>
      <c r="B2552" s="98"/>
      <c r="C2552" s="98"/>
      <c r="D2552" s="98"/>
      <c r="E2552" s="98"/>
      <c r="F2552" s="98"/>
      <c r="G2552" s="99"/>
      <c r="H2552" s="99"/>
      <c r="I2552" s="99"/>
      <c r="J2552" s="99"/>
      <c r="K2552" s="98"/>
      <c r="L2552" s="98"/>
      <c r="M2552" s="98"/>
      <c r="N2552" s="98"/>
      <c r="O2552" s="98"/>
      <c r="P2552" s="98"/>
      <c r="Q2552" s="98"/>
      <c r="R2552" s="98"/>
      <c r="S2552" s="98"/>
      <c r="T2552" s="98"/>
      <c r="U2552" s="98"/>
      <c r="V2552" s="98"/>
      <c r="W2552" s="98"/>
      <c r="X2552" s="98"/>
      <c r="Y2552" s="98"/>
      <c r="Z2552" s="98"/>
      <c r="AA2552" s="98"/>
      <c r="AB2552" s="98"/>
      <c r="AC2552" s="98"/>
      <c r="AD2552" s="98"/>
      <c r="AE2552" s="98"/>
      <c r="AF2552" s="98"/>
      <c r="AG2552" s="98"/>
      <c r="AH2552" s="98"/>
      <c r="AI2552" s="98"/>
      <c r="AJ2552" s="98"/>
      <c r="AK2552" s="98"/>
      <c r="AL2552" s="98"/>
      <c r="AM2552" s="98"/>
    </row>
    <row r="2553" spans="1:39" s="100" customFormat="1" ht="15.6" x14ac:dyDescent="0.3">
      <c r="A2553" s="97"/>
      <c r="B2553" s="98"/>
      <c r="C2553" s="98"/>
      <c r="D2553" s="98"/>
      <c r="E2553" s="98"/>
      <c r="F2553" s="98"/>
      <c r="G2553" s="99"/>
      <c r="H2553" s="99"/>
      <c r="I2553" s="99"/>
      <c r="J2553" s="99"/>
      <c r="K2553" s="98"/>
      <c r="L2553" s="98"/>
      <c r="M2553" s="98"/>
      <c r="N2553" s="98"/>
      <c r="O2553" s="98"/>
      <c r="P2553" s="98"/>
      <c r="Q2553" s="98"/>
      <c r="R2553" s="98"/>
      <c r="S2553" s="98"/>
      <c r="T2553" s="98"/>
      <c r="U2553" s="98"/>
      <c r="V2553" s="98"/>
      <c r="W2553" s="98"/>
      <c r="X2553" s="98"/>
      <c r="Y2553" s="98"/>
      <c r="Z2553" s="98"/>
      <c r="AA2553" s="98"/>
      <c r="AB2553" s="98"/>
      <c r="AC2553" s="98"/>
      <c r="AD2553" s="98"/>
      <c r="AE2553" s="98"/>
      <c r="AF2553" s="98"/>
      <c r="AG2553" s="98"/>
      <c r="AH2553" s="98"/>
      <c r="AI2553" s="98"/>
      <c r="AJ2553" s="98"/>
      <c r="AK2553" s="98"/>
      <c r="AL2553" s="98"/>
      <c r="AM2553" s="98"/>
    </row>
    <row r="2554" spans="1:39" s="100" customFormat="1" ht="15.6" x14ac:dyDescent="0.3">
      <c r="A2554" s="97"/>
      <c r="B2554" s="98"/>
      <c r="C2554" s="98"/>
      <c r="D2554" s="98"/>
      <c r="E2554" s="98"/>
      <c r="F2554" s="98"/>
      <c r="G2554" s="99"/>
      <c r="H2554" s="99"/>
      <c r="I2554" s="99"/>
      <c r="J2554" s="99"/>
      <c r="K2554" s="98"/>
      <c r="L2554" s="98"/>
      <c r="M2554" s="98"/>
      <c r="N2554" s="98"/>
      <c r="O2554" s="98"/>
      <c r="P2554" s="98"/>
      <c r="Q2554" s="98"/>
      <c r="R2554" s="98"/>
      <c r="S2554" s="98"/>
      <c r="T2554" s="98"/>
      <c r="U2554" s="98"/>
      <c r="V2554" s="98"/>
      <c r="W2554" s="98"/>
      <c r="X2554" s="98"/>
      <c r="Y2554" s="98"/>
      <c r="Z2554" s="98"/>
      <c r="AA2554" s="98"/>
      <c r="AB2554" s="98"/>
      <c r="AC2554" s="98"/>
      <c r="AD2554" s="98"/>
      <c r="AE2554" s="98"/>
      <c r="AF2554" s="98"/>
      <c r="AG2554" s="98"/>
      <c r="AH2554" s="98"/>
      <c r="AI2554" s="98"/>
      <c r="AJ2554" s="98"/>
      <c r="AK2554" s="98"/>
      <c r="AL2554" s="98"/>
      <c r="AM2554" s="98"/>
    </row>
    <row r="2555" spans="1:39" s="100" customFormat="1" ht="15.6" x14ac:dyDescent="0.3">
      <c r="A2555" s="97"/>
      <c r="B2555" s="98"/>
      <c r="C2555" s="98"/>
      <c r="D2555" s="98"/>
      <c r="E2555" s="98"/>
      <c r="F2555" s="98"/>
      <c r="G2555" s="99"/>
      <c r="H2555" s="99"/>
      <c r="I2555" s="99"/>
      <c r="J2555" s="99"/>
      <c r="K2555" s="98"/>
      <c r="L2555" s="98"/>
      <c r="M2555" s="98"/>
      <c r="N2555" s="98"/>
      <c r="O2555" s="98"/>
      <c r="P2555" s="98"/>
      <c r="Q2555" s="98"/>
      <c r="R2555" s="98"/>
      <c r="S2555" s="98"/>
      <c r="T2555" s="98"/>
      <c r="U2555" s="98"/>
      <c r="V2555" s="98"/>
      <c r="W2555" s="98"/>
      <c r="X2555" s="98"/>
      <c r="Y2555" s="98"/>
      <c r="Z2555" s="98"/>
      <c r="AA2555" s="98"/>
      <c r="AB2555" s="98"/>
      <c r="AC2555" s="98"/>
      <c r="AD2555" s="98"/>
      <c r="AE2555" s="98"/>
      <c r="AF2555" s="98"/>
      <c r="AG2555" s="98"/>
      <c r="AH2555" s="98"/>
      <c r="AI2555" s="98"/>
      <c r="AJ2555" s="98"/>
      <c r="AK2555" s="98"/>
      <c r="AL2555" s="98"/>
      <c r="AM2555" s="98"/>
    </row>
    <row r="2556" spans="1:39" s="100" customFormat="1" ht="15.6" x14ac:dyDescent="0.3">
      <c r="A2556" s="97"/>
      <c r="B2556" s="98"/>
      <c r="C2556" s="98"/>
      <c r="D2556" s="98"/>
      <c r="E2556" s="98"/>
      <c r="F2556" s="98"/>
      <c r="G2556" s="99"/>
      <c r="H2556" s="99"/>
      <c r="I2556" s="99"/>
      <c r="J2556" s="99"/>
      <c r="K2556" s="98"/>
      <c r="L2556" s="98"/>
      <c r="M2556" s="98"/>
      <c r="N2556" s="98"/>
      <c r="O2556" s="98"/>
      <c r="P2556" s="98"/>
      <c r="Q2556" s="98"/>
      <c r="R2556" s="98"/>
      <c r="S2556" s="98"/>
      <c r="T2556" s="98"/>
      <c r="U2556" s="98"/>
      <c r="V2556" s="98"/>
      <c r="W2556" s="98"/>
      <c r="X2556" s="98"/>
      <c r="Y2556" s="98"/>
      <c r="Z2556" s="98"/>
      <c r="AA2556" s="98"/>
      <c r="AB2556" s="98"/>
      <c r="AC2556" s="98"/>
      <c r="AD2556" s="98"/>
      <c r="AE2556" s="98"/>
      <c r="AF2556" s="98"/>
      <c r="AG2556" s="98"/>
      <c r="AH2556" s="98"/>
      <c r="AI2556" s="98"/>
      <c r="AJ2556" s="98"/>
      <c r="AK2556" s="98"/>
      <c r="AL2556" s="98"/>
      <c r="AM2556" s="98"/>
    </row>
    <row r="2557" spans="1:39" s="100" customFormat="1" ht="15.6" x14ac:dyDescent="0.3">
      <c r="A2557" s="97"/>
      <c r="B2557" s="98"/>
      <c r="C2557" s="98"/>
      <c r="D2557" s="98"/>
      <c r="E2557" s="98"/>
      <c r="F2557" s="98"/>
      <c r="G2557" s="99"/>
      <c r="H2557" s="99"/>
      <c r="I2557" s="99"/>
      <c r="J2557" s="99"/>
      <c r="K2557" s="98"/>
      <c r="L2557" s="98"/>
      <c r="M2557" s="98"/>
      <c r="N2557" s="98"/>
      <c r="O2557" s="98"/>
      <c r="P2557" s="98"/>
      <c r="Q2557" s="98"/>
      <c r="R2557" s="98"/>
      <c r="S2557" s="98"/>
      <c r="T2557" s="98"/>
      <c r="U2557" s="98"/>
      <c r="V2557" s="98"/>
      <c r="W2557" s="98"/>
      <c r="X2557" s="98"/>
      <c r="Y2557" s="98"/>
      <c r="Z2557" s="98"/>
      <c r="AA2557" s="98"/>
      <c r="AB2557" s="98"/>
      <c r="AC2557" s="98"/>
      <c r="AD2557" s="98"/>
      <c r="AE2557" s="98"/>
      <c r="AF2557" s="98"/>
      <c r="AG2557" s="98"/>
      <c r="AH2557" s="98"/>
      <c r="AI2557" s="98"/>
      <c r="AJ2557" s="98"/>
      <c r="AK2557" s="98"/>
      <c r="AL2557" s="98"/>
      <c r="AM2557" s="98"/>
    </row>
    <row r="2558" spans="1:39" s="100" customFormat="1" ht="15.6" x14ac:dyDescent="0.3">
      <c r="A2558" s="97"/>
      <c r="B2558" s="98"/>
      <c r="C2558" s="98"/>
      <c r="D2558" s="98"/>
      <c r="E2558" s="98"/>
      <c r="F2558" s="98"/>
      <c r="G2558" s="99"/>
      <c r="H2558" s="99"/>
      <c r="I2558" s="99"/>
      <c r="J2558" s="99"/>
      <c r="K2558" s="98"/>
      <c r="L2558" s="98"/>
      <c r="M2558" s="98"/>
      <c r="N2558" s="98"/>
      <c r="O2558" s="98"/>
      <c r="P2558" s="98"/>
      <c r="Q2558" s="98"/>
      <c r="R2558" s="98"/>
      <c r="S2558" s="98"/>
      <c r="T2558" s="98"/>
      <c r="U2558" s="98"/>
      <c r="V2558" s="98"/>
      <c r="W2558" s="98"/>
      <c r="X2558" s="98"/>
      <c r="Y2558" s="98"/>
      <c r="Z2558" s="98"/>
      <c r="AA2558" s="98"/>
      <c r="AB2558" s="98"/>
      <c r="AC2558" s="98"/>
      <c r="AD2558" s="98"/>
      <c r="AE2558" s="98"/>
      <c r="AF2558" s="98"/>
      <c r="AG2558" s="98"/>
      <c r="AH2558" s="98"/>
      <c r="AI2558" s="98"/>
      <c r="AJ2558" s="98"/>
      <c r="AK2558" s="98"/>
      <c r="AL2558" s="98"/>
      <c r="AM2558" s="98"/>
    </row>
    <row r="2559" spans="1:39" s="100" customFormat="1" ht="15.6" x14ac:dyDescent="0.3">
      <c r="A2559" s="97"/>
      <c r="B2559" s="98"/>
      <c r="C2559" s="98"/>
      <c r="D2559" s="98"/>
      <c r="E2559" s="98"/>
      <c r="F2559" s="98"/>
      <c r="G2559" s="99"/>
      <c r="H2559" s="99"/>
      <c r="I2559" s="99"/>
      <c r="J2559" s="99"/>
      <c r="K2559" s="98"/>
      <c r="L2559" s="98"/>
      <c r="M2559" s="98"/>
      <c r="N2559" s="98"/>
      <c r="O2559" s="98"/>
      <c r="P2559" s="98"/>
      <c r="Q2559" s="98"/>
      <c r="R2559" s="98"/>
      <c r="S2559" s="98"/>
      <c r="T2559" s="98"/>
      <c r="U2559" s="98"/>
      <c r="V2559" s="98"/>
      <c r="W2559" s="98"/>
      <c r="X2559" s="98"/>
      <c r="Y2559" s="98"/>
      <c r="Z2559" s="98"/>
      <c r="AA2559" s="98"/>
      <c r="AB2559" s="98"/>
      <c r="AC2559" s="98"/>
      <c r="AD2559" s="98"/>
      <c r="AE2559" s="98"/>
      <c r="AF2559" s="98"/>
      <c r="AG2559" s="98"/>
      <c r="AH2559" s="98"/>
      <c r="AI2559" s="98"/>
      <c r="AJ2559" s="98"/>
      <c r="AK2559" s="98"/>
      <c r="AL2559" s="98"/>
      <c r="AM2559" s="98"/>
    </row>
    <row r="2560" spans="1:39" s="100" customFormat="1" ht="15.6" x14ac:dyDescent="0.3">
      <c r="A2560" s="97"/>
      <c r="B2560" s="98"/>
      <c r="C2560" s="98"/>
      <c r="D2560" s="98"/>
      <c r="E2560" s="98"/>
      <c r="F2560" s="98"/>
      <c r="G2560" s="99"/>
      <c r="H2560" s="99"/>
      <c r="I2560" s="99"/>
      <c r="J2560" s="99"/>
      <c r="K2560" s="98"/>
      <c r="L2560" s="98"/>
      <c r="M2560" s="98"/>
      <c r="N2560" s="98"/>
      <c r="O2560" s="98"/>
      <c r="P2560" s="98"/>
      <c r="Q2560" s="98"/>
      <c r="R2560" s="98"/>
      <c r="S2560" s="98"/>
      <c r="T2560" s="98"/>
      <c r="U2560" s="98"/>
      <c r="V2560" s="98"/>
      <c r="W2560" s="98"/>
      <c r="X2560" s="98"/>
      <c r="Y2560" s="98"/>
      <c r="Z2560" s="98"/>
      <c r="AA2560" s="98"/>
      <c r="AB2560" s="98"/>
      <c r="AC2560" s="98"/>
      <c r="AD2560" s="98"/>
      <c r="AE2560" s="98"/>
      <c r="AF2560" s="98"/>
      <c r="AG2560" s="98"/>
      <c r="AH2560" s="98"/>
      <c r="AI2560" s="98"/>
      <c r="AJ2560" s="98"/>
      <c r="AK2560" s="98"/>
      <c r="AL2560" s="98"/>
      <c r="AM2560" s="98"/>
    </row>
    <row r="2561" spans="1:39" s="100" customFormat="1" ht="15.6" x14ac:dyDescent="0.3">
      <c r="A2561" s="97"/>
      <c r="B2561" s="98"/>
      <c r="C2561" s="98"/>
      <c r="D2561" s="98"/>
      <c r="E2561" s="98"/>
      <c r="F2561" s="98"/>
      <c r="G2561" s="99"/>
      <c r="H2561" s="99"/>
      <c r="I2561" s="99"/>
      <c r="J2561" s="99"/>
      <c r="K2561" s="98"/>
      <c r="L2561" s="98"/>
      <c r="M2561" s="98"/>
      <c r="N2561" s="98"/>
      <c r="O2561" s="98"/>
      <c r="P2561" s="98"/>
      <c r="Q2561" s="98"/>
      <c r="R2561" s="98"/>
      <c r="S2561" s="98"/>
      <c r="T2561" s="98"/>
      <c r="U2561" s="98"/>
      <c r="V2561" s="98"/>
      <c r="W2561" s="98"/>
      <c r="X2561" s="98"/>
      <c r="Y2561" s="98"/>
      <c r="Z2561" s="98"/>
      <c r="AA2561" s="98"/>
      <c r="AB2561" s="98"/>
      <c r="AC2561" s="98"/>
      <c r="AD2561" s="98"/>
      <c r="AE2561" s="98"/>
      <c r="AF2561" s="98"/>
      <c r="AG2561" s="98"/>
      <c r="AH2561" s="98"/>
      <c r="AI2561" s="98"/>
      <c r="AJ2561" s="98"/>
      <c r="AK2561" s="98"/>
      <c r="AL2561" s="98"/>
      <c r="AM2561" s="98"/>
    </row>
    <row r="2562" spans="1:39" s="100" customFormat="1" ht="15.6" x14ac:dyDescent="0.3">
      <c r="A2562" s="97"/>
      <c r="B2562" s="98"/>
      <c r="C2562" s="98"/>
      <c r="D2562" s="98"/>
      <c r="E2562" s="98"/>
      <c r="F2562" s="98"/>
      <c r="G2562" s="99"/>
      <c r="H2562" s="99"/>
      <c r="I2562" s="99"/>
      <c r="J2562" s="99"/>
      <c r="K2562" s="98"/>
      <c r="L2562" s="98"/>
      <c r="M2562" s="98"/>
      <c r="N2562" s="98"/>
      <c r="O2562" s="98"/>
      <c r="P2562" s="98"/>
      <c r="Q2562" s="98"/>
      <c r="R2562" s="98"/>
      <c r="S2562" s="98"/>
      <c r="T2562" s="98"/>
      <c r="U2562" s="98"/>
      <c r="V2562" s="98"/>
      <c r="W2562" s="98"/>
      <c r="X2562" s="98"/>
      <c r="Y2562" s="98"/>
      <c r="Z2562" s="98"/>
      <c r="AA2562" s="98"/>
      <c r="AB2562" s="98"/>
      <c r="AC2562" s="98"/>
      <c r="AD2562" s="98"/>
      <c r="AE2562" s="98"/>
      <c r="AF2562" s="98"/>
      <c r="AG2562" s="98"/>
      <c r="AH2562" s="98"/>
      <c r="AI2562" s="98"/>
      <c r="AJ2562" s="98"/>
      <c r="AK2562" s="98"/>
      <c r="AL2562" s="98"/>
      <c r="AM2562" s="98"/>
    </row>
    <row r="2563" spans="1:39" s="100" customFormat="1" ht="15.6" x14ac:dyDescent="0.3">
      <c r="A2563" s="97"/>
      <c r="B2563" s="98"/>
      <c r="C2563" s="98"/>
      <c r="D2563" s="98"/>
      <c r="E2563" s="98"/>
      <c r="F2563" s="98"/>
      <c r="G2563" s="99"/>
      <c r="H2563" s="99"/>
      <c r="I2563" s="99"/>
      <c r="J2563" s="99"/>
      <c r="K2563" s="98"/>
      <c r="L2563" s="98"/>
      <c r="M2563" s="98"/>
      <c r="N2563" s="98"/>
      <c r="O2563" s="98"/>
      <c r="P2563" s="98"/>
      <c r="Q2563" s="98"/>
      <c r="R2563" s="98"/>
      <c r="S2563" s="98"/>
      <c r="T2563" s="98"/>
      <c r="U2563" s="98"/>
      <c r="V2563" s="98"/>
      <c r="W2563" s="98"/>
      <c r="X2563" s="98"/>
      <c r="Y2563" s="98"/>
      <c r="Z2563" s="98"/>
      <c r="AA2563" s="98"/>
      <c r="AB2563" s="98"/>
      <c r="AC2563" s="98"/>
      <c r="AD2563" s="98"/>
      <c r="AE2563" s="98"/>
      <c r="AF2563" s="98"/>
      <c r="AG2563" s="98"/>
      <c r="AH2563" s="98"/>
      <c r="AI2563" s="98"/>
      <c r="AJ2563" s="98"/>
      <c r="AK2563" s="98"/>
      <c r="AL2563" s="98"/>
      <c r="AM2563" s="98"/>
    </row>
    <row r="2564" spans="1:39" s="100" customFormat="1" ht="15.6" x14ac:dyDescent="0.3">
      <c r="A2564" s="97"/>
      <c r="B2564" s="98"/>
      <c r="C2564" s="98"/>
      <c r="D2564" s="98"/>
      <c r="E2564" s="98"/>
      <c r="F2564" s="98"/>
      <c r="G2564" s="99"/>
      <c r="H2564" s="99"/>
      <c r="I2564" s="99"/>
      <c r="J2564" s="99"/>
      <c r="K2564" s="98"/>
      <c r="L2564" s="98"/>
      <c r="M2564" s="98"/>
      <c r="N2564" s="98"/>
      <c r="O2564" s="98"/>
      <c r="P2564" s="98"/>
      <c r="Q2564" s="98"/>
      <c r="R2564" s="98"/>
      <c r="S2564" s="98"/>
      <c r="T2564" s="98"/>
      <c r="U2564" s="98"/>
      <c r="V2564" s="98"/>
      <c r="W2564" s="98"/>
      <c r="X2564" s="98"/>
      <c r="Y2564" s="98"/>
      <c r="Z2564" s="98"/>
      <c r="AA2564" s="98"/>
      <c r="AB2564" s="98"/>
      <c r="AC2564" s="98"/>
      <c r="AD2564" s="98"/>
      <c r="AE2564" s="98"/>
      <c r="AF2564" s="98"/>
      <c r="AG2564" s="98"/>
      <c r="AH2564" s="98"/>
      <c r="AI2564" s="98"/>
      <c r="AJ2564" s="98"/>
      <c r="AK2564" s="98"/>
      <c r="AL2564" s="98"/>
      <c r="AM2564" s="98"/>
    </row>
    <row r="2565" spans="1:39" s="100" customFormat="1" ht="15.6" x14ac:dyDescent="0.3">
      <c r="A2565" s="97"/>
      <c r="B2565" s="98"/>
      <c r="C2565" s="98"/>
      <c r="D2565" s="98"/>
      <c r="E2565" s="98"/>
      <c r="F2565" s="98"/>
      <c r="G2565" s="99"/>
      <c r="H2565" s="99"/>
      <c r="I2565" s="99"/>
      <c r="J2565" s="99"/>
      <c r="K2565" s="98"/>
      <c r="L2565" s="98"/>
      <c r="M2565" s="98"/>
      <c r="N2565" s="98"/>
      <c r="O2565" s="98"/>
      <c r="P2565" s="98"/>
      <c r="Q2565" s="98"/>
      <c r="R2565" s="98"/>
      <c r="S2565" s="98"/>
      <c r="T2565" s="98"/>
      <c r="U2565" s="98"/>
      <c r="V2565" s="98"/>
      <c r="W2565" s="98"/>
      <c r="X2565" s="98"/>
      <c r="Y2565" s="98"/>
      <c r="Z2565" s="98"/>
      <c r="AA2565" s="98"/>
      <c r="AB2565" s="98"/>
      <c r="AC2565" s="98"/>
      <c r="AD2565" s="98"/>
      <c r="AE2565" s="98"/>
      <c r="AF2565" s="98"/>
      <c r="AG2565" s="98"/>
      <c r="AH2565" s="98"/>
      <c r="AI2565" s="98"/>
      <c r="AJ2565" s="98"/>
      <c r="AK2565" s="98"/>
      <c r="AL2565" s="98"/>
      <c r="AM2565" s="98"/>
    </row>
    <row r="2566" spans="1:39" s="100" customFormat="1" ht="15.6" x14ac:dyDescent="0.3">
      <c r="A2566" s="97"/>
      <c r="B2566" s="98"/>
      <c r="C2566" s="98"/>
      <c r="D2566" s="98"/>
      <c r="E2566" s="98"/>
      <c r="F2566" s="98"/>
      <c r="G2566" s="99"/>
      <c r="H2566" s="99"/>
      <c r="I2566" s="99"/>
      <c r="J2566" s="99"/>
      <c r="K2566" s="98"/>
      <c r="L2566" s="98"/>
      <c r="M2566" s="98"/>
      <c r="N2566" s="98"/>
      <c r="O2566" s="98"/>
      <c r="P2566" s="98"/>
      <c r="Q2566" s="98"/>
      <c r="R2566" s="98"/>
      <c r="S2566" s="98"/>
      <c r="T2566" s="98"/>
      <c r="U2566" s="98"/>
      <c r="V2566" s="98"/>
      <c r="W2566" s="98"/>
      <c r="X2566" s="98"/>
      <c r="Y2566" s="98"/>
      <c r="Z2566" s="98"/>
      <c r="AA2566" s="98"/>
      <c r="AB2566" s="98"/>
      <c r="AC2566" s="98"/>
      <c r="AD2566" s="98"/>
      <c r="AE2566" s="98"/>
      <c r="AF2566" s="98"/>
      <c r="AG2566" s="98"/>
      <c r="AH2566" s="98"/>
      <c r="AI2566" s="98"/>
      <c r="AJ2566" s="98"/>
      <c r="AK2566" s="98"/>
      <c r="AL2566" s="98"/>
      <c r="AM2566" s="98"/>
    </row>
    <row r="2567" spans="1:39" s="100" customFormat="1" ht="15.6" x14ac:dyDescent="0.3">
      <c r="A2567" s="97"/>
      <c r="B2567" s="98"/>
      <c r="C2567" s="98"/>
      <c r="D2567" s="98"/>
      <c r="E2567" s="98"/>
      <c r="F2567" s="98"/>
      <c r="G2567" s="99"/>
      <c r="H2567" s="99"/>
      <c r="I2567" s="99"/>
      <c r="J2567" s="99"/>
      <c r="K2567" s="98"/>
      <c r="L2567" s="98"/>
      <c r="M2567" s="98"/>
      <c r="N2567" s="98"/>
      <c r="O2567" s="98"/>
      <c r="P2567" s="98"/>
      <c r="Q2567" s="98"/>
      <c r="R2567" s="98"/>
      <c r="S2567" s="98"/>
      <c r="T2567" s="98"/>
      <c r="U2567" s="98"/>
      <c r="V2567" s="98"/>
      <c r="W2567" s="98"/>
      <c r="X2567" s="98"/>
      <c r="Y2567" s="98"/>
      <c r="Z2567" s="98"/>
      <c r="AA2567" s="98"/>
      <c r="AB2567" s="98"/>
      <c r="AC2567" s="98"/>
      <c r="AD2567" s="98"/>
      <c r="AE2567" s="98"/>
      <c r="AF2567" s="98"/>
      <c r="AG2567" s="98"/>
      <c r="AH2567" s="98"/>
      <c r="AI2567" s="98"/>
      <c r="AJ2567" s="98"/>
      <c r="AK2567" s="98"/>
      <c r="AL2567" s="98"/>
      <c r="AM2567" s="98"/>
    </row>
    <row r="2568" spans="1:39" s="100" customFormat="1" ht="15.6" x14ac:dyDescent="0.3">
      <c r="A2568" s="97"/>
      <c r="B2568" s="98"/>
      <c r="C2568" s="98"/>
      <c r="D2568" s="98"/>
      <c r="E2568" s="98"/>
      <c r="F2568" s="98"/>
      <c r="G2568" s="99"/>
      <c r="H2568" s="99"/>
      <c r="I2568" s="99"/>
      <c r="J2568" s="99"/>
      <c r="K2568" s="98"/>
      <c r="L2568" s="98"/>
      <c r="M2568" s="98"/>
      <c r="N2568" s="98"/>
      <c r="O2568" s="98"/>
      <c r="P2568" s="98"/>
      <c r="Q2568" s="98"/>
      <c r="R2568" s="98"/>
      <c r="S2568" s="98"/>
      <c r="T2568" s="98"/>
      <c r="U2568" s="98"/>
      <c r="V2568" s="98"/>
      <c r="W2568" s="98"/>
      <c r="X2568" s="98"/>
      <c r="Y2568" s="98"/>
      <c r="Z2568" s="98"/>
      <c r="AA2568" s="98"/>
      <c r="AB2568" s="98"/>
      <c r="AC2568" s="98"/>
      <c r="AD2568" s="98"/>
      <c r="AE2568" s="98"/>
      <c r="AF2568" s="98"/>
      <c r="AG2568" s="98"/>
      <c r="AH2568" s="98"/>
      <c r="AI2568" s="98"/>
      <c r="AJ2568" s="98"/>
      <c r="AK2568" s="98"/>
      <c r="AL2568" s="98"/>
      <c r="AM2568" s="98"/>
    </row>
    <row r="2569" spans="1:39" s="100" customFormat="1" ht="15.6" x14ac:dyDescent="0.3">
      <c r="A2569" s="97"/>
      <c r="B2569" s="98"/>
      <c r="C2569" s="98"/>
      <c r="D2569" s="98"/>
      <c r="E2569" s="98"/>
      <c r="F2569" s="98"/>
      <c r="G2569" s="99"/>
      <c r="H2569" s="99"/>
      <c r="I2569" s="99"/>
      <c r="J2569" s="99"/>
      <c r="K2569" s="98"/>
      <c r="L2569" s="98"/>
      <c r="M2569" s="98"/>
      <c r="N2569" s="98"/>
      <c r="O2569" s="98"/>
      <c r="P2569" s="98"/>
      <c r="Q2569" s="98"/>
      <c r="R2569" s="98"/>
      <c r="S2569" s="98"/>
      <c r="T2569" s="98"/>
      <c r="U2569" s="98"/>
      <c r="V2569" s="98"/>
      <c r="W2569" s="98"/>
      <c r="X2569" s="98"/>
      <c r="Y2569" s="98"/>
      <c r="Z2569" s="98"/>
      <c r="AA2569" s="98"/>
      <c r="AB2569" s="98"/>
      <c r="AC2569" s="98"/>
      <c r="AD2569" s="98"/>
      <c r="AE2569" s="98"/>
      <c r="AF2569" s="98"/>
      <c r="AG2569" s="98"/>
      <c r="AH2569" s="98"/>
      <c r="AI2569" s="98"/>
      <c r="AJ2569" s="98"/>
      <c r="AK2569" s="98"/>
      <c r="AL2569" s="98"/>
      <c r="AM2569" s="98"/>
    </row>
    <row r="2570" spans="1:39" s="100" customFormat="1" ht="15.6" x14ac:dyDescent="0.3">
      <c r="A2570" s="97"/>
      <c r="B2570" s="98"/>
      <c r="C2570" s="98"/>
      <c r="D2570" s="98"/>
      <c r="E2570" s="98"/>
      <c r="F2570" s="98"/>
      <c r="G2570" s="99"/>
      <c r="H2570" s="99"/>
      <c r="I2570" s="99"/>
      <c r="J2570" s="99"/>
      <c r="K2570" s="98"/>
      <c r="L2570" s="98"/>
      <c r="M2570" s="98"/>
      <c r="N2570" s="98"/>
      <c r="O2570" s="98"/>
      <c r="P2570" s="98"/>
      <c r="Q2570" s="98"/>
      <c r="R2570" s="98"/>
      <c r="S2570" s="98"/>
      <c r="T2570" s="98"/>
      <c r="U2570" s="98"/>
      <c r="V2570" s="98"/>
      <c r="W2570" s="98"/>
      <c r="X2570" s="98"/>
      <c r="Y2570" s="98"/>
      <c r="Z2570" s="98"/>
      <c r="AA2570" s="98"/>
      <c r="AB2570" s="98"/>
      <c r="AC2570" s="98"/>
      <c r="AD2570" s="98"/>
      <c r="AE2570" s="98"/>
      <c r="AF2570" s="98"/>
      <c r="AG2570" s="98"/>
      <c r="AH2570" s="98"/>
      <c r="AI2570" s="98"/>
      <c r="AJ2570" s="98"/>
      <c r="AK2570" s="98"/>
      <c r="AL2570" s="98"/>
      <c r="AM2570" s="98"/>
    </row>
    <row r="2571" spans="1:39" s="100" customFormat="1" ht="15.6" x14ac:dyDescent="0.3">
      <c r="A2571" s="97"/>
      <c r="B2571" s="98"/>
      <c r="C2571" s="98"/>
      <c r="D2571" s="98"/>
      <c r="E2571" s="98"/>
      <c r="F2571" s="98"/>
      <c r="G2571" s="99"/>
      <c r="H2571" s="99"/>
      <c r="I2571" s="99"/>
      <c r="J2571" s="99"/>
      <c r="K2571" s="98"/>
      <c r="L2571" s="98"/>
      <c r="M2571" s="98"/>
      <c r="N2571" s="98"/>
      <c r="O2571" s="98"/>
      <c r="P2571" s="98"/>
      <c r="Q2571" s="98"/>
      <c r="R2571" s="98"/>
      <c r="S2571" s="98"/>
      <c r="T2571" s="98"/>
      <c r="U2571" s="98"/>
      <c r="V2571" s="98"/>
      <c r="W2571" s="98"/>
      <c r="X2571" s="98"/>
      <c r="Y2571" s="98"/>
      <c r="Z2571" s="98"/>
      <c r="AA2571" s="98"/>
      <c r="AB2571" s="98"/>
      <c r="AC2571" s="98"/>
      <c r="AD2571" s="98"/>
      <c r="AE2571" s="98"/>
      <c r="AF2571" s="98"/>
      <c r="AG2571" s="98"/>
      <c r="AH2571" s="98"/>
      <c r="AI2571" s="98"/>
      <c r="AJ2571" s="98"/>
      <c r="AK2571" s="98"/>
      <c r="AL2571" s="98"/>
      <c r="AM2571" s="98"/>
    </row>
    <row r="2572" spans="1:39" s="100" customFormat="1" ht="15.6" x14ac:dyDescent="0.3">
      <c r="A2572" s="97"/>
      <c r="B2572" s="98"/>
      <c r="C2572" s="98"/>
      <c r="D2572" s="98"/>
      <c r="E2572" s="98"/>
      <c r="F2572" s="98"/>
      <c r="G2572" s="99"/>
      <c r="H2572" s="99"/>
      <c r="I2572" s="99"/>
      <c r="J2572" s="99"/>
      <c r="K2572" s="98"/>
      <c r="L2572" s="98"/>
      <c r="M2572" s="98"/>
      <c r="N2572" s="98"/>
      <c r="O2572" s="98"/>
      <c r="P2572" s="98"/>
      <c r="Q2572" s="98"/>
      <c r="R2572" s="98"/>
      <c r="S2572" s="98"/>
      <c r="T2572" s="98"/>
      <c r="U2572" s="98"/>
      <c r="V2572" s="98"/>
      <c r="W2572" s="98"/>
      <c r="X2572" s="98"/>
      <c r="Y2572" s="98"/>
      <c r="Z2572" s="98"/>
      <c r="AA2572" s="98"/>
      <c r="AB2572" s="98"/>
      <c r="AC2572" s="98"/>
      <c r="AD2572" s="98"/>
      <c r="AE2572" s="98"/>
      <c r="AF2572" s="98"/>
      <c r="AG2572" s="98"/>
      <c r="AH2572" s="98"/>
      <c r="AI2572" s="98"/>
      <c r="AJ2572" s="98"/>
      <c r="AK2572" s="98"/>
      <c r="AL2572" s="98"/>
      <c r="AM2572" s="98"/>
    </row>
    <row r="2573" spans="1:39" s="100" customFormat="1" ht="15.6" x14ac:dyDescent="0.3">
      <c r="A2573" s="97"/>
      <c r="B2573" s="98"/>
      <c r="C2573" s="98"/>
      <c r="D2573" s="98"/>
      <c r="E2573" s="98"/>
      <c r="F2573" s="98"/>
      <c r="G2573" s="99"/>
      <c r="H2573" s="99"/>
      <c r="I2573" s="99"/>
      <c r="J2573" s="99"/>
      <c r="K2573" s="98"/>
      <c r="L2573" s="98"/>
      <c r="M2573" s="98"/>
      <c r="N2573" s="98"/>
      <c r="O2573" s="98"/>
      <c r="P2573" s="98"/>
      <c r="Q2573" s="98"/>
      <c r="R2573" s="98"/>
      <c r="S2573" s="98"/>
      <c r="T2573" s="98"/>
      <c r="U2573" s="98"/>
      <c r="V2573" s="98"/>
      <c r="W2573" s="98"/>
      <c r="X2573" s="98"/>
      <c r="Y2573" s="98"/>
      <c r="Z2573" s="98"/>
      <c r="AA2573" s="98"/>
      <c r="AB2573" s="98"/>
      <c r="AC2573" s="98"/>
      <c r="AD2573" s="98"/>
      <c r="AE2573" s="98"/>
      <c r="AF2573" s="98"/>
      <c r="AG2573" s="98"/>
      <c r="AH2573" s="98"/>
      <c r="AI2573" s="98"/>
      <c r="AJ2573" s="98"/>
      <c r="AK2573" s="98"/>
      <c r="AL2573" s="98"/>
      <c r="AM2573" s="98"/>
    </row>
    <row r="2574" spans="1:39" s="100" customFormat="1" ht="15.6" x14ac:dyDescent="0.3">
      <c r="A2574" s="97"/>
      <c r="B2574" s="98"/>
      <c r="C2574" s="98"/>
      <c r="D2574" s="98"/>
      <c r="E2574" s="98"/>
      <c r="F2574" s="98"/>
      <c r="G2574" s="99"/>
      <c r="H2574" s="99"/>
      <c r="I2574" s="99"/>
      <c r="J2574" s="99"/>
      <c r="K2574" s="98"/>
      <c r="L2574" s="98"/>
      <c r="M2574" s="98"/>
      <c r="N2574" s="98"/>
      <c r="O2574" s="98"/>
      <c r="P2574" s="98"/>
      <c r="Q2574" s="98"/>
      <c r="R2574" s="98"/>
      <c r="S2574" s="98"/>
      <c r="T2574" s="98"/>
      <c r="U2574" s="98"/>
      <c r="V2574" s="98"/>
      <c r="W2574" s="98"/>
      <c r="X2574" s="98"/>
      <c r="Y2574" s="98"/>
      <c r="Z2574" s="98"/>
      <c r="AA2574" s="98"/>
      <c r="AB2574" s="98"/>
      <c r="AC2574" s="98"/>
      <c r="AD2574" s="98"/>
      <c r="AE2574" s="98"/>
      <c r="AF2574" s="98"/>
      <c r="AG2574" s="98"/>
      <c r="AH2574" s="98"/>
      <c r="AI2574" s="98"/>
      <c r="AJ2574" s="98"/>
      <c r="AK2574" s="98"/>
      <c r="AL2574" s="98"/>
      <c r="AM2574" s="98"/>
    </row>
    <row r="2575" spans="1:39" s="100" customFormat="1" ht="15.6" x14ac:dyDescent="0.3">
      <c r="A2575" s="97"/>
      <c r="B2575" s="98"/>
      <c r="C2575" s="98"/>
      <c r="D2575" s="98"/>
      <c r="E2575" s="98"/>
      <c r="F2575" s="98"/>
      <c r="G2575" s="99"/>
      <c r="H2575" s="99"/>
      <c r="I2575" s="99"/>
      <c r="J2575" s="99"/>
      <c r="K2575" s="98"/>
      <c r="L2575" s="98"/>
      <c r="M2575" s="98"/>
      <c r="N2575" s="98"/>
      <c r="O2575" s="98"/>
      <c r="P2575" s="98"/>
      <c r="Q2575" s="98"/>
      <c r="R2575" s="98"/>
      <c r="S2575" s="98"/>
      <c r="T2575" s="98"/>
      <c r="U2575" s="98"/>
      <c r="V2575" s="98"/>
      <c r="W2575" s="98"/>
      <c r="X2575" s="98"/>
      <c r="Y2575" s="98"/>
      <c r="Z2575" s="98"/>
      <c r="AA2575" s="98"/>
      <c r="AB2575" s="98"/>
      <c r="AC2575" s="98"/>
      <c r="AD2575" s="98"/>
      <c r="AE2575" s="98"/>
      <c r="AF2575" s="98"/>
      <c r="AG2575" s="98"/>
      <c r="AH2575" s="98"/>
      <c r="AI2575" s="98"/>
      <c r="AJ2575" s="98"/>
      <c r="AK2575" s="98"/>
      <c r="AL2575" s="98"/>
      <c r="AM2575" s="98"/>
    </row>
    <row r="2576" spans="1:39" s="100" customFormat="1" ht="15.6" x14ac:dyDescent="0.3">
      <c r="A2576" s="97"/>
      <c r="B2576" s="98"/>
      <c r="C2576" s="98"/>
      <c r="D2576" s="98"/>
      <c r="E2576" s="98"/>
      <c r="F2576" s="98"/>
      <c r="G2576" s="99"/>
      <c r="H2576" s="99"/>
      <c r="I2576" s="99"/>
      <c r="J2576" s="99"/>
      <c r="K2576" s="98"/>
      <c r="L2576" s="98"/>
      <c r="M2576" s="98"/>
      <c r="N2576" s="98"/>
      <c r="O2576" s="98"/>
      <c r="P2576" s="98"/>
      <c r="Q2576" s="98"/>
      <c r="R2576" s="98"/>
      <c r="S2576" s="98"/>
      <c r="T2576" s="98"/>
      <c r="U2576" s="98"/>
      <c r="V2576" s="98"/>
      <c r="W2576" s="98"/>
      <c r="X2576" s="98"/>
      <c r="Y2576" s="98"/>
      <c r="Z2576" s="98"/>
      <c r="AA2576" s="98"/>
      <c r="AB2576" s="98"/>
      <c r="AC2576" s="98"/>
      <c r="AD2576" s="98"/>
      <c r="AE2576" s="98"/>
      <c r="AF2576" s="98"/>
      <c r="AG2576" s="98"/>
      <c r="AH2576" s="98"/>
      <c r="AI2576" s="98"/>
      <c r="AJ2576" s="98"/>
      <c r="AK2576" s="98"/>
      <c r="AL2576" s="98"/>
      <c r="AM2576" s="98"/>
    </row>
    <row r="2577" spans="1:39" s="100" customFormat="1" ht="15.6" x14ac:dyDescent="0.3">
      <c r="A2577" s="97"/>
      <c r="B2577" s="98"/>
      <c r="C2577" s="98"/>
      <c r="D2577" s="98"/>
      <c r="E2577" s="98"/>
      <c r="F2577" s="98"/>
      <c r="G2577" s="99"/>
      <c r="H2577" s="99"/>
      <c r="I2577" s="99"/>
      <c r="J2577" s="99"/>
      <c r="K2577" s="98"/>
      <c r="L2577" s="98"/>
      <c r="M2577" s="98"/>
      <c r="N2577" s="98"/>
      <c r="O2577" s="98"/>
      <c r="P2577" s="98"/>
      <c r="Q2577" s="98"/>
      <c r="R2577" s="98"/>
      <c r="S2577" s="98"/>
      <c r="T2577" s="98"/>
      <c r="U2577" s="98"/>
      <c r="V2577" s="98"/>
      <c r="W2577" s="98"/>
      <c r="X2577" s="98"/>
      <c r="Y2577" s="98"/>
      <c r="Z2577" s="98"/>
      <c r="AA2577" s="98"/>
      <c r="AB2577" s="98"/>
      <c r="AC2577" s="98"/>
      <c r="AD2577" s="98"/>
      <c r="AE2577" s="98"/>
      <c r="AF2577" s="98"/>
      <c r="AG2577" s="98"/>
      <c r="AH2577" s="98"/>
      <c r="AI2577" s="98"/>
      <c r="AJ2577" s="98"/>
      <c r="AK2577" s="98"/>
      <c r="AL2577" s="98"/>
      <c r="AM2577" s="98"/>
    </row>
    <row r="2578" spans="1:39" s="100" customFormat="1" ht="15.6" x14ac:dyDescent="0.3">
      <c r="A2578" s="97"/>
      <c r="B2578" s="98"/>
      <c r="C2578" s="98"/>
      <c r="D2578" s="98"/>
      <c r="E2578" s="98"/>
      <c r="F2578" s="98"/>
      <c r="G2578" s="99"/>
      <c r="H2578" s="99"/>
      <c r="I2578" s="99"/>
      <c r="J2578" s="99"/>
      <c r="K2578" s="98"/>
      <c r="L2578" s="98"/>
      <c r="M2578" s="98"/>
      <c r="N2578" s="98"/>
      <c r="O2578" s="98"/>
      <c r="P2578" s="98"/>
      <c r="Q2578" s="98"/>
      <c r="R2578" s="98"/>
      <c r="S2578" s="98"/>
      <c r="T2578" s="98"/>
      <c r="U2578" s="98"/>
      <c r="V2578" s="98"/>
      <c r="W2578" s="98"/>
      <c r="X2578" s="98"/>
      <c r="Y2578" s="98"/>
      <c r="Z2578" s="98"/>
      <c r="AA2578" s="98"/>
      <c r="AB2578" s="98"/>
      <c r="AC2578" s="98"/>
      <c r="AD2578" s="98"/>
      <c r="AE2578" s="98"/>
      <c r="AF2578" s="98"/>
      <c r="AG2578" s="98"/>
      <c r="AH2578" s="98"/>
      <c r="AI2578" s="98"/>
      <c r="AJ2578" s="98"/>
      <c r="AK2578" s="98"/>
      <c r="AL2578" s="98"/>
      <c r="AM2578" s="98"/>
    </row>
    <row r="2579" spans="1:39" s="100" customFormat="1" ht="15.6" x14ac:dyDescent="0.3">
      <c r="A2579" s="97"/>
      <c r="B2579" s="98"/>
      <c r="C2579" s="98"/>
      <c r="D2579" s="98"/>
      <c r="E2579" s="98"/>
      <c r="F2579" s="98"/>
      <c r="G2579" s="99"/>
      <c r="H2579" s="99"/>
      <c r="I2579" s="99"/>
      <c r="J2579" s="99"/>
      <c r="K2579" s="98"/>
      <c r="L2579" s="98"/>
      <c r="M2579" s="98"/>
      <c r="N2579" s="98"/>
      <c r="O2579" s="98"/>
      <c r="P2579" s="98"/>
      <c r="Q2579" s="98"/>
      <c r="R2579" s="98"/>
      <c r="S2579" s="98"/>
      <c r="T2579" s="98"/>
      <c r="U2579" s="98"/>
      <c r="V2579" s="98"/>
      <c r="W2579" s="98"/>
      <c r="X2579" s="98"/>
      <c r="Y2579" s="98"/>
      <c r="Z2579" s="98"/>
      <c r="AA2579" s="98"/>
      <c r="AB2579" s="98"/>
      <c r="AC2579" s="98"/>
      <c r="AD2579" s="98"/>
      <c r="AE2579" s="98"/>
      <c r="AF2579" s="98"/>
      <c r="AG2579" s="98"/>
      <c r="AH2579" s="98"/>
      <c r="AI2579" s="98"/>
      <c r="AJ2579" s="98"/>
      <c r="AK2579" s="98"/>
      <c r="AL2579" s="98"/>
      <c r="AM2579" s="98"/>
    </row>
    <row r="2580" spans="1:39" s="100" customFormat="1" ht="15.6" x14ac:dyDescent="0.3">
      <c r="A2580" s="97"/>
      <c r="B2580" s="98"/>
      <c r="C2580" s="98"/>
      <c r="D2580" s="98"/>
      <c r="E2580" s="98"/>
      <c r="F2580" s="98"/>
      <c r="G2580" s="99"/>
      <c r="H2580" s="99"/>
      <c r="I2580" s="99"/>
      <c r="J2580" s="99"/>
      <c r="K2580" s="98"/>
      <c r="L2580" s="98"/>
      <c r="M2580" s="98"/>
      <c r="N2580" s="98"/>
      <c r="O2580" s="98"/>
      <c r="P2580" s="98"/>
      <c r="Q2580" s="98"/>
      <c r="R2580" s="98"/>
      <c r="S2580" s="98"/>
      <c r="T2580" s="98"/>
      <c r="U2580" s="98"/>
      <c r="V2580" s="98"/>
      <c r="W2580" s="98"/>
      <c r="X2580" s="98"/>
      <c r="Y2580" s="98"/>
      <c r="Z2580" s="98"/>
      <c r="AA2580" s="98"/>
      <c r="AB2580" s="98"/>
      <c r="AC2580" s="98"/>
      <c r="AD2580" s="98"/>
      <c r="AE2580" s="98"/>
      <c r="AF2580" s="98"/>
      <c r="AG2580" s="98"/>
      <c r="AH2580" s="98"/>
      <c r="AI2580" s="98"/>
      <c r="AJ2580" s="98"/>
      <c r="AK2580" s="98"/>
      <c r="AL2580" s="98"/>
      <c r="AM2580" s="98"/>
    </row>
    <row r="2581" spans="1:39" s="100" customFormat="1" ht="15.6" x14ac:dyDescent="0.3">
      <c r="A2581" s="97"/>
      <c r="B2581" s="98"/>
      <c r="C2581" s="98"/>
      <c r="D2581" s="98"/>
      <c r="E2581" s="98"/>
      <c r="F2581" s="98"/>
      <c r="G2581" s="99"/>
      <c r="H2581" s="99"/>
      <c r="I2581" s="99"/>
      <c r="J2581" s="99"/>
      <c r="K2581" s="98"/>
      <c r="L2581" s="98"/>
      <c r="M2581" s="98"/>
      <c r="N2581" s="98"/>
      <c r="O2581" s="98"/>
      <c r="P2581" s="98"/>
      <c r="Q2581" s="98"/>
      <c r="R2581" s="98"/>
      <c r="S2581" s="98"/>
      <c r="T2581" s="98"/>
      <c r="U2581" s="98"/>
      <c r="V2581" s="98"/>
      <c r="W2581" s="98"/>
      <c r="X2581" s="98"/>
      <c r="Y2581" s="98"/>
      <c r="Z2581" s="98"/>
      <c r="AA2581" s="98"/>
      <c r="AB2581" s="98"/>
      <c r="AC2581" s="98"/>
      <c r="AD2581" s="98"/>
      <c r="AE2581" s="98"/>
      <c r="AF2581" s="98"/>
      <c r="AG2581" s="98"/>
      <c r="AH2581" s="98"/>
      <c r="AI2581" s="98"/>
      <c r="AJ2581" s="98"/>
      <c r="AK2581" s="98"/>
      <c r="AL2581" s="98"/>
      <c r="AM2581" s="98"/>
    </row>
    <row r="2582" spans="1:39" s="100" customFormat="1" ht="15.6" x14ac:dyDescent="0.3">
      <c r="A2582" s="97"/>
      <c r="B2582" s="98"/>
      <c r="C2582" s="98"/>
      <c r="D2582" s="98"/>
      <c r="E2582" s="98"/>
      <c r="F2582" s="98"/>
      <c r="G2582" s="99"/>
      <c r="H2582" s="99"/>
      <c r="I2582" s="99"/>
      <c r="J2582" s="99"/>
      <c r="K2582" s="98"/>
      <c r="L2582" s="98"/>
      <c r="M2582" s="98"/>
      <c r="N2582" s="98"/>
      <c r="O2582" s="98"/>
      <c r="P2582" s="98"/>
      <c r="Q2582" s="98"/>
      <c r="R2582" s="98"/>
      <c r="S2582" s="98"/>
      <c r="T2582" s="98"/>
      <c r="U2582" s="98"/>
      <c r="V2582" s="98"/>
      <c r="W2582" s="98"/>
      <c r="X2582" s="98"/>
      <c r="Y2582" s="98"/>
      <c r="Z2582" s="98"/>
      <c r="AA2582" s="98"/>
      <c r="AB2582" s="98"/>
      <c r="AC2582" s="98"/>
      <c r="AD2582" s="98"/>
      <c r="AE2582" s="98"/>
      <c r="AF2582" s="98"/>
      <c r="AG2582" s="98"/>
      <c r="AH2582" s="98"/>
      <c r="AI2582" s="98"/>
      <c r="AJ2582" s="98"/>
      <c r="AK2582" s="98"/>
      <c r="AL2582" s="98"/>
      <c r="AM2582" s="98"/>
    </row>
    <row r="2583" spans="1:39" s="100" customFormat="1" ht="15.6" x14ac:dyDescent="0.3">
      <c r="A2583" s="97"/>
      <c r="B2583" s="98"/>
      <c r="C2583" s="98"/>
      <c r="D2583" s="98"/>
      <c r="E2583" s="98"/>
      <c r="F2583" s="98"/>
      <c r="G2583" s="99"/>
      <c r="H2583" s="99"/>
      <c r="I2583" s="99"/>
      <c r="J2583" s="99"/>
      <c r="K2583" s="98"/>
      <c r="L2583" s="98"/>
      <c r="M2583" s="98"/>
      <c r="N2583" s="98"/>
      <c r="O2583" s="98"/>
      <c r="P2583" s="98"/>
      <c r="Q2583" s="98"/>
      <c r="R2583" s="98"/>
      <c r="S2583" s="98"/>
      <c r="T2583" s="98"/>
      <c r="U2583" s="98"/>
      <c r="V2583" s="98"/>
      <c r="W2583" s="98"/>
      <c r="X2583" s="98"/>
      <c r="Y2583" s="98"/>
      <c r="Z2583" s="98"/>
      <c r="AA2583" s="98"/>
      <c r="AB2583" s="98"/>
      <c r="AC2583" s="98"/>
      <c r="AD2583" s="98"/>
      <c r="AE2583" s="98"/>
      <c r="AF2583" s="98"/>
      <c r="AG2583" s="98"/>
      <c r="AH2583" s="98"/>
      <c r="AI2583" s="98"/>
      <c r="AJ2583" s="98"/>
      <c r="AK2583" s="98"/>
      <c r="AL2583" s="98"/>
      <c r="AM2583" s="98"/>
    </row>
    <row r="2584" spans="1:39" s="100" customFormat="1" ht="15.6" x14ac:dyDescent="0.3">
      <c r="A2584" s="97"/>
      <c r="B2584" s="98"/>
      <c r="C2584" s="98"/>
      <c r="D2584" s="98"/>
      <c r="E2584" s="98"/>
      <c r="F2584" s="98"/>
      <c r="G2584" s="99"/>
      <c r="H2584" s="99"/>
      <c r="I2584" s="99"/>
      <c r="J2584" s="99"/>
      <c r="K2584" s="98"/>
      <c r="L2584" s="98"/>
      <c r="M2584" s="98"/>
      <c r="N2584" s="98"/>
      <c r="O2584" s="98"/>
      <c r="P2584" s="98"/>
      <c r="Q2584" s="98"/>
      <c r="R2584" s="98"/>
      <c r="S2584" s="98"/>
      <c r="T2584" s="98"/>
      <c r="U2584" s="98"/>
      <c r="V2584" s="98"/>
      <c r="W2584" s="98"/>
      <c r="X2584" s="98"/>
      <c r="Y2584" s="98"/>
      <c r="Z2584" s="98"/>
      <c r="AA2584" s="98"/>
      <c r="AB2584" s="98"/>
      <c r="AC2584" s="98"/>
      <c r="AD2584" s="98"/>
      <c r="AE2584" s="98"/>
      <c r="AF2584" s="98"/>
      <c r="AG2584" s="98"/>
      <c r="AH2584" s="98"/>
      <c r="AI2584" s="98"/>
      <c r="AJ2584" s="98"/>
      <c r="AK2584" s="98"/>
      <c r="AL2584" s="98"/>
      <c r="AM2584" s="98"/>
    </row>
    <row r="2585" spans="1:39" s="100" customFormat="1" ht="15.6" x14ac:dyDescent="0.3">
      <c r="A2585" s="97"/>
      <c r="B2585" s="98"/>
      <c r="C2585" s="98"/>
      <c r="D2585" s="98"/>
      <c r="E2585" s="98"/>
      <c r="F2585" s="98"/>
      <c r="G2585" s="99"/>
      <c r="H2585" s="99"/>
      <c r="I2585" s="99"/>
      <c r="J2585" s="99"/>
      <c r="K2585" s="98"/>
      <c r="L2585" s="98"/>
      <c r="M2585" s="98"/>
      <c r="N2585" s="98"/>
      <c r="O2585" s="98"/>
      <c r="P2585" s="98"/>
      <c r="Q2585" s="98"/>
      <c r="R2585" s="98"/>
      <c r="S2585" s="98"/>
      <c r="T2585" s="98"/>
      <c r="U2585" s="98"/>
      <c r="V2585" s="98"/>
      <c r="W2585" s="98"/>
      <c r="X2585" s="98"/>
      <c r="Y2585" s="98"/>
      <c r="Z2585" s="98"/>
      <c r="AA2585" s="98"/>
      <c r="AB2585" s="98"/>
      <c r="AC2585" s="98"/>
      <c r="AD2585" s="98"/>
      <c r="AE2585" s="98"/>
      <c r="AF2585" s="98"/>
      <c r="AG2585" s="98"/>
      <c r="AH2585" s="98"/>
      <c r="AI2585" s="98"/>
      <c r="AJ2585" s="98"/>
      <c r="AK2585" s="98"/>
      <c r="AL2585" s="98"/>
      <c r="AM2585" s="98"/>
    </row>
    <row r="2586" spans="1:39" s="100" customFormat="1" ht="15.6" x14ac:dyDescent="0.3">
      <c r="A2586" s="97"/>
      <c r="B2586" s="98"/>
      <c r="C2586" s="98"/>
      <c r="D2586" s="98"/>
      <c r="E2586" s="98"/>
      <c r="F2586" s="98"/>
      <c r="G2586" s="99"/>
      <c r="H2586" s="99"/>
      <c r="I2586" s="99"/>
      <c r="J2586" s="99"/>
      <c r="K2586" s="98"/>
      <c r="L2586" s="98"/>
      <c r="M2586" s="98"/>
      <c r="N2586" s="98"/>
      <c r="O2586" s="98"/>
      <c r="P2586" s="98"/>
      <c r="Q2586" s="98"/>
      <c r="R2586" s="98"/>
      <c r="S2586" s="98"/>
      <c r="T2586" s="98"/>
      <c r="U2586" s="98"/>
      <c r="V2586" s="98"/>
      <c r="W2586" s="98"/>
      <c r="X2586" s="98"/>
      <c r="Y2586" s="98"/>
      <c r="Z2586" s="98"/>
      <c r="AA2586" s="98"/>
      <c r="AB2586" s="98"/>
      <c r="AC2586" s="98"/>
      <c r="AD2586" s="98"/>
      <c r="AE2586" s="98"/>
      <c r="AF2586" s="98"/>
      <c r="AG2586" s="98"/>
      <c r="AH2586" s="98"/>
      <c r="AI2586" s="98"/>
      <c r="AJ2586" s="98"/>
      <c r="AK2586" s="98"/>
      <c r="AL2586" s="98"/>
      <c r="AM2586" s="98"/>
    </row>
    <row r="2587" spans="1:39" s="100" customFormat="1" ht="15.6" x14ac:dyDescent="0.3">
      <c r="A2587" s="97"/>
      <c r="B2587" s="98"/>
      <c r="C2587" s="98"/>
      <c r="D2587" s="98"/>
      <c r="E2587" s="98"/>
      <c r="F2587" s="98"/>
      <c r="G2587" s="99"/>
      <c r="H2587" s="99"/>
      <c r="I2587" s="99"/>
      <c r="J2587" s="99"/>
      <c r="K2587" s="98"/>
      <c r="L2587" s="98"/>
      <c r="M2587" s="98"/>
      <c r="N2587" s="98"/>
      <c r="O2587" s="98"/>
      <c r="P2587" s="98"/>
      <c r="Q2587" s="98"/>
      <c r="R2587" s="98"/>
      <c r="S2587" s="98"/>
      <c r="T2587" s="98"/>
      <c r="U2587" s="98"/>
      <c r="V2587" s="98"/>
      <c r="W2587" s="98"/>
      <c r="X2587" s="98"/>
      <c r="Y2587" s="98"/>
      <c r="Z2587" s="98"/>
      <c r="AA2587" s="98"/>
      <c r="AB2587" s="98"/>
      <c r="AC2587" s="98"/>
      <c r="AD2587" s="98"/>
      <c r="AE2587" s="98"/>
      <c r="AF2587" s="98"/>
      <c r="AG2587" s="98"/>
      <c r="AH2587" s="98"/>
      <c r="AI2587" s="98"/>
      <c r="AJ2587" s="98"/>
      <c r="AK2587" s="98"/>
      <c r="AL2587" s="98"/>
      <c r="AM2587" s="98"/>
    </row>
    <row r="2588" spans="1:39" s="100" customFormat="1" ht="15.6" x14ac:dyDescent="0.3">
      <c r="A2588" s="97"/>
      <c r="B2588" s="98"/>
      <c r="C2588" s="98"/>
      <c r="D2588" s="98"/>
      <c r="E2588" s="98"/>
      <c r="F2588" s="98"/>
      <c r="G2588" s="99"/>
      <c r="H2588" s="99"/>
      <c r="I2588" s="99"/>
      <c r="J2588" s="99"/>
      <c r="K2588" s="98"/>
      <c r="L2588" s="98"/>
      <c r="M2588" s="98"/>
      <c r="N2588" s="98"/>
      <c r="O2588" s="98"/>
      <c r="P2588" s="98"/>
      <c r="Q2588" s="98"/>
      <c r="R2588" s="98"/>
      <c r="S2588" s="98"/>
      <c r="T2588" s="98"/>
      <c r="U2588" s="98"/>
      <c r="V2588" s="98"/>
      <c r="W2588" s="98"/>
      <c r="X2588" s="98"/>
      <c r="Y2588" s="98"/>
      <c r="Z2588" s="98"/>
      <c r="AA2588" s="98"/>
      <c r="AB2588" s="98"/>
      <c r="AC2588" s="98"/>
      <c r="AD2588" s="98"/>
      <c r="AE2588" s="98"/>
      <c r="AF2588" s="98"/>
      <c r="AG2588" s="98"/>
      <c r="AH2588" s="98"/>
      <c r="AI2588" s="98"/>
      <c r="AJ2588" s="98"/>
      <c r="AK2588" s="98"/>
      <c r="AL2588" s="98"/>
      <c r="AM2588" s="98"/>
    </row>
    <row r="2589" spans="1:39" s="100" customFormat="1" ht="15.6" x14ac:dyDescent="0.3">
      <c r="A2589" s="97"/>
      <c r="B2589" s="98"/>
      <c r="C2589" s="98"/>
      <c r="D2589" s="98"/>
      <c r="E2589" s="98"/>
      <c r="F2589" s="98"/>
      <c r="G2589" s="99"/>
      <c r="H2589" s="99"/>
      <c r="I2589" s="99"/>
      <c r="J2589" s="99"/>
      <c r="K2589" s="98"/>
      <c r="L2589" s="98"/>
      <c r="M2589" s="98"/>
      <c r="N2589" s="98"/>
      <c r="O2589" s="98"/>
      <c r="P2589" s="98"/>
      <c r="Q2589" s="98"/>
      <c r="R2589" s="98"/>
      <c r="S2589" s="98"/>
      <c r="T2589" s="98"/>
      <c r="U2589" s="98"/>
      <c r="V2589" s="98"/>
      <c r="W2589" s="98"/>
      <c r="X2589" s="98"/>
      <c r="Y2589" s="98"/>
      <c r="Z2589" s="98"/>
      <c r="AA2589" s="98"/>
      <c r="AB2589" s="98"/>
      <c r="AC2589" s="98"/>
      <c r="AD2589" s="98"/>
      <c r="AE2589" s="98"/>
      <c r="AF2589" s="98"/>
      <c r="AG2589" s="98"/>
      <c r="AH2589" s="98"/>
      <c r="AI2589" s="98"/>
      <c r="AJ2589" s="98"/>
      <c r="AK2589" s="98"/>
      <c r="AL2589" s="98"/>
      <c r="AM2589" s="98"/>
    </row>
    <row r="2590" spans="1:39" s="100" customFormat="1" ht="15.6" x14ac:dyDescent="0.3">
      <c r="A2590" s="97"/>
      <c r="B2590" s="98"/>
      <c r="C2590" s="98"/>
      <c r="D2590" s="98"/>
      <c r="E2590" s="98"/>
      <c r="F2590" s="98"/>
      <c r="G2590" s="99"/>
      <c r="H2590" s="99"/>
      <c r="I2590" s="99"/>
      <c r="J2590" s="99"/>
      <c r="K2590" s="98"/>
      <c r="L2590" s="98"/>
      <c r="M2590" s="98"/>
      <c r="N2590" s="98"/>
      <c r="O2590" s="98"/>
      <c r="P2590" s="98"/>
      <c r="Q2590" s="98"/>
      <c r="R2590" s="98"/>
      <c r="S2590" s="98"/>
      <c r="T2590" s="98"/>
      <c r="U2590" s="98"/>
      <c r="V2590" s="98"/>
      <c r="W2590" s="98"/>
      <c r="X2590" s="98"/>
      <c r="Y2590" s="98"/>
      <c r="Z2590" s="98"/>
      <c r="AA2590" s="98"/>
      <c r="AB2590" s="98"/>
      <c r="AC2590" s="98"/>
      <c r="AD2590" s="98"/>
      <c r="AE2590" s="98"/>
      <c r="AF2590" s="98"/>
      <c r="AG2590" s="98"/>
      <c r="AH2590" s="98"/>
      <c r="AI2590" s="98"/>
      <c r="AJ2590" s="98"/>
      <c r="AK2590" s="98"/>
      <c r="AL2590" s="98"/>
      <c r="AM2590" s="98"/>
    </row>
    <row r="2591" spans="1:39" s="100" customFormat="1" ht="15.6" x14ac:dyDescent="0.3">
      <c r="A2591" s="97"/>
      <c r="B2591" s="98"/>
      <c r="C2591" s="98"/>
      <c r="D2591" s="98"/>
      <c r="E2591" s="98"/>
      <c r="F2591" s="98"/>
      <c r="G2591" s="99"/>
      <c r="H2591" s="99"/>
      <c r="I2591" s="99"/>
      <c r="J2591" s="99"/>
      <c r="K2591" s="98"/>
      <c r="L2591" s="98"/>
      <c r="M2591" s="98"/>
      <c r="N2591" s="98"/>
      <c r="O2591" s="98"/>
      <c r="P2591" s="98"/>
      <c r="Q2591" s="98"/>
      <c r="R2591" s="98"/>
      <c r="S2591" s="98"/>
      <c r="T2591" s="98"/>
      <c r="U2591" s="98"/>
      <c r="V2591" s="98"/>
      <c r="W2591" s="98"/>
      <c r="X2591" s="98"/>
      <c r="Y2591" s="98"/>
      <c r="Z2591" s="98"/>
      <c r="AA2591" s="98"/>
      <c r="AB2591" s="98"/>
      <c r="AC2591" s="98"/>
      <c r="AD2591" s="98"/>
      <c r="AE2591" s="98"/>
      <c r="AF2591" s="98"/>
      <c r="AG2591" s="98"/>
      <c r="AH2591" s="98"/>
      <c r="AI2591" s="98"/>
      <c r="AJ2591" s="98"/>
      <c r="AK2591" s="98"/>
      <c r="AL2591" s="98"/>
      <c r="AM2591" s="98"/>
    </row>
    <row r="2592" spans="1:39" s="100" customFormat="1" ht="15.6" x14ac:dyDescent="0.3">
      <c r="A2592" s="97"/>
      <c r="B2592" s="98"/>
      <c r="C2592" s="98"/>
      <c r="D2592" s="98"/>
      <c r="E2592" s="98"/>
      <c r="F2592" s="98"/>
      <c r="G2592" s="99"/>
      <c r="H2592" s="99"/>
      <c r="I2592" s="99"/>
      <c r="J2592" s="99"/>
      <c r="K2592" s="98"/>
      <c r="L2592" s="98"/>
      <c r="M2592" s="98"/>
      <c r="N2592" s="98"/>
      <c r="O2592" s="98"/>
      <c r="P2592" s="98"/>
      <c r="Q2592" s="98"/>
      <c r="R2592" s="98"/>
      <c r="S2592" s="98"/>
      <c r="T2592" s="98"/>
      <c r="U2592" s="98"/>
      <c r="V2592" s="98"/>
      <c r="W2592" s="98"/>
      <c r="X2592" s="98"/>
      <c r="Y2592" s="98"/>
      <c r="Z2592" s="98"/>
      <c r="AA2592" s="98"/>
      <c r="AB2592" s="98"/>
      <c r="AC2592" s="98"/>
      <c r="AD2592" s="98"/>
      <c r="AE2592" s="98"/>
      <c r="AF2592" s="98"/>
      <c r="AG2592" s="98"/>
      <c r="AH2592" s="98"/>
      <c r="AI2592" s="98"/>
      <c r="AJ2592" s="98"/>
      <c r="AK2592" s="98"/>
      <c r="AL2592" s="98"/>
      <c r="AM2592" s="98"/>
    </row>
    <row r="2593" spans="1:39" s="100" customFormat="1" ht="15.6" x14ac:dyDescent="0.3">
      <c r="A2593" s="97"/>
      <c r="B2593" s="98"/>
      <c r="C2593" s="98"/>
      <c r="D2593" s="98"/>
      <c r="E2593" s="98"/>
      <c r="F2593" s="98"/>
      <c r="G2593" s="99"/>
      <c r="H2593" s="99"/>
      <c r="I2593" s="99"/>
      <c r="J2593" s="99"/>
      <c r="K2593" s="98"/>
      <c r="L2593" s="98"/>
      <c r="M2593" s="98"/>
      <c r="N2593" s="98"/>
      <c r="O2593" s="98"/>
      <c r="P2593" s="98"/>
      <c r="Q2593" s="98"/>
      <c r="R2593" s="98"/>
      <c r="S2593" s="98"/>
      <c r="T2593" s="98"/>
      <c r="U2593" s="98"/>
      <c r="V2593" s="98"/>
      <c r="W2593" s="98"/>
      <c r="X2593" s="98"/>
      <c r="Y2593" s="98"/>
      <c r="Z2593" s="98"/>
      <c r="AA2593" s="98"/>
      <c r="AB2593" s="98"/>
      <c r="AC2593" s="98"/>
      <c r="AD2593" s="98"/>
      <c r="AE2593" s="98"/>
      <c r="AF2593" s="98"/>
      <c r="AG2593" s="98"/>
      <c r="AH2593" s="98"/>
      <c r="AI2593" s="98"/>
      <c r="AJ2593" s="98"/>
      <c r="AK2593" s="98"/>
      <c r="AL2593" s="98"/>
      <c r="AM2593" s="98"/>
    </row>
    <row r="2594" spans="1:39" s="100" customFormat="1" ht="15.6" x14ac:dyDescent="0.3">
      <c r="A2594" s="97"/>
      <c r="B2594" s="98"/>
      <c r="C2594" s="98"/>
      <c r="D2594" s="98"/>
      <c r="E2594" s="98"/>
      <c r="F2594" s="98"/>
      <c r="G2594" s="99"/>
      <c r="H2594" s="99"/>
      <c r="I2594" s="99"/>
      <c r="J2594" s="99"/>
      <c r="K2594" s="98"/>
      <c r="L2594" s="98"/>
      <c r="M2594" s="98"/>
      <c r="N2594" s="98"/>
      <c r="O2594" s="98"/>
      <c r="P2594" s="98"/>
      <c r="Q2594" s="98"/>
      <c r="R2594" s="98"/>
      <c r="S2594" s="98"/>
      <c r="T2594" s="98"/>
      <c r="U2594" s="98"/>
      <c r="V2594" s="98"/>
      <c r="W2594" s="98"/>
      <c r="X2594" s="98"/>
      <c r="Y2594" s="98"/>
      <c r="Z2594" s="98"/>
      <c r="AA2594" s="98"/>
      <c r="AB2594" s="98"/>
      <c r="AC2594" s="98"/>
      <c r="AD2594" s="98"/>
      <c r="AE2594" s="98"/>
      <c r="AF2594" s="98"/>
      <c r="AG2594" s="98"/>
      <c r="AH2594" s="98"/>
      <c r="AI2594" s="98"/>
      <c r="AJ2594" s="98"/>
      <c r="AK2594" s="98"/>
      <c r="AL2594" s="98"/>
      <c r="AM2594" s="98"/>
    </row>
    <row r="2595" spans="1:39" s="100" customFormat="1" ht="15.6" x14ac:dyDescent="0.3">
      <c r="A2595" s="97"/>
      <c r="B2595" s="98"/>
      <c r="C2595" s="98"/>
      <c r="D2595" s="98"/>
      <c r="E2595" s="98"/>
      <c r="F2595" s="98"/>
      <c r="G2595" s="99"/>
      <c r="H2595" s="99"/>
      <c r="I2595" s="99"/>
      <c r="J2595" s="99"/>
      <c r="K2595" s="98"/>
      <c r="L2595" s="98"/>
      <c r="M2595" s="98"/>
      <c r="N2595" s="98"/>
      <c r="O2595" s="98"/>
      <c r="P2595" s="98"/>
      <c r="Q2595" s="98"/>
      <c r="R2595" s="98"/>
      <c r="S2595" s="98"/>
      <c r="T2595" s="98"/>
      <c r="U2595" s="98"/>
      <c r="V2595" s="98"/>
      <c r="W2595" s="98"/>
      <c r="X2595" s="98"/>
      <c r="Y2595" s="98"/>
      <c r="Z2595" s="98"/>
      <c r="AA2595" s="98"/>
      <c r="AB2595" s="98"/>
      <c r="AC2595" s="98"/>
      <c r="AD2595" s="98"/>
      <c r="AE2595" s="98"/>
      <c r="AF2595" s="98"/>
      <c r="AG2595" s="98"/>
      <c r="AH2595" s="98"/>
      <c r="AI2595" s="98"/>
      <c r="AJ2595" s="98"/>
      <c r="AK2595" s="98"/>
      <c r="AL2595" s="98"/>
      <c r="AM2595" s="98"/>
    </row>
    <row r="2596" spans="1:39" s="100" customFormat="1" ht="15.6" x14ac:dyDescent="0.3">
      <c r="A2596" s="97"/>
      <c r="B2596" s="98"/>
      <c r="C2596" s="98"/>
      <c r="D2596" s="98"/>
      <c r="E2596" s="98"/>
      <c r="F2596" s="98"/>
      <c r="G2596" s="99"/>
      <c r="H2596" s="99"/>
      <c r="I2596" s="99"/>
      <c r="J2596" s="99"/>
      <c r="K2596" s="98"/>
      <c r="L2596" s="98"/>
      <c r="M2596" s="98"/>
      <c r="N2596" s="98"/>
      <c r="O2596" s="98"/>
      <c r="P2596" s="98"/>
      <c r="Q2596" s="98"/>
      <c r="R2596" s="98"/>
      <c r="S2596" s="98"/>
      <c r="T2596" s="98"/>
      <c r="U2596" s="98"/>
      <c r="V2596" s="98"/>
      <c r="W2596" s="98"/>
      <c r="X2596" s="98"/>
      <c r="Y2596" s="98"/>
      <c r="Z2596" s="98"/>
      <c r="AA2596" s="98"/>
      <c r="AB2596" s="98"/>
      <c r="AC2596" s="98"/>
      <c r="AD2596" s="98"/>
      <c r="AE2596" s="98"/>
      <c r="AF2596" s="98"/>
      <c r="AG2596" s="98"/>
      <c r="AH2596" s="98"/>
      <c r="AI2596" s="98"/>
      <c r="AJ2596" s="98"/>
      <c r="AK2596" s="98"/>
      <c r="AL2596" s="98"/>
      <c r="AM2596" s="98"/>
    </row>
    <row r="2597" spans="1:39" s="100" customFormat="1" ht="15.6" x14ac:dyDescent="0.3">
      <c r="A2597" s="97"/>
      <c r="B2597" s="98"/>
      <c r="C2597" s="98"/>
      <c r="D2597" s="98"/>
      <c r="E2597" s="98"/>
      <c r="F2597" s="98"/>
      <c r="G2597" s="99"/>
      <c r="H2597" s="99"/>
      <c r="I2597" s="99"/>
      <c r="J2597" s="99"/>
      <c r="K2597" s="98"/>
      <c r="L2597" s="98"/>
      <c r="M2597" s="98"/>
      <c r="N2597" s="98"/>
      <c r="O2597" s="98"/>
      <c r="P2597" s="98"/>
      <c r="Q2597" s="98"/>
      <c r="R2597" s="98"/>
      <c r="S2597" s="98"/>
      <c r="T2597" s="98"/>
      <c r="U2597" s="98"/>
      <c r="V2597" s="98"/>
      <c r="W2597" s="98"/>
      <c r="X2597" s="98"/>
      <c r="Y2597" s="98"/>
      <c r="Z2597" s="98"/>
      <c r="AA2597" s="98"/>
      <c r="AB2597" s="98"/>
      <c r="AC2597" s="98"/>
      <c r="AD2597" s="98"/>
      <c r="AE2597" s="98"/>
      <c r="AF2597" s="98"/>
      <c r="AG2597" s="98"/>
      <c r="AH2597" s="98"/>
      <c r="AI2597" s="98"/>
      <c r="AJ2597" s="98"/>
      <c r="AK2597" s="98"/>
      <c r="AL2597" s="98"/>
      <c r="AM2597" s="98"/>
    </row>
    <row r="2598" spans="1:39" s="100" customFormat="1" ht="15.6" x14ac:dyDescent="0.3">
      <c r="A2598" s="97"/>
      <c r="B2598" s="98"/>
      <c r="C2598" s="98"/>
      <c r="D2598" s="98"/>
      <c r="E2598" s="98"/>
      <c r="F2598" s="98"/>
      <c r="G2598" s="99"/>
      <c r="H2598" s="99"/>
      <c r="I2598" s="99"/>
      <c r="J2598" s="99"/>
      <c r="K2598" s="98"/>
      <c r="L2598" s="98"/>
      <c r="M2598" s="98"/>
      <c r="N2598" s="98"/>
      <c r="O2598" s="98"/>
      <c r="P2598" s="98"/>
      <c r="Q2598" s="98"/>
      <c r="R2598" s="98"/>
      <c r="S2598" s="98"/>
      <c r="T2598" s="98"/>
      <c r="U2598" s="98"/>
      <c r="V2598" s="98"/>
      <c r="W2598" s="98"/>
      <c r="X2598" s="98"/>
      <c r="Y2598" s="98"/>
      <c r="Z2598" s="98"/>
      <c r="AA2598" s="98"/>
      <c r="AB2598" s="98"/>
      <c r="AC2598" s="98"/>
      <c r="AD2598" s="98"/>
      <c r="AE2598" s="98"/>
      <c r="AF2598" s="98"/>
      <c r="AG2598" s="98"/>
      <c r="AH2598" s="98"/>
      <c r="AI2598" s="98"/>
      <c r="AJ2598" s="98"/>
      <c r="AK2598" s="98"/>
      <c r="AL2598" s="98"/>
      <c r="AM2598" s="98"/>
    </row>
    <row r="2599" spans="1:39" s="100" customFormat="1" ht="15.6" x14ac:dyDescent="0.3">
      <c r="A2599" s="97"/>
      <c r="B2599" s="98"/>
      <c r="C2599" s="98"/>
      <c r="D2599" s="98"/>
      <c r="E2599" s="98"/>
      <c r="F2599" s="98"/>
      <c r="G2599" s="99"/>
      <c r="H2599" s="99"/>
      <c r="I2599" s="99"/>
      <c r="J2599" s="99"/>
      <c r="K2599" s="98"/>
      <c r="L2599" s="98"/>
      <c r="M2599" s="98"/>
      <c r="N2599" s="98"/>
      <c r="O2599" s="98"/>
      <c r="P2599" s="98"/>
      <c r="Q2599" s="98"/>
      <c r="R2599" s="98"/>
      <c r="S2599" s="98"/>
      <c r="T2599" s="98"/>
      <c r="U2599" s="98"/>
      <c r="V2599" s="98"/>
      <c r="W2599" s="98"/>
      <c r="X2599" s="98"/>
      <c r="Y2599" s="98"/>
      <c r="Z2599" s="98"/>
      <c r="AA2599" s="98"/>
      <c r="AB2599" s="98"/>
      <c r="AC2599" s="98"/>
      <c r="AD2599" s="98"/>
      <c r="AE2599" s="98"/>
      <c r="AF2599" s="98"/>
      <c r="AG2599" s="98"/>
      <c r="AH2599" s="98"/>
      <c r="AI2599" s="98"/>
      <c r="AJ2599" s="98"/>
      <c r="AK2599" s="98"/>
      <c r="AL2599" s="98"/>
      <c r="AM2599" s="98"/>
    </row>
    <row r="2600" spans="1:39" s="100" customFormat="1" ht="15.6" x14ac:dyDescent="0.3">
      <c r="A2600" s="97"/>
      <c r="B2600" s="98"/>
      <c r="C2600" s="98"/>
      <c r="D2600" s="98"/>
      <c r="E2600" s="98"/>
      <c r="F2600" s="98"/>
      <c r="G2600" s="99"/>
      <c r="H2600" s="99"/>
      <c r="I2600" s="99"/>
      <c r="J2600" s="99"/>
      <c r="K2600" s="98"/>
      <c r="L2600" s="98"/>
      <c r="M2600" s="98"/>
      <c r="N2600" s="98"/>
      <c r="O2600" s="98"/>
      <c r="P2600" s="98"/>
      <c r="Q2600" s="98"/>
      <c r="R2600" s="98"/>
      <c r="S2600" s="98"/>
      <c r="T2600" s="98"/>
      <c r="U2600" s="98"/>
      <c r="V2600" s="98"/>
      <c r="W2600" s="98"/>
      <c r="X2600" s="98"/>
      <c r="Y2600" s="98"/>
      <c r="Z2600" s="98"/>
      <c r="AA2600" s="98"/>
      <c r="AB2600" s="98"/>
      <c r="AC2600" s="98"/>
      <c r="AD2600" s="98"/>
      <c r="AE2600" s="98"/>
      <c r="AF2600" s="98"/>
      <c r="AG2600" s="98"/>
      <c r="AH2600" s="98"/>
      <c r="AI2600" s="98"/>
      <c r="AJ2600" s="98"/>
      <c r="AK2600" s="98"/>
      <c r="AL2600" s="98"/>
      <c r="AM2600" s="98"/>
    </row>
    <row r="2601" spans="1:39" s="100" customFormat="1" ht="15.6" x14ac:dyDescent="0.3">
      <c r="A2601" s="97"/>
      <c r="B2601" s="98"/>
      <c r="C2601" s="98"/>
      <c r="D2601" s="98"/>
      <c r="E2601" s="98"/>
      <c r="F2601" s="98"/>
      <c r="G2601" s="99"/>
      <c r="H2601" s="99"/>
      <c r="I2601" s="99"/>
      <c r="J2601" s="99"/>
      <c r="K2601" s="98"/>
      <c r="L2601" s="98"/>
      <c r="M2601" s="98"/>
      <c r="N2601" s="98"/>
      <c r="O2601" s="98"/>
      <c r="P2601" s="98"/>
      <c r="Q2601" s="98"/>
      <c r="R2601" s="98"/>
      <c r="S2601" s="98"/>
      <c r="T2601" s="98"/>
      <c r="U2601" s="98"/>
      <c r="V2601" s="98"/>
      <c r="W2601" s="98"/>
      <c r="X2601" s="98"/>
      <c r="Y2601" s="98"/>
      <c r="Z2601" s="98"/>
      <c r="AA2601" s="98"/>
      <c r="AB2601" s="98"/>
      <c r="AC2601" s="98"/>
      <c r="AD2601" s="98"/>
      <c r="AE2601" s="98"/>
      <c r="AF2601" s="98"/>
      <c r="AG2601" s="98"/>
      <c r="AH2601" s="98"/>
      <c r="AI2601" s="98"/>
      <c r="AJ2601" s="98"/>
      <c r="AK2601" s="98"/>
      <c r="AL2601" s="98"/>
      <c r="AM2601" s="98"/>
    </row>
    <row r="2602" spans="1:39" s="100" customFormat="1" ht="15.6" x14ac:dyDescent="0.3">
      <c r="A2602" s="97"/>
      <c r="B2602" s="98"/>
      <c r="C2602" s="98"/>
      <c r="D2602" s="98"/>
      <c r="E2602" s="98"/>
      <c r="F2602" s="98"/>
      <c r="G2602" s="99"/>
      <c r="H2602" s="99"/>
      <c r="I2602" s="99"/>
      <c r="J2602" s="99"/>
      <c r="K2602" s="98"/>
      <c r="L2602" s="98"/>
      <c r="M2602" s="98"/>
      <c r="N2602" s="98"/>
      <c r="O2602" s="98"/>
      <c r="P2602" s="98"/>
      <c r="Q2602" s="98"/>
      <c r="R2602" s="98"/>
      <c r="S2602" s="98"/>
      <c r="T2602" s="98"/>
      <c r="U2602" s="98"/>
      <c r="V2602" s="98"/>
      <c r="W2602" s="98"/>
      <c r="X2602" s="98"/>
      <c r="Y2602" s="98"/>
      <c r="Z2602" s="98"/>
      <c r="AA2602" s="98"/>
      <c r="AB2602" s="98"/>
      <c r="AC2602" s="98"/>
      <c r="AD2602" s="98"/>
      <c r="AE2602" s="98"/>
      <c r="AF2602" s="98"/>
      <c r="AG2602" s="98"/>
      <c r="AH2602" s="98"/>
      <c r="AI2602" s="98"/>
      <c r="AJ2602" s="98"/>
      <c r="AK2602" s="98"/>
      <c r="AL2602" s="98"/>
      <c r="AM2602" s="98"/>
    </row>
    <row r="2603" spans="1:39" s="100" customFormat="1" ht="15.6" x14ac:dyDescent="0.3">
      <c r="A2603" s="97"/>
      <c r="B2603" s="98"/>
      <c r="C2603" s="98"/>
      <c r="D2603" s="98"/>
      <c r="E2603" s="98"/>
      <c r="F2603" s="98"/>
      <c r="G2603" s="99"/>
      <c r="H2603" s="99"/>
      <c r="I2603" s="99"/>
      <c r="J2603" s="99"/>
      <c r="K2603" s="98"/>
      <c r="L2603" s="98"/>
      <c r="M2603" s="98"/>
      <c r="N2603" s="98"/>
      <c r="O2603" s="98"/>
      <c r="P2603" s="98"/>
      <c r="Q2603" s="98"/>
      <c r="R2603" s="98"/>
      <c r="S2603" s="98"/>
      <c r="T2603" s="98"/>
      <c r="U2603" s="98"/>
      <c r="V2603" s="98"/>
      <c r="W2603" s="98"/>
      <c r="X2603" s="98"/>
      <c r="Y2603" s="98"/>
      <c r="Z2603" s="98"/>
      <c r="AA2603" s="98"/>
      <c r="AB2603" s="98"/>
      <c r="AC2603" s="98"/>
      <c r="AD2603" s="98"/>
      <c r="AE2603" s="98"/>
      <c r="AF2603" s="98"/>
      <c r="AG2603" s="98"/>
      <c r="AH2603" s="98"/>
      <c r="AI2603" s="98"/>
      <c r="AJ2603" s="98"/>
      <c r="AK2603" s="98"/>
      <c r="AL2603" s="98"/>
      <c r="AM2603" s="98"/>
    </row>
    <row r="2604" spans="1:39" s="100" customFormat="1" ht="15.6" x14ac:dyDescent="0.3">
      <c r="A2604" s="97"/>
      <c r="B2604" s="98"/>
      <c r="C2604" s="98"/>
      <c r="D2604" s="98"/>
      <c r="E2604" s="98"/>
      <c r="F2604" s="98"/>
      <c r="G2604" s="99"/>
      <c r="H2604" s="99"/>
      <c r="I2604" s="99"/>
      <c r="J2604" s="99"/>
      <c r="K2604" s="98"/>
      <c r="L2604" s="98"/>
      <c r="M2604" s="98"/>
      <c r="N2604" s="98"/>
      <c r="O2604" s="98"/>
      <c r="P2604" s="98"/>
      <c r="Q2604" s="98"/>
      <c r="R2604" s="98"/>
      <c r="S2604" s="98"/>
      <c r="T2604" s="98"/>
      <c r="U2604" s="98"/>
      <c r="V2604" s="98"/>
      <c r="W2604" s="98"/>
      <c r="X2604" s="98"/>
      <c r="Y2604" s="98"/>
      <c r="Z2604" s="98"/>
      <c r="AA2604" s="98"/>
      <c r="AB2604" s="98"/>
      <c r="AC2604" s="98"/>
      <c r="AD2604" s="98"/>
      <c r="AE2604" s="98"/>
      <c r="AF2604" s="98"/>
      <c r="AG2604" s="98"/>
      <c r="AH2604" s="98"/>
      <c r="AI2604" s="98"/>
      <c r="AJ2604" s="98"/>
      <c r="AK2604" s="98"/>
      <c r="AL2604" s="98"/>
      <c r="AM2604" s="98"/>
    </row>
    <row r="2605" spans="1:39" s="100" customFormat="1" ht="15.6" x14ac:dyDescent="0.3">
      <c r="A2605" s="97"/>
      <c r="B2605" s="98"/>
      <c r="C2605" s="98"/>
      <c r="D2605" s="98"/>
      <c r="E2605" s="98"/>
      <c r="F2605" s="98"/>
      <c r="G2605" s="99"/>
      <c r="H2605" s="99"/>
      <c r="I2605" s="99"/>
      <c r="J2605" s="99"/>
      <c r="K2605" s="98"/>
      <c r="L2605" s="98"/>
      <c r="M2605" s="98"/>
      <c r="N2605" s="98"/>
      <c r="O2605" s="98"/>
      <c r="P2605" s="98"/>
      <c r="Q2605" s="98"/>
      <c r="R2605" s="98"/>
      <c r="S2605" s="98"/>
      <c r="T2605" s="98"/>
      <c r="U2605" s="98"/>
      <c r="V2605" s="98"/>
      <c r="W2605" s="98"/>
      <c r="X2605" s="98"/>
      <c r="Y2605" s="98"/>
      <c r="Z2605" s="98"/>
      <c r="AA2605" s="98"/>
      <c r="AB2605" s="98"/>
      <c r="AC2605" s="98"/>
      <c r="AD2605" s="98"/>
      <c r="AE2605" s="98"/>
      <c r="AF2605" s="98"/>
      <c r="AG2605" s="98"/>
      <c r="AH2605" s="98"/>
      <c r="AI2605" s="98"/>
      <c r="AJ2605" s="98"/>
      <c r="AK2605" s="98"/>
      <c r="AL2605" s="98"/>
      <c r="AM2605" s="98"/>
    </row>
    <row r="2606" spans="1:39" s="100" customFormat="1" ht="15.6" x14ac:dyDescent="0.3">
      <c r="A2606" s="97"/>
      <c r="B2606" s="98"/>
      <c r="C2606" s="98"/>
      <c r="D2606" s="98"/>
      <c r="E2606" s="98"/>
      <c r="F2606" s="98"/>
      <c r="G2606" s="99"/>
      <c r="H2606" s="99"/>
      <c r="I2606" s="99"/>
      <c r="J2606" s="99"/>
      <c r="K2606" s="98"/>
      <c r="L2606" s="98"/>
      <c r="M2606" s="98"/>
      <c r="N2606" s="98"/>
      <c r="O2606" s="98"/>
      <c r="P2606" s="98"/>
      <c r="Q2606" s="98"/>
      <c r="R2606" s="98"/>
      <c r="S2606" s="98"/>
      <c r="T2606" s="98"/>
      <c r="U2606" s="98"/>
      <c r="V2606" s="98"/>
      <c r="W2606" s="98"/>
      <c r="X2606" s="98"/>
      <c r="Y2606" s="98"/>
      <c r="Z2606" s="98"/>
      <c r="AA2606" s="98"/>
      <c r="AB2606" s="98"/>
      <c r="AC2606" s="98"/>
      <c r="AD2606" s="98"/>
      <c r="AE2606" s="98"/>
      <c r="AF2606" s="98"/>
      <c r="AG2606" s="98"/>
      <c r="AH2606" s="98"/>
      <c r="AI2606" s="98"/>
      <c r="AJ2606" s="98"/>
      <c r="AK2606" s="98"/>
      <c r="AL2606" s="98"/>
      <c r="AM2606" s="98"/>
    </row>
    <row r="2607" spans="1:39" s="100" customFormat="1" ht="15.6" x14ac:dyDescent="0.3">
      <c r="A2607" s="97"/>
      <c r="B2607" s="98"/>
      <c r="C2607" s="98"/>
      <c r="D2607" s="98"/>
      <c r="E2607" s="98"/>
      <c r="F2607" s="98"/>
      <c r="G2607" s="99"/>
      <c r="H2607" s="99"/>
      <c r="I2607" s="99"/>
      <c r="J2607" s="99"/>
      <c r="K2607" s="98"/>
      <c r="L2607" s="98"/>
      <c r="M2607" s="98"/>
      <c r="N2607" s="98"/>
      <c r="O2607" s="98"/>
      <c r="P2607" s="98"/>
      <c r="Q2607" s="98"/>
      <c r="R2607" s="98"/>
      <c r="S2607" s="98"/>
      <c r="T2607" s="98"/>
      <c r="U2607" s="98"/>
      <c r="V2607" s="98"/>
      <c r="W2607" s="98"/>
      <c r="X2607" s="98"/>
      <c r="Y2607" s="98"/>
      <c r="Z2607" s="98"/>
      <c r="AA2607" s="98"/>
      <c r="AB2607" s="98"/>
      <c r="AC2607" s="98"/>
      <c r="AD2607" s="98"/>
      <c r="AE2607" s="98"/>
      <c r="AF2607" s="98"/>
      <c r="AG2607" s="98"/>
      <c r="AH2607" s="98"/>
      <c r="AI2607" s="98"/>
      <c r="AJ2607" s="98"/>
      <c r="AK2607" s="98"/>
      <c r="AL2607" s="98"/>
      <c r="AM2607" s="98"/>
    </row>
    <row r="2608" spans="1:39" s="100" customFormat="1" ht="15.6" x14ac:dyDescent="0.3">
      <c r="A2608" s="97"/>
      <c r="B2608" s="98"/>
      <c r="C2608" s="98"/>
      <c r="D2608" s="98"/>
      <c r="E2608" s="98"/>
      <c r="F2608" s="98"/>
      <c r="G2608" s="99"/>
      <c r="H2608" s="99"/>
      <c r="I2608" s="99"/>
      <c r="J2608" s="99"/>
      <c r="K2608" s="98"/>
      <c r="L2608" s="98"/>
      <c r="M2608" s="98"/>
      <c r="N2608" s="98"/>
      <c r="O2608" s="98"/>
      <c r="P2608" s="98"/>
      <c r="Q2608" s="98"/>
      <c r="R2608" s="98"/>
      <c r="S2608" s="98"/>
      <c r="T2608" s="98"/>
      <c r="U2608" s="98"/>
      <c r="V2608" s="98"/>
      <c r="W2608" s="98"/>
      <c r="X2608" s="98"/>
      <c r="Y2608" s="98"/>
      <c r="Z2608" s="98"/>
      <c r="AA2608" s="98"/>
      <c r="AB2608" s="98"/>
      <c r="AC2608" s="98"/>
      <c r="AD2608" s="98"/>
      <c r="AE2608" s="98"/>
      <c r="AF2608" s="98"/>
      <c r="AG2608" s="98"/>
      <c r="AH2608" s="98"/>
      <c r="AI2608" s="98"/>
      <c r="AJ2608" s="98"/>
      <c r="AK2608" s="98"/>
      <c r="AL2608" s="98"/>
      <c r="AM2608" s="98"/>
    </row>
    <row r="2609" spans="1:39" s="100" customFormat="1" ht="15.6" x14ac:dyDescent="0.3">
      <c r="A2609" s="97"/>
      <c r="B2609" s="98"/>
      <c r="C2609" s="98"/>
      <c r="D2609" s="98"/>
      <c r="E2609" s="98"/>
      <c r="F2609" s="98"/>
      <c r="G2609" s="99"/>
      <c r="H2609" s="99"/>
      <c r="I2609" s="99"/>
      <c r="J2609" s="99"/>
      <c r="K2609" s="98"/>
      <c r="L2609" s="98"/>
      <c r="M2609" s="98"/>
      <c r="N2609" s="98"/>
      <c r="O2609" s="98"/>
      <c r="P2609" s="98"/>
      <c r="Q2609" s="98"/>
      <c r="R2609" s="98"/>
      <c r="S2609" s="98"/>
      <c r="T2609" s="98"/>
      <c r="U2609" s="98"/>
      <c r="V2609" s="98"/>
      <c r="W2609" s="98"/>
      <c r="X2609" s="98"/>
      <c r="Y2609" s="98"/>
      <c r="Z2609" s="98"/>
      <c r="AA2609" s="98"/>
      <c r="AB2609" s="98"/>
      <c r="AC2609" s="98"/>
      <c r="AD2609" s="98"/>
      <c r="AE2609" s="98"/>
      <c r="AF2609" s="98"/>
      <c r="AG2609" s="98"/>
      <c r="AH2609" s="98"/>
      <c r="AI2609" s="98"/>
      <c r="AJ2609" s="98"/>
      <c r="AK2609" s="98"/>
      <c r="AL2609" s="98"/>
      <c r="AM2609" s="98"/>
    </row>
    <row r="2610" spans="1:39" s="100" customFormat="1" ht="15.6" x14ac:dyDescent="0.3">
      <c r="A2610" s="97"/>
      <c r="B2610" s="98"/>
      <c r="C2610" s="98"/>
      <c r="D2610" s="98"/>
      <c r="E2610" s="98"/>
      <c r="F2610" s="98"/>
      <c r="G2610" s="99"/>
      <c r="H2610" s="99"/>
      <c r="I2610" s="99"/>
      <c r="J2610" s="99"/>
      <c r="K2610" s="98"/>
      <c r="L2610" s="98"/>
      <c r="M2610" s="98"/>
      <c r="N2610" s="98"/>
      <c r="O2610" s="98"/>
      <c r="P2610" s="98"/>
      <c r="Q2610" s="98"/>
      <c r="R2610" s="98"/>
      <c r="S2610" s="98"/>
      <c r="T2610" s="98"/>
      <c r="U2610" s="98"/>
      <c r="V2610" s="98"/>
      <c r="W2610" s="98"/>
      <c r="X2610" s="98"/>
      <c r="Y2610" s="98"/>
      <c r="Z2610" s="98"/>
      <c r="AA2610" s="98"/>
      <c r="AB2610" s="98"/>
      <c r="AC2610" s="98"/>
      <c r="AD2610" s="98"/>
      <c r="AE2610" s="98"/>
      <c r="AF2610" s="98"/>
      <c r="AG2610" s="98"/>
      <c r="AH2610" s="98"/>
      <c r="AI2610" s="98"/>
      <c r="AJ2610" s="98"/>
      <c r="AK2610" s="98"/>
      <c r="AL2610" s="98"/>
      <c r="AM2610" s="98"/>
    </row>
    <row r="2611" spans="1:39" s="100" customFormat="1" ht="15.6" x14ac:dyDescent="0.3">
      <c r="A2611" s="97"/>
      <c r="B2611" s="98"/>
      <c r="C2611" s="98"/>
      <c r="D2611" s="98"/>
      <c r="E2611" s="98"/>
      <c r="F2611" s="98"/>
      <c r="G2611" s="99"/>
      <c r="H2611" s="99"/>
      <c r="I2611" s="99"/>
      <c r="J2611" s="99"/>
      <c r="K2611" s="98"/>
      <c r="L2611" s="98"/>
      <c r="M2611" s="98"/>
      <c r="N2611" s="98"/>
      <c r="O2611" s="98"/>
      <c r="P2611" s="98"/>
      <c r="Q2611" s="98"/>
      <c r="R2611" s="98"/>
      <c r="S2611" s="98"/>
      <c r="T2611" s="98"/>
      <c r="U2611" s="98"/>
      <c r="V2611" s="98"/>
      <c r="W2611" s="98"/>
      <c r="X2611" s="98"/>
      <c r="Y2611" s="98"/>
      <c r="Z2611" s="98"/>
      <c r="AA2611" s="98"/>
      <c r="AB2611" s="98"/>
      <c r="AC2611" s="98"/>
      <c r="AD2611" s="98"/>
      <c r="AE2611" s="98"/>
      <c r="AF2611" s="98"/>
      <c r="AG2611" s="98"/>
      <c r="AH2611" s="98"/>
      <c r="AI2611" s="98"/>
      <c r="AJ2611" s="98"/>
      <c r="AK2611" s="98"/>
      <c r="AL2611" s="98"/>
      <c r="AM2611" s="98"/>
    </row>
    <row r="2612" spans="1:39" s="100" customFormat="1" ht="15.6" x14ac:dyDescent="0.3">
      <c r="A2612" s="97"/>
      <c r="B2612" s="98"/>
      <c r="C2612" s="98"/>
      <c r="D2612" s="98"/>
      <c r="E2612" s="98"/>
      <c r="F2612" s="98"/>
      <c r="G2612" s="99"/>
      <c r="H2612" s="99"/>
      <c r="I2612" s="99"/>
      <c r="J2612" s="99"/>
      <c r="K2612" s="98"/>
      <c r="L2612" s="98"/>
      <c r="M2612" s="98"/>
      <c r="N2612" s="98"/>
      <c r="O2612" s="98"/>
      <c r="P2612" s="98"/>
      <c r="Q2612" s="98"/>
      <c r="R2612" s="98"/>
      <c r="S2612" s="98"/>
      <c r="T2612" s="98"/>
      <c r="U2612" s="98"/>
      <c r="V2612" s="98"/>
      <c r="W2612" s="98"/>
      <c r="X2612" s="98"/>
      <c r="Y2612" s="98"/>
      <c r="Z2612" s="98"/>
      <c r="AA2612" s="98"/>
      <c r="AB2612" s="98"/>
      <c r="AC2612" s="98"/>
      <c r="AD2612" s="98"/>
      <c r="AE2612" s="98"/>
      <c r="AF2612" s="98"/>
      <c r="AG2612" s="98"/>
      <c r="AH2612" s="98"/>
      <c r="AI2612" s="98"/>
      <c r="AJ2612" s="98"/>
      <c r="AK2612" s="98"/>
      <c r="AL2612" s="98"/>
      <c r="AM2612" s="98"/>
    </row>
    <row r="2613" spans="1:39" s="100" customFormat="1" ht="15.6" x14ac:dyDescent="0.3">
      <c r="A2613" s="97"/>
      <c r="B2613" s="98"/>
      <c r="C2613" s="98"/>
      <c r="D2613" s="98"/>
      <c r="E2613" s="98"/>
      <c r="F2613" s="98"/>
      <c r="G2613" s="99"/>
      <c r="H2613" s="99"/>
      <c r="I2613" s="99"/>
      <c r="J2613" s="99"/>
      <c r="K2613" s="98"/>
      <c r="L2613" s="98"/>
      <c r="M2613" s="98"/>
      <c r="N2613" s="98"/>
      <c r="O2613" s="98"/>
      <c r="P2613" s="98"/>
      <c r="Q2613" s="98"/>
      <c r="R2613" s="98"/>
      <c r="S2613" s="98"/>
      <c r="T2613" s="98"/>
      <c r="U2613" s="98"/>
      <c r="V2613" s="98"/>
      <c r="W2613" s="98"/>
      <c r="X2613" s="98"/>
      <c r="Y2613" s="98"/>
      <c r="Z2613" s="98"/>
      <c r="AA2613" s="98"/>
      <c r="AB2613" s="98"/>
      <c r="AC2613" s="98"/>
      <c r="AD2613" s="98"/>
      <c r="AE2613" s="98"/>
      <c r="AF2613" s="98"/>
      <c r="AG2613" s="98"/>
      <c r="AH2613" s="98"/>
      <c r="AI2613" s="98"/>
      <c r="AJ2613" s="98"/>
      <c r="AK2613" s="98"/>
      <c r="AL2613" s="98"/>
      <c r="AM2613" s="98"/>
    </row>
    <row r="2614" spans="1:39" s="100" customFormat="1" ht="15.6" x14ac:dyDescent="0.3">
      <c r="A2614" s="97"/>
      <c r="B2614" s="98"/>
      <c r="C2614" s="98"/>
      <c r="D2614" s="98"/>
      <c r="E2614" s="98"/>
      <c r="F2614" s="98"/>
      <c r="G2614" s="99"/>
      <c r="H2614" s="99"/>
      <c r="I2614" s="99"/>
      <c r="J2614" s="99"/>
      <c r="K2614" s="98"/>
      <c r="L2614" s="98"/>
      <c r="M2614" s="98"/>
      <c r="N2614" s="98"/>
      <c r="O2614" s="98"/>
      <c r="P2614" s="98"/>
      <c r="Q2614" s="98"/>
      <c r="R2614" s="98"/>
      <c r="S2614" s="98"/>
      <c r="T2614" s="98"/>
      <c r="U2614" s="98"/>
      <c r="V2614" s="98"/>
      <c r="W2614" s="98"/>
      <c r="X2614" s="98"/>
      <c r="Y2614" s="98"/>
      <c r="Z2614" s="98"/>
      <c r="AA2614" s="98"/>
      <c r="AB2614" s="98"/>
      <c r="AC2614" s="98"/>
      <c r="AD2614" s="98"/>
      <c r="AE2614" s="98"/>
      <c r="AF2614" s="98"/>
      <c r="AG2614" s="98"/>
      <c r="AH2614" s="98"/>
      <c r="AI2614" s="98"/>
      <c r="AJ2614" s="98"/>
      <c r="AK2614" s="98"/>
      <c r="AL2614" s="98"/>
      <c r="AM2614" s="98"/>
    </row>
    <row r="2615" spans="1:39" s="100" customFormat="1" ht="15.6" x14ac:dyDescent="0.3">
      <c r="A2615" s="97"/>
      <c r="B2615" s="98"/>
      <c r="C2615" s="98"/>
      <c r="D2615" s="98"/>
      <c r="E2615" s="98"/>
      <c r="F2615" s="98"/>
      <c r="G2615" s="99"/>
      <c r="H2615" s="99"/>
      <c r="I2615" s="99"/>
      <c r="J2615" s="99"/>
      <c r="K2615" s="98"/>
      <c r="L2615" s="98"/>
      <c r="M2615" s="98"/>
      <c r="N2615" s="98"/>
      <c r="O2615" s="98"/>
      <c r="P2615" s="98"/>
      <c r="Q2615" s="98"/>
      <c r="R2615" s="98"/>
      <c r="S2615" s="98"/>
      <c r="T2615" s="98"/>
      <c r="U2615" s="98"/>
      <c r="V2615" s="98"/>
      <c r="W2615" s="98"/>
      <c r="X2615" s="98"/>
      <c r="Y2615" s="98"/>
      <c r="Z2615" s="98"/>
      <c r="AA2615" s="98"/>
      <c r="AB2615" s="98"/>
      <c r="AC2615" s="98"/>
      <c r="AD2615" s="98"/>
      <c r="AE2615" s="98"/>
      <c r="AF2615" s="98"/>
      <c r="AG2615" s="98"/>
      <c r="AH2615" s="98"/>
      <c r="AI2615" s="98"/>
      <c r="AJ2615" s="98"/>
      <c r="AK2615" s="98"/>
      <c r="AL2615" s="98"/>
      <c r="AM2615" s="98"/>
    </row>
    <row r="2616" spans="1:39" s="100" customFormat="1" ht="15.6" x14ac:dyDescent="0.3">
      <c r="A2616" s="97"/>
      <c r="B2616" s="98"/>
      <c r="C2616" s="98"/>
      <c r="D2616" s="98"/>
      <c r="E2616" s="98"/>
      <c r="F2616" s="98"/>
      <c r="G2616" s="99"/>
      <c r="H2616" s="99"/>
      <c r="I2616" s="99"/>
      <c r="J2616" s="99"/>
      <c r="K2616" s="98"/>
      <c r="L2616" s="98"/>
      <c r="M2616" s="98"/>
      <c r="N2616" s="98"/>
      <c r="O2616" s="98"/>
      <c r="P2616" s="98"/>
      <c r="Q2616" s="98"/>
      <c r="R2616" s="98"/>
      <c r="S2616" s="98"/>
      <c r="T2616" s="98"/>
      <c r="U2616" s="98"/>
      <c r="V2616" s="98"/>
      <c r="W2616" s="98"/>
      <c r="X2616" s="98"/>
      <c r="Y2616" s="98"/>
      <c r="Z2616" s="98"/>
      <c r="AA2616" s="98"/>
      <c r="AB2616" s="98"/>
      <c r="AC2616" s="98"/>
      <c r="AD2616" s="98"/>
      <c r="AE2616" s="98"/>
      <c r="AF2616" s="98"/>
      <c r="AG2616" s="98"/>
      <c r="AH2616" s="98"/>
      <c r="AI2616" s="98"/>
      <c r="AJ2616" s="98"/>
      <c r="AK2616" s="98"/>
      <c r="AL2616" s="98"/>
      <c r="AM2616" s="98"/>
    </row>
    <row r="2617" spans="1:39" s="100" customFormat="1" ht="15.6" x14ac:dyDescent="0.3">
      <c r="A2617" s="97"/>
      <c r="B2617" s="98"/>
      <c r="C2617" s="98"/>
      <c r="D2617" s="98"/>
      <c r="E2617" s="98"/>
      <c r="F2617" s="98"/>
      <c r="G2617" s="99"/>
      <c r="H2617" s="99"/>
      <c r="I2617" s="99"/>
      <c r="J2617" s="99"/>
      <c r="K2617" s="98"/>
      <c r="L2617" s="98"/>
      <c r="M2617" s="98"/>
      <c r="N2617" s="98"/>
      <c r="O2617" s="98"/>
      <c r="P2617" s="98"/>
      <c r="Q2617" s="98"/>
      <c r="R2617" s="98"/>
      <c r="S2617" s="98"/>
      <c r="T2617" s="98"/>
      <c r="U2617" s="98"/>
      <c r="V2617" s="98"/>
      <c r="W2617" s="98"/>
      <c r="X2617" s="98"/>
      <c r="Y2617" s="98"/>
      <c r="Z2617" s="98"/>
      <c r="AA2617" s="98"/>
      <c r="AB2617" s="98"/>
      <c r="AC2617" s="98"/>
      <c r="AD2617" s="98"/>
      <c r="AE2617" s="98"/>
      <c r="AF2617" s="98"/>
      <c r="AG2617" s="98"/>
      <c r="AH2617" s="98"/>
      <c r="AI2617" s="98"/>
      <c r="AJ2617" s="98"/>
      <c r="AK2617" s="98"/>
      <c r="AL2617" s="98"/>
      <c r="AM2617" s="98"/>
    </row>
    <row r="2618" spans="1:39" s="100" customFormat="1" ht="15.6" x14ac:dyDescent="0.3">
      <c r="A2618" s="97"/>
      <c r="B2618" s="98"/>
      <c r="C2618" s="98"/>
      <c r="D2618" s="98"/>
      <c r="E2618" s="98"/>
      <c r="F2618" s="98"/>
      <c r="G2618" s="99"/>
      <c r="H2618" s="99"/>
      <c r="I2618" s="99"/>
      <c r="J2618" s="99"/>
      <c r="K2618" s="98"/>
      <c r="L2618" s="98"/>
      <c r="M2618" s="98"/>
      <c r="N2618" s="98"/>
      <c r="O2618" s="98"/>
      <c r="P2618" s="98"/>
      <c r="Q2618" s="98"/>
      <c r="R2618" s="98"/>
      <c r="S2618" s="98"/>
      <c r="T2618" s="98"/>
      <c r="U2618" s="98"/>
      <c r="V2618" s="98"/>
      <c r="W2618" s="98"/>
      <c r="X2618" s="98"/>
      <c r="Y2618" s="98"/>
      <c r="Z2618" s="98"/>
      <c r="AA2618" s="98"/>
      <c r="AB2618" s="98"/>
      <c r="AC2618" s="98"/>
      <c r="AD2618" s="98"/>
      <c r="AE2618" s="98"/>
      <c r="AF2618" s="98"/>
      <c r="AG2618" s="98"/>
      <c r="AH2618" s="98"/>
      <c r="AI2618" s="98"/>
      <c r="AJ2618" s="98"/>
      <c r="AK2618" s="98"/>
      <c r="AL2618" s="98"/>
      <c r="AM2618" s="98"/>
    </row>
    <row r="2619" spans="1:39" s="100" customFormat="1" ht="15.6" x14ac:dyDescent="0.3">
      <c r="A2619" s="97"/>
      <c r="B2619" s="98"/>
      <c r="C2619" s="98"/>
      <c r="D2619" s="98"/>
      <c r="E2619" s="98"/>
      <c r="F2619" s="98"/>
      <c r="G2619" s="99"/>
      <c r="H2619" s="99"/>
      <c r="I2619" s="99"/>
      <c r="J2619" s="99"/>
      <c r="K2619" s="98"/>
      <c r="L2619" s="98"/>
      <c r="M2619" s="98"/>
      <c r="N2619" s="98"/>
      <c r="O2619" s="98"/>
      <c r="P2619" s="98"/>
      <c r="Q2619" s="98"/>
      <c r="R2619" s="98"/>
      <c r="S2619" s="98"/>
      <c r="T2619" s="98"/>
      <c r="U2619" s="98"/>
      <c r="V2619" s="98"/>
      <c r="W2619" s="98"/>
      <c r="X2619" s="98"/>
      <c r="Y2619" s="98"/>
      <c r="Z2619" s="98"/>
      <c r="AA2619" s="98"/>
      <c r="AB2619" s="98"/>
      <c r="AC2619" s="98"/>
      <c r="AD2619" s="98"/>
      <c r="AE2619" s="98"/>
      <c r="AF2619" s="98"/>
      <c r="AG2619" s="98"/>
      <c r="AH2619" s="98"/>
      <c r="AI2619" s="98"/>
      <c r="AJ2619" s="98"/>
      <c r="AK2619" s="98"/>
      <c r="AL2619" s="98"/>
      <c r="AM2619" s="98"/>
    </row>
    <row r="2620" spans="1:39" s="100" customFormat="1" ht="15.6" x14ac:dyDescent="0.3">
      <c r="A2620" s="97"/>
      <c r="B2620" s="98"/>
      <c r="C2620" s="98"/>
      <c r="D2620" s="98"/>
      <c r="E2620" s="98"/>
      <c r="F2620" s="98"/>
      <c r="G2620" s="99"/>
      <c r="H2620" s="99"/>
      <c r="I2620" s="99"/>
      <c r="J2620" s="99"/>
      <c r="K2620" s="98"/>
      <c r="L2620" s="98"/>
      <c r="M2620" s="98"/>
      <c r="N2620" s="98"/>
      <c r="O2620" s="98"/>
      <c r="P2620" s="98"/>
      <c r="Q2620" s="98"/>
      <c r="R2620" s="98"/>
      <c r="S2620" s="98"/>
      <c r="T2620" s="98"/>
      <c r="U2620" s="98"/>
      <c r="V2620" s="98"/>
      <c r="W2620" s="98"/>
      <c r="X2620" s="98"/>
      <c r="Y2620" s="98"/>
      <c r="Z2620" s="98"/>
      <c r="AA2620" s="98"/>
      <c r="AB2620" s="98"/>
      <c r="AC2620" s="98"/>
      <c r="AD2620" s="98"/>
      <c r="AE2620" s="98"/>
      <c r="AF2620" s="98"/>
      <c r="AG2620" s="98"/>
      <c r="AH2620" s="98"/>
      <c r="AI2620" s="98"/>
      <c r="AJ2620" s="98"/>
      <c r="AK2620" s="98"/>
      <c r="AL2620" s="98"/>
      <c r="AM2620" s="98"/>
    </row>
    <row r="2621" spans="1:39" s="100" customFormat="1" ht="15.6" x14ac:dyDescent="0.3">
      <c r="A2621" s="97"/>
      <c r="B2621" s="98"/>
      <c r="C2621" s="98"/>
      <c r="D2621" s="98"/>
      <c r="E2621" s="98"/>
      <c r="F2621" s="98"/>
      <c r="G2621" s="99"/>
      <c r="H2621" s="99"/>
      <c r="I2621" s="99"/>
      <c r="J2621" s="99"/>
      <c r="K2621" s="98"/>
      <c r="L2621" s="98"/>
      <c r="M2621" s="98"/>
      <c r="N2621" s="98"/>
      <c r="O2621" s="98"/>
      <c r="P2621" s="98"/>
      <c r="Q2621" s="98"/>
      <c r="R2621" s="98"/>
      <c r="S2621" s="98"/>
      <c r="T2621" s="98"/>
      <c r="U2621" s="98"/>
      <c r="V2621" s="98"/>
      <c r="W2621" s="98"/>
      <c r="X2621" s="98"/>
      <c r="Y2621" s="98"/>
      <c r="Z2621" s="98"/>
      <c r="AA2621" s="98"/>
      <c r="AB2621" s="98"/>
      <c r="AC2621" s="98"/>
      <c r="AD2621" s="98"/>
      <c r="AE2621" s="98"/>
      <c r="AF2621" s="98"/>
      <c r="AG2621" s="98"/>
      <c r="AH2621" s="98"/>
      <c r="AI2621" s="98"/>
      <c r="AJ2621" s="98"/>
      <c r="AK2621" s="98"/>
      <c r="AL2621" s="98"/>
      <c r="AM2621" s="98"/>
    </row>
    <row r="2622" spans="1:39" s="100" customFormat="1" ht="15.6" x14ac:dyDescent="0.3">
      <c r="A2622" s="97"/>
      <c r="B2622" s="98"/>
      <c r="C2622" s="98"/>
      <c r="D2622" s="98"/>
      <c r="E2622" s="98"/>
      <c r="F2622" s="98"/>
      <c r="G2622" s="99"/>
      <c r="H2622" s="99"/>
      <c r="I2622" s="99"/>
      <c r="J2622" s="99"/>
      <c r="K2622" s="98"/>
      <c r="L2622" s="98"/>
      <c r="M2622" s="98"/>
      <c r="N2622" s="98"/>
      <c r="O2622" s="98"/>
      <c r="P2622" s="98"/>
      <c r="Q2622" s="98"/>
      <c r="R2622" s="98"/>
      <c r="S2622" s="98"/>
      <c r="T2622" s="98"/>
      <c r="U2622" s="98"/>
      <c r="V2622" s="98"/>
      <c r="W2622" s="98"/>
      <c r="X2622" s="98"/>
      <c r="Y2622" s="98"/>
      <c r="Z2622" s="98"/>
      <c r="AA2622" s="98"/>
      <c r="AB2622" s="98"/>
      <c r="AC2622" s="98"/>
      <c r="AD2622" s="98"/>
      <c r="AE2622" s="98"/>
      <c r="AF2622" s="98"/>
      <c r="AG2622" s="98"/>
      <c r="AH2622" s="98"/>
      <c r="AI2622" s="98"/>
      <c r="AJ2622" s="98"/>
      <c r="AK2622" s="98"/>
      <c r="AL2622" s="98"/>
      <c r="AM2622" s="98"/>
    </row>
    <row r="2623" spans="1:39" s="100" customFormat="1" ht="15.6" x14ac:dyDescent="0.3">
      <c r="A2623" s="97"/>
      <c r="B2623" s="98"/>
      <c r="C2623" s="98"/>
      <c r="D2623" s="98"/>
      <c r="E2623" s="98"/>
      <c r="F2623" s="98"/>
      <c r="G2623" s="99"/>
      <c r="H2623" s="99"/>
      <c r="I2623" s="99"/>
      <c r="J2623" s="99"/>
      <c r="K2623" s="98"/>
      <c r="L2623" s="98"/>
      <c r="M2623" s="98"/>
      <c r="N2623" s="98"/>
      <c r="O2623" s="98"/>
      <c r="P2623" s="98"/>
      <c r="Q2623" s="98"/>
      <c r="R2623" s="98"/>
      <c r="S2623" s="98"/>
      <c r="T2623" s="98"/>
      <c r="U2623" s="98"/>
      <c r="V2623" s="98"/>
      <c r="W2623" s="98"/>
      <c r="X2623" s="98"/>
      <c r="Y2623" s="98"/>
      <c r="Z2623" s="98"/>
      <c r="AA2623" s="98"/>
      <c r="AB2623" s="98"/>
      <c r="AC2623" s="98"/>
      <c r="AD2623" s="98"/>
      <c r="AE2623" s="98"/>
      <c r="AF2623" s="98"/>
      <c r="AG2623" s="98"/>
      <c r="AH2623" s="98"/>
      <c r="AI2623" s="98"/>
      <c r="AJ2623" s="98"/>
      <c r="AK2623" s="98"/>
      <c r="AL2623" s="98"/>
      <c r="AM2623" s="98"/>
    </row>
    <row r="2624" spans="1:39" s="100" customFormat="1" ht="15.6" x14ac:dyDescent="0.3">
      <c r="A2624" s="97"/>
      <c r="B2624" s="98"/>
      <c r="C2624" s="98"/>
      <c r="D2624" s="98"/>
      <c r="E2624" s="98"/>
      <c r="F2624" s="98"/>
      <c r="G2624" s="99"/>
      <c r="H2624" s="99"/>
      <c r="I2624" s="99"/>
      <c r="J2624" s="99"/>
      <c r="K2624" s="98"/>
      <c r="L2624" s="98"/>
      <c r="M2624" s="98"/>
      <c r="N2624" s="98"/>
      <c r="O2624" s="98"/>
      <c r="P2624" s="98"/>
      <c r="Q2624" s="98"/>
      <c r="R2624" s="98"/>
      <c r="S2624" s="98"/>
      <c r="T2624" s="98"/>
      <c r="U2624" s="98"/>
      <c r="V2624" s="98"/>
      <c r="W2624" s="98"/>
      <c r="X2624" s="98"/>
      <c r="Y2624" s="98"/>
      <c r="Z2624" s="98"/>
      <c r="AA2624" s="98"/>
      <c r="AB2624" s="98"/>
      <c r="AC2624" s="98"/>
      <c r="AD2624" s="98"/>
      <c r="AE2624" s="98"/>
      <c r="AF2624" s="98"/>
      <c r="AG2624" s="98"/>
      <c r="AH2624" s="98"/>
      <c r="AI2624" s="98"/>
      <c r="AJ2624" s="98"/>
      <c r="AK2624" s="98"/>
      <c r="AL2624" s="98"/>
      <c r="AM2624" s="98"/>
    </row>
    <row r="2625" spans="1:39" s="100" customFormat="1" ht="15.6" x14ac:dyDescent="0.3">
      <c r="A2625" s="97"/>
      <c r="B2625" s="98"/>
      <c r="C2625" s="98"/>
      <c r="D2625" s="98"/>
      <c r="E2625" s="98"/>
      <c r="F2625" s="98"/>
      <c r="G2625" s="99"/>
      <c r="H2625" s="99"/>
      <c r="I2625" s="99"/>
      <c r="J2625" s="99"/>
      <c r="K2625" s="98"/>
      <c r="L2625" s="98"/>
      <c r="M2625" s="98"/>
      <c r="N2625" s="98"/>
      <c r="O2625" s="98"/>
      <c r="P2625" s="98"/>
      <c r="Q2625" s="98"/>
      <c r="R2625" s="98"/>
      <c r="S2625" s="98"/>
      <c r="T2625" s="98"/>
      <c r="U2625" s="98"/>
      <c r="V2625" s="98"/>
      <c r="W2625" s="98"/>
      <c r="X2625" s="98"/>
      <c r="Y2625" s="98"/>
      <c r="Z2625" s="98"/>
      <c r="AA2625" s="98"/>
      <c r="AB2625" s="98"/>
      <c r="AC2625" s="98"/>
      <c r="AD2625" s="98"/>
      <c r="AE2625" s="98"/>
      <c r="AF2625" s="98"/>
      <c r="AG2625" s="98"/>
      <c r="AH2625" s="98"/>
      <c r="AI2625" s="98"/>
      <c r="AJ2625" s="98"/>
      <c r="AK2625" s="98"/>
      <c r="AL2625" s="98"/>
      <c r="AM2625" s="98"/>
    </row>
    <row r="2626" spans="1:39" s="100" customFormat="1" ht="15.6" x14ac:dyDescent="0.3">
      <c r="A2626" s="97"/>
      <c r="B2626" s="98"/>
      <c r="C2626" s="98"/>
      <c r="D2626" s="98"/>
      <c r="E2626" s="98"/>
      <c r="F2626" s="98"/>
      <c r="G2626" s="99"/>
      <c r="H2626" s="99"/>
      <c r="I2626" s="99"/>
      <c r="J2626" s="99"/>
      <c r="K2626" s="98"/>
      <c r="L2626" s="98"/>
      <c r="M2626" s="98"/>
      <c r="N2626" s="98"/>
      <c r="O2626" s="98"/>
      <c r="P2626" s="98"/>
      <c r="Q2626" s="98"/>
      <c r="R2626" s="98"/>
      <c r="S2626" s="98"/>
      <c r="T2626" s="98"/>
      <c r="U2626" s="98"/>
      <c r="V2626" s="98"/>
      <c r="W2626" s="98"/>
      <c r="X2626" s="98"/>
      <c r="Y2626" s="98"/>
      <c r="Z2626" s="98"/>
      <c r="AA2626" s="98"/>
      <c r="AB2626" s="98"/>
      <c r="AC2626" s="98"/>
      <c r="AD2626" s="98"/>
      <c r="AE2626" s="98"/>
      <c r="AF2626" s="98"/>
      <c r="AG2626" s="98"/>
      <c r="AH2626" s="98"/>
      <c r="AI2626" s="98"/>
      <c r="AJ2626" s="98"/>
      <c r="AK2626" s="98"/>
      <c r="AL2626" s="98"/>
      <c r="AM2626" s="98"/>
    </row>
    <row r="2627" spans="1:39" s="100" customFormat="1" ht="15.6" x14ac:dyDescent="0.3">
      <c r="A2627" s="97"/>
      <c r="B2627" s="98"/>
      <c r="C2627" s="98"/>
      <c r="D2627" s="98"/>
      <c r="E2627" s="98"/>
      <c r="F2627" s="98"/>
      <c r="G2627" s="99"/>
      <c r="H2627" s="99"/>
      <c r="I2627" s="99"/>
      <c r="J2627" s="99"/>
      <c r="K2627" s="98"/>
      <c r="L2627" s="98"/>
      <c r="M2627" s="98"/>
      <c r="N2627" s="98"/>
      <c r="O2627" s="98"/>
      <c r="P2627" s="98"/>
      <c r="Q2627" s="98"/>
      <c r="R2627" s="98"/>
      <c r="S2627" s="98"/>
      <c r="T2627" s="98"/>
      <c r="U2627" s="98"/>
      <c r="V2627" s="98"/>
      <c r="W2627" s="98"/>
      <c r="X2627" s="98"/>
      <c r="Y2627" s="98"/>
      <c r="Z2627" s="98"/>
      <c r="AA2627" s="98"/>
      <c r="AB2627" s="98"/>
      <c r="AC2627" s="98"/>
      <c r="AD2627" s="98"/>
      <c r="AE2627" s="98"/>
      <c r="AF2627" s="98"/>
      <c r="AG2627" s="98"/>
      <c r="AH2627" s="98"/>
      <c r="AI2627" s="98"/>
      <c r="AJ2627" s="98"/>
      <c r="AK2627" s="98"/>
      <c r="AL2627" s="98"/>
      <c r="AM2627" s="98"/>
    </row>
    <row r="2628" spans="1:39" s="100" customFormat="1" ht="15.6" x14ac:dyDescent="0.3">
      <c r="A2628" s="97"/>
      <c r="B2628" s="98"/>
      <c r="C2628" s="98"/>
      <c r="D2628" s="98"/>
      <c r="E2628" s="98"/>
      <c r="F2628" s="98"/>
      <c r="G2628" s="99"/>
      <c r="H2628" s="99"/>
      <c r="I2628" s="99"/>
      <c r="J2628" s="99"/>
      <c r="K2628" s="98"/>
      <c r="L2628" s="98"/>
      <c r="M2628" s="98"/>
      <c r="N2628" s="98"/>
      <c r="O2628" s="98"/>
      <c r="P2628" s="98"/>
      <c r="Q2628" s="98"/>
      <c r="R2628" s="98"/>
      <c r="S2628" s="98"/>
      <c r="T2628" s="98"/>
      <c r="U2628" s="98"/>
      <c r="V2628" s="98"/>
      <c r="W2628" s="98"/>
      <c r="X2628" s="98"/>
      <c r="Y2628" s="98"/>
      <c r="Z2628" s="98"/>
      <c r="AA2628" s="98"/>
      <c r="AB2628" s="98"/>
      <c r="AC2628" s="98"/>
      <c r="AD2628" s="98"/>
      <c r="AE2628" s="98"/>
      <c r="AF2628" s="98"/>
      <c r="AG2628" s="98"/>
      <c r="AH2628" s="98"/>
      <c r="AI2628" s="98"/>
      <c r="AJ2628" s="98"/>
      <c r="AK2628" s="98"/>
      <c r="AL2628" s="98"/>
      <c r="AM2628" s="98"/>
    </row>
    <row r="2629" spans="1:39" s="100" customFormat="1" ht="15.6" x14ac:dyDescent="0.3">
      <c r="A2629" s="97"/>
      <c r="B2629" s="98"/>
      <c r="C2629" s="98"/>
      <c r="D2629" s="98"/>
      <c r="E2629" s="98"/>
      <c r="F2629" s="98"/>
      <c r="G2629" s="99"/>
      <c r="H2629" s="99"/>
      <c r="I2629" s="99"/>
      <c r="J2629" s="99"/>
      <c r="K2629" s="98"/>
      <c r="L2629" s="98"/>
      <c r="M2629" s="98"/>
      <c r="N2629" s="98"/>
      <c r="O2629" s="98"/>
      <c r="P2629" s="98"/>
      <c r="Q2629" s="98"/>
      <c r="R2629" s="98"/>
      <c r="S2629" s="98"/>
      <c r="T2629" s="98"/>
      <c r="U2629" s="98"/>
      <c r="V2629" s="98"/>
      <c r="W2629" s="98"/>
      <c r="X2629" s="98"/>
      <c r="Y2629" s="98"/>
      <c r="Z2629" s="98"/>
      <c r="AA2629" s="98"/>
      <c r="AB2629" s="98"/>
      <c r="AC2629" s="98"/>
      <c r="AD2629" s="98"/>
      <c r="AE2629" s="98"/>
      <c r="AF2629" s="98"/>
      <c r="AG2629" s="98"/>
      <c r="AH2629" s="98"/>
      <c r="AI2629" s="98"/>
      <c r="AJ2629" s="98"/>
      <c r="AK2629" s="98"/>
      <c r="AL2629" s="98"/>
      <c r="AM2629" s="98"/>
    </row>
    <row r="2630" spans="1:39" s="100" customFormat="1" ht="15.6" x14ac:dyDescent="0.3">
      <c r="A2630" s="97"/>
      <c r="B2630" s="98"/>
      <c r="C2630" s="98"/>
      <c r="D2630" s="98"/>
      <c r="E2630" s="98"/>
      <c r="F2630" s="98"/>
      <c r="G2630" s="99"/>
      <c r="H2630" s="99"/>
      <c r="I2630" s="99"/>
      <c r="J2630" s="99"/>
      <c r="K2630" s="98"/>
      <c r="L2630" s="98"/>
      <c r="M2630" s="98"/>
      <c r="N2630" s="98"/>
      <c r="O2630" s="98"/>
      <c r="P2630" s="98"/>
      <c r="Q2630" s="98"/>
      <c r="R2630" s="98"/>
      <c r="S2630" s="98"/>
      <c r="T2630" s="98"/>
      <c r="U2630" s="98"/>
      <c r="V2630" s="98"/>
      <c r="W2630" s="98"/>
      <c r="X2630" s="98"/>
      <c r="Y2630" s="98"/>
      <c r="Z2630" s="98"/>
      <c r="AA2630" s="98"/>
      <c r="AB2630" s="98"/>
      <c r="AC2630" s="98"/>
      <c r="AD2630" s="98"/>
      <c r="AE2630" s="98"/>
      <c r="AF2630" s="98"/>
      <c r="AG2630" s="98"/>
      <c r="AH2630" s="98"/>
      <c r="AI2630" s="98"/>
      <c r="AJ2630" s="98"/>
      <c r="AK2630" s="98"/>
      <c r="AL2630" s="98"/>
      <c r="AM2630" s="98"/>
    </row>
    <row r="2631" spans="1:39" s="100" customFormat="1" ht="15.6" x14ac:dyDescent="0.3">
      <c r="A2631" s="97"/>
      <c r="B2631" s="98"/>
      <c r="C2631" s="98"/>
      <c r="D2631" s="98"/>
      <c r="E2631" s="98"/>
      <c r="F2631" s="98"/>
      <c r="G2631" s="99"/>
      <c r="H2631" s="99"/>
      <c r="I2631" s="99"/>
      <c r="J2631" s="99"/>
      <c r="K2631" s="98"/>
      <c r="L2631" s="98"/>
      <c r="M2631" s="98"/>
      <c r="N2631" s="98"/>
      <c r="O2631" s="98"/>
      <c r="P2631" s="98"/>
      <c r="Q2631" s="98"/>
      <c r="R2631" s="98"/>
      <c r="S2631" s="98"/>
      <c r="T2631" s="98"/>
      <c r="U2631" s="98"/>
      <c r="V2631" s="98"/>
      <c r="W2631" s="98"/>
      <c r="X2631" s="98"/>
      <c r="Y2631" s="98"/>
      <c r="Z2631" s="98"/>
      <c r="AA2631" s="98"/>
      <c r="AB2631" s="98"/>
      <c r="AC2631" s="98"/>
      <c r="AD2631" s="98"/>
      <c r="AE2631" s="98"/>
      <c r="AF2631" s="98"/>
      <c r="AG2631" s="98"/>
      <c r="AH2631" s="98"/>
      <c r="AI2631" s="98"/>
      <c r="AJ2631" s="98"/>
      <c r="AK2631" s="98"/>
      <c r="AL2631" s="98"/>
      <c r="AM2631" s="98"/>
    </row>
    <row r="2632" spans="1:39" s="100" customFormat="1" ht="15.6" x14ac:dyDescent="0.3">
      <c r="A2632" s="97"/>
      <c r="B2632" s="98"/>
      <c r="C2632" s="98"/>
      <c r="D2632" s="98"/>
      <c r="E2632" s="98"/>
      <c r="F2632" s="98"/>
      <c r="G2632" s="99"/>
      <c r="H2632" s="99"/>
      <c r="I2632" s="99"/>
      <c r="J2632" s="99"/>
      <c r="K2632" s="98"/>
      <c r="L2632" s="98"/>
      <c r="M2632" s="98"/>
      <c r="N2632" s="98"/>
      <c r="O2632" s="98"/>
      <c r="P2632" s="98"/>
      <c r="Q2632" s="98"/>
      <c r="R2632" s="98"/>
      <c r="S2632" s="98"/>
      <c r="T2632" s="98"/>
      <c r="U2632" s="98"/>
      <c r="V2632" s="98"/>
      <c r="W2632" s="98"/>
      <c r="X2632" s="98"/>
      <c r="Y2632" s="98"/>
      <c r="Z2632" s="98"/>
      <c r="AA2632" s="98"/>
      <c r="AB2632" s="98"/>
      <c r="AC2632" s="98"/>
      <c r="AD2632" s="98"/>
      <c r="AE2632" s="98"/>
      <c r="AF2632" s="98"/>
      <c r="AG2632" s="98"/>
      <c r="AH2632" s="98"/>
      <c r="AI2632" s="98"/>
      <c r="AJ2632" s="98"/>
      <c r="AK2632" s="98"/>
      <c r="AL2632" s="98"/>
      <c r="AM2632" s="98"/>
    </row>
    <row r="2633" spans="1:39" s="100" customFormat="1" ht="15.6" x14ac:dyDescent="0.3">
      <c r="A2633" s="97"/>
      <c r="B2633" s="98"/>
      <c r="C2633" s="98"/>
      <c r="D2633" s="98"/>
      <c r="E2633" s="98"/>
      <c r="F2633" s="98"/>
      <c r="G2633" s="99"/>
      <c r="H2633" s="99"/>
      <c r="I2633" s="99"/>
      <c r="J2633" s="99"/>
      <c r="K2633" s="98"/>
      <c r="L2633" s="98"/>
      <c r="M2633" s="98"/>
      <c r="N2633" s="98"/>
      <c r="O2633" s="98"/>
      <c r="P2633" s="98"/>
      <c r="Q2633" s="98"/>
      <c r="R2633" s="98"/>
      <c r="S2633" s="98"/>
      <c r="T2633" s="98"/>
      <c r="U2633" s="98"/>
      <c r="V2633" s="98"/>
      <c r="W2633" s="98"/>
      <c r="X2633" s="98"/>
      <c r="Y2633" s="98"/>
      <c r="Z2633" s="98"/>
      <c r="AA2633" s="98"/>
      <c r="AB2633" s="98"/>
      <c r="AC2633" s="98"/>
      <c r="AD2633" s="98"/>
      <c r="AE2633" s="98"/>
      <c r="AF2633" s="98"/>
      <c r="AG2633" s="98"/>
      <c r="AH2633" s="98"/>
      <c r="AI2633" s="98"/>
      <c r="AJ2633" s="98"/>
      <c r="AK2633" s="98"/>
      <c r="AL2633" s="98"/>
      <c r="AM2633" s="98"/>
    </row>
    <row r="2634" spans="1:39" s="100" customFormat="1" ht="15.6" x14ac:dyDescent="0.3">
      <c r="A2634" s="97"/>
      <c r="B2634" s="98"/>
      <c r="C2634" s="98"/>
      <c r="D2634" s="98"/>
      <c r="E2634" s="98"/>
      <c r="F2634" s="98"/>
      <c r="G2634" s="99"/>
      <c r="H2634" s="99"/>
      <c r="I2634" s="99"/>
      <c r="J2634" s="99"/>
      <c r="K2634" s="98"/>
      <c r="L2634" s="98"/>
      <c r="M2634" s="98"/>
      <c r="N2634" s="98"/>
      <c r="O2634" s="98"/>
      <c r="P2634" s="98"/>
      <c r="Q2634" s="98"/>
      <c r="R2634" s="98"/>
      <c r="S2634" s="98"/>
      <c r="T2634" s="98"/>
      <c r="U2634" s="98"/>
      <c r="V2634" s="98"/>
      <c r="W2634" s="98"/>
      <c r="X2634" s="98"/>
      <c r="Y2634" s="98"/>
      <c r="Z2634" s="98"/>
      <c r="AA2634" s="98"/>
      <c r="AB2634" s="98"/>
      <c r="AC2634" s="98"/>
      <c r="AD2634" s="98"/>
      <c r="AE2634" s="98"/>
      <c r="AF2634" s="98"/>
      <c r="AG2634" s="98"/>
      <c r="AH2634" s="98"/>
      <c r="AI2634" s="98"/>
      <c r="AJ2634" s="98"/>
      <c r="AK2634" s="98"/>
      <c r="AL2634" s="98"/>
      <c r="AM2634" s="98"/>
    </row>
    <row r="2635" spans="1:39" s="100" customFormat="1" ht="15.6" x14ac:dyDescent="0.3">
      <c r="A2635" s="97"/>
      <c r="B2635" s="98"/>
      <c r="C2635" s="98"/>
      <c r="D2635" s="98"/>
      <c r="E2635" s="98"/>
      <c r="F2635" s="98"/>
      <c r="G2635" s="99"/>
      <c r="H2635" s="99"/>
      <c r="I2635" s="99"/>
      <c r="J2635" s="99"/>
      <c r="K2635" s="98"/>
      <c r="L2635" s="98"/>
      <c r="M2635" s="98"/>
      <c r="N2635" s="98"/>
      <c r="O2635" s="98"/>
      <c r="P2635" s="98"/>
      <c r="Q2635" s="98"/>
      <c r="R2635" s="98"/>
      <c r="S2635" s="98"/>
      <c r="T2635" s="98"/>
      <c r="U2635" s="98"/>
      <c r="V2635" s="98"/>
      <c r="W2635" s="98"/>
      <c r="X2635" s="98"/>
      <c r="Y2635" s="98"/>
      <c r="Z2635" s="98"/>
      <c r="AA2635" s="98"/>
      <c r="AB2635" s="98"/>
      <c r="AC2635" s="98"/>
      <c r="AD2635" s="98"/>
      <c r="AE2635" s="98"/>
      <c r="AF2635" s="98"/>
      <c r="AG2635" s="98"/>
      <c r="AH2635" s="98"/>
      <c r="AI2635" s="98"/>
      <c r="AJ2635" s="98"/>
      <c r="AK2635" s="98"/>
      <c r="AL2635" s="98"/>
      <c r="AM2635" s="98"/>
    </row>
    <row r="2636" spans="1:39" s="100" customFormat="1" ht="15.6" x14ac:dyDescent="0.3">
      <c r="A2636" s="97"/>
      <c r="B2636" s="98"/>
      <c r="C2636" s="98"/>
      <c r="D2636" s="98"/>
      <c r="E2636" s="98"/>
      <c r="F2636" s="98"/>
      <c r="G2636" s="99"/>
      <c r="H2636" s="99"/>
      <c r="I2636" s="99"/>
      <c r="J2636" s="99"/>
      <c r="K2636" s="98"/>
      <c r="L2636" s="98"/>
      <c r="M2636" s="98"/>
      <c r="N2636" s="98"/>
      <c r="O2636" s="98"/>
      <c r="P2636" s="98"/>
      <c r="Q2636" s="98"/>
      <c r="R2636" s="98"/>
      <c r="S2636" s="98"/>
      <c r="T2636" s="98"/>
      <c r="U2636" s="98"/>
      <c r="V2636" s="98"/>
      <c r="W2636" s="98"/>
      <c r="X2636" s="98"/>
      <c r="Y2636" s="98"/>
      <c r="Z2636" s="98"/>
      <c r="AA2636" s="98"/>
      <c r="AB2636" s="98"/>
      <c r="AC2636" s="98"/>
      <c r="AD2636" s="98"/>
      <c r="AE2636" s="98"/>
      <c r="AF2636" s="98"/>
      <c r="AG2636" s="98"/>
      <c r="AH2636" s="98"/>
      <c r="AI2636" s="98"/>
      <c r="AJ2636" s="98"/>
      <c r="AK2636" s="98"/>
      <c r="AL2636" s="98"/>
      <c r="AM2636" s="98"/>
    </row>
    <row r="2637" spans="1:39" s="100" customFormat="1" ht="15.6" x14ac:dyDescent="0.3">
      <c r="A2637" s="97"/>
      <c r="B2637" s="98"/>
      <c r="C2637" s="98"/>
      <c r="D2637" s="98"/>
      <c r="E2637" s="98"/>
      <c r="F2637" s="98"/>
      <c r="G2637" s="99"/>
      <c r="H2637" s="99"/>
      <c r="I2637" s="99"/>
      <c r="J2637" s="99"/>
      <c r="K2637" s="98"/>
      <c r="L2637" s="98"/>
      <c r="M2637" s="98"/>
      <c r="N2637" s="98"/>
      <c r="O2637" s="98"/>
      <c r="P2637" s="98"/>
      <c r="Q2637" s="98"/>
      <c r="R2637" s="98"/>
      <c r="S2637" s="98"/>
      <c r="T2637" s="98"/>
      <c r="U2637" s="98"/>
      <c r="V2637" s="98"/>
      <c r="W2637" s="98"/>
      <c r="X2637" s="98"/>
      <c r="Y2637" s="98"/>
      <c r="Z2637" s="98"/>
      <c r="AA2637" s="98"/>
      <c r="AB2637" s="98"/>
      <c r="AC2637" s="98"/>
      <c r="AD2637" s="98"/>
      <c r="AE2637" s="98"/>
      <c r="AF2637" s="98"/>
      <c r="AG2637" s="98"/>
      <c r="AH2637" s="98"/>
      <c r="AI2637" s="98"/>
      <c r="AJ2637" s="98"/>
      <c r="AK2637" s="98"/>
      <c r="AL2637" s="98"/>
      <c r="AM2637" s="98"/>
    </row>
    <row r="2638" spans="1:39" s="100" customFormat="1" ht="15.6" x14ac:dyDescent="0.3">
      <c r="A2638" s="97"/>
      <c r="B2638" s="98"/>
      <c r="C2638" s="98"/>
      <c r="D2638" s="98"/>
      <c r="E2638" s="98"/>
      <c r="F2638" s="98"/>
      <c r="G2638" s="99"/>
      <c r="H2638" s="99"/>
      <c r="I2638" s="99"/>
      <c r="J2638" s="99"/>
      <c r="K2638" s="98"/>
      <c r="L2638" s="98"/>
      <c r="M2638" s="98"/>
      <c r="N2638" s="98"/>
      <c r="O2638" s="98"/>
      <c r="P2638" s="98"/>
      <c r="Q2638" s="98"/>
      <c r="R2638" s="98"/>
      <c r="S2638" s="98"/>
      <c r="T2638" s="98"/>
      <c r="U2638" s="98"/>
      <c r="V2638" s="98"/>
      <c r="W2638" s="98"/>
      <c r="X2638" s="98"/>
      <c r="Y2638" s="98"/>
      <c r="Z2638" s="98"/>
      <c r="AA2638" s="98"/>
      <c r="AB2638" s="98"/>
      <c r="AC2638" s="98"/>
      <c r="AD2638" s="98"/>
      <c r="AE2638" s="98"/>
      <c r="AF2638" s="98"/>
      <c r="AG2638" s="98"/>
      <c r="AH2638" s="98"/>
      <c r="AI2638" s="98"/>
      <c r="AJ2638" s="98"/>
      <c r="AK2638" s="98"/>
      <c r="AL2638" s="98"/>
      <c r="AM2638" s="98"/>
    </row>
    <row r="2639" spans="1:39" s="100" customFormat="1" ht="15.6" x14ac:dyDescent="0.3">
      <c r="A2639" s="97"/>
      <c r="B2639" s="98"/>
      <c r="C2639" s="98"/>
      <c r="D2639" s="98"/>
      <c r="E2639" s="98"/>
      <c r="F2639" s="98"/>
      <c r="G2639" s="99"/>
      <c r="H2639" s="99"/>
      <c r="I2639" s="99"/>
      <c r="J2639" s="99"/>
      <c r="K2639" s="98"/>
      <c r="L2639" s="98"/>
      <c r="M2639" s="98"/>
      <c r="N2639" s="98"/>
      <c r="O2639" s="98"/>
      <c r="P2639" s="98"/>
      <c r="Q2639" s="98"/>
      <c r="R2639" s="98"/>
      <c r="S2639" s="98"/>
      <c r="T2639" s="98"/>
      <c r="U2639" s="98"/>
      <c r="V2639" s="98"/>
      <c r="W2639" s="98"/>
      <c r="X2639" s="98"/>
      <c r="Y2639" s="98"/>
      <c r="Z2639" s="98"/>
      <c r="AA2639" s="98"/>
      <c r="AB2639" s="98"/>
      <c r="AC2639" s="98"/>
      <c r="AD2639" s="98"/>
      <c r="AE2639" s="98"/>
      <c r="AF2639" s="98"/>
      <c r="AG2639" s="98"/>
      <c r="AH2639" s="98"/>
      <c r="AI2639" s="98"/>
      <c r="AJ2639" s="98"/>
      <c r="AK2639" s="98"/>
      <c r="AL2639" s="98"/>
      <c r="AM2639" s="98"/>
    </row>
    <row r="2640" spans="1:39" s="100" customFormat="1" ht="15.6" x14ac:dyDescent="0.3">
      <c r="A2640" s="97"/>
      <c r="B2640" s="98"/>
      <c r="C2640" s="98"/>
      <c r="D2640" s="98"/>
      <c r="E2640" s="98"/>
      <c r="F2640" s="98"/>
      <c r="G2640" s="99"/>
      <c r="H2640" s="99"/>
      <c r="I2640" s="99"/>
      <c r="J2640" s="99"/>
      <c r="K2640" s="98"/>
      <c r="L2640" s="98"/>
      <c r="M2640" s="98"/>
      <c r="N2640" s="98"/>
      <c r="O2640" s="98"/>
      <c r="P2640" s="98"/>
      <c r="Q2640" s="98"/>
      <c r="R2640" s="98"/>
      <c r="S2640" s="98"/>
      <c r="T2640" s="98"/>
      <c r="U2640" s="98"/>
      <c r="V2640" s="98"/>
      <c r="W2640" s="98"/>
      <c r="X2640" s="98"/>
      <c r="Y2640" s="98"/>
      <c r="Z2640" s="98"/>
      <c r="AA2640" s="98"/>
      <c r="AB2640" s="98"/>
      <c r="AC2640" s="98"/>
      <c r="AD2640" s="98"/>
      <c r="AE2640" s="98"/>
      <c r="AF2640" s="98"/>
      <c r="AG2640" s="98"/>
      <c r="AH2640" s="98"/>
      <c r="AI2640" s="98"/>
      <c r="AJ2640" s="98"/>
      <c r="AK2640" s="98"/>
      <c r="AL2640" s="98"/>
      <c r="AM2640" s="98"/>
    </row>
    <row r="2641" spans="1:39" s="100" customFormat="1" ht="15.6" x14ac:dyDescent="0.3">
      <c r="A2641" s="97"/>
      <c r="B2641" s="98"/>
      <c r="C2641" s="98"/>
      <c r="D2641" s="98"/>
      <c r="E2641" s="98"/>
      <c r="F2641" s="98"/>
      <c r="G2641" s="99"/>
      <c r="H2641" s="99"/>
      <c r="I2641" s="99"/>
      <c r="J2641" s="99"/>
      <c r="K2641" s="98"/>
      <c r="L2641" s="98"/>
      <c r="M2641" s="98"/>
      <c r="N2641" s="98"/>
      <c r="O2641" s="98"/>
      <c r="P2641" s="98"/>
      <c r="Q2641" s="98"/>
      <c r="R2641" s="98"/>
      <c r="S2641" s="98"/>
      <c r="T2641" s="98"/>
      <c r="U2641" s="98"/>
      <c r="V2641" s="98"/>
      <c r="W2641" s="98"/>
      <c r="X2641" s="98"/>
      <c r="Y2641" s="98"/>
      <c r="Z2641" s="98"/>
      <c r="AA2641" s="98"/>
      <c r="AB2641" s="98"/>
      <c r="AC2641" s="98"/>
      <c r="AD2641" s="98"/>
      <c r="AE2641" s="98"/>
      <c r="AF2641" s="98"/>
      <c r="AG2641" s="98"/>
      <c r="AH2641" s="98"/>
      <c r="AI2641" s="98"/>
      <c r="AJ2641" s="98"/>
      <c r="AK2641" s="98"/>
      <c r="AL2641" s="98"/>
      <c r="AM2641" s="98"/>
    </row>
    <row r="2642" spans="1:39" s="100" customFormat="1" ht="15.6" x14ac:dyDescent="0.3">
      <c r="A2642" s="97"/>
      <c r="B2642" s="98"/>
      <c r="C2642" s="98"/>
      <c r="D2642" s="98"/>
      <c r="E2642" s="98"/>
      <c r="F2642" s="98"/>
      <c r="G2642" s="99"/>
      <c r="H2642" s="99"/>
      <c r="I2642" s="99"/>
      <c r="J2642" s="99"/>
      <c r="K2642" s="98"/>
      <c r="L2642" s="98"/>
      <c r="M2642" s="98"/>
      <c r="N2642" s="98"/>
      <c r="O2642" s="98"/>
      <c r="P2642" s="98"/>
      <c r="Q2642" s="98"/>
      <c r="R2642" s="98"/>
      <c r="S2642" s="98"/>
      <c r="T2642" s="98"/>
      <c r="U2642" s="98"/>
      <c r="V2642" s="98"/>
      <c r="W2642" s="98"/>
      <c r="X2642" s="98"/>
      <c r="Y2642" s="98"/>
      <c r="Z2642" s="98"/>
      <c r="AA2642" s="98"/>
      <c r="AB2642" s="98"/>
      <c r="AC2642" s="98"/>
      <c r="AD2642" s="98"/>
      <c r="AE2642" s="98"/>
      <c r="AF2642" s="98"/>
      <c r="AG2642" s="98"/>
      <c r="AH2642" s="98"/>
      <c r="AI2642" s="98"/>
      <c r="AJ2642" s="98"/>
      <c r="AK2642" s="98"/>
      <c r="AL2642" s="98"/>
      <c r="AM2642" s="98"/>
    </row>
    <row r="2643" spans="1:39" s="100" customFormat="1" ht="15.6" x14ac:dyDescent="0.3">
      <c r="A2643" s="97"/>
      <c r="B2643" s="98"/>
      <c r="C2643" s="98"/>
      <c r="D2643" s="98"/>
      <c r="E2643" s="98"/>
      <c r="F2643" s="98"/>
      <c r="G2643" s="99"/>
      <c r="H2643" s="99"/>
      <c r="I2643" s="99"/>
      <c r="J2643" s="99"/>
      <c r="K2643" s="98"/>
      <c r="L2643" s="98"/>
      <c r="M2643" s="98"/>
      <c r="N2643" s="98"/>
      <c r="O2643" s="98"/>
      <c r="P2643" s="98"/>
      <c r="Q2643" s="98"/>
      <c r="R2643" s="98"/>
      <c r="S2643" s="98"/>
      <c r="T2643" s="98"/>
      <c r="U2643" s="98"/>
      <c r="V2643" s="98"/>
      <c r="W2643" s="98"/>
      <c r="X2643" s="98"/>
      <c r="Y2643" s="98"/>
      <c r="Z2643" s="98"/>
      <c r="AA2643" s="98"/>
      <c r="AB2643" s="98"/>
      <c r="AC2643" s="98"/>
      <c r="AD2643" s="98"/>
      <c r="AE2643" s="98"/>
      <c r="AF2643" s="98"/>
      <c r="AG2643" s="98"/>
      <c r="AH2643" s="98"/>
      <c r="AI2643" s="98"/>
      <c r="AJ2643" s="98"/>
      <c r="AK2643" s="98"/>
      <c r="AL2643" s="98"/>
      <c r="AM2643" s="98"/>
    </row>
    <row r="2644" spans="1:39" s="100" customFormat="1" ht="15.6" x14ac:dyDescent="0.3">
      <c r="A2644" s="97"/>
      <c r="B2644" s="98"/>
      <c r="C2644" s="98"/>
      <c r="D2644" s="98"/>
      <c r="E2644" s="98"/>
      <c r="F2644" s="98"/>
      <c r="G2644" s="99"/>
      <c r="H2644" s="99"/>
      <c r="I2644" s="99"/>
      <c r="J2644" s="99"/>
      <c r="K2644" s="98"/>
      <c r="L2644" s="98"/>
      <c r="M2644" s="98"/>
      <c r="N2644" s="98"/>
      <c r="O2644" s="98"/>
      <c r="P2644" s="98"/>
      <c r="Q2644" s="98"/>
      <c r="R2644" s="98"/>
      <c r="S2644" s="98"/>
      <c r="T2644" s="98"/>
      <c r="U2644" s="98"/>
      <c r="V2644" s="98"/>
      <c r="W2644" s="98"/>
      <c r="X2644" s="98"/>
      <c r="Y2644" s="98"/>
      <c r="Z2644" s="98"/>
      <c r="AA2644" s="98"/>
      <c r="AB2644" s="98"/>
      <c r="AC2644" s="98"/>
      <c r="AD2644" s="98"/>
      <c r="AE2644" s="98"/>
      <c r="AF2644" s="98"/>
      <c r="AG2644" s="98"/>
      <c r="AH2644" s="98"/>
      <c r="AI2644" s="98"/>
      <c r="AJ2644" s="98"/>
      <c r="AK2644" s="98"/>
      <c r="AL2644" s="98"/>
      <c r="AM2644" s="98"/>
    </row>
    <row r="2645" spans="1:39" s="100" customFormat="1" ht="15.6" x14ac:dyDescent="0.3">
      <c r="A2645" s="97"/>
      <c r="B2645" s="98"/>
      <c r="C2645" s="98"/>
      <c r="D2645" s="98"/>
      <c r="E2645" s="98"/>
      <c r="F2645" s="98"/>
      <c r="G2645" s="99"/>
      <c r="H2645" s="99"/>
      <c r="I2645" s="99"/>
      <c r="J2645" s="99"/>
      <c r="K2645" s="98"/>
      <c r="L2645" s="98"/>
      <c r="M2645" s="98"/>
      <c r="N2645" s="98"/>
      <c r="O2645" s="98"/>
      <c r="P2645" s="98"/>
      <c r="Q2645" s="98"/>
      <c r="R2645" s="98"/>
      <c r="S2645" s="98"/>
      <c r="T2645" s="98"/>
      <c r="U2645" s="98"/>
      <c r="V2645" s="98"/>
      <c r="W2645" s="98"/>
      <c r="X2645" s="98"/>
      <c r="Y2645" s="98"/>
      <c r="Z2645" s="98"/>
      <c r="AA2645" s="98"/>
      <c r="AB2645" s="98"/>
      <c r="AC2645" s="98"/>
      <c r="AD2645" s="98"/>
      <c r="AE2645" s="98"/>
      <c r="AF2645" s="98"/>
      <c r="AG2645" s="98"/>
      <c r="AH2645" s="98"/>
      <c r="AI2645" s="98"/>
      <c r="AJ2645" s="98"/>
      <c r="AK2645" s="98"/>
      <c r="AL2645" s="98"/>
      <c r="AM2645" s="98"/>
    </row>
    <row r="2646" spans="1:39" s="100" customFormat="1" ht="15.6" x14ac:dyDescent="0.3">
      <c r="A2646" s="97"/>
      <c r="B2646" s="98"/>
      <c r="C2646" s="98"/>
      <c r="D2646" s="98"/>
      <c r="E2646" s="98"/>
      <c r="F2646" s="98"/>
      <c r="G2646" s="99"/>
      <c r="H2646" s="99"/>
      <c r="I2646" s="99"/>
      <c r="J2646" s="99"/>
      <c r="K2646" s="98"/>
      <c r="L2646" s="98"/>
      <c r="M2646" s="98"/>
      <c r="N2646" s="98"/>
      <c r="O2646" s="98"/>
      <c r="P2646" s="98"/>
      <c r="Q2646" s="98"/>
      <c r="R2646" s="98"/>
      <c r="S2646" s="98"/>
      <c r="T2646" s="98"/>
      <c r="U2646" s="98"/>
      <c r="V2646" s="98"/>
      <c r="W2646" s="98"/>
      <c r="X2646" s="98"/>
      <c r="Y2646" s="98"/>
      <c r="Z2646" s="98"/>
      <c r="AA2646" s="98"/>
      <c r="AB2646" s="98"/>
      <c r="AC2646" s="98"/>
      <c r="AD2646" s="98"/>
      <c r="AE2646" s="98"/>
      <c r="AF2646" s="98"/>
      <c r="AG2646" s="98"/>
      <c r="AH2646" s="98"/>
      <c r="AI2646" s="98"/>
      <c r="AJ2646" s="98"/>
      <c r="AK2646" s="98"/>
      <c r="AL2646" s="98"/>
      <c r="AM2646" s="98"/>
    </row>
    <row r="2647" spans="1:39" s="100" customFormat="1" ht="15.6" x14ac:dyDescent="0.3">
      <c r="A2647" s="97"/>
      <c r="B2647" s="98"/>
      <c r="C2647" s="98"/>
      <c r="D2647" s="98"/>
      <c r="E2647" s="98"/>
      <c r="F2647" s="98"/>
      <c r="G2647" s="99"/>
      <c r="H2647" s="99"/>
      <c r="I2647" s="99"/>
      <c r="J2647" s="99"/>
      <c r="K2647" s="98"/>
      <c r="L2647" s="98"/>
      <c r="M2647" s="98"/>
      <c r="N2647" s="98"/>
      <c r="O2647" s="98"/>
      <c r="P2647" s="98"/>
      <c r="Q2647" s="98"/>
      <c r="R2647" s="98"/>
      <c r="S2647" s="98"/>
      <c r="T2647" s="98"/>
      <c r="U2647" s="98"/>
      <c r="V2647" s="98"/>
      <c r="W2647" s="98"/>
      <c r="X2647" s="98"/>
      <c r="Y2647" s="98"/>
      <c r="Z2647" s="98"/>
      <c r="AA2647" s="98"/>
      <c r="AB2647" s="98"/>
      <c r="AC2647" s="98"/>
      <c r="AD2647" s="98"/>
      <c r="AE2647" s="98"/>
      <c r="AF2647" s="98"/>
      <c r="AG2647" s="98"/>
      <c r="AH2647" s="98"/>
      <c r="AI2647" s="98"/>
      <c r="AJ2647" s="98"/>
      <c r="AK2647" s="98"/>
      <c r="AL2647" s="98"/>
      <c r="AM2647" s="98"/>
    </row>
    <row r="2648" spans="1:39" s="100" customFormat="1" ht="15.6" x14ac:dyDescent="0.3">
      <c r="A2648" s="97"/>
      <c r="B2648" s="98"/>
      <c r="C2648" s="98"/>
      <c r="D2648" s="98"/>
      <c r="E2648" s="98"/>
      <c r="F2648" s="98"/>
      <c r="G2648" s="99"/>
      <c r="H2648" s="99"/>
      <c r="I2648" s="99"/>
      <c r="J2648" s="99"/>
      <c r="K2648" s="98"/>
      <c r="L2648" s="98"/>
      <c r="M2648" s="98"/>
      <c r="N2648" s="98"/>
      <c r="O2648" s="98"/>
      <c r="P2648" s="98"/>
      <c r="Q2648" s="98"/>
      <c r="R2648" s="98"/>
      <c r="S2648" s="98"/>
      <c r="T2648" s="98"/>
      <c r="U2648" s="98"/>
      <c r="V2648" s="98"/>
      <c r="W2648" s="98"/>
      <c r="X2648" s="98"/>
      <c r="Y2648" s="98"/>
      <c r="Z2648" s="98"/>
      <c r="AA2648" s="98"/>
      <c r="AB2648" s="98"/>
      <c r="AC2648" s="98"/>
      <c r="AD2648" s="98"/>
      <c r="AE2648" s="98"/>
      <c r="AF2648" s="98"/>
      <c r="AG2648" s="98"/>
      <c r="AH2648" s="98"/>
      <c r="AI2648" s="98"/>
      <c r="AJ2648" s="98"/>
      <c r="AK2648" s="98"/>
      <c r="AL2648" s="98"/>
      <c r="AM2648" s="98"/>
    </row>
    <row r="2649" spans="1:39" s="100" customFormat="1" ht="15.6" x14ac:dyDescent="0.3">
      <c r="A2649" s="97"/>
      <c r="B2649" s="98"/>
      <c r="C2649" s="98"/>
      <c r="D2649" s="98"/>
      <c r="E2649" s="98"/>
      <c r="F2649" s="98"/>
      <c r="G2649" s="99"/>
      <c r="H2649" s="99"/>
      <c r="I2649" s="99"/>
      <c r="J2649" s="99"/>
      <c r="K2649" s="98"/>
      <c r="L2649" s="98"/>
      <c r="M2649" s="98"/>
      <c r="N2649" s="98"/>
      <c r="O2649" s="98"/>
      <c r="P2649" s="98"/>
      <c r="Q2649" s="98"/>
      <c r="R2649" s="98"/>
      <c r="S2649" s="98"/>
      <c r="T2649" s="98"/>
      <c r="U2649" s="98"/>
      <c r="V2649" s="98"/>
      <c r="W2649" s="98"/>
      <c r="X2649" s="98"/>
      <c r="Y2649" s="98"/>
      <c r="Z2649" s="98"/>
      <c r="AA2649" s="98"/>
      <c r="AB2649" s="98"/>
      <c r="AC2649" s="98"/>
      <c r="AD2649" s="98"/>
      <c r="AE2649" s="98"/>
      <c r="AF2649" s="98"/>
      <c r="AG2649" s="98"/>
      <c r="AH2649" s="98"/>
      <c r="AI2649" s="98"/>
      <c r="AJ2649" s="98"/>
      <c r="AK2649" s="98"/>
      <c r="AL2649" s="98"/>
      <c r="AM2649" s="98"/>
    </row>
    <row r="2650" spans="1:39" s="100" customFormat="1" ht="15.6" x14ac:dyDescent="0.3">
      <c r="A2650" s="97"/>
      <c r="B2650" s="98"/>
      <c r="C2650" s="98"/>
      <c r="D2650" s="98"/>
      <c r="E2650" s="98"/>
      <c r="F2650" s="98"/>
      <c r="G2650" s="99"/>
      <c r="H2650" s="99"/>
      <c r="I2650" s="99"/>
      <c r="J2650" s="99"/>
      <c r="K2650" s="98"/>
      <c r="L2650" s="98"/>
      <c r="M2650" s="98"/>
      <c r="N2650" s="98"/>
      <c r="O2650" s="98"/>
      <c r="P2650" s="98"/>
      <c r="Q2650" s="98"/>
      <c r="R2650" s="98"/>
      <c r="S2650" s="98"/>
      <c r="T2650" s="98"/>
      <c r="U2650" s="98"/>
      <c r="V2650" s="98"/>
      <c r="W2650" s="98"/>
      <c r="X2650" s="98"/>
      <c r="Y2650" s="98"/>
      <c r="Z2650" s="98"/>
      <c r="AA2650" s="98"/>
      <c r="AB2650" s="98"/>
      <c r="AC2650" s="98"/>
      <c r="AD2650" s="98"/>
      <c r="AE2650" s="98"/>
      <c r="AF2650" s="98"/>
      <c r="AG2650" s="98"/>
      <c r="AH2650" s="98"/>
      <c r="AI2650" s="98"/>
      <c r="AJ2650" s="98"/>
      <c r="AK2650" s="98"/>
      <c r="AL2650" s="98"/>
      <c r="AM2650" s="98"/>
    </row>
    <row r="2651" spans="1:39" s="100" customFormat="1" ht="15.6" x14ac:dyDescent="0.3">
      <c r="A2651" s="97"/>
      <c r="B2651" s="98"/>
      <c r="C2651" s="98"/>
      <c r="D2651" s="98"/>
      <c r="E2651" s="98"/>
      <c r="F2651" s="98"/>
      <c r="G2651" s="99"/>
      <c r="H2651" s="99"/>
      <c r="I2651" s="99"/>
      <c r="J2651" s="99"/>
      <c r="K2651" s="98"/>
      <c r="L2651" s="98"/>
      <c r="M2651" s="98"/>
      <c r="N2651" s="98"/>
      <c r="O2651" s="98"/>
      <c r="P2651" s="98"/>
      <c r="Q2651" s="98"/>
      <c r="R2651" s="98"/>
      <c r="S2651" s="98"/>
      <c r="T2651" s="98"/>
      <c r="U2651" s="98"/>
      <c r="V2651" s="98"/>
      <c r="W2651" s="98"/>
      <c r="X2651" s="98"/>
      <c r="Y2651" s="98"/>
      <c r="Z2651" s="98"/>
      <c r="AA2651" s="98"/>
      <c r="AB2651" s="98"/>
      <c r="AC2651" s="98"/>
      <c r="AD2651" s="98"/>
      <c r="AE2651" s="98"/>
      <c r="AF2651" s="98"/>
      <c r="AG2651" s="98"/>
      <c r="AH2651" s="98"/>
      <c r="AI2651" s="98"/>
      <c r="AJ2651" s="98"/>
      <c r="AK2651" s="98"/>
      <c r="AL2651" s="98"/>
      <c r="AM2651" s="98"/>
    </row>
    <row r="2652" spans="1:39" s="100" customFormat="1" ht="15.6" x14ac:dyDescent="0.3">
      <c r="A2652" s="97"/>
      <c r="B2652" s="98"/>
      <c r="C2652" s="98"/>
      <c r="D2652" s="98"/>
      <c r="E2652" s="98"/>
      <c r="F2652" s="98"/>
      <c r="G2652" s="99"/>
      <c r="H2652" s="99"/>
      <c r="I2652" s="99"/>
      <c r="J2652" s="99"/>
      <c r="K2652" s="98"/>
      <c r="L2652" s="98"/>
      <c r="M2652" s="98"/>
      <c r="N2652" s="98"/>
      <c r="O2652" s="98"/>
      <c r="P2652" s="98"/>
      <c r="Q2652" s="98"/>
      <c r="R2652" s="98"/>
      <c r="S2652" s="98"/>
      <c r="T2652" s="98"/>
      <c r="U2652" s="98"/>
      <c r="V2652" s="98"/>
      <c r="W2652" s="98"/>
      <c r="X2652" s="98"/>
      <c r="Y2652" s="98"/>
      <c r="Z2652" s="98"/>
      <c r="AA2652" s="98"/>
      <c r="AB2652" s="98"/>
      <c r="AC2652" s="98"/>
      <c r="AD2652" s="98"/>
      <c r="AE2652" s="98"/>
      <c r="AF2652" s="98"/>
      <c r="AG2652" s="98"/>
      <c r="AH2652" s="98"/>
      <c r="AI2652" s="98"/>
      <c r="AJ2652" s="98"/>
      <c r="AK2652" s="98"/>
      <c r="AL2652" s="98"/>
      <c r="AM2652" s="98"/>
    </row>
    <row r="2653" spans="1:39" s="100" customFormat="1" ht="15.6" x14ac:dyDescent="0.3">
      <c r="A2653" s="97"/>
      <c r="B2653" s="98"/>
      <c r="C2653" s="98"/>
      <c r="D2653" s="98"/>
      <c r="E2653" s="98"/>
      <c r="F2653" s="98"/>
      <c r="G2653" s="99"/>
      <c r="H2653" s="99"/>
      <c r="I2653" s="99"/>
      <c r="J2653" s="99"/>
      <c r="K2653" s="98"/>
      <c r="L2653" s="98"/>
      <c r="M2653" s="98"/>
      <c r="N2653" s="98"/>
      <c r="O2653" s="98"/>
      <c r="P2653" s="98"/>
      <c r="Q2653" s="98"/>
      <c r="R2653" s="98"/>
      <c r="S2653" s="98"/>
      <c r="T2653" s="98"/>
      <c r="U2653" s="98"/>
      <c r="V2653" s="98"/>
      <c r="W2653" s="98"/>
      <c r="X2653" s="98"/>
      <c r="Y2653" s="98"/>
      <c r="Z2653" s="98"/>
      <c r="AA2653" s="98"/>
      <c r="AB2653" s="98"/>
      <c r="AC2653" s="98"/>
      <c r="AD2653" s="98"/>
      <c r="AE2653" s="98"/>
      <c r="AF2653" s="98"/>
      <c r="AG2653" s="98"/>
      <c r="AH2653" s="98"/>
      <c r="AI2653" s="98"/>
      <c r="AJ2653" s="98"/>
      <c r="AK2653" s="98"/>
      <c r="AL2653" s="98"/>
      <c r="AM2653" s="98"/>
    </row>
    <row r="2654" spans="1:39" s="100" customFormat="1" ht="15.6" x14ac:dyDescent="0.3">
      <c r="A2654" s="97"/>
      <c r="B2654" s="98"/>
      <c r="C2654" s="98"/>
      <c r="D2654" s="98"/>
      <c r="E2654" s="98"/>
      <c r="F2654" s="98"/>
      <c r="G2654" s="99"/>
      <c r="H2654" s="99"/>
      <c r="I2654" s="99"/>
      <c r="J2654" s="99"/>
      <c r="K2654" s="98"/>
      <c r="L2654" s="98"/>
      <c r="M2654" s="98"/>
      <c r="N2654" s="98"/>
      <c r="O2654" s="98"/>
      <c r="P2654" s="98"/>
      <c r="Q2654" s="98"/>
      <c r="R2654" s="98"/>
      <c r="S2654" s="98"/>
      <c r="T2654" s="98"/>
      <c r="U2654" s="98"/>
      <c r="V2654" s="98"/>
      <c r="W2654" s="98"/>
      <c r="X2654" s="98"/>
      <c r="Y2654" s="98"/>
      <c r="Z2654" s="98"/>
      <c r="AA2654" s="98"/>
      <c r="AB2654" s="98"/>
      <c r="AC2654" s="98"/>
      <c r="AD2654" s="98"/>
      <c r="AE2654" s="98"/>
      <c r="AF2654" s="98"/>
      <c r="AG2654" s="98"/>
      <c r="AH2654" s="98"/>
      <c r="AI2654" s="98"/>
      <c r="AJ2654" s="98"/>
      <c r="AK2654" s="98"/>
      <c r="AL2654" s="98"/>
      <c r="AM2654" s="98"/>
    </row>
    <row r="2655" spans="1:39" s="100" customFormat="1" ht="15.6" x14ac:dyDescent="0.3">
      <c r="A2655" s="97"/>
      <c r="B2655" s="98"/>
      <c r="C2655" s="98"/>
      <c r="D2655" s="98"/>
      <c r="E2655" s="98"/>
      <c r="F2655" s="98"/>
      <c r="G2655" s="99"/>
      <c r="H2655" s="99"/>
      <c r="I2655" s="99"/>
      <c r="J2655" s="99"/>
      <c r="K2655" s="98"/>
      <c r="L2655" s="98"/>
      <c r="M2655" s="98"/>
      <c r="N2655" s="98"/>
      <c r="O2655" s="98"/>
      <c r="P2655" s="98"/>
      <c r="Q2655" s="98"/>
      <c r="R2655" s="98"/>
      <c r="S2655" s="98"/>
      <c r="T2655" s="98"/>
      <c r="U2655" s="98"/>
      <c r="V2655" s="98"/>
      <c r="W2655" s="98"/>
      <c r="X2655" s="98"/>
      <c r="Y2655" s="98"/>
      <c r="Z2655" s="98"/>
      <c r="AA2655" s="98"/>
      <c r="AB2655" s="98"/>
      <c r="AC2655" s="98"/>
      <c r="AD2655" s="98"/>
      <c r="AE2655" s="98"/>
      <c r="AF2655" s="98"/>
      <c r="AG2655" s="98"/>
      <c r="AH2655" s="98"/>
      <c r="AI2655" s="98"/>
      <c r="AJ2655" s="98"/>
      <c r="AK2655" s="98"/>
      <c r="AL2655" s="98"/>
      <c r="AM2655" s="98"/>
    </row>
    <row r="2656" spans="1:39" s="100" customFormat="1" ht="15.6" x14ac:dyDescent="0.3">
      <c r="A2656" s="97"/>
      <c r="B2656" s="98"/>
      <c r="C2656" s="98"/>
      <c r="D2656" s="98"/>
      <c r="E2656" s="98"/>
      <c r="F2656" s="98"/>
      <c r="G2656" s="99"/>
      <c r="H2656" s="99"/>
      <c r="I2656" s="99"/>
      <c r="J2656" s="99"/>
      <c r="K2656" s="98"/>
      <c r="L2656" s="98"/>
      <c r="M2656" s="98"/>
      <c r="N2656" s="98"/>
      <c r="O2656" s="98"/>
      <c r="P2656" s="98"/>
      <c r="Q2656" s="98"/>
      <c r="R2656" s="98"/>
      <c r="S2656" s="98"/>
      <c r="T2656" s="98"/>
      <c r="U2656" s="98"/>
      <c r="V2656" s="98"/>
      <c r="W2656" s="98"/>
      <c r="X2656" s="98"/>
      <c r="Y2656" s="98"/>
      <c r="Z2656" s="98"/>
      <c r="AA2656" s="98"/>
      <c r="AB2656" s="98"/>
      <c r="AC2656" s="98"/>
      <c r="AD2656" s="98"/>
      <c r="AE2656" s="98"/>
      <c r="AF2656" s="98"/>
      <c r="AG2656" s="98"/>
      <c r="AH2656" s="98"/>
      <c r="AI2656" s="98"/>
      <c r="AJ2656" s="98"/>
      <c r="AK2656" s="98"/>
      <c r="AL2656" s="98"/>
      <c r="AM2656" s="98"/>
    </row>
    <row r="2657" spans="1:39" s="100" customFormat="1" ht="15.6" x14ac:dyDescent="0.3">
      <c r="A2657" s="97"/>
      <c r="B2657" s="98"/>
      <c r="C2657" s="98"/>
      <c r="D2657" s="98"/>
      <c r="E2657" s="98"/>
      <c r="F2657" s="98"/>
      <c r="G2657" s="99"/>
      <c r="H2657" s="99"/>
      <c r="I2657" s="99"/>
      <c r="J2657" s="99"/>
      <c r="K2657" s="98"/>
      <c r="L2657" s="98"/>
      <c r="M2657" s="98"/>
      <c r="N2657" s="98"/>
      <c r="O2657" s="98"/>
      <c r="P2657" s="98"/>
      <c r="Q2657" s="98"/>
      <c r="R2657" s="98"/>
      <c r="S2657" s="98"/>
      <c r="T2657" s="98"/>
      <c r="U2657" s="98"/>
      <c r="V2657" s="98"/>
      <c r="W2657" s="98"/>
      <c r="X2657" s="98"/>
      <c r="Y2657" s="98"/>
      <c r="Z2657" s="98"/>
      <c r="AA2657" s="98"/>
      <c r="AB2657" s="98"/>
      <c r="AC2657" s="98"/>
      <c r="AD2657" s="98"/>
      <c r="AE2657" s="98"/>
      <c r="AF2657" s="98"/>
      <c r="AG2657" s="98"/>
      <c r="AH2657" s="98"/>
      <c r="AI2657" s="98"/>
      <c r="AJ2657" s="98"/>
      <c r="AK2657" s="98"/>
      <c r="AL2657" s="98"/>
      <c r="AM2657" s="98"/>
    </row>
    <row r="2658" spans="1:39" s="100" customFormat="1" ht="15.6" x14ac:dyDescent="0.3">
      <c r="A2658" s="97"/>
      <c r="B2658" s="98"/>
      <c r="C2658" s="98"/>
      <c r="D2658" s="98"/>
      <c r="E2658" s="98"/>
      <c r="F2658" s="98"/>
      <c r="G2658" s="99"/>
      <c r="H2658" s="99"/>
      <c r="I2658" s="99"/>
      <c r="J2658" s="99"/>
      <c r="K2658" s="98"/>
      <c r="L2658" s="98"/>
      <c r="M2658" s="98"/>
      <c r="N2658" s="98"/>
      <c r="O2658" s="98"/>
      <c r="P2658" s="98"/>
      <c r="Q2658" s="98"/>
      <c r="R2658" s="98"/>
      <c r="S2658" s="98"/>
      <c r="T2658" s="98"/>
      <c r="U2658" s="98"/>
      <c r="V2658" s="98"/>
      <c r="W2658" s="98"/>
      <c r="X2658" s="98"/>
      <c r="Y2658" s="98"/>
      <c r="Z2658" s="98"/>
      <c r="AA2658" s="98"/>
      <c r="AB2658" s="98"/>
      <c r="AC2658" s="98"/>
      <c r="AD2658" s="98"/>
      <c r="AE2658" s="98"/>
      <c r="AF2658" s="98"/>
      <c r="AG2658" s="98"/>
      <c r="AH2658" s="98"/>
      <c r="AI2658" s="98"/>
      <c r="AJ2658" s="98"/>
      <c r="AK2658" s="98"/>
      <c r="AL2658" s="98"/>
      <c r="AM2658" s="98"/>
    </row>
    <row r="2659" spans="1:39" s="100" customFormat="1" ht="15.6" x14ac:dyDescent="0.3">
      <c r="A2659" s="97"/>
      <c r="B2659" s="98"/>
      <c r="C2659" s="98"/>
      <c r="D2659" s="98"/>
      <c r="E2659" s="98"/>
      <c r="F2659" s="98"/>
      <c r="G2659" s="99"/>
      <c r="H2659" s="99"/>
      <c r="I2659" s="99"/>
      <c r="J2659" s="99"/>
      <c r="K2659" s="98"/>
      <c r="L2659" s="98"/>
      <c r="M2659" s="98"/>
      <c r="N2659" s="98"/>
      <c r="O2659" s="98"/>
      <c r="P2659" s="98"/>
      <c r="Q2659" s="98"/>
      <c r="R2659" s="98"/>
      <c r="S2659" s="98"/>
      <c r="T2659" s="98"/>
      <c r="U2659" s="98"/>
      <c r="V2659" s="98"/>
      <c r="W2659" s="98"/>
      <c r="X2659" s="98"/>
      <c r="Y2659" s="98"/>
      <c r="Z2659" s="98"/>
      <c r="AA2659" s="98"/>
      <c r="AB2659" s="98"/>
      <c r="AC2659" s="98"/>
      <c r="AD2659" s="98"/>
      <c r="AE2659" s="98"/>
      <c r="AF2659" s="98"/>
      <c r="AG2659" s="98"/>
      <c r="AH2659" s="98"/>
      <c r="AI2659" s="98"/>
      <c r="AJ2659" s="98"/>
      <c r="AK2659" s="98"/>
      <c r="AL2659" s="98"/>
      <c r="AM2659" s="98"/>
    </row>
    <row r="2660" spans="1:39" s="100" customFormat="1" ht="15.6" x14ac:dyDescent="0.3">
      <c r="A2660" s="97"/>
      <c r="B2660" s="98"/>
      <c r="C2660" s="98"/>
      <c r="D2660" s="98"/>
      <c r="E2660" s="98"/>
      <c r="F2660" s="98"/>
      <c r="G2660" s="99"/>
      <c r="H2660" s="99"/>
      <c r="I2660" s="99"/>
      <c r="J2660" s="99"/>
      <c r="K2660" s="98"/>
      <c r="L2660" s="98"/>
      <c r="M2660" s="98"/>
      <c r="N2660" s="98"/>
      <c r="O2660" s="98"/>
      <c r="P2660" s="98"/>
      <c r="Q2660" s="98"/>
      <c r="R2660" s="98"/>
      <c r="S2660" s="98"/>
      <c r="T2660" s="98"/>
      <c r="U2660" s="98"/>
      <c r="V2660" s="98"/>
      <c r="W2660" s="98"/>
      <c r="X2660" s="98"/>
      <c r="Y2660" s="98"/>
      <c r="Z2660" s="98"/>
      <c r="AA2660" s="98"/>
      <c r="AB2660" s="98"/>
      <c r="AC2660" s="98"/>
      <c r="AD2660" s="98"/>
      <c r="AE2660" s="98"/>
      <c r="AF2660" s="98"/>
      <c r="AG2660" s="98"/>
      <c r="AH2660" s="98"/>
      <c r="AI2660" s="98"/>
      <c r="AJ2660" s="98"/>
      <c r="AK2660" s="98"/>
      <c r="AL2660" s="98"/>
      <c r="AM2660" s="98"/>
    </row>
    <row r="2661" spans="1:39" s="100" customFormat="1" ht="15.6" x14ac:dyDescent="0.3">
      <c r="A2661" s="97"/>
      <c r="B2661" s="98"/>
      <c r="C2661" s="98"/>
      <c r="D2661" s="98"/>
      <c r="E2661" s="98"/>
      <c r="F2661" s="98"/>
      <c r="G2661" s="99"/>
      <c r="H2661" s="99"/>
      <c r="I2661" s="99"/>
      <c r="J2661" s="99"/>
      <c r="K2661" s="98"/>
      <c r="L2661" s="98"/>
      <c r="M2661" s="98"/>
      <c r="N2661" s="98"/>
      <c r="O2661" s="98"/>
      <c r="P2661" s="98"/>
      <c r="Q2661" s="98"/>
      <c r="R2661" s="98"/>
      <c r="S2661" s="98"/>
      <c r="T2661" s="98"/>
      <c r="U2661" s="98"/>
      <c r="V2661" s="98"/>
      <c r="W2661" s="98"/>
      <c r="X2661" s="98"/>
      <c r="Y2661" s="98"/>
      <c r="Z2661" s="98"/>
      <c r="AA2661" s="98"/>
      <c r="AB2661" s="98"/>
      <c r="AC2661" s="98"/>
      <c r="AD2661" s="98"/>
      <c r="AE2661" s="98"/>
      <c r="AF2661" s="98"/>
      <c r="AG2661" s="98"/>
      <c r="AH2661" s="98"/>
      <c r="AI2661" s="98"/>
      <c r="AJ2661" s="98"/>
      <c r="AK2661" s="98"/>
      <c r="AL2661" s="98"/>
      <c r="AM2661" s="98"/>
    </row>
    <row r="2662" spans="1:39" s="100" customFormat="1" ht="15.6" x14ac:dyDescent="0.3">
      <c r="A2662" s="97"/>
      <c r="B2662" s="98"/>
      <c r="C2662" s="98"/>
      <c r="D2662" s="98"/>
      <c r="E2662" s="98"/>
      <c r="F2662" s="98"/>
      <c r="G2662" s="99"/>
      <c r="H2662" s="99"/>
      <c r="I2662" s="99"/>
      <c r="J2662" s="99"/>
      <c r="K2662" s="98"/>
      <c r="L2662" s="98"/>
      <c r="M2662" s="98"/>
      <c r="N2662" s="98"/>
      <c r="O2662" s="98"/>
      <c r="P2662" s="98"/>
      <c r="Q2662" s="98"/>
      <c r="R2662" s="98"/>
      <c r="S2662" s="98"/>
      <c r="T2662" s="98"/>
      <c r="U2662" s="98"/>
      <c r="V2662" s="98"/>
      <c r="W2662" s="98"/>
      <c r="X2662" s="98"/>
      <c r="Y2662" s="98"/>
      <c r="Z2662" s="98"/>
      <c r="AA2662" s="98"/>
      <c r="AB2662" s="98"/>
      <c r="AC2662" s="98"/>
      <c r="AD2662" s="98"/>
      <c r="AE2662" s="98"/>
      <c r="AF2662" s="98"/>
      <c r="AG2662" s="98"/>
      <c r="AH2662" s="98"/>
      <c r="AI2662" s="98"/>
      <c r="AJ2662" s="98"/>
      <c r="AK2662" s="98"/>
      <c r="AL2662" s="98"/>
      <c r="AM2662" s="98"/>
    </row>
    <row r="2663" spans="1:39" s="100" customFormat="1" ht="15.6" x14ac:dyDescent="0.3">
      <c r="A2663" s="97"/>
      <c r="B2663" s="98"/>
      <c r="C2663" s="98"/>
      <c r="D2663" s="98"/>
      <c r="E2663" s="98"/>
      <c r="F2663" s="98"/>
      <c r="G2663" s="99"/>
      <c r="H2663" s="99"/>
      <c r="I2663" s="99"/>
      <c r="J2663" s="99"/>
      <c r="K2663" s="98"/>
      <c r="L2663" s="98"/>
      <c r="M2663" s="98"/>
      <c r="N2663" s="98"/>
      <c r="O2663" s="98"/>
      <c r="P2663" s="98"/>
      <c r="Q2663" s="98"/>
      <c r="R2663" s="98"/>
      <c r="S2663" s="98"/>
      <c r="T2663" s="98"/>
      <c r="U2663" s="98"/>
      <c r="V2663" s="98"/>
      <c r="W2663" s="98"/>
      <c r="X2663" s="98"/>
      <c r="Y2663" s="98"/>
      <c r="Z2663" s="98"/>
      <c r="AA2663" s="98"/>
      <c r="AB2663" s="98"/>
      <c r="AC2663" s="98"/>
      <c r="AD2663" s="98"/>
      <c r="AE2663" s="98"/>
      <c r="AF2663" s="98"/>
      <c r="AG2663" s="98"/>
      <c r="AH2663" s="98"/>
      <c r="AI2663" s="98"/>
      <c r="AJ2663" s="98"/>
      <c r="AK2663" s="98"/>
      <c r="AL2663" s="98"/>
      <c r="AM2663" s="98"/>
    </row>
    <row r="2664" spans="1:39" s="100" customFormat="1" ht="15.6" x14ac:dyDescent="0.3">
      <c r="A2664" s="97"/>
      <c r="B2664" s="98"/>
      <c r="C2664" s="98"/>
      <c r="D2664" s="98"/>
      <c r="E2664" s="98"/>
      <c r="F2664" s="98"/>
      <c r="G2664" s="99"/>
      <c r="H2664" s="99"/>
      <c r="I2664" s="99"/>
      <c r="J2664" s="99"/>
      <c r="K2664" s="98"/>
      <c r="L2664" s="98"/>
      <c r="M2664" s="98"/>
      <c r="N2664" s="98"/>
      <c r="O2664" s="98"/>
      <c r="P2664" s="98"/>
      <c r="Q2664" s="98"/>
      <c r="R2664" s="98"/>
      <c r="S2664" s="98"/>
      <c r="T2664" s="98"/>
      <c r="U2664" s="98"/>
      <c r="V2664" s="98"/>
      <c r="W2664" s="98"/>
      <c r="X2664" s="98"/>
      <c r="Y2664" s="98"/>
      <c r="Z2664" s="98"/>
      <c r="AA2664" s="98"/>
      <c r="AB2664" s="98"/>
      <c r="AC2664" s="98"/>
      <c r="AD2664" s="98"/>
      <c r="AE2664" s="98"/>
      <c r="AF2664" s="98"/>
      <c r="AG2664" s="98"/>
      <c r="AH2664" s="98"/>
      <c r="AI2664" s="98"/>
      <c r="AJ2664" s="98"/>
      <c r="AK2664" s="98"/>
      <c r="AL2664" s="98"/>
      <c r="AM2664" s="98"/>
    </row>
    <row r="2665" spans="1:39" s="100" customFormat="1" ht="15.6" x14ac:dyDescent="0.3">
      <c r="A2665" s="97"/>
      <c r="B2665" s="98"/>
      <c r="C2665" s="98"/>
      <c r="D2665" s="98"/>
      <c r="E2665" s="98"/>
      <c r="F2665" s="98"/>
      <c r="G2665" s="99"/>
      <c r="H2665" s="99"/>
      <c r="I2665" s="99"/>
      <c r="J2665" s="99"/>
      <c r="K2665" s="98"/>
      <c r="L2665" s="98"/>
      <c r="M2665" s="98"/>
      <c r="N2665" s="98"/>
      <c r="O2665" s="98"/>
      <c r="P2665" s="98"/>
      <c r="Q2665" s="98"/>
      <c r="R2665" s="98"/>
      <c r="S2665" s="98"/>
      <c r="T2665" s="98"/>
      <c r="U2665" s="98"/>
      <c r="V2665" s="98"/>
      <c r="W2665" s="98"/>
      <c r="X2665" s="98"/>
      <c r="Y2665" s="98"/>
      <c r="Z2665" s="98"/>
      <c r="AA2665" s="98"/>
      <c r="AB2665" s="98"/>
      <c r="AC2665" s="98"/>
      <c r="AD2665" s="98"/>
      <c r="AE2665" s="98"/>
      <c r="AF2665" s="98"/>
      <c r="AG2665" s="98"/>
      <c r="AH2665" s="98"/>
      <c r="AI2665" s="98"/>
      <c r="AJ2665" s="98"/>
      <c r="AK2665" s="98"/>
      <c r="AL2665" s="98"/>
      <c r="AM2665" s="98"/>
    </row>
    <row r="2666" spans="1:39" s="100" customFormat="1" ht="15.6" x14ac:dyDescent="0.3">
      <c r="A2666" s="97"/>
      <c r="B2666" s="98"/>
      <c r="C2666" s="98"/>
      <c r="D2666" s="98"/>
      <c r="E2666" s="98"/>
      <c r="F2666" s="98"/>
      <c r="G2666" s="99"/>
      <c r="H2666" s="99"/>
      <c r="I2666" s="99"/>
      <c r="J2666" s="99"/>
      <c r="K2666" s="98"/>
      <c r="L2666" s="98"/>
      <c r="M2666" s="98"/>
      <c r="N2666" s="98"/>
      <c r="O2666" s="98"/>
      <c r="P2666" s="98"/>
      <c r="Q2666" s="98"/>
      <c r="R2666" s="98"/>
      <c r="S2666" s="98"/>
      <c r="T2666" s="98"/>
      <c r="U2666" s="98"/>
      <c r="V2666" s="98"/>
      <c r="W2666" s="98"/>
      <c r="X2666" s="98"/>
      <c r="Y2666" s="98"/>
      <c r="Z2666" s="98"/>
      <c r="AA2666" s="98"/>
      <c r="AB2666" s="98"/>
      <c r="AC2666" s="98"/>
      <c r="AD2666" s="98"/>
      <c r="AE2666" s="98"/>
      <c r="AF2666" s="98"/>
      <c r="AG2666" s="98"/>
      <c r="AH2666" s="98"/>
      <c r="AI2666" s="98"/>
      <c r="AJ2666" s="98"/>
      <c r="AK2666" s="98"/>
      <c r="AL2666" s="98"/>
      <c r="AM2666" s="98"/>
    </row>
    <row r="2667" spans="1:39" s="100" customFormat="1" ht="15.6" x14ac:dyDescent="0.3">
      <c r="A2667" s="97"/>
      <c r="B2667" s="98"/>
      <c r="C2667" s="98"/>
      <c r="D2667" s="98"/>
      <c r="E2667" s="98"/>
      <c r="F2667" s="98"/>
      <c r="G2667" s="99"/>
      <c r="H2667" s="99"/>
      <c r="I2667" s="99"/>
      <c r="J2667" s="99"/>
      <c r="K2667" s="98"/>
      <c r="L2667" s="98"/>
      <c r="M2667" s="98"/>
      <c r="N2667" s="98"/>
      <c r="O2667" s="98"/>
      <c r="P2667" s="98"/>
      <c r="Q2667" s="98"/>
      <c r="R2667" s="98"/>
      <c r="S2667" s="98"/>
      <c r="T2667" s="98"/>
      <c r="U2667" s="98"/>
      <c r="V2667" s="98"/>
      <c r="W2667" s="98"/>
      <c r="X2667" s="98"/>
      <c r="Y2667" s="98"/>
      <c r="Z2667" s="98"/>
      <c r="AA2667" s="98"/>
      <c r="AB2667" s="98"/>
      <c r="AC2667" s="98"/>
      <c r="AD2667" s="98"/>
      <c r="AE2667" s="98"/>
      <c r="AF2667" s="98"/>
      <c r="AG2667" s="98"/>
      <c r="AH2667" s="98"/>
      <c r="AI2667" s="98"/>
      <c r="AJ2667" s="98"/>
      <c r="AK2667" s="98"/>
      <c r="AL2667" s="98"/>
      <c r="AM2667" s="98"/>
    </row>
    <row r="2668" spans="1:39" s="100" customFormat="1" ht="15.6" x14ac:dyDescent="0.3">
      <c r="A2668" s="97"/>
      <c r="B2668" s="98"/>
      <c r="C2668" s="98"/>
      <c r="D2668" s="98"/>
      <c r="E2668" s="98"/>
      <c r="F2668" s="98"/>
      <c r="G2668" s="99"/>
      <c r="H2668" s="99"/>
      <c r="I2668" s="99"/>
      <c r="J2668" s="99"/>
      <c r="K2668" s="98"/>
      <c r="L2668" s="98"/>
      <c r="M2668" s="98"/>
      <c r="N2668" s="98"/>
      <c r="O2668" s="98"/>
      <c r="P2668" s="98"/>
      <c r="Q2668" s="98"/>
      <c r="R2668" s="98"/>
      <c r="S2668" s="98"/>
      <c r="T2668" s="98"/>
      <c r="U2668" s="98"/>
      <c r="V2668" s="98"/>
      <c r="W2668" s="98"/>
      <c r="X2668" s="98"/>
      <c r="Y2668" s="98"/>
      <c r="Z2668" s="98"/>
      <c r="AA2668" s="98"/>
      <c r="AB2668" s="98"/>
      <c r="AC2668" s="98"/>
      <c r="AD2668" s="98"/>
      <c r="AE2668" s="98"/>
      <c r="AF2668" s="98"/>
      <c r="AG2668" s="98"/>
      <c r="AH2668" s="98"/>
      <c r="AI2668" s="98"/>
      <c r="AJ2668" s="98"/>
      <c r="AK2668" s="98"/>
      <c r="AL2668" s="98"/>
      <c r="AM2668" s="98"/>
    </row>
    <row r="2669" spans="1:39" s="100" customFormat="1" ht="15.6" x14ac:dyDescent="0.3">
      <c r="A2669" s="97"/>
      <c r="B2669" s="98"/>
      <c r="C2669" s="98"/>
      <c r="D2669" s="98"/>
      <c r="E2669" s="98"/>
      <c r="F2669" s="98"/>
      <c r="G2669" s="99"/>
      <c r="H2669" s="99"/>
      <c r="I2669" s="99"/>
      <c r="J2669" s="99"/>
      <c r="K2669" s="98"/>
      <c r="L2669" s="98"/>
      <c r="M2669" s="98"/>
      <c r="N2669" s="98"/>
      <c r="O2669" s="98"/>
      <c r="P2669" s="98"/>
      <c r="Q2669" s="98"/>
      <c r="R2669" s="98"/>
      <c r="S2669" s="98"/>
      <c r="T2669" s="98"/>
      <c r="U2669" s="98"/>
      <c r="V2669" s="98"/>
      <c r="W2669" s="98"/>
      <c r="X2669" s="98"/>
      <c r="Y2669" s="98"/>
      <c r="Z2669" s="98"/>
      <c r="AA2669" s="98"/>
      <c r="AB2669" s="98"/>
      <c r="AC2669" s="98"/>
      <c r="AD2669" s="98"/>
      <c r="AE2669" s="98"/>
      <c r="AF2669" s="98"/>
      <c r="AG2669" s="98"/>
      <c r="AH2669" s="98"/>
      <c r="AI2669" s="98"/>
      <c r="AJ2669" s="98"/>
      <c r="AK2669" s="98"/>
      <c r="AL2669" s="98"/>
      <c r="AM2669" s="98"/>
    </row>
    <row r="2670" spans="1:39" s="100" customFormat="1" ht="15.6" x14ac:dyDescent="0.3">
      <c r="A2670" s="97"/>
      <c r="B2670" s="98"/>
      <c r="C2670" s="98"/>
      <c r="D2670" s="98"/>
      <c r="E2670" s="98"/>
      <c r="F2670" s="98"/>
      <c r="G2670" s="99"/>
      <c r="H2670" s="99"/>
      <c r="I2670" s="99"/>
      <c r="J2670" s="99"/>
      <c r="K2670" s="98"/>
      <c r="L2670" s="98"/>
      <c r="M2670" s="98"/>
      <c r="N2670" s="98"/>
      <c r="O2670" s="98"/>
      <c r="P2670" s="98"/>
      <c r="Q2670" s="98"/>
      <c r="R2670" s="98"/>
      <c r="S2670" s="98"/>
      <c r="T2670" s="98"/>
      <c r="U2670" s="98"/>
      <c r="V2670" s="98"/>
      <c r="W2670" s="98"/>
      <c r="X2670" s="98"/>
      <c r="Y2670" s="98"/>
      <c r="Z2670" s="98"/>
      <c r="AA2670" s="98"/>
      <c r="AB2670" s="98"/>
      <c r="AC2670" s="98"/>
      <c r="AD2670" s="98"/>
      <c r="AE2670" s="98"/>
      <c r="AF2670" s="98"/>
      <c r="AG2670" s="98"/>
      <c r="AH2670" s="98"/>
      <c r="AI2670" s="98"/>
      <c r="AJ2670" s="98"/>
      <c r="AK2670" s="98"/>
      <c r="AL2670" s="98"/>
      <c r="AM2670" s="98"/>
    </row>
    <row r="2671" spans="1:39" s="100" customFormat="1" ht="15.6" x14ac:dyDescent="0.3">
      <c r="A2671" s="97"/>
      <c r="B2671" s="98"/>
      <c r="C2671" s="98"/>
      <c r="D2671" s="98"/>
      <c r="E2671" s="98"/>
      <c r="F2671" s="98"/>
      <c r="G2671" s="99"/>
      <c r="H2671" s="99"/>
      <c r="I2671" s="99"/>
      <c r="J2671" s="99"/>
      <c r="K2671" s="98"/>
      <c r="L2671" s="98"/>
      <c r="M2671" s="98"/>
      <c r="N2671" s="98"/>
      <c r="O2671" s="98"/>
      <c r="P2671" s="98"/>
      <c r="Q2671" s="98"/>
      <c r="R2671" s="98"/>
      <c r="S2671" s="98"/>
      <c r="T2671" s="98"/>
      <c r="U2671" s="98"/>
      <c r="V2671" s="98"/>
      <c r="W2671" s="98"/>
      <c r="X2671" s="98"/>
      <c r="Y2671" s="98"/>
      <c r="Z2671" s="98"/>
      <c r="AA2671" s="98"/>
      <c r="AB2671" s="98"/>
      <c r="AC2671" s="98"/>
      <c r="AD2671" s="98"/>
      <c r="AE2671" s="98"/>
      <c r="AF2671" s="98"/>
      <c r="AG2671" s="98"/>
      <c r="AH2671" s="98"/>
      <c r="AI2671" s="98"/>
      <c r="AJ2671" s="98"/>
      <c r="AK2671" s="98"/>
      <c r="AL2671" s="98"/>
      <c r="AM2671" s="98"/>
    </row>
    <row r="2672" spans="1:39" s="100" customFormat="1" ht="15.6" x14ac:dyDescent="0.3">
      <c r="A2672" s="97"/>
      <c r="B2672" s="98"/>
      <c r="C2672" s="98"/>
      <c r="D2672" s="98"/>
      <c r="E2672" s="98"/>
      <c r="F2672" s="98"/>
      <c r="G2672" s="99"/>
      <c r="H2672" s="99"/>
      <c r="I2672" s="99"/>
      <c r="J2672" s="99"/>
      <c r="K2672" s="98"/>
      <c r="L2672" s="98"/>
      <c r="M2672" s="98"/>
      <c r="N2672" s="98"/>
      <c r="O2672" s="98"/>
      <c r="P2672" s="98"/>
      <c r="Q2672" s="98"/>
      <c r="R2672" s="98"/>
      <c r="S2672" s="98"/>
      <c r="T2672" s="98"/>
      <c r="U2672" s="98"/>
      <c r="V2672" s="98"/>
      <c r="W2672" s="98"/>
      <c r="X2672" s="98"/>
      <c r="Y2672" s="98"/>
      <c r="Z2672" s="98"/>
      <c r="AA2672" s="98"/>
      <c r="AB2672" s="98"/>
      <c r="AC2672" s="98"/>
      <c r="AD2672" s="98"/>
      <c r="AE2672" s="98"/>
      <c r="AF2672" s="98"/>
      <c r="AG2672" s="98"/>
      <c r="AH2672" s="98"/>
      <c r="AI2672" s="98"/>
      <c r="AJ2672" s="98"/>
      <c r="AK2672" s="98"/>
      <c r="AL2672" s="98"/>
      <c r="AM2672" s="98"/>
    </row>
    <row r="2673" spans="1:39" s="100" customFormat="1" ht="15.6" x14ac:dyDescent="0.3">
      <c r="A2673" s="97"/>
      <c r="B2673" s="98"/>
      <c r="C2673" s="98"/>
      <c r="D2673" s="98"/>
      <c r="E2673" s="98"/>
      <c r="F2673" s="98"/>
      <c r="G2673" s="99"/>
      <c r="H2673" s="99"/>
      <c r="I2673" s="99"/>
      <c r="J2673" s="99"/>
      <c r="K2673" s="98"/>
      <c r="L2673" s="98"/>
      <c r="M2673" s="98"/>
      <c r="N2673" s="98"/>
      <c r="O2673" s="98"/>
      <c r="P2673" s="98"/>
      <c r="Q2673" s="98"/>
      <c r="R2673" s="98"/>
      <c r="S2673" s="98"/>
      <c r="T2673" s="98"/>
      <c r="U2673" s="98"/>
      <c r="V2673" s="98"/>
      <c r="W2673" s="98"/>
      <c r="X2673" s="98"/>
      <c r="Y2673" s="98"/>
      <c r="Z2673" s="98"/>
      <c r="AA2673" s="98"/>
      <c r="AB2673" s="98"/>
      <c r="AC2673" s="98"/>
      <c r="AD2673" s="98"/>
      <c r="AE2673" s="98"/>
      <c r="AF2673" s="98"/>
      <c r="AG2673" s="98"/>
      <c r="AH2673" s="98"/>
      <c r="AI2673" s="98"/>
      <c r="AJ2673" s="98"/>
      <c r="AK2673" s="98"/>
      <c r="AL2673" s="98"/>
      <c r="AM2673" s="98"/>
    </row>
    <row r="2674" spans="1:39" s="100" customFormat="1" ht="15.6" x14ac:dyDescent="0.3">
      <c r="A2674" s="97"/>
      <c r="B2674" s="98"/>
      <c r="C2674" s="98"/>
      <c r="D2674" s="98"/>
      <c r="E2674" s="98"/>
      <c r="F2674" s="98"/>
      <c r="G2674" s="99"/>
      <c r="H2674" s="99"/>
      <c r="I2674" s="99"/>
      <c r="J2674" s="99"/>
      <c r="K2674" s="98"/>
      <c r="L2674" s="98"/>
      <c r="M2674" s="98"/>
      <c r="N2674" s="98"/>
      <c r="O2674" s="98"/>
      <c r="P2674" s="98"/>
      <c r="Q2674" s="98"/>
      <c r="R2674" s="98"/>
      <c r="S2674" s="98"/>
      <c r="T2674" s="98"/>
      <c r="U2674" s="98"/>
      <c r="V2674" s="98"/>
      <c r="W2674" s="98"/>
      <c r="X2674" s="98"/>
      <c r="Y2674" s="98"/>
      <c r="Z2674" s="98"/>
      <c r="AA2674" s="98"/>
      <c r="AB2674" s="98"/>
      <c r="AC2674" s="98"/>
      <c r="AD2674" s="98"/>
      <c r="AE2674" s="98"/>
      <c r="AF2674" s="98"/>
      <c r="AG2674" s="98"/>
      <c r="AH2674" s="98"/>
      <c r="AI2674" s="98"/>
      <c r="AJ2674" s="98"/>
      <c r="AK2674" s="98"/>
      <c r="AL2674" s="98"/>
      <c r="AM2674" s="98"/>
    </row>
    <row r="2675" spans="1:39" s="100" customFormat="1" ht="15.6" x14ac:dyDescent="0.3">
      <c r="A2675" s="97"/>
      <c r="B2675" s="98"/>
      <c r="C2675" s="98"/>
      <c r="D2675" s="98"/>
      <c r="E2675" s="98"/>
      <c r="F2675" s="98"/>
      <c r="G2675" s="99"/>
      <c r="H2675" s="99"/>
      <c r="I2675" s="99"/>
      <c r="J2675" s="99"/>
      <c r="K2675" s="98"/>
      <c r="L2675" s="98"/>
      <c r="M2675" s="98"/>
      <c r="N2675" s="98"/>
      <c r="O2675" s="98"/>
      <c r="P2675" s="98"/>
      <c r="Q2675" s="98"/>
      <c r="R2675" s="98"/>
      <c r="S2675" s="98"/>
      <c r="T2675" s="98"/>
      <c r="U2675" s="98"/>
      <c r="V2675" s="98"/>
      <c r="W2675" s="98"/>
      <c r="X2675" s="98"/>
      <c r="Y2675" s="98"/>
      <c r="Z2675" s="98"/>
      <c r="AA2675" s="98"/>
      <c r="AB2675" s="98"/>
      <c r="AC2675" s="98"/>
      <c r="AD2675" s="98"/>
      <c r="AE2675" s="98"/>
      <c r="AF2675" s="98"/>
      <c r="AG2675" s="98"/>
      <c r="AH2675" s="98"/>
      <c r="AI2675" s="98"/>
      <c r="AJ2675" s="98"/>
      <c r="AK2675" s="98"/>
      <c r="AL2675" s="98"/>
      <c r="AM2675" s="98"/>
    </row>
    <row r="2676" spans="1:39" s="100" customFormat="1" ht="15.6" x14ac:dyDescent="0.3">
      <c r="A2676" s="97"/>
      <c r="B2676" s="98"/>
      <c r="C2676" s="98"/>
      <c r="D2676" s="98"/>
      <c r="E2676" s="98"/>
      <c r="F2676" s="98"/>
      <c r="G2676" s="99"/>
      <c r="H2676" s="99"/>
      <c r="I2676" s="99"/>
      <c r="J2676" s="99"/>
      <c r="K2676" s="98"/>
      <c r="L2676" s="98"/>
      <c r="M2676" s="98"/>
      <c r="N2676" s="98"/>
      <c r="O2676" s="98"/>
      <c r="P2676" s="98"/>
      <c r="Q2676" s="98"/>
      <c r="R2676" s="98"/>
      <c r="S2676" s="98"/>
      <c r="T2676" s="98"/>
      <c r="U2676" s="98"/>
      <c r="V2676" s="98"/>
      <c r="W2676" s="98"/>
      <c r="X2676" s="98"/>
      <c r="Y2676" s="98"/>
      <c r="Z2676" s="98"/>
      <c r="AA2676" s="98"/>
      <c r="AB2676" s="98"/>
      <c r="AC2676" s="98"/>
      <c r="AD2676" s="98"/>
      <c r="AE2676" s="98"/>
      <c r="AF2676" s="98"/>
      <c r="AG2676" s="98"/>
      <c r="AH2676" s="98"/>
      <c r="AI2676" s="98"/>
      <c r="AJ2676" s="98"/>
      <c r="AK2676" s="98"/>
      <c r="AL2676" s="98"/>
      <c r="AM2676" s="98"/>
    </row>
    <row r="2677" spans="1:39" s="100" customFormat="1" ht="15.6" x14ac:dyDescent="0.3">
      <c r="A2677" s="97"/>
      <c r="B2677" s="98"/>
      <c r="C2677" s="98"/>
      <c r="D2677" s="98"/>
      <c r="E2677" s="98"/>
      <c r="F2677" s="98"/>
      <c r="G2677" s="99"/>
      <c r="H2677" s="99"/>
      <c r="I2677" s="99"/>
      <c r="J2677" s="99"/>
      <c r="K2677" s="98"/>
      <c r="L2677" s="98"/>
      <c r="M2677" s="98"/>
      <c r="N2677" s="98"/>
      <c r="O2677" s="98"/>
      <c r="P2677" s="98"/>
      <c r="Q2677" s="98"/>
      <c r="R2677" s="98"/>
      <c r="S2677" s="98"/>
      <c r="T2677" s="98"/>
      <c r="U2677" s="98"/>
      <c r="V2677" s="98"/>
      <c r="W2677" s="98"/>
      <c r="X2677" s="98"/>
      <c r="Y2677" s="98"/>
      <c r="Z2677" s="98"/>
      <c r="AA2677" s="98"/>
      <c r="AB2677" s="98"/>
      <c r="AC2677" s="98"/>
      <c r="AD2677" s="98"/>
      <c r="AE2677" s="98"/>
      <c r="AF2677" s="98"/>
      <c r="AG2677" s="98"/>
      <c r="AH2677" s="98"/>
      <c r="AI2677" s="98"/>
      <c r="AJ2677" s="98"/>
      <c r="AK2677" s="98"/>
      <c r="AL2677" s="98"/>
      <c r="AM2677" s="98"/>
    </row>
    <row r="2678" spans="1:39" s="100" customFormat="1" ht="15.6" x14ac:dyDescent="0.3">
      <c r="A2678" s="97"/>
      <c r="B2678" s="98"/>
      <c r="C2678" s="98"/>
      <c r="D2678" s="98"/>
      <c r="E2678" s="98"/>
      <c r="F2678" s="98"/>
      <c r="G2678" s="99"/>
      <c r="H2678" s="99"/>
      <c r="I2678" s="99"/>
      <c r="J2678" s="99"/>
      <c r="K2678" s="98"/>
      <c r="L2678" s="98"/>
      <c r="M2678" s="98"/>
      <c r="N2678" s="98"/>
      <c r="O2678" s="98"/>
      <c r="P2678" s="98"/>
      <c r="Q2678" s="98"/>
      <c r="R2678" s="98"/>
      <c r="S2678" s="98"/>
      <c r="T2678" s="98"/>
      <c r="U2678" s="98"/>
      <c r="V2678" s="98"/>
      <c r="W2678" s="98"/>
      <c r="X2678" s="98"/>
      <c r="Y2678" s="98"/>
      <c r="Z2678" s="98"/>
      <c r="AA2678" s="98"/>
      <c r="AB2678" s="98"/>
      <c r="AC2678" s="98"/>
      <c r="AD2678" s="98"/>
      <c r="AE2678" s="98"/>
      <c r="AF2678" s="98"/>
      <c r="AG2678" s="98"/>
      <c r="AH2678" s="98"/>
      <c r="AI2678" s="98"/>
      <c r="AJ2678" s="98"/>
      <c r="AK2678" s="98"/>
      <c r="AL2678" s="98"/>
      <c r="AM2678" s="98"/>
    </row>
    <row r="2679" spans="1:39" s="100" customFormat="1" ht="15.6" x14ac:dyDescent="0.3">
      <c r="A2679" s="97"/>
      <c r="B2679" s="98"/>
      <c r="C2679" s="98"/>
      <c r="D2679" s="98"/>
      <c r="E2679" s="98"/>
      <c r="F2679" s="98"/>
      <c r="G2679" s="99"/>
      <c r="H2679" s="99"/>
      <c r="I2679" s="99"/>
      <c r="J2679" s="99"/>
      <c r="K2679" s="98"/>
      <c r="L2679" s="98"/>
      <c r="M2679" s="98"/>
      <c r="N2679" s="98"/>
      <c r="O2679" s="98"/>
      <c r="P2679" s="98"/>
      <c r="Q2679" s="98"/>
      <c r="R2679" s="98"/>
      <c r="S2679" s="98"/>
      <c r="T2679" s="98"/>
      <c r="U2679" s="98"/>
      <c r="V2679" s="98"/>
      <c r="W2679" s="98"/>
      <c r="X2679" s="98"/>
      <c r="Y2679" s="98"/>
      <c r="Z2679" s="98"/>
      <c r="AA2679" s="98"/>
      <c r="AB2679" s="98"/>
      <c r="AC2679" s="98"/>
      <c r="AD2679" s="98"/>
      <c r="AE2679" s="98"/>
      <c r="AF2679" s="98"/>
      <c r="AG2679" s="98"/>
      <c r="AH2679" s="98"/>
      <c r="AI2679" s="98"/>
      <c r="AJ2679" s="98"/>
      <c r="AK2679" s="98"/>
      <c r="AL2679" s="98"/>
      <c r="AM2679" s="98"/>
    </row>
    <row r="2680" spans="1:39" s="100" customFormat="1" ht="15.6" x14ac:dyDescent="0.3">
      <c r="A2680" s="97"/>
      <c r="B2680" s="98"/>
      <c r="C2680" s="98"/>
      <c r="D2680" s="98"/>
      <c r="E2680" s="98"/>
      <c r="F2680" s="98"/>
      <c r="G2680" s="99"/>
      <c r="H2680" s="99"/>
      <c r="I2680" s="99"/>
      <c r="J2680" s="99"/>
      <c r="K2680" s="98"/>
      <c r="L2680" s="98"/>
      <c r="M2680" s="98"/>
      <c r="N2680" s="98"/>
      <c r="O2680" s="98"/>
      <c r="P2680" s="98"/>
      <c r="Q2680" s="98"/>
      <c r="R2680" s="98"/>
      <c r="S2680" s="98"/>
      <c r="T2680" s="98"/>
      <c r="U2680" s="98"/>
      <c r="V2680" s="98"/>
      <c r="W2680" s="98"/>
      <c r="X2680" s="98"/>
      <c r="Y2680" s="98"/>
      <c r="Z2680" s="98"/>
      <c r="AA2680" s="98"/>
      <c r="AB2680" s="98"/>
      <c r="AC2680" s="98"/>
      <c r="AD2680" s="98"/>
      <c r="AE2680" s="98"/>
      <c r="AF2680" s="98"/>
      <c r="AG2680" s="98"/>
      <c r="AH2680" s="98"/>
      <c r="AI2680" s="98"/>
      <c r="AJ2680" s="98"/>
      <c r="AK2680" s="98"/>
      <c r="AL2680" s="98"/>
      <c r="AM2680" s="98"/>
    </row>
    <row r="2681" spans="1:39" s="100" customFormat="1" ht="15.6" x14ac:dyDescent="0.3">
      <c r="A2681" s="97"/>
      <c r="B2681" s="98"/>
      <c r="C2681" s="98"/>
      <c r="D2681" s="98"/>
      <c r="E2681" s="98"/>
      <c r="F2681" s="98"/>
      <c r="G2681" s="99"/>
      <c r="H2681" s="99"/>
      <c r="I2681" s="99"/>
      <c r="J2681" s="99"/>
      <c r="K2681" s="98"/>
      <c r="L2681" s="98"/>
      <c r="M2681" s="98"/>
      <c r="N2681" s="98"/>
      <c r="O2681" s="98"/>
      <c r="P2681" s="98"/>
      <c r="Q2681" s="98"/>
      <c r="R2681" s="98"/>
      <c r="S2681" s="98"/>
      <c r="T2681" s="98"/>
      <c r="U2681" s="98"/>
      <c r="V2681" s="98"/>
      <c r="W2681" s="98"/>
      <c r="X2681" s="98"/>
      <c r="Y2681" s="98"/>
      <c r="Z2681" s="98"/>
      <c r="AA2681" s="98"/>
      <c r="AB2681" s="98"/>
      <c r="AC2681" s="98"/>
      <c r="AD2681" s="98"/>
      <c r="AE2681" s="98"/>
      <c r="AF2681" s="98"/>
      <c r="AG2681" s="98"/>
      <c r="AH2681" s="98"/>
      <c r="AI2681" s="98"/>
      <c r="AJ2681" s="98"/>
      <c r="AK2681" s="98"/>
      <c r="AL2681" s="98"/>
      <c r="AM2681" s="98"/>
    </row>
    <row r="2682" spans="1:39" s="100" customFormat="1" ht="15.6" x14ac:dyDescent="0.3">
      <c r="A2682" s="97"/>
      <c r="B2682" s="98"/>
      <c r="C2682" s="98"/>
      <c r="D2682" s="98"/>
      <c r="E2682" s="98"/>
      <c r="F2682" s="98"/>
      <c r="G2682" s="99"/>
      <c r="H2682" s="99"/>
      <c r="I2682" s="99"/>
      <c r="J2682" s="99"/>
      <c r="K2682" s="98"/>
      <c r="L2682" s="98"/>
      <c r="M2682" s="98"/>
      <c r="N2682" s="98"/>
      <c r="O2682" s="98"/>
      <c r="P2682" s="98"/>
      <c r="Q2682" s="98"/>
      <c r="R2682" s="98"/>
      <c r="S2682" s="98"/>
      <c r="T2682" s="98"/>
      <c r="U2682" s="98"/>
      <c r="V2682" s="98"/>
      <c r="W2682" s="98"/>
      <c r="X2682" s="98"/>
      <c r="Y2682" s="98"/>
      <c r="Z2682" s="98"/>
      <c r="AA2682" s="98"/>
      <c r="AB2682" s="98"/>
      <c r="AC2682" s="98"/>
      <c r="AD2682" s="98"/>
      <c r="AE2682" s="98"/>
      <c r="AF2682" s="98"/>
      <c r="AG2682" s="98"/>
      <c r="AH2682" s="98"/>
      <c r="AI2682" s="98"/>
      <c r="AJ2682" s="98"/>
      <c r="AK2682" s="98"/>
      <c r="AL2682" s="98"/>
      <c r="AM2682" s="98"/>
    </row>
    <row r="2683" spans="1:39" s="100" customFormat="1" ht="15.6" x14ac:dyDescent="0.3">
      <c r="A2683" s="97"/>
      <c r="B2683" s="98"/>
      <c r="C2683" s="98"/>
      <c r="D2683" s="98"/>
      <c r="E2683" s="98"/>
      <c r="F2683" s="98"/>
      <c r="G2683" s="99"/>
      <c r="H2683" s="99"/>
      <c r="I2683" s="99"/>
      <c r="J2683" s="99"/>
      <c r="K2683" s="98"/>
      <c r="L2683" s="98"/>
      <c r="M2683" s="98"/>
      <c r="N2683" s="98"/>
      <c r="O2683" s="98"/>
      <c r="P2683" s="98"/>
      <c r="Q2683" s="98"/>
      <c r="R2683" s="98"/>
      <c r="S2683" s="98"/>
      <c r="T2683" s="98"/>
      <c r="U2683" s="98"/>
      <c r="V2683" s="98"/>
      <c r="W2683" s="98"/>
      <c r="X2683" s="98"/>
      <c r="Y2683" s="98"/>
      <c r="Z2683" s="98"/>
      <c r="AA2683" s="98"/>
      <c r="AB2683" s="98"/>
      <c r="AC2683" s="98"/>
      <c r="AD2683" s="98"/>
      <c r="AE2683" s="98"/>
      <c r="AF2683" s="98"/>
      <c r="AG2683" s="98"/>
      <c r="AH2683" s="98"/>
      <c r="AI2683" s="98"/>
      <c r="AJ2683" s="98"/>
      <c r="AK2683" s="98"/>
      <c r="AL2683" s="98"/>
      <c r="AM2683" s="98"/>
    </row>
    <row r="2684" spans="1:39" s="100" customFormat="1" ht="15.6" x14ac:dyDescent="0.3">
      <c r="A2684" s="97"/>
      <c r="B2684" s="98"/>
      <c r="C2684" s="98"/>
      <c r="D2684" s="98"/>
      <c r="E2684" s="98"/>
      <c r="F2684" s="98"/>
      <c r="G2684" s="99"/>
      <c r="H2684" s="99"/>
      <c r="I2684" s="99"/>
      <c r="J2684" s="99"/>
      <c r="K2684" s="98"/>
      <c r="L2684" s="98"/>
      <c r="M2684" s="98"/>
      <c r="N2684" s="98"/>
      <c r="O2684" s="98"/>
      <c r="P2684" s="98"/>
      <c r="Q2684" s="98"/>
      <c r="R2684" s="98"/>
      <c r="S2684" s="98"/>
      <c r="T2684" s="98"/>
      <c r="U2684" s="98"/>
      <c r="V2684" s="98"/>
      <c r="W2684" s="98"/>
      <c r="X2684" s="98"/>
      <c r="Y2684" s="98"/>
      <c r="Z2684" s="98"/>
      <c r="AA2684" s="98"/>
      <c r="AB2684" s="98"/>
      <c r="AC2684" s="98"/>
      <c r="AD2684" s="98"/>
      <c r="AE2684" s="98"/>
      <c r="AF2684" s="98"/>
      <c r="AG2684" s="98"/>
      <c r="AH2684" s="98"/>
      <c r="AI2684" s="98"/>
      <c r="AJ2684" s="98"/>
      <c r="AK2684" s="98"/>
      <c r="AL2684" s="98"/>
      <c r="AM2684" s="98"/>
    </row>
    <row r="2685" spans="1:39" s="100" customFormat="1" ht="15.6" x14ac:dyDescent="0.3">
      <c r="A2685" s="97"/>
      <c r="B2685" s="98"/>
      <c r="C2685" s="98"/>
      <c r="D2685" s="98"/>
      <c r="E2685" s="98"/>
      <c r="F2685" s="98"/>
      <c r="G2685" s="99"/>
      <c r="H2685" s="99"/>
      <c r="I2685" s="99"/>
      <c r="J2685" s="99"/>
      <c r="K2685" s="98"/>
      <c r="L2685" s="98"/>
      <c r="M2685" s="98"/>
      <c r="N2685" s="98"/>
      <c r="O2685" s="98"/>
      <c r="P2685" s="98"/>
      <c r="Q2685" s="98"/>
      <c r="R2685" s="98"/>
      <c r="S2685" s="98"/>
      <c r="T2685" s="98"/>
      <c r="U2685" s="98"/>
      <c r="V2685" s="98"/>
      <c r="W2685" s="98"/>
      <c r="X2685" s="98"/>
      <c r="Y2685" s="98"/>
      <c r="Z2685" s="98"/>
      <c r="AA2685" s="98"/>
      <c r="AB2685" s="98"/>
      <c r="AC2685" s="98"/>
      <c r="AD2685" s="98"/>
      <c r="AE2685" s="98"/>
      <c r="AF2685" s="98"/>
      <c r="AG2685" s="98"/>
      <c r="AH2685" s="98"/>
      <c r="AI2685" s="98"/>
      <c r="AJ2685" s="98"/>
      <c r="AK2685" s="98"/>
      <c r="AL2685" s="98"/>
      <c r="AM2685" s="98"/>
    </row>
    <row r="2686" spans="1:39" s="100" customFormat="1" ht="15.6" x14ac:dyDescent="0.3">
      <c r="A2686" s="97"/>
      <c r="B2686" s="98"/>
      <c r="C2686" s="98"/>
      <c r="D2686" s="98"/>
      <c r="E2686" s="98"/>
      <c r="F2686" s="98"/>
      <c r="G2686" s="99"/>
      <c r="H2686" s="99"/>
      <c r="I2686" s="99"/>
      <c r="J2686" s="99"/>
      <c r="K2686" s="98"/>
      <c r="L2686" s="98"/>
      <c r="M2686" s="98"/>
      <c r="N2686" s="98"/>
      <c r="O2686" s="98"/>
      <c r="P2686" s="98"/>
      <c r="Q2686" s="98"/>
      <c r="R2686" s="98"/>
      <c r="S2686" s="98"/>
      <c r="T2686" s="98"/>
      <c r="U2686" s="98"/>
      <c r="V2686" s="98"/>
      <c r="W2686" s="98"/>
      <c r="X2686" s="98"/>
      <c r="Y2686" s="98"/>
      <c r="Z2686" s="98"/>
      <c r="AA2686" s="98"/>
      <c r="AB2686" s="98"/>
      <c r="AC2686" s="98"/>
      <c r="AD2686" s="98"/>
      <c r="AE2686" s="98"/>
      <c r="AF2686" s="98"/>
      <c r="AG2686" s="98"/>
      <c r="AH2686" s="98"/>
      <c r="AI2686" s="98"/>
      <c r="AJ2686" s="98"/>
      <c r="AK2686" s="98"/>
      <c r="AL2686" s="98"/>
      <c r="AM2686" s="98"/>
    </row>
    <row r="2687" spans="1:39" s="100" customFormat="1" ht="15.6" x14ac:dyDescent="0.3">
      <c r="A2687" s="97"/>
      <c r="B2687" s="98"/>
      <c r="C2687" s="98"/>
      <c r="D2687" s="98"/>
      <c r="E2687" s="98"/>
      <c r="F2687" s="98"/>
      <c r="G2687" s="99"/>
      <c r="H2687" s="99"/>
      <c r="I2687" s="99"/>
      <c r="J2687" s="99"/>
      <c r="K2687" s="98"/>
      <c r="L2687" s="98"/>
      <c r="M2687" s="98"/>
      <c r="N2687" s="98"/>
      <c r="O2687" s="98"/>
      <c r="P2687" s="98"/>
      <c r="Q2687" s="98"/>
      <c r="R2687" s="98"/>
      <c r="S2687" s="98"/>
      <c r="T2687" s="98"/>
      <c r="U2687" s="98"/>
      <c r="V2687" s="98"/>
      <c r="W2687" s="98"/>
      <c r="X2687" s="98"/>
      <c r="Y2687" s="98"/>
      <c r="Z2687" s="98"/>
      <c r="AA2687" s="98"/>
      <c r="AB2687" s="98"/>
      <c r="AC2687" s="98"/>
      <c r="AD2687" s="98"/>
      <c r="AE2687" s="98"/>
      <c r="AF2687" s="98"/>
      <c r="AG2687" s="98"/>
      <c r="AH2687" s="98"/>
      <c r="AI2687" s="98"/>
      <c r="AJ2687" s="98"/>
      <c r="AK2687" s="98"/>
      <c r="AL2687" s="98"/>
      <c r="AM2687" s="98"/>
    </row>
    <row r="2688" spans="1:39" s="100" customFormat="1" ht="15.6" x14ac:dyDescent="0.3">
      <c r="A2688" s="97"/>
      <c r="B2688" s="98"/>
      <c r="C2688" s="98"/>
      <c r="D2688" s="98"/>
      <c r="E2688" s="98"/>
      <c r="F2688" s="98"/>
      <c r="G2688" s="99"/>
      <c r="H2688" s="99"/>
      <c r="I2688" s="99"/>
      <c r="J2688" s="99"/>
      <c r="K2688" s="98"/>
      <c r="L2688" s="98"/>
      <c r="M2688" s="98"/>
      <c r="N2688" s="98"/>
      <c r="O2688" s="98"/>
      <c r="P2688" s="98"/>
      <c r="Q2688" s="98"/>
      <c r="R2688" s="98"/>
      <c r="S2688" s="98"/>
      <c r="T2688" s="98"/>
      <c r="U2688" s="98"/>
      <c r="V2688" s="98"/>
      <c r="W2688" s="98"/>
      <c r="X2688" s="98"/>
      <c r="Y2688" s="98"/>
      <c r="Z2688" s="98"/>
      <c r="AA2688" s="98"/>
      <c r="AB2688" s="98"/>
      <c r="AC2688" s="98"/>
      <c r="AD2688" s="98"/>
      <c r="AE2688" s="98"/>
      <c r="AF2688" s="98"/>
      <c r="AG2688" s="98"/>
      <c r="AH2688" s="98"/>
      <c r="AI2688" s="98"/>
      <c r="AJ2688" s="98"/>
      <c r="AK2688" s="98"/>
      <c r="AL2688" s="98"/>
      <c r="AM2688" s="98"/>
    </row>
    <row r="2689" spans="1:39" s="100" customFormat="1" ht="15.6" x14ac:dyDescent="0.3">
      <c r="A2689" s="97"/>
      <c r="B2689" s="98"/>
      <c r="C2689" s="98"/>
      <c r="D2689" s="98"/>
      <c r="E2689" s="98"/>
      <c r="F2689" s="98"/>
      <c r="G2689" s="99"/>
      <c r="H2689" s="99"/>
      <c r="I2689" s="99"/>
      <c r="J2689" s="99"/>
      <c r="K2689" s="98"/>
      <c r="L2689" s="98"/>
      <c r="M2689" s="98"/>
      <c r="N2689" s="98"/>
      <c r="O2689" s="98"/>
      <c r="P2689" s="98"/>
      <c r="Q2689" s="98"/>
      <c r="R2689" s="98"/>
      <c r="S2689" s="98"/>
      <c r="T2689" s="98"/>
      <c r="U2689" s="98"/>
      <c r="V2689" s="98"/>
      <c r="W2689" s="98"/>
      <c r="X2689" s="98"/>
      <c r="Y2689" s="98"/>
      <c r="Z2689" s="98"/>
      <c r="AA2689" s="98"/>
      <c r="AB2689" s="98"/>
      <c r="AC2689" s="98"/>
      <c r="AD2689" s="98"/>
      <c r="AE2689" s="98"/>
      <c r="AF2689" s="98"/>
      <c r="AG2689" s="98"/>
      <c r="AH2689" s="98"/>
      <c r="AI2689" s="98"/>
      <c r="AJ2689" s="98"/>
      <c r="AK2689" s="98"/>
      <c r="AL2689" s="98"/>
      <c r="AM2689" s="98"/>
    </row>
    <row r="2690" spans="1:39" s="100" customFormat="1" ht="15.6" x14ac:dyDescent="0.3">
      <c r="A2690" s="97"/>
      <c r="B2690" s="98"/>
      <c r="C2690" s="98"/>
      <c r="D2690" s="98"/>
      <c r="E2690" s="98"/>
      <c r="F2690" s="98"/>
      <c r="G2690" s="99"/>
      <c r="H2690" s="99"/>
      <c r="I2690" s="99"/>
      <c r="J2690" s="99"/>
      <c r="K2690" s="98"/>
      <c r="L2690" s="98"/>
      <c r="M2690" s="98"/>
      <c r="N2690" s="98"/>
      <c r="O2690" s="98"/>
      <c r="P2690" s="98"/>
      <c r="Q2690" s="98"/>
      <c r="R2690" s="98"/>
      <c r="S2690" s="98"/>
      <c r="T2690" s="98"/>
      <c r="U2690" s="98"/>
      <c r="V2690" s="98"/>
      <c r="W2690" s="98"/>
      <c r="X2690" s="98"/>
      <c r="Y2690" s="98"/>
      <c r="Z2690" s="98"/>
      <c r="AA2690" s="98"/>
      <c r="AB2690" s="98"/>
      <c r="AC2690" s="98"/>
      <c r="AD2690" s="98"/>
      <c r="AE2690" s="98"/>
      <c r="AF2690" s="98"/>
      <c r="AG2690" s="98"/>
      <c r="AH2690" s="98"/>
      <c r="AI2690" s="98"/>
      <c r="AJ2690" s="98"/>
      <c r="AK2690" s="98"/>
      <c r="AL2690" s="98"/>
      <c r="AM2690" s="98"/>
    </row>
    <row r="2691" spans="1:39" s="100" customFormat="1" ht="15.6" x14ac:dyDescent="0.3">
      <c r="A2691" s="97"/>
      <c r="B2691" s="98"/>
      <c r="C2691" s="98"/>
      <c r="D2691" s="98"/>
      <c r="E2691" s="98"/>
      <c r="F2691" s="98"/>
      <c r="G2691" s="99"/>
      <c r="H2691" s="99"/>
      <c r="I2691" s="99"/>
      <c r="J2691" s="99"/>
      <c r="K2691" s="98"/>
      <c r="L2691" s="98"/>
      <c r="M2691" s="98"/>
      <c r="N2691" s="98"/>
      <c r="O2691" s="98"/>
      <c r="P2691" s="98"/>
      <c r="Q2691" s="98"/>
      <c r="R2691" s="98"/>
      <c r="S2691" s="98"/>
      <c r="T2691" s="98"/>
      <c r="U2691" s="98"/>
      <c r="V2691" s="98"/>
      <c r="W2691" s="98"/>
      <c r="X2691" s="98"/>
      <c r="Y2691" s="98"/>
      <c r="Z2691" s="98"/>
      <c r="AA2691" s="98"/>
      <c r="AB2691" s="98"/>
      <c r="AC2691" s="98"/>
      <c r="AD2691" s="98"/>
      <c r="AE2691" s="98"/>
      <c r="AF2691" s="98"/>
      <c r="AG2691" s="98"/>
      <c r="AH2691" s="98"/>
      <c r="AI2691" s="98"/>
      <c r="AJ2691" s="98"/>
      <c r="AK2691" s="98"/>
      <c r="AL2691" s="98"/>
      <c r="AM2691" s="98"/>
    </row>
    <row r="2692" spans="1:39" s="100" customFormat="1" ht="15.6" x14ac:dyDescent="0.3">
      <c r="A2692" s="97"/>
      <c r="B2692" s="98"/>
      <c r="C2692" s="98"/>
      <c r="D2692" s="98"/>
      <c r="E2692" s="98"/>
      <c r="F2692" s="98"/>
      <c r="G2692" s="99"/>
      <c r="H2692" s="99"/>
      <c r="I2692" s="99"/>
      <c r="J2692" s="99"/>
      <c r="K2692" s="98"/>
      <c r="L2692" s="98"/>
      <c r="M2692" s="98"/>
      <c r="N2692" s="98"/>
      <c r="O2692" s="98"/>
      <c r="P2692" s="98"/>
      <c r="Q2692" s="98"/>
      <c r="R2692" s="98"/>
      <c r="S2692" s="98"/>
      <c r="T2692" s="98"/>
      <c r="U2692" s="98"/>
      <c r="V2692" s="98"/>
      <c r="W2692" s="98"/>
      <c r="X2692" s="98"/>
      <c r="Y2692" s="98"/>
      <c r="Z2692" s="98"/>
      <c r="AA2692" s="98"/>
      <c r="AB2692" s="98"/>
      <c r="AC2692" s="98"/>
      <c r="AD2692" s="98"/>
      <c r="AE2692" s="98"/>
      <c r="AF2692" s="98"/>
      <c r="AG2692" s="98"/>
      <c r="AH2692" s="98"/>
      <c r="AI2692" s="98"/>
      <c r="AJ2692" s="98"/>
      <c r="AK2692" s="98"/>
      <c r="AL2692" s="98"/>
      <c r="AM2692" s="98"/>
    </row>
    <row r="2693" spans="1:39" s="100" customFormat="1" ht="15.6" x14ac:dyDescent="0.3">
      <c r="A2693" s="97"/>
      <c r="B2693" s="98"/>
      <c r="C2693" s="98"/>
      <c r="D2693" s="98"/>
      <c r="E2693" s="98"/>
      <c r="F2693" s="98"/>
      <c r="G2693" s="99"/>
      <c r="H2693" s="99"/>
      <c r="I2693" s="99"/>
      <c r="J2693" s="99"/>
      <c r="K2693" s="98"/>
      <c r="L2693" s="98"/>
      <c r="M2693" s="98"/>
      <c r="N2693" s="98"/>
      <c r="O2693" s="98"/>
      <c r="P2693" s="98"/>
      <c r="Q2693" s="98"/>
      <c r="R2693" s="98"/>
      <c r="S2693" s="98"/>
      <c r="T2693" s="98"/>
      <c r="U2693" s="98"/>
      <c r="V2693" s="98"/>
      <c r="W2693" s="98"/>
      <c r="X2693" s="98"/>
      <c r="Y2693" s="98"/>
      <c r="Z2693" s="98"/>
      <c r="AA2693" s="98"/>
      <c r="AB2693" s="98"/>
      <c r="AC2693" s="98"/>
      <c r="AD2693" s="98"/>
      <c r="AE2693" s="98"/>
      <c r="AF2693" s="98"/>
      <c r="AG2693" s="98"/>
      <c r="AH2693" s="98"/>
      <c r="AI2693" s="98"/>
      <c r="AJ2693" s="98"/>
      <c r="AK2693" s="98"/>
      <c r="AL2693" s="98"/>
      <c r="AM2693" s="98"/>
    </row>
    <row r="2694" spans="1:39" s="101" customFormat="1" ht="15.6" x14ac:dyDescent="0.3">
      <c r="A2694" s="168">
        <v>1</v>
      </c>
      <c r="B2694" s="30"/>
      <c r="C2694" s="30"/>
      <c r="D2694" s="30"/>
      <c r="E2694" s="26"/>
      <c r="F2694" s="24" t="s">
        <v>49</v>
      </c>
      <c r="G2694" s="30"/>
      <c r="H2694" s="30"/>
      <c r="I2694" s="30"/>
      <c r="J2694" s="30"/>
      <c r="K2694" s="24"/>
      <c r="L2694" s="24"/>
      <c r="M2694" s="24"/>
      <c r="N2694" s="24"/>
      <c r="O2694" s="30"/>
      <c r="P2694" s="30"/>
      <c r="Q2694" s="30"/>
      <c r="R2694" s="30"/>
      <c r="S2694" s="30"/>
      <c r="T2694" s="30"/>
      <c r="U2694" s="30"/>
      <c r="V2694" s="30"/>
      <c r="W2694" s="30"/>
      <c r="X2694" s="30"/>
      <c r="Y2694" s="30"/>
      <c r="Z2694" s="30"/>
      <c r="AA2694" s="30"/>
      <c r="AB2694" s="30"/>
      <c r="AC2694" s="30"/>
      <c r="AD2694" s="30"/>
      <c r="AE2694" s="30"/>
      <c r="AF2694" s="30"/>
      <c r="AG2694" s="30"/>
      <c r="AH2694" s="30"/>
      <c r="AI2694" s="30"/>
      <c r="AJ2694" s="30"/>
      <c r="AK2694" s="30"/>
      <c r="AL2694" s="30"/>
      <c r="AM2694" s="30"/>
    </row>
    <row r="2695" spans="1:39" ht="15.6" x14ac:dyDescent="0.3">
      <c r="A2695" s="169"/>
      <c r="B2695" s="12"/>
      <c r="C2695" s="12"/>
      <c r="D2695" s="12"/>
      <c r="E2695" s="34"/>
      <c r="F2695" s="24" t="s">
        <v>49</v>
      </c>
      <c r="G2695" s="12"/>
      <c r="H2695" s="12"/>
      <c r="I2695" s="12"/>
      <c r="J2695" s="12"/>
      <c r="K2695" s="24"/>
      <c r="L2695" s="24"/>
      <c r="M2695" s="25"/>
      <c r="N2695" s="25"/>
      <c r="O2695" s="25"/>
      <c r="P2695" s="25"/>
      <c r="Q2695" s="25"/>
      <c r="R2695" s="25"/>
      <c r="S2695" s="25"/>
      <c r="T2695" s="25"/>
      <c r="U2695" s="25"/>
      <c r="V2695" s="25"/>
      <c r="W2695" s="25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</row>
    <row r="2696" spans="1:39" ht="15.6" x14ac:dyDescent="0.3">
      <c r="A2696" s="168">
        <v>2</v>
      </c>
      <c r="B2696" s="12"/>
      <c r="C2696" s="12"/>
      <c r="D2696" s="12"/>
      <c r="E2696" s="34"/>
      <c r="F2696" s="24" t="s">
        <v>49</v>
      </c>
      <c r="G2696" s="12"/>
      <c r="H2696" s="12"/>
      <c r="I2696" s="12"/>
      <c r="J2696" s="12"/>
      <c r="K2696" s="24"/>
      <c r="L2696" s="24"/>
      <c r="M2696" s="25"/>
      <c r="N2696" s="25"/>
      <c r="O2696" s="25"/>
      <c r="P2696" s="25"/>
      <c r="Q2696" s="25"/>
      <c r="R2696" s="25"/>
      <c r="S2696" s="25"/>
      <c r="T2696" s="25"/>
      <c r="U2696" s="25"/>
      <c r="V2696" s="25"/>
      <c r="W2696" s="25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</row>
    <row r="2697" spans="1:39" ht="15.6" x14ac:dyDescent="0.3">
      <c r="A2697" s="169"/>
      <c r="B2697" s="12"/>
      <c r="C2697" s="12"/>
      <c r="D2697" s="12"/>
      <c r="E2697" s="34"/>
      <c r="F2697" s="24" t="s">
        <v>49</v>
      </c>
      <c r="G2697" s="12"/>
      <c r="H2697" s="12"/>
      <c r="I2697" s="12"/>
      <c r="J2697" s="12"/>
      <c r="K2697" s="24"/>
      <c r="L2697" s="24"/>
      <c r="M2697" s="25"/>
      <c r="N2697" s="25"/>
      <c r="O2697" s="25"/>
      <c r="P2697" s="25"/>
      <c r="Q2697" s="25"/>
      <c r="R2697" s="25"/>
      <c r="S2697" s="25"/>
      <c r="T2697" s="25"/>
      <c r="U2697" s="25"/>
      <c r="V2697" s="25"/>
      <c r="W2697" s="25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</row>
    <row r="2698" spans="1:39" ht="15.6" x14ac:dyDescent="0.3">
      <c r="A2698" s="168">
        <v>3</v>
      </c>
      <c r="B2698" s="12"/>
      <c r="C2698" s="12"/>
      <c r="D2698" s="12"/>
      <c r="E2698" s="34"/>
      <c r="F2698" s="24" t="s">
        <v>49</v>
      </c>
      <c r="G2698" s="12"/>
      <c r="H2698" s="12"/>
      <c r="I2698" s="12"/>
      <c r="J2698" s="12"/>
      <c r="K2698" s="24"/>
      <c r="L2698" s="24"/>
      <c r="M2698" s="25"/>
      <c r="N2698" s="25"/>
      <c r="O2698" s="25"/>
      <c r="P2698" s="25"/>
      <c r="Q2698" s="25"/>
      <c r="R2698" s="25"/>
      <c r="S2698" s="25"/>
      <c r="T2698" s="25"/>
      <c r="U2698" s="25"/>
      <c r="V2698" s="25"/>
      <c r="W2698" s="25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</row>
    <row r="2699" spans="1:39" ht="15.6" x14ac:dyDescent="0.3">
      <c r="A2699" s="169"/>
      <c r="B2699" s="12"/>
      <c r="C2699" s="12"/>
      <c r="D2699" s="12"/>
      <c r="E2699" s="34"/>
      <c r="F2699" s="24" t="s">
        <v>49</v>
      </c>
      <c r="G2699" s="12"/>
      <c r="H2699" s="12"/>
      <c r="I2699" s="12"/>
      <c r="J2699" s="12"/>
      <c r="K2699" s="24"/>
      <c r="L2699" s="24"/>
      <c r="M2699" s="25"/>
      <c r="N2699" s="25"/>
      <c r="O2699" s="25"/>
      <c r="P2699" s="25"/>
      <c r="Q2699" s="25"/>
      <c r="R2699" s="25"/>
      <c r="S2699" s="25"/>
      <c r="T2699" s="25"/>
      <c r="U2699" s="25"/>
      <c r="V2699" s="25"/>
      <c r="W2699" s="25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</row>
    <row r="2700" spans="1:39" ht="15.6" x14ac:dyDescent="0.3">
      <c r="A2700" s="168">
        <v>4</v>
      </c>
      <c r="B2700" s="12"/>
      <c r="C2700" s="12"/>
      <c r="D2700" s="12"/>
      <c r="E2700" s="34"/>
      <c r="F2700" s="24" t="s">
        <v>49</v>
      </c>
      <c r="G2700" s="12"/>
      <c r="H2700" s="12"/>
      <c r="I2700" s="12"/>
      <c r="J2700" s="12"/>
      <c r="K2700" s="25"/>
      <c r="L2700" s="25"/>
      <c r="M2700" s="25"/>
      <c r="N2700" s="25"/>
      <c r="O2700" s="31"/>
      <c r="P2700" s="25"/>
      <c r="Q2700" s="25"/>
      <c r="R2700" s="25"/>
      <c r="S2700" s="25"/>
      <c r="T2700" s="25"/>
      <c r="U2700" s="25"/>
      <c r="V2700" s="25"/>
      <c r="W2700" s="25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</row>
    <row r="2701" spans="1:39" ht="15.6" x14ac:dyDescent="0.3">
      <c r="A2701" s="169"/>
      <c r="B2701" s="12"/>
      <c r="C2701" s="12"/>
      <c r="D2701" s="12"/>
      <c r="E2701" s="34"/>
      <c r="F2701" s="24" t="s">
        <v>49</v>
      </c>
      <c r="G2701" s="12"/>
      <c r="H2701" s="12"/>
      <c r="I2701" s="12"/>
      <c r="J2701" s="12"/>
      <c r="K2701" s="25"/>
      <c r="L2701" s="25"/>
      <c r="M2701" s="25"/>
      <c r="N2701" s="25"/>
      <c r="O2701" s="31"/>
      <c r="P2701" s="25"/>
      <c r="Q2701" s="25"/>
      <c r="R2701" s="25"/>
      <c r="S2701" s="25"/>
      <c r="T2701" s="25"/>
      <c r="U2701" s="25"/>
      <c r="V2701" s="25"/>
      <c r="W2701" s="25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</row>
    <row r="2702" spans="1:39" ht="15.6" x14ac:dyDescent="0.3">
      <c r="A2702" s="168">
        <v>5</v>
      </c>
      <c r="B2702" s="12"/>
      <c r="C2702" s="12"/>
      <c r="D2702" s="12"/>
      <c r="E2702" s="34"/>
      <c r="F2702" s="24" t="s">
        <v>49</v>
      </c>
      <c r="G2702" s="12"/>
      <c r="H2702" s="12"/>
      <c r="I2702" s="12"/>
      <c r="J2702" s="12"/>
      <c r="K2702" s="25"/>
      <c r="L2702" s="25"/>
      <c r="M2702" s="25"/>
      <c r="N2702" s="25"/>
      <c r="O2702" s="31"/>
      <c r="P2702" s="25"/>
      <c r="Q2702" s="25"/>
      <c r="R2702" s="25"/>
      <c r="S2702" s="25"/>
      <c r="T2702" s="25"/>
      <c r="U2702" s="25"/>
      <c r="V2702" s="25"/>
      <c r="W2702" s="25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</row>
    <row r="2703" spans="1:39" ht="15.6" x14ac:dyDescent="0.3">
      <c r="A2703" s="169"/>
      <c r="B2703" s="12"/>
      <c r="C2703" s="12"/>
      <c r="D2703" s="12"/>
      <c r="E2703" s="34"/>
      <c r="F2703" s="24" t="s">
        <v>49</v>
      </c>
      <c r="G2703" s="12"/>
      <c r="H2703" s="12"/>
      <c r="I2703" s="12"/>
      <c r="J2703" s="12"/>
      <c r="K2703" s="25"/>
      <c r="L2703" s="25"/>
      <c r="M2703" s="25"/>
      <c r="N2703" s="25"/>
      <c r="O2703" s="31"/>
      <c r="P2703" s="25"/>
      <c r="Q2703" s="25"/>
      <c r="R2703" s="25"/>
      <c r="S2703" s="25"/>
      <c r="T2703" s="25"/>
      <c r="U2703" s="25"/>
      <c r="V2703" s="25"/>
      <c r="W2703" s="25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</row>
    <row r="2704" spans="1:39" ht="15.6" x14ac:dyDescent="0.3">
      <c r="A2704" s="168">
        <v>6</v>
      </c>
      <c r="B2704" s="12"/>
      <c r="C2704" s="12"/>
      <c r="D2704" s="12"/>
      <c r="E2704" s="34"/>
      <c r="F2704" s="24" t="s">
        <v>49</v>
      </c>
      <c r="G2704" s="12"/>
      <c r="H2704" s="12"/>
      <c r="I2704" s="12"/>
      <c r="J2704" s="12"/>
      <c r="K2704" s="25"/>
      <c r="L2704" s="25"/>
      <c r="M2704" s="25"/>
      <c r="N2704" s="25"/>
      <c r="O2704" s="31"/>
      <c r="P2704" s="25"/>
      <c r="Q2704" s="25"/>
      <c r="R2704" s="25"/>
      <c r="S2704" s="25"/>
      <c r="T2704" s="25"/>
      <c r="U2704" s="25"/>
      <c r="V2704" s="25"/>
      <c r="W2704" s="25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</row>
    <row r="2705" spans="1:39" ht="15.6" x14ac:dyDescent="0.3">
      <c r="A2705" s="169"/>
      <c r="B2705" s="12"/>
      <c r="C2705" s="12"/>
      <c r="D2705" s="12"/>
      <c r="E2705" s="34"/>
      <c r="F2705" s="24" t="s">
        <v>49</v>
      </c>
      <c r="G2705" s="12"/>
      <c r="H2705" s="12"/>
      <c r="I2705" s="12"/>
      <c r="J2705" s="12"/>
      <c r="K2705" s="25"/>
      <c r="L2705" s="25"/>
      <c r="M2705" s="25"/>
      <c r="N2705" s="25"/>
      <c r="O2705" s="31"/>
      <c r="P2705" s="25"/>
      <c r="Q2705" s="25"/>
      <c r="R2705" s="25"/>
      <c r="S2705" s="25"/>
      <c r="T2705" s="25"/>
      <c r="U2705" s="25"/>
      <c r="V2705" s="25"/>
      <c r="W2705" s="25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</row>
    <row r="2706" spans="1:39" ht="15.6" x14ac:dyDescent="0.3">
      <c r="A2706" s="168">
        <v>7</v>
      </c>
      <c r="B2706" s="12"/>
      <c r="C2706" s="12"/>
      <c r="D2706" s="12"/>
      <c r="E2706" s="34"/>
      <c r="F2706" s="24" t="s">
        <v>49</v>
      </c>
      <c r="G2706" s="12"/>
      <c r="H2706" s="12"/>
      <c r="I2706" s="12"/>
      <c r="J2706" s="12"/>
      <c r="K2706" s="25"/>
      <c r="L2706" s="25"/>
      <c r="M2706" s="25"/>
      <c r="N2706" s="25"/>
      <c r="O2706" s="31"/>
      <c r="P2706" s="25"/>
      <c r="Q2706" s="25"/>
      <c r="R2706" s="25"/>
      <c r="S2706" s="25"/>
      <c r="T2706" s="25"/>
      <c r="U2706" s="25"/>
      <c r="V2706" s="25"/>
      <c r="W2706" s="25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</row>
    <row r="2707" spans="1:39" ht="15.6" x14ac:dyDescent="0.3">
      <c r="A2707" s="169"/>
      <c r="B2707" s="12"/>
      <c r="C2707" s="12"/>
      <c r="D2707" s="12"/>
      <c r="E2707" s="34"/>
      <c r="F2707" s="24" t="s">
        <v>49</v>
      </c>
      <c r="G2707" s="12"/>
      <c r="H2707" s="12"/>
      <c r="I2707" s="12"/>
      <c r="J2707" s="12"/>
      <c r="K2707" s="25"/>
      <c r="L2707" s="25"/>
      <c r="M2707" s="25"/>
      <c r="N2707" s="25"/>
      <c r="O2707" s="31"/>
      <c r="P2707" s="25"/>
      <c r="Q2707" s="25"/>
      <c r="R2707" s="25"/>
      <c r="S2707" s="25"/>
      <c r="T2707" s="25"/>
      <c r="U2707" s="25"/>
      <c r="V2707" s="25"/>
      <c r="W2707" s="25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</row>
    <row r="2708" spans="1:39" ht="15.6" x14ac:dyDescent="0.3">
      <c r="A2708" s="168">
        <v>8</v>
      </c>
      <c r="B2708" s="12"/>
      <c r="C2708" s="12"/>
      <c r="D2708" s="12"/>
      <c r="E2708" s="34"/>
      <c r="F2708" s="24" t="s">
        <v>49</v>
      </c>
      <c r="G2708" s="12"/>
      <c r="H2708" s="12"/>
      <c r="I2708" s="12"/>
      <c r="J2708" s="12"/>
      <c r="K2708" s="25"/>
      <c r="L2708" s="25"/>
      <c r="M2708" s="25"/>
      <c r="N2708" s="25"/>
      <c r="O2708" s="31"/>
      <c r="P2708" s="25"/>
      <c r="Q2708" s="25"/>
      <c r="R2708" s="25"/>
      <c r="S2708" s="25"/>
      <c r="T2708" s="25"/>
      <c r="U2708" s="25"/>
      <c r="V2708" s="25"/>
      <c r="W2708" s="25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</row>
    <row r="2709" spans="1:39" ht="15.6" x14ac:dyDescent="0.3">
      <c r="A2709" s="169"/>
      <c r="B2709" s="12"/>
      <c r="C2709" s="12"/>
      <c r="D2709" s="12"/>
      <c r="E2709" s="34"/>
      <c r="F2709" s="24" t="s">
        <v>49</v>
      </c>
      <c r="G2709" s="12"/>
      <c r="H2709" s="12"/>
      <c r="I2709" s="12"/>
      <c r="J2709" s="12"/>
      <c r="K2709" s="25"/>
      <c r="L2709" s="25"/>
      <c r="M2709" s="25"/>
      <c r="N2709" s="25"/>
      <c r="O2709" s="31"/>
      <c r="P2709" s="25"/>
      <c r="Q2709" s="25"/>
      <c r="R2709" s="25"/>
      <c r="S2709" s="25"/>
      <c r="T2709" s="25"/>
      <c r="U2709" s="25"/>
      <c r="V2709" s="25"/>
      <c r="W2709" s="25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</row>
    <row r="2710" spans="1:39" ht="15.6" x14ac:dyDescent="0.3">
      <c r="A2710" s="168">
        <v>9</v>
      </c>
      <c r="B2710" s="12"/>
      <c r="C2710" s="12"/>
      <c r="D2710" s="12"/>
      <c r="E2710" s="34"/>
      <c r="F2710" s="24" t="s">
        <v>49</v>
      </c>
      <c r="G2710" s="12"/>
      <c r="H2710" s="12"/>
      <c r="I2710" s="12"/>
      <c r="J2710" s="12"/>
      <c r="K2710" s="25"/>
      <c r="L2710" s="25"/>
      <c r="M2710" s="25"/>
      <c r="N2710" s="25"/>
      <c r="O2710" s="31"/>
      <c r="P2710" s="25"/>
      <c r="Q2710" s="25"/>
      <c r="R2710" s="25"/>
      <c r="S2710" s="25"/>
      <c r="T2710" s="25"/>
      <c r="U2710" s="25"/>
      <c r="V2710" s="25"/>
      <c r="W2710" s="25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</row>
    <row r="2711" spans="1:39" ht="15.6" x14ac:dyDescent="0.3">
      <c r="A2711" s="169"/>
      <c r="B2711" s="12"/>
      <c r="C2711" s="12"/>
      <c r="D2711" s="12"/>
      <c r="E2711" s="34"/>
      <c r="F2711" s="24" t="s">
        <v>49</v>
      </c>
      <c r="G2711" s="12"/>
      <c r="H2711" s="12"/>
      <c r="I2711" s="12"/>
      <c r="J2711" s="12"/>
      <c r="K2711" s="25"/>
      <c r="L2711" s="25"/>
      <c r="M2711" s="25"/>
      <c r="N2711" s="25"/>
      <c r="O2711" s="31"/>
      <c r="P2711" s="25"/>
      <c r="Q2711" s="25"/>
      <c r="R2711" s="25"/>
      <c r="S2711" s="25"/>
      <c r="T2711" s="25"/>
      <c r="U2711" s="25"/>
      <c r="V2711" s="25"/>
      <c r="W2711" s="25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</row>
    <row r="2712" spans="1:39" ht="15.6" x14ac:dyDescent="0.3">
      <c r="A2712" s="168">
        <v>10</v>
      </c>
      <c r="B2712" s="12"/>
      <c r="C2712" s="12"/>
      <c r="D2712" s="12"/>
      <c r="E2712" s="34"/>
      <c r="F2712" s="24" t="s">
        <v>49</v>
      </c>
      <c r="G2712" s="12"/>
      <c r="H2712" s="12"/>
      <c r="I2712" s="12"/>
      <c r="J2712" s="12"/>
      <c r="K2712" s="25"/>
      <c r="L2712" s="25"/>
      <c r="M2712" s="25"/>
      <c r="N2712" s="25"/>
      <c r="O2712" s="31"/>
      <c r="P2712" s="25"/>
      <c r="Q2712" s="25"/>
      <c r="R2712" s="25"/>
      <c r="S2712" s="25"/>
      <c r="T2712" s="25"/>
      <c r="U2712" s="25"/>
      <c r="V2712" s="25"/>
      <c r="W2712" s="25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</row>
    <row r="2713" spans="1:39" ht="15.6" x14ac:dyDescent="0.3">
      <c r="A2713" s="169"/>
      <c r="B2713" s="12"/>
      <c r="C2713" s="12"/>
      <c r="D2713" s="12"/>
      <c r="E2713" s="34"/>
      <c r="F2713" s="24" t="s">
        <v>49</v>
      </c>
      <c r="G2713" s="12"/>
      <c r="H2713" s="12"/>
      <c r="I2713" s="12"/>
      <c r="J2713" s="12"/>
      <c r="K2713" s="25"/>
      <c r="L2713" s="25"/>
      <c r="M2713" s="25"/>
      <c r="N2713" s="25"/>
      <c r="O2713" s="31"/>
      <c r="P2713" s="25"/>
      <c r="Q2713" s="25"/>
      <c r="R2713" s="25"/>
      <c r="S2713" s="25"/>
      <c r="T2713" s="25"/>
      <c r="U2713" s="25"/>
      <c r="V2713" s="25"/>
      <c r="W2713" s="25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</row>
    <row r="2714" spans="1:39" ht="15.6" x14ac:dyDescent="0.3">
      <c r="A2714" s="168"/>
      <c r="B2714" s="12"/>
      <c r="C2714" s="12"/>
      <c r="D2714" s="12"/>
      <c r="E2714" s="34"/>
      <c r="F2714" s="24" t="s">
        <v>49</v>
      </c>
      <c r="G2714" s="12"/>
      <c r="H2714" s="12"/>
      <c r="I2714" s="12"/>
      <c r="J2714" s="12"/>
      <c r="K2714" s="25"/>
      <c r="L2714" s="25"/>
      <c r="M2714" s="25"/>
      <c r="N2714" s="25"/>
      <c r="O2714" s="31"/>
      <c r="P2714" s="25"/>
      <c r="Q2714" s="25"/>
      <c r="R2714" s="25"/>
      <c r="S2714" s="25"/>
      <c r="T2714" s="25"/>
      <c r="U2714" s="25"/>
      <c r="V2714" s="25"/>
      <c r="W2714" s="25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</row>
    <row r="2715" spans="1:39" ht="15.6" x14ac:dyDescent="0.3">
      <c r="A2715" s="169"/>
      <c r="B2715" s="12"/>
      <c r="C2715" s="12"/>
      <c r="D2715" s="12"/>
      <c r="E2715" s="34"/>
      <c r="F2715" s="24" t="s">
        <v>49</v>
      </c>
      <c r="G2715" s="12"/>
      <c r="H2715" s="12"/>
      <c r="I2715" s="12"/>
      <c r="J2715" s="12"/>
      <c r="K2715" s="25"/>
      <c r="L2715" s="25"/>
      <c r="M2715" s="25"/>
      <c r="N2715" s="25"/>
      <c r="O2715" s="31"/>
      <c r="P2715" s="25"/>
      <c r="Q2715" s="25"/>
      <c r="R2715" s="25"/>
      <c r="S2715" s="25"/>
      <c r="T2715" s="25"/>
      <c r="U2715" s="25"/>
      <c r="V2715" s="25"/>
      <c r="W2715" s="25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</row>
    <row r="2716" spans="1:39" ht="15.6" x14ac:dyDescent="0.3">
      <c r="A2716" s="29"/>
      <c r="B2716" s="13"/>
      <c r="C2716" s="13"/>
      <c r="D2716" s="13"/>
      <c r="E2716" s="61"/>
      <c r="F2716" s="57"/>
      <c r="G2716" s="13"/>
      <c r="H2716" s="13"/>
      <c r="I2716" s="13"/>
      <c r="J2716" s="13"/>
      <c r="K2716" s="58"/>
      <c r="L2716" s="58"/>
      <c r="M2716" s="58"/>
      <c r="N2716" s="58"/>
      <c r="O2716" s="62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ht="15.6" x14ac:dyDescent="0.25">
      <c r="A2717" s="16"/>
      <c r="B2717" s="16"/>
      <c r="C2717" s="16" t="s">
        <v>30</v>
      </c>
      <c r="E2717" s="14"/>
    </row>
    <row r="2718" spans="1:39" ht="50.4" customHeight="1" x14ac:dyDescent="0.25">
      <c r="A2718" s="60"/>
      <c r="B2718" s="59"/>
      <c r="C2718" s="174" t="s">
        <v>127</v>
      </c>
      <c r="D2718" s="174"/>
      <c r="E2718" s="174"/>
      <c r="F2718" s="174"/>
    </row>
    <row r="2719" spans="1:39" ht="15.6" x14ac:dyDescent="0.25">
      <c r="A2719" s="15"/>
      <c r="E2719" s="15"/>
    </row>
    <row r="2720" spans="1:39" ht="15.6" x14ac:dyDescent="0.25">
      <c r="A2720" s="21"/>
      <c r="E2720" s="15"/>
    </row>
    <row r="2721" spans="1:5" ht="15.6" x14ac:dyDescent="0.25">
      <c r="A2721" s="15"/>
      <c r="E2721" s="15"/>
    </row>
    <row r="2722" spans="1:5" ht="15.6" x14ac:dyDescent="0.25">
      <c r="A2722" s="15"/>
      <c r="E2722" s="15"/>
    </row>
    <row r="2723" spans="1:5" ht="15.6" x14ac:dyDescent="0.25">
      <c r="A2723" s="15" t="s">
        <v>27</v>
      </c>
    </row>
    <row r="2724" spans="1:5" ht="15.6" x14ac:dyDescent="0.25">
      <c r="A2724" s="15" t="s">
        <v>28</v>
      </c>
      <c r="E2724" s="15"/>
    </row>
    <row r="2725" spans="1:5" ht="15.6" x14ac:dyDescent="0.25">
      <c r="A2725" s="15" t="s">
        <v>29</v>
      </c>
      <c r="E2725" s="15"/>
    </row>
    <row r="2726" spans="1:5" ht="15.6" x14ac:dyDescent="0.25">
      <c r="E2726" s="15"/>
    </row>
    <row r="2727" spans="1:5" ht="15.6" x14ac:dyDescent="0.25">
      <c r="E2727" s="15"/>
    </row>
  </sheetData>
  <mergeCells count="20458">
    <mergeCell ref="H459:H460"/>
    <mergeCell ref="I459:I460"/>
    <mergeCell ref="J459:J460"/>
    <mergeCell ref="K459:K460"/>
    <mergeCell ref="L459:L460"/>
    <mergeCell ref="C2718:F2718"/>
    <mergeCell ref="A2704:A2705"/>
    <mergeCell ref="A2706:A2707"/>
    <mergeCell ref="A2708:A2709"/>
    <mergeCell ref="A2710:A2711"/>
    <mergeCell ref="A2712:A2713"/>
    <mergeCell ref="A2714:A2715"/>
    <mergeCell ref="C5:C9"/>
    <mergeCell ref="D5:D9"/>
    <mergeCell ref="E5:E9"/>
    <mergeCell ref="A2700:A2701"/>
    <mergeCell ref="A2702:A2703"/>
    <mergeCell ref="B5:B9"/>
    <mergeCell ref="A2694:A2695"/>
    <mergeCell ref="A2696:A2697"/>
    <mergeCell ref="A2698:A2699"/>
    <mergeCell ref="A5:A9"/>
    <mergeCell ref="A459:A460"/>
    <mergeCell ref="B459:B460"/>
    <mergeCell ref="D459:D460"/>
    <mergeCell ref="A463:A464"/>
    <mergeCell ref="AK7:AL8"/>
    <mergeCell ref="AM7:AM8"/>
    <mergeCell ref="K5:K9"/>
    <mergeCell ref="G7:G9"/>
    <mergeCell ref="H7:H9"/>
    <mergeCell ref="I7:I9"/>
    <mergeCell ref="J7:J9"/>
    <mergeCell ref="Y7:Z8"/>
    <mergeCell ref="AI7:AJ8"/>
    <mergeCell ref="I5:J6"/>
    <mergeCell ref="F5:F9"/>
    <mergeCell ref="M5:AM5"/>
    <mergeCell ref="M6:M8"/>
    <mergeCell ref="N6:N8"/>
    <mergeCell ref="O6:AM6"/>
    <mergeCell ref="O7:P8"/>
    <mergeCell ref="Q7:R8"/>
    <mergeCell ref="S7:T8"/>
    <mergeCell ref="U7:V8"/>
    <mergeCell ref="W7:X8"/>
    <mergeCell ref="G5:H6"/>
    <mergeCell ref="AA7:AB8"/>
    <mergeCell ref="AC7:AD8"/>
    <mergeCell ref="AE7:AF8"/>
    <mergeCell ref="AG7:AH8"/>
    <mergeCell ref="L5:L9"/>
    <mergeCell ref="AJ461:AJ462"/>
    <mergeCell ref="AK461:AK462"/>
    <mergeCell ref="AL461:AL462"/>
    <mergeCell ref="AM461:AM462"/>
    <mergeCell ref="AN461:AN462"/>
    <mergeCell ref="AE461:AE462"/>
    <mergeCell ref="AF461:AF462"/>
    <mergeCell ref="AG461:AG462"/>
    <mergeCell ref="AH461:AH462"/>
    <mergeCell ref="AI461:AI462"/>
    <mergeCell ref="Z461:Z462"/>
    <mergeCell ref="AA461:AA462"/>
    <mergeCell ref="AB461:AB462"/>
    <mergeCell ref="AC461:AC462"/>
    <mergeCell ref="AD461:AD462"/>
    <mergeCell ref="U461:U462"/>
    <mergeCell ref="V461:V462"/>
    <mergeCell ref="W461:W462"/>
    <mergeCell ref="X461:X462"/>
    <mergeCell ref="Y461:Y462"/>
    <mergeCell ref="P461:P462"/>
    <mergeCell ref="Q461:Q462"/>
    <mergeCell ref="R461:R462"/>
    <mergeCell ref="S461:S462"/>
    <mergeCell ref="T461:T462"/>
    <mergeCell ref="AL459:AL460"/>
    <mergeCell ref="AM459:AM460"/>
    <mergeCell ref="AN459:AN460"/>
    <mergeCell ref="A461:A462"/>
    <mergeCell ref="B461:B462"/>
    <mergeCell ref="D461:D462"/>
    <mergeCell ref="H461:H462"/>
    <mergeCell ref="I461:I462"/>
    <mergeCell ref="J461:J462"/>
    <mergeCell ref="K461:K462"/>
    <mergeCell ref="L461:L462"/>
    <mergeCell ref="M461:M462"/>
    <mergeCell ref="N461:N462"/>
    <mergeCell ref="O461:O462"/>
    <mergeCell ref="AG459:AG460"/>
    <mergeCell ref="AH459:AH460"/>
    <mergeCell ref="AI459:AI460"/>
    <mergeCell ref="AJ459:AJ460"/>
    <mergeCell ref="AK459:AK460"/>
    <mergeCell ref="AB459:AB460"/>
    <mergeCell ref="AC459:AC460"/>
    <mergeCell ref="AD459:AD460"/>
    <mergeCell ref="AE459:AE460"/>
    <mergeCell ref="AF459:AF460"/>
    <mergeCell ref="W459:W460"/>
    <mergeCell ref="X459:X460"/>
    <mergeCell ref="Y459:Y460"/>
    <mergeCell ref="Z459:Z460"/>
    <mergeCell ref="AA459:AA460"/>
    <mergeCell ref="R459:R460"/>
    <mergeCell ref="S459:S460"/>
    <mergeCell ref="T459:T460"/>
    <mergeCell ref="U459:U460"/>
    <mergeCell ref="V459:V460"/>
    <mergeCell ref="M459:M460"/>
    <mergeCell ref="N459:N460"/>
    <mergeCell ref="O459:O460"/>
    <mergeCell ref="P459:P460"/>
    <mergeCell ref="Q459:Q460"/>
    <mergeCell ref="AM463:AM464"/>
    <mergeCell ref="AN463:AN464"/>
    <mergeCell ref="A465:A466"/>
    <mergeCell ref="B465:B466"/>
    <mergeCell ref="D465:D466"/>
    <mergeCell ref="H465:H466"/>
    <mergeCell ref="I465:I466"/>
    <mergeCell ref="J465:J466"/>
    <mergeCell ref="K465:K466"/>
    <mergeCell ref="L465:L466"/>
    <mergeCell ref="M465:M466"/>
    <mergeCell ref="N465:N466"/>
    <mergeCell ref="O465:O466"/>
    <mergeCell ref="P465:P466"/>
    <mergeCell ref="AH463:AH464"/>
    <mergeCell ref="AI463:AI464"/>
    <mergeCell ref="AJ463:AJ464"/>
    <mergeCell ref="AK463:AK464"/>
    <mergeCell ref="AL463:AL464"/>
    <mergeCell ref="AC463:AC464"/>
    <mergeCell ref="AD463:AD464"/>
    <mergeCell ref="AE463:AE464"/>
    <mergeCell ref="AF463:AF464"/>
    <mergeCell ref="AG463:AG464"/>
    <mergeCell ref="X463:X464"/>
    <mergeCell ref="Y463:Y464"/>
    <mergeCell ref="Z463:Z464"/>
    <mergeCell ref="AA463:AA464"/>
    <mergeCell ref="AB463:AB464"/>
    <mergeCell ref="S463:S464"/>
    <mergeCell ref="T463:T464"/>
    <mergeCell ref="U463:U464"/>
    <mergeCell ref="V463:V464"/>
    <mergeCell ref="W463:W464"/>
    <mergeCell ref="N463:N464"/>
    <mergeCell ref="O463:O464"/>
    <mergeCell ref="P463:P464"/>
    <mergeCell ref="Q463:Q464"/>
    <mergeCell ref="R463:R464"/>
    <mergeCell ref="I463:I464"/>
    <mergeCell ref="J463:J464"/>
    <mergeCell ref="K463:K464"/>
    <mergeCell ref="L463:L464"/>
    <mergeCell ref="M463:M464"/>
    <mergeCell ref="B463:B464"/>
    <mergeCell ref="D463:D464"/>
    <mergeCell ref="H463:H464"/>
    <mergeCell ref="AK465:AK466"/>
    <mergeCell ref="AL465:AL466"/>
    <mergeCell ref="AM465:AM466"/>
    <mergeCell ref="AN465:AN466"/>
    <mergeCell ref="A467:A468"/>
    <mergeCell ref="B467:B468"/>
    <mergeCell ref="D467:D468"/>
    <mergeCell ref="H467:H468"/>
    <mergeCell ref="I467:I468"/>
    <mergeCell ref="J467:J468"/>
    <mergeCell ref="K467:K468"/>
    <mergeCell ref="L467:L468"/>
    <mergeCell ref="M467:M468"/>
    <mergeCell ref="N467:N468"/>
    <mergeCell ref="AF465:AF466"/>
    <mergeCell ref="AG465:AG466"/>
    <mergeCell ref="AH465:AH466"/>
    <mergeCell ref="AI465:AI466"/>
    <mergeCell ref="AJ465:AJ466"/>
    <mergeCell ref="AA465:AA466"/>
    <mergeCell ref="AB465:AB466"/>
    <mergeCell ref="AC465:AC466"/>
    <mergeCell ref="AD465:AD466"/>
    <mergeCell ref="AE465:AE466"/>
    <mergeCell ref="V465:V466"/>
    <mergeCell ref="W465:W466"/>
    <mergeCell ref="X465:X466"/>
    <mergeCell ref="Y465:Y466"/>
    <mergeCell ref="Z465:Z466"/>
    <mergeCell ref="Q465:Q466"/>
    <mergeCell ref="R465:R466"/>
    <mergeCell ref="S465:S466"/>
    <mergeCell ref="T465:T466"/>
    <mergeCell ref="U465:U466"/>
    <mergeCell ref="AN467:AN468"/>
    <mergeCell ref="A469:A470"/>
    <mergeCell ref="B469:B470"/>
    <mergeCell ref="D469:D470"/>
    <mergeCell ref="H469:H470"/>
    <mergeCell ref="I469:I470"/>
    <mergeCell ref="J469:J470"/>
    <mergeCell ref="K469:K470"/>
    <mergeCell ref="L469:L470"/>
    <mergeCell ref="M469:M470"/>
    <mergeCell ref="N469:N470"/>
    <mergeCell ref="O469:O470"/>
    <mergeCell ref="P469:P470"/>
    <mergeCell ref="Q469:Q470"/>
    <mergeCell ref="AI467:AI468"/>
    <mergeCell ref="AJ467:AJ468"/>
    <mergeCell ref="AK467:AK468"/>
    <mergeCell ref="AL467:AL468"/>
    <mergeCell ref="AM467:AM468"/>
    <mergeCell ref="AD467:AD468"/>
    <mergeCell ref="AE467:AE468"/>
    <mergeCell ref="AF467:AF468"/>
    <mergeCell ref="AG467:AG468"/>
    <mergeCell ref="AH467:AH468"/>
    <mergeCell ref="Y467:Y468"/>
    <mergeCell ref="Z467:Z468"/>
    <mergeCell ref="AA467:AA468"/>
    <mergeCell ref="AB467:AB468"/>
    <mergeCell ref="AC467:AC468"/>
    <mergeCell ref="T467:T468"/>
    <mergeCell ref="U467:U468"/>
    <mergeCell ref="V467:V468"/>
    <mergeCell ref="W467:W468"/>
    <mergeCell ref="X467:X468"/>
    <mergeCell ref="O467:O468"/>
    <mergeCell ref="P467:P468"/>
    <mergeCell ref="Q467:Q468"/>
    <mergeCell ref="R467:R468"/>
    <mergeCell ref="S467:S468"/>
    <mergeCell ref="AL469:AL470"/>
    <mergeCell ref="AM469:AM470"/>
    <mergeCell ref="AN469:AN470"/>
    <mergeCell ref="A471:A472"/>
    <mergeCell ref="B471:B472"/>
    <mergeCell ref="D471:D472"/>
    <mergeCell ref="H471:H472"/>
    <mergeCell ref="I471:I472"/>
    <mergeCell ref="J471:J472"/>
    <mergeCell ref="K471:K472"/>
    <mergeCell ref="L471:L472"/>
    <mergeCell ref="M471:M472"/>
    <mergeCell ref="N471:N472"/>
    <mergeCell ref="O471:O472"/>
    <mergeCell ref="AG469:AG470"/>
    <mergeCell ref="AH469:AH470"/>
    <mergeCell ref="AI469:AI470"/>
    <mergeCell ref="AJ469:AJ470"/>
    <mergeCell ref="AK469:AK470"/>
    <mergeCell ref="AB469:AB470"/>
    <mergeCell ref="AC469:AC470"/>
    <mergeCell ref="AD469:AD470"/>
    <mergeCell ref="AE469:AE470"/>
    <mergeCell ref="AF469:AF470"/>
    <mergeCell ref="W469:W470"/>
    <mergeCell ref="X469:X470"/>
    <mergeCell ref="Y469:Y470"/>
    <mergeCell ref="Z469:Z470"/>
    <mergeCell ref="AA469:AA470"/>
    <mergeCell ref="R469:R470"/>
    <mergeCell ref="S469:S470"/>
    <mergeCell ref="T469:T470"/>
    <mergeCell ref="U469:U470"/>
    <mergeCell ref="V469:V470"/>
    <mergeCell ref="H473:H474"/>
    <mergeCell ref="I473:I474"/>
    <mergeCell ref="J473:J474"/>
    <mergeCell ref="K473:K474"/>
    <mergeCell ref="L473:L474"/>
    <mergeCell ref="A473:A474"/>
    <mergeCell ref="B473:B474"/>
    <mergeCell ref="D473:D474"/>
    <mergeCell ref="AJ471:AJ472"/>
    <mergeCell ref="AK471:AK472"/>
    <mergeCell ref="AL471:AL472"/>
    <mergeCell ref="AM471:AM472"/>
    <mergeCell ref="AN471:AN472"/>
    <mergeCell ref="AE471:AE472"/>
    <mergeCell ref="AF471:AF472"/>
    <mergeCell ref="AG471:AG472"/>
    <mergeCell ref="AH471:AH472"/>
    <mergeCell ref="AI471:AI472"/>
    <mergeCell ref="Z471:Z472"/>
    <mergeCell ref="AA471:AA472"/>
    <mergeCell ref="AB471:AB472"/>
    <mergeCell ref="AC471:AC472"/>
    <mergeCell ref="AD471:AD472"/>
    <mergeCell ref="U471:U472"/>
    <mergeCell ref="V471:V472"/>
    <mergeCell ref="W471:W472"/>
    <mergeCell ref="X471:X472"/>
    <mergeCell ref="Y471:Y472"/>
    <mergeCell ref="P471:P472"/>
    <mergeCell ref="Q471:Q472"/>
    <mergeCell ref="R471:R472"/>
    <mergeCell ref="S471:S472"/>
    <mergeCell ref="T471:T472"/>
    <mergeCell ref="AJ475:AJ476"/>
    <mergeCell ref="AK475:AK476"/>
    <mergeCell ref="AL475:AL476"/>
    <mergeCell ref="AM475:AM476"/>
    <mergeCell ref="AN475:AN476"/>
    <mergeCell ref="AE475:AE476"/>
    <mergeCell ref="AF475:AF476"/>
    <mergeCell ref="AG475:AG476"/>
    <mergeCell ref="AH475:AH476"/>
    <mergeCell ref="AI475:AI476"/>
    <mergeCell ref="Z475:Z476"/>
    <mergeCell ref="AA475:AA476"/>
    <mergeCell ref="AB475:AB476"/>
    <mergeCell ref="AC475:AC476"/>
    <mergeCell ref="AD475:AD476"/>
    <mergeCell ref="U475:U476"/>
    <mergeCell ref="V475:V476"/>
    <mergeCell ref="W475:W476"/>
    <mergeCell ref="X475:X476"/>
    <mergeCell ref="Y475:Y476"/>
    <mergeCell ref="P475:P476"/>
    <mergeCell ref="Q475:Q476"/>
    <mergeCell ref="R475:R476"/>
    <mergeCell ref="S475:S476"/>
    <mergeCell ref="T475:T476"/>
    <mergeCell ref="AL473:AL474"/>
    <mergeCell ref="AM473:AM474"/>
    <mergeCell ref="AN473:AN474"/>
    <mergeCell ref="A475:A476"/>
    <mergeCell ref="B475:B476"/>
    <mergeCell ref="D475:D476"/>
    <mergeCell ref="H475:H476"/>
    <mergeCell ref="I475:I476"/>
    <mergeCell ref="J475:J476"/>
    <mergeCell ref="K475:K476"/>
    <mergeCell ref="L475:L476"/>
    <mergeCell ref="M475:M476"/>
    <mergeCell ref="N475:N476"/>
    <mergeCell ref="O475:O476"/>
    <mergeCell ref="AG473:AG474"/>
    <mergeCell ref="AH473:AH474"/>
    <mergeCell ref="AI473:AI474"/>
    <mergeCell ref="AJ473:AJ474"/>
    <mergeCell ref="AK473:AK474"/>
    <mergeCell ref="AB473:AB474"/>
    <mergeCell ref="AC473:AC474"/>
    <mergeCell ref="AD473:AD474"/>
    <mergeCell ref="AE473:AE474"/>
    <mergeCell ref="AF473:AF474"/>
    <mergeCell ref="W473:W474"/>
    <mergeCell ref="X473:X474"/>
    <mergeCell ref="Y473:Y474"/>
    <mergeCell ref="Z473:Z474"/>
    <mergeCell ref="AA473:AA474"/>
    <mergeCell ref="R473:R474"/>
    <mergeCell ref="S473:S474"/>
    <mergeCell ref="T473:T474"/>
    <mergeCell ref="U473:U474"/>
    <mergeCell ref="V473:V474"/>
    <mergeCell ref="M473:M474"/>
    <mergeCell ref="N473:N474"/>
    <mergeCell ref="O473:O474"/>
    <mergeCell ref="P473:P474"/>
    <mergeCell ref="Q473:Q474"/>
    <mergeCell ref="AL477:AL478"/>
    <mergeCell ref="AM477:AM478"/>
    <mergeCell ref="AN477:AN478"/>
    <mergeCell ref="A479:A480"/>
    <mergeCell ref="B479:B480"/>
    <mergeCell ref="D479:D480"/>
    <mergeCell ref="H479:H480"/>
    <mergeCell ref="I479:I480"/>
    <mergeCell ref="J479:J480"/>
    <mergeCell ref="K479:K480"/>
    <mergeCell ref="L479:L480"/>
    <mergeCell ref="M479:M480"/>
    <mergeCell ref="N479:N480"/>
    <mergeCell ref="O479:O480"/>
    <mergeCell ref="AG477:AG478"/>
    <mergeCell ref="AH477:AH478"/>
    <mergeCell ref="AI477:AI478"/>
    <mergeCell ref="AJ477:AJ478"/>
    <mergeCell ref="AK477:AK478"/>
    <mergeCell ref="AB477:AB478"/>
    <mergeCell ref="AC477:AC478"/>
    <mergeCell ref="AD477:AD478"/>
    <mergeCell ref="AE477:AE478"/>
    <mergeCell ref="AF477:AF478"/>
    <mergeCell ref="W477:W478"/>
    <mergeCell ref="X477:X478"/>
    <mergeCell ref="Y477:Y478"/>
    <mergeCell ref="Z477:Z478"/>
    <mergeCell ref="AA477:AA478"/>
    <mergeCell ref="R477:R478"/>
    <mergeCell ref="S477:S478"/>
    <mergeCell ref="T477:T478"/>
    <mergeCell ref="U477:U478"/>
    <mergeCell ref="V477:V478"/>
    <mergeCell ref="M477:M478"/>
    <mergeCell ref="N477:N478"/>
    <mergeCell ref="O477:O478"/>
    <mergeCell ref="P477:P478"/>
    <mergeCell ref="Q477:Q478"/>
    <mergeCell ref="H477:H478"/>
    <mergeCell ref="I477:I478"/>
    <mergeCell ref="J477:J478"/>
    <mergeCell ref="K477:K478"/>
    <mergeCell ref="L477:L478"/>
    <mergeCell ref="A477:A478"/>
    <mergeCell ref="B477:B478"/>
    <mergeCell ref="D477:D478"/>
    <mergeCell ref="H481:H482"/>
    <mergeCell ref="I481:I482"/>
    <mergeCell ref="J481:J482"/>
    <mergeCell ref="K481:K482"/>
    <mergeCell ref="L481:L482"/>
    <mergeCell ref="A481:A482"/>
    <mergeCell ref="B481:B482"/>
    <mergeCell ref="D481:D482"/>
    <mergeCell ref="AJ479:AJ480"/>
    <mergeCell ref="AK479:AK480"/>
    <mergeCell ref="AL479:AL480"/>
    <mergeCell ref="AM479:AM480"/>
    <mergeCell ref="AN479:AN480"/>
    <mergeCell ref="AE479:AE480"/>
    <mergeCell ref="AF479:AF480"/>
    <mergeCell ref="AG479:AG480"/>
    <mergeCell ref="AH479:AH480"/>
    <mergeCell ref="AI479:AI480"/>
    <mergeCell ref="Z479:Z480"/>
    <mergeCell ref="AA479:AA480"/>
    <mergeCell ref="AB479:AB480"/>
    <mergeCell ref="AC479:AC480"/>
    <mergeCell ref="AD479:AD480"/>
    <mergeCell ref="U479:U480"/>
    <mergeCell ref="V479:V480"/>
    <mergeCell ref="W479:W480"/>
    <mergeCell ref="X479:X480"/>
    <mergeCell ref="Y479:Y480"/>
    <mergeCell ref="P479:P480"/>
    <mergeCell ref="Q479:Q480"/>
    <mergeCell ref="R479:R480"/>
    <mergeCell ref="S479:S480"/>
    <mergeCell ref="T479:T480"/>
    <mergeCell ref="AJ483:AJ484"/>
    <mergeCell ref="AK483:AK484"/>
    <mergeCell ref="AL483:AL484"/>
    <mergeCell ref="AM483:AM484"/>
    <mergeCell ref="AN483:AN484"/>
    <mergeCell ref="AE483:AE484"/>
    <mergeCell ref="AF483:AF484"/>
    <mergeCell ref="AG483:AG484"/>
    <mergeCell ref="AH483:AH484"/>
    <mergeCell ref="AI483:AI484"/>
    <mergeCell ref="Z483:Z484"/>
    <mergeCell ref="AA483:AA484"/>
    <mergeCell ref="AB483:AB484"/>
    <mergeCell ref="AC483:AC484"/>
    <mergeCell ref="AD483:AD484"/>
    <mergeCell ref="U483:U484"/>
    <mergeCell ref="V483:V484"/>
    <mergeCell ref="W483:W484"/>
    <mergeCell ref="X483:X484"/>
    <mergeCell ref="Y483:Y484"/>
    <mergeCell ref="P483:P484"/>
    <mergeCell ref="Q483:Q484"/>
    <mergeCell ref="R483:R484"/>
    <mergeCell ref="S483:S484"/>
    <mergeCell ref="T483:T484"/>
    <mergeCell ref="AL481:AL482"/>
    <mergeCell ref="AM481:AM482"/>
    <mergeCell ref="AN481:AN482"/>
    <mergeCell ref="A483:A484"/>
    <mergeCell ref="B483:B484"/>
    <mergeCell ref="D483:D484"/>
    <mergeCell ref="H483:H484"/>
    <mergeCell ref="I483:I484"/>
    <mergeCell ref="J483:J484"/>
    <mergeCell ref="K483:K484"/>
    <mergeCell ref="L483:L484"/>
    <mergeCell ref="M483:M484"/>
    <mergeCell ref="N483:N484"/>
    <mergeCell ref="O483:O484"/>
    <mergeCell ref="AG481:AG482"/>
    <mergeCell ref="AH481:AH482"/>
    <mergeCell ref="AI481:AI482"/>
    <mergeCell ref="AJ481:AJ482"/>
    <mergeCell ref="AK481:AK482"/>
    <mergeCell ref="AB481:AB482"/>
    <mergeCell ref="AC481:AC482"/>
    <mergeCell ref="AD481:AD482"/>
    <mergeCell ref="AE481:AE482"/>
    <mergeCell ref="AF481:AF482"/>
    <mergeCell ref="W481:W482"/>
    <mergeCell ref="X481:X482"/>
    <mergeCell ref="Y481:Y482"/>
    <mergeCell ref="Z481:Z482"/>
    <mergeCell ref="AA481:AA482"/>
    <mergeCell ref="R481:R482"/>
    <mergeCell ref="S481:S482"/>
    <mergeCell ref="T481:T482"/>
    <mergeCell ref="U481:U482"/>
    <mergeCell ref="V481:V482"/>
    <mergeCell ref="M481:M482"/>
    <mergeCell ref="N481:N482"/>
    <mergeCell ref="O481:O482"/>
    <mergeCell ref="P481:P482"/>
    <mergeCell ref="Q481:Q482"/>
    <mergeCell ref="AL485:AL486"/>
    <mergeCell ref="AM485:AM486"/>
    <mergeCell ref="AN485:AN486"/>
    <mergeCell ref="A487:A488"/>
    <mergeCell ref="B487:B488"/>
    <mergeCell ref="D487:D488"/>
    <mergeCell ref="H487:H488"/>
    <mergeCell ref="I487:I488"/>
    <mergeCell ref="J487:J488"/>
    <mergeCell ref="K487:K488"/>
    <mergeCell ref="L487:L488"/>
    <mergeCell ref="M487:M488"/>
    <mergeCell ref="N487:N488"/>
    <mergeCell ref="O487:O488"/>
    <mergeCell ref="AG485:AG486"/>
    <mergeCell ref="AH485:AH486"/>
    <mergeCell ref="AI485:AI486"/>
    <mergeCell ref="AJ485:AJ486"/>
    <mergeCell ref="AK485:AK486"/>
    <mergeCell ref="AB485:AB486"/>
    <mergeCell ref="AC485:AC486"/>
    <mergeCell ref="AD485:AD486"/>
    <mergeCell ref="AE485:AE486"/>
    <mergeCell ref="AF485:AF486"/>
    <mergeCell ref="W485:W486"/>
    <mergeCell ref="X485:X486"/>
    <mergeCell ref="Y485:Y486"/>
    <mergeCell ref="Z485:Z486"/>
    <mergeCell ref="AA485:AA486"/>
    <mergeCell ref="R485:R486"/>
    <mergeCell ref="S485:S486"/>
    <mergeCell ref="T485:T486"/>
    <mergeCell ref="U485:U486"/>
    <mergeCell ref="V485:V486"/>
    <mergeCell ref="M485:M486"/>
    <mergeCell ref="N485:N486"/>
    <mergeCell ref="O485:O486"/>
    <mergeCell ref="P485:P486"/>
    <mergeCell ref="Q485:Q486"/>
    <mergeCell ref="H485:H486"/>
    <mergeCell ref="I485:I486"/>
    <mergeCell ref="J485:J486"/>
    <mergeCell ref="K485:K486"/>
    <mergeCell ref="L485:L486"/>
    <mergeCell ref="A485:A486"/>
    <mergeCell ref="B485:B486"/>
    <mergeCell ref="D485:D486"/>
    <mergeCell ref="H489:H490"/>
    <mergeCell ref="I489:I490"/>
    <mergeCell ref="J489:J490"/>
    <mergeCell ref="K489:K490"/>
    <mergeCell ref="L489:L490"/>
    <mergeCell ref="A489:A490"/>
    <mergeCell ref="B489:B490"/>
    <mergeCell ref="D489:D490"/>
    <mergeCell ref="AJ487:AJ488"/>
    <mergeCell ref="AK487:AK488"/>
    <mergeCell ref="AL487:AL488"/>
    <mergeCell ref="AM487:AM488"/>
    <mergeCell ref="AN487:AN488"/>
    <mergeCell ref="AE487:AE488"/>
    <mergeCell ref="AF487:AF488"/>
    <mergeCell ref="AG487:AG488"/>
    <mergeCell ref="AH487:AH488"/>
    <mergeCell ref="AI487:AI488"/>
    <mergeCell ref="Z487:Z488"/>
    <mergeCell ref="AA487:AA488"/>
    <mergeCell ref="AB487:AB488"/>
    <mergeCell ref="AC487:AC488"/>
    <mergeCell ref="AD487:AD488"/>
    <mergeCell ref="U487:U488"/>
    <mergeCell ref="V487:V488"/>
    <mergeCell ref="W487:W488"/>
    <mergeCell ref="X487:X488"/>
    <mergeCell ref="Y487:Y488"/>
    <mergeCell ref="P487:P488"/>
    <mergeCell ref="Q487:Q488"/>
    <mergeCell ref="R487:R488"/>
    <mergeCell ref="S487:S488"/>
    <mergeCell ref="T487:T488"/>
    <mergeCell ref="AJ491:AJ492"/>
    <mergeCell ref="AK491:AK492"/>
    <mergeCell ref="AL491:AL492"/>
    <mergeCell ref="AM491:AM492"/>
    <mergeCell ref="AN491:AN492"/>
    <mergeCell ref="AE491:AE492"/>
    <mergeCell ref="AF491:AF492"/>
    <mergeCell ref="AG491:AG492"/>
    <mergeCell ref="AH491:AH492"/>
    <mergeCell ref="AI491:AI492"/>
    <mergeCell ref="Z491:Z492"/>
    <mergeCell ref="AA491:AA492"/>
    <mergeCell ref="AB491:AB492"/>
    <mergeCell ref="AC491:AC492"/>
    <mergeCell ref="AD491:AD492"/>
    <mergeCell ref="U491:U492"/>
    <mergeCell ref="V491:V492"/>
    <mergeCell ref="W491:W492"/>
    <mergeCell ref="X491:X492"/>
    <mergeCell ref="Y491:Y492"/>
    <mergeCell ref="P491:P492"/>
    <mergeCell ref="Q491:Q492"/>
    <mergeCell ref="R491:R492"/>
    <mergeCell ref="S491:S492"/>
    <mergeCell ref="T491:T492"/>
    <mergeCell ref="AL489:AL490"/>
    <mergeCell ref="AM489:AM490"/>
    <mergeCell ref="AN489:AN490"/>
    <mergeCell ref="A491:A492"/>
    <mergeCell ref="B491:B492"/>
    <mergeCell ref="D491:D492"/>
    <mergeCell ref="H491:H492"/>
    <mergeCell ref="I491:I492"/>
    <mergeCell ref="J491:J492"/>
    <mergeCell ref="K491:K492"/>
    <mergeCell ref="L491:L492"/>
    <mergeCell ref="M491:M492"/>
    <mergeCell ref="N491:N492"/>
    <mergeCell ref="O491:O492"/>
    <mergeCell ref="AG489:AG490"/>
    <mergeCell ref="AH489:AH490"/>
    <mergeCell ref="AI489:AI490"/>
    <mergeCell ref="AJ489:AJ490"/>
    <mergeCell ref="AK489:AK490"/>
    <mergeCell ref="AB489:AB490"/>
    <mergeCell ref="AC489:AC490"/>
    <mergeCell ref="AD489:AD490"/>
    <mergeCell ref="AE489:AE490"/>
    <mergeCell ref="AF489:AF490"/>
    <mergeCell ref="W489:W490"/>
    <mergeCell ref="X489:X490"/>
    <mergeCell ref="Y489:Y490"/>
    <mergeCell ref="Z489:Z490"/>
    <mergeCell ref="AA489:AA490"/>
    <mergeCell ref="R489:R490"/>
    <mergeCell ref="S489:S490"/>
    <mergeCell ref="T489:T490"/>
    <mergeCell ref="U489:U490"/>
    <mergeCell ref="V489:V490"/>
    <mergeCell ref="M489:M490"/>
    <mergeCell ref="N489:N490"/>
    <mergeCell ref="O489:O490"/>
    <mergeCell ref="P489:P490"/>
    <mergeCell ref="Q489:Q490"/>
    <mergeCell ref="AL493:AL494"/>
    <mergeCell ref="AM493:AM494"/>
    <mergeCell ref="AN493:AN494"/>
    <mergeCell ref="A495:A496"/>
    <mergeCell ref="B495:B496"/>
    <mergeCell ref="D495:D496"/>
    <mergeCell ref="H495:H496"/>
    <mergeCell ref="I495:I496"/>
    <mergeCell ref="J495:J496"/>
    <mergeCell ref="K495:K496"/>
    <mergeCell ref="L495:L496"/>
    <mergeCell ref="M495:M496"/>
    <mergeCell ref="N495:N496"/>
    <mergeCell ref="O495:O496"/>
    <mergeCell ref="AG493:AG494"/>
    <mergeCell ref="AH493:AH494"/>
    <mergeCell ref="AI493:AI494"/>
    <mergeCell ref="AJ493:AJ494"/>
    <mergeCell ref="AK493:AK494"/>
    <mergeCell ref="AB493:AB494"/>
    <mergeCell ref="AC493:AC494"/>
    <mergeCell ref="AD493:AD494"/>
    <mergeCell ref="AE493:AE494"/>
    <mergeCell ref="AF493:AF494"/>
    <mergeCell ref="W493:W494"/>
    <mergeCell ref="X493:X494"/>
    <mergeCell ref="Y493:Y494"/>
    <mergeCell ref="Z493:Z494"/>
    <mergeCell ref="AA493:AA494"/>
    <mergeCell ref="R493:R494"/>
    <mergeCell ref="S493:S494"/>
    <mergeCell ref="T493:T494"/>
    <mergeCell ref="U493:U494"/>
    <mergeCell ref="V493:V494"/>
    <mergeCell ref="M493:M494"/>
    <mergeCell ref="N493:N494"/>
    <mergeCell ref="O493:O494"/>
    <mergeCell ref="P493:P494"/>
    <mergeCell ref="Q493:Q494"/>
    <mergeCell ref="H493:H494"/>
    <mergeCell ref="I493:I494"/>
    <mergeCell ref="J493:J494"/>
    <mergeCell ref="K493:K494"/>
    <mergeCell ref="L493:L494"/>
    <mergeCell ref="A493:A494"/>
    <mergeCell ref="B493:B494"/>
    <mergeCell ref="D493:D494"/>
    <mergeCell ref="H497:H498"/>
    <mergeCell ref="I497:I498"/>
    <mergeCell ref="J497:J498"/>
    <mergeCell ref="K497:K498"/>
    <mergeCell ref="L497:L498"/>
    <mergeCell ref="A497:A498"/>
    <mergeCell ref="B497:B498"/>
    <mergeCell ref="D497:D498"/>
    <mergeCell ref="AJ495:AJ496"/>
    <mergeCell ref="AK495:AK496"/>
    <mergeCell ref="AL495:AL496"/>
    <mergeCell ref="AM495:AM496"/>
    <mergeCell ref="AN495:AN496"/>
    <mergeCell ref="AE495:AE496"/>
    <mergeCell ref="AF495:AF496"/>
    <mergeCell ref="AG495:AG496"/>
    <mergeCell ref="AH495:AH496"/>
    <mergeCell ref="AI495:AI496"/>
    <mergeCell ref="Z495:Z496"/>
    <mergeCell ref="AA495:AA496"/>
    <mergeCell ref="AB495:AB496"/>
    <mergeCell ref="AC495:AC496"/>
    <mergeCell ref="AD495:AD496"/>
    <mergeCell ref="U495:U496"/>
    <mergeCell ref="V495:V496"/>
    <mergeCell ref="W495:W496"/>
    <mergeCell ref="X495:X496"/>
    <mergeCell ref="Y495:Y496"/>
    <mergeCell ref="P495:P496"/>
    <mergeCell ref="Q495:Q496"/>
    <mergeCell ref="R495:R496"/>
    <mergeCell ref="S495:S496"/>
    <mergeCell ref="T495:T496"/>
    <mergeCell ref="AJ499:AJ500"/>
    <mergeCell ref="AK499:AK500"/>
    <mergeCell ref="AL499:AL500"/>
    <mergeCell ref="AM499:AM500"/>
    <mergeCell ref="AN499:AN500"/>
    <mergeCell ref="AE499:AE500"/>
    <mergeCell ref="AF499:AF500"/>
    <mergeCell ref="AG499:AG500"/>
    <mergeCell ref="AH499:AH500"/>
    <mergeCell ref="AI499:AI500"/>
    <mergeCell ref="Z499:Z500"/>
    <mergeCell ref="AA499:AA500"/>
    <mergeCell ref="AB499:AB500"/>
    <mergeCell ref="AC499:AC500"/>
    <mergeCell ref="AD499:AD500"/>
    <mergeCell ref="U499:U500"/>
    <mergeCell ref="V499:V500"/>
    <mergeCell ref="W499:W500"/>
    <mergeCell ref="X499:X500"/>
    <mergeCell ref="Y499:Y500"/>
    <mergeCell ref="P499:P500"/>
    <mergeCell ref="Q499:Q500"/>
    <mergeCell ref="R499:R500"/>
    <mergeCell ref="S499:S500"/>
    <mergeCell ref="T499:T500"/>
    <mergeCell ref="AL497:AL498"/>
    <mergeCell ref="AM497:AM498"/>
    <mergeCell ref="AN497:AN498"/>
    <mergeCell ref="A499:A500"/>
    <mergeCell ref="B499:B500"/>
    <mergeCell ref="D499:D500"/>
    <mergeCell ref="H499:H500"/>
    <mergeCell ref="I499:I500"/>
    <mergeCell ref="J499:J500"/>
    <mergeCell ref="K499:K500"/>
    <mergeCell ref="L499:L500"/>
    <mergeCell ref="M499:M500"/>
    <mergeCell ref="N499:N500"/>
    <mergeCell ref="O499:O500"/>
    <mergeCell ref="AG497:AG498"/>
    <mergeCell ref="AH497:AH498"/>
    <mergeCell ref="AI497:AI498"/>
    <mergeCell ref="AJ497:AJ498"/>
    <mergeCell ref="AK497:AK498"/>
    <mergeCell ref="AB497:AB498"/>
    <mergeCell ref="AC497:AC498"/>
    <mergeCell ref="AD497:AD498"/>
    <mergeCell ref="AE497:AE498"/>
    <mergeCell ref="AF497:AF498"/>
    <mergeCell ref="W497:W498"/>
    <mergeCell ref="X497:X498"/>
    <mergeCell ref="Y497:Y498"/>
    <mergeCell ref="Z497:Z498"/>
    <mergeCell ref="AA497:AA498"/>
    <mergeCell ref="R497:R498"/>
    <mergeCell ref="S497:S498"/>
    <mergeCell ref="T497:T498"/>
    <mergeCell ref="U497:U498"/>
    <mergeCell ref="V497:V498"/>
    <mergeCell ref="M497:M498"/>
    <mergeCell ref="N497:N498"/>
    <mergeCell ref="O497:O498"/>
    <mergeCell ref="P497:P498"/>
    <mergeCell ref="Q497:Q498"/>
    <mergeCell ref="AL501:AL502"/>
    <mergeCell ref="AM501:AM502"/>
    <mergeCell ref="AN501:AN502"/>
    <mergeCell ref="A503:A504"/>
    <mergeCell ref="B503:B504"/>
    <mergeCell ref="D503:D504"/>
    <mergeCell ref="H503:H504"/>
    <mergeCell ref="I503:I504"/>
    <mergeCell ref="J503:J504"/>
    <mergeCell ref="K503:K504"/>
    <mergeCell ref="L503:L504"/>
    <mergeCell ref="M503:M504"/>
    <mergeCell ref="N503:N504"/>
    <mergeCell ref="O503:O504"/>
    <mergeCell ref="AG501:AG502"/>
    <mergeCell ref="AH501:AH502"/>
    <mergeCell ref="AI501:AI502"/>
    <mergeCell ref="AJ501:AJ502"/>
    <mergeCell ref="AK501:AK502"/>
    <mergeCell ref="AB501:AB502"/>
    <mergeCell ref="AC501:AC502"/>
    <mergeCell ref="AD501:AD502"/>
    <mergeCell ref="AE501:AE502"/>
    <mergeCell ref="AF501:AF502"/>
    <mergeCell ref="W501:W502"/>
    <mergeCell ref="X501:X502"/>
    <mergeCell ref="Y501:Y502"/>
    <mergeCell ref="Z501:Z502"/>
    <mergeCell ref="AA501:AA502"/>
    <mergeCell ref="R501:R502"/>
    <mergeCell ref="S501:S502"/>
    <mergeCell ref="T501:T502"/>
    <mergeCell ref="U501:U502"/>
    <mergeCell ref="V501:V502"/>
    <mergeCell ref="M501:M502"/>
    <mergeCell ref="N501:N502"/>
    <mergeCell ref="O501:O502"/>
    <mergeCell ref="P501:P502"/>
    <mergeCell ref="Q501:Q502"/>
    <mergeCell ref="H501:H502"/>
    <mergeCell ref="I501:I502"/>
    <mergeCell ref="J501:J502"/>
    <mergeCell ref="K501:K502"/>
    <mergeCell ref="L501:L502"/>
    <mergeCell ref="A501:A502"/>
    <mergeCell ref="B501:B502"/>
    <mergeCell ref="D501:D502"/>
    <mergeCell ref="H505:H506"/>
    <mergeCell ref="I505:I506"/>
    <mergeCell ref="J505:J506"/>
    <mergeCell ref="K505:K506"/>
    <mergeCell ref="L505:L506"/>
    <mergeCell ref="A505:A506"/>
    <mergeCell ref="B505:B506"/>
    <mergeCell ref="D505:D506"/>
    <mergeCell ref="AJ503:AJ504"/>
    <mergeCell ref="AK503:AK504"/>
    <mergeCell ref="AL503:AL504"/>
    <mergeCell ref="AM503:AM504"/>
    <mergeCell ref="AN503:AN504"/>
    <mergeCell ref="AE503:AE504"/>
    <mergeCell ref="AF503:AF504"/>
    <mergeCell ref="AG503:AG504"/>
    <mergeCell ref="AH503:AH504"/>
    <mergeCell ref="AI503:AI504"/>
    <mergeCell ref="Z503:Z504"/>
    <mergeCell ref="AA503:AA504"/>
    <mergeCell ref="AB503:AB504"/>
    <mergeCell ref="AC503:AC504"/>
    <mergeCell ref="AD503:AD504"/>
    <mergeCell ref="U503:U504"/>
    <mergeCell ref="V503:V504"/>
    <mergeCell ref="W503:W504"/>
    <mergeCell ref="X503:X504"/>
    <mergeCell ref="Y503:Y504"/>
    <mergeCell ref="P503:P504"/>
    <mergeCell ref="Q503:Q504"/>
    <mergeCell ref="R503:R504"/>
    <mergeCell ref="S503:S504"/>
    <mergeCell ref="T503:T504"/>
    <mergeCell ref="AJ507:AJ508"/>
    <mergeCell ref="AK507:AK508"/>
    <mergeCell ref="AL507:AL508"/>
    <mergeCell ref="AM507:AM508"/>
    <mergeCell ref="AN507:AN508"/>
    <mergeCell ref="AE507:AE508"/>
    <mergeCell ref="AF507:AF508"/>
    <mergeCell ref="AG507:AG508"/>
    <mergeCell ref="AH507:AH508"/>
    <mergeCell ref="AI507:AI508"/>
    <mergeCell ref="Z507:Z508"/>
    <mergeCell ref="AA507:AA508"/>
    <mergeCell ref="AB507:AB508"/>
    <mergeCell ref="AC507:AC508"/>
    <mergeCell ref="AD507:AD508"/>
    <mergeCell ref="U507:U508"/>
    <mergeCell ref="V507:V508"/>
    <mergeCell ref="W507:W508"/>
    <mergeCell ref="X507:X508"/>
    <mergeCell ref="Y507:Y508"/>
    <mergeCell ref="P507:P508"/>
    <mergeCell ref="Q507:Q508"/>
    <mergeCell ref="R507:R508"/>
    <mergeCell ref="S507:S508"/>
    <mergeCell ref="T507:T508"/>
    <mergeCell ref="AL505:AL506"/>
    <mergeCell ref="AM505:AM506"/>
    <mergeCell ref="AN505:AN506"/>
    <mergeCell ref="A507:A508"/>
    <mergeCell ref="B507:B508"/>
    <mergeCell ref="D507:D508"/>
    <mergeCell ref="H507:H508"/>
    <mergeCell ref="I507:I508"/>
    <mergeCell ref="J507:J508"/>
    <mergeCell ref="K507:K508"/>
    <mergeCell ref="L507:L508"/>
    <mergeCell ref="M507:M508"/>
    <mergeCell ref="N507:N508"/>
    <mergeCell ref="O507:O508"/>
    <mergeCell ref="AG505:AG506"/>
    <mergeCell ref="AH505:AH506"/>
    <mergeCell ref="AI505:AI506"/>
    <mergeCell ref="AJ505:AJ506"/>
    <mergeCell ref="AK505:AK506"/>
    <mergeCell ref="AB505:AB506"/>
    <mergeCell ref="AC505:AC506"/>
    <mergeCell ref="AD505:AD506"/>
    <mergeCell ref="AE505:AE506"/>
    <mergeCell ref="AF505:AF506"/>
    <mergeCell ref="W505:W506"/>
    <mergeCell ref="X505:X506"/>
    <mergeCell ref="Y505:Y506"/>
    <mergeCell ref="Z505:Z506"/>
    <mergeCell ref="AA505:AA506"/>
    <mergeCell ref="R505:R506"/>
    <mergeCell ref="S505:S506"/>
    <mergeCell ref="T505:T506"/>
    <mergeCell ref="U505:U506"/>
    <mergeCell ref="V505:V506"/>
    <mergeCell ref="M505:M506"/>
    <mergeCell ref="N505:N506"/>
    <mergeCell ref="O505:O506"/>
    <mergeCell ref="P505:P506"/>
    <mergeCell ref="Q505:Q506"/>
    <mergeCell ref="AL509:AL510"/>
    <mergeCell ref="AM509:AM510"/>
    <mergeCell ref="AN509:AN510"/>
    <mergeCell ref="A511:A512"/>
    <mergeCell ref="B511:B512"/>
    <mergeCell ref="D511:D512"/>
    <mergeCell ref="H511:H512"/>
    <mergeCell ref="I511:I512"/>
    <mergeCell ref="J511:J512"/>
    <mergeCell ref="K511:K512"/>
    <mergeCell ref="L511:L512"/>
    <mergeCell ref="M511:M512"/>
    <mergeCell ref="N511:N512"/>
    <mergeCell ref="O511:O512"/>
    <mergeCell ref="AG509:AG510"/>
    <mergeCell ref="AH509:AH510"/>
    <mergeCell ref="AI509:AI510"/>
    <mergeCell ref="AJ509:AJ510"/>
    <mergeCell ref="AK509:AK510"/>
    <mergeCell ref="AB509:AB510"/>
    <mergeCell ref="AC509:AC510"/>
    <mergeCell ref="AD509:AD510"/>
    <mergeCell ref="AE509:AE510"/>
    <mergeCell ref="AF509:AF510"/>
    <mergeCell ref="W509:W510"/>
    <mergeCell ref="X509:X510"/>
    <mergeCell ref="Y509:Y510"/>
    <mergeCell ref="Z509:Z510"/>
    <mergeCell ref="AA509:AA510"/>
    <mergeCell ref="R509:R510"/>
    <mergeCell ref="S509:S510"/>
    <mergeCell ref="T509:T510"/>
    <mergeCell ref="U509:U510"/>
    <mergeCell ref="V509:V510"/>
    <mergeCell ref="M509:M510"/>
    <mergeCell ref="N509:N510"/>
    <mergeCell ref="O509:O510"/>
    <mergeCell ref="P509:P510"/>
    <mergeCell ref="Q509:Q510"/>
    <mergeCell ref="H509:H510"/>
    <mergeCell ref="I509:I510"/>
    <mergeCell ref="J509:J510"/>
    <mergeCell ref="K509:K510"/>
    <mergeCell ref="L509:L510"/>
    <mergeCell ref="A509:A510"/>
    <mergeCell ref="B509:B510"/>
    <mergeCell ref="D509:D510"/>
    <mergeCell ref="H513:H514"/>
    <mergeCell ref="I513:I514"/>
    <mergeCell ref="J513:J514"/>
    <mergeCell ref="K513:K514"/>
    <mergeCell ref="L513:L514"/>
    <mergeCell ref="A513:A514"/>
    <mergeCell ref="B513:B514"/>
    <mergeCell ref="D513:D514"/>
    <mergeCell ref="AJ511:AJ512"/>
    <mergeCell ref="AK511:AK512"/>
    <mergeCell ref="AL511:AL512"/>
    <mergeCell ref="AM511:AM512"/>
    <mergeCell ref="AN511:AN512"/>
    <mergeCell ref="AE511:AE512"/>
    <mergeCell ref="AF511:AF512"/>
    <mergeCell ref="AG511:AG512"/>
    <mergeCell ref="AH511:AH512"/>
    <mergeCell ref="AI511:AI512"/>
    <mergeCell ref="Z511:Z512"/>
    <mergeCell ref="AA511:AA512"/>
    <mergeCell ref="AB511:AB512"/>
    <mergeCell ref="AC511:AC512"/>
    <mergeCell ref="AD511:AD512"/>
    <mergeCell ref="U511:U512"/>
    <mergeCell ref="V511:V512"/>
    <mergeCell ref="W511:W512"/>
    <mergeCell ref="X511:X512"/>
    <mergeCell ref="Y511:Y512"/>
    <mergeCell ref="P511:P512"/>
    <mergeCell ref="Q511:Q512"/>
    <mergeCell ref="R511:R512"/>
    <mergeCell ref="S511:S512"/>
    <mergeCell ref="T511:T512"/>
    <mergeCell ref="AJ515:AJ516"/>
    <mergeCell ref="AK515:AK516"/>
    <mergeCell ref="AL515:AL516"/>
    <mergeCell ref="AM515:AM516"/>
    <mergeCell ref="AN515:AN516"/>
    <mergeCell ref="AE515:AE516"/>
    <mergeCell ref="AF515:AF516"/>
    <mergeCell ref="AG515:AG516"/>
    <mergeCell ref="AH515:AH516"/>
    <mergeCell ref="AI515:AI516"/>
    <mergeCell ref="Z515:Z516"/>
    <mergeCell ref="AA515:AA516"/>
    <mergeCell ref="AB515:AB516"/>
    <mergeCell ref="AC515:AC516"/>
    <mergeCell ref="AD515:AD516"/>
    <mergeCell ref="U515:U516"/>
    <mergeCell ref="V515:V516"/>
    <mergeCell ref="W515:W516"/>
    <mergeCell ref="X515:X516"/>
    <mergeCell ref="Y515:Y516"/>
    <mergeCell ref="P515:P516"/>
    <mergeCell ref="Q515:Q516"/>
    <mergeCell ref="R515:R516"/>
    <mergeCell ref="S515:S516"/>
    <mergeCell ref="T515:T516"/>
    <mergeCell ref="AL513:AL514"/>
    <mergeCell ref="AM513:AM514"/>
    <mergeCell ref="AN513:AN514"/>
    <mergeCell ref="A515:A516"/>
    <mergeCell ref="B515:B516"/>
    <mergeCell ref="D515:D516"/>
    <mergeCell ref="H515:H516"/>
    <mergeCell ref="I515:I516"/>
    <mergeCell ref="J515:J516"/>
    <mergeCell ref="K515:K516"/>
    <mergeCell ref="L515:L516"/>
    <mergeCell ref="M515:M516"/>
    <mergeCell ref="N515:N516"/>
    <mergeCell ref="O515:O516"/>
    <mergeCell ref="AG513:AG514"/>
    <mergeCell ref="AH513:AH514"/>
    <mergeCell ref="AI513:AI514"/>
    <mergeCell ref="AJ513:AJ514"/>
    <mergeCell ref="AK513:AK514"/>
    <mergeCell ref="AB513:AB514"/>
    <mergeCell ref="AC513:AC514"/>
    <mergeCell ref="AD513:AD514"/>
    <mergeCell ref="AE513:AE514"/>
    <mergeCell ref="AF513:AF514"/>
    <mergeCell ref="W513:W514"/>
    <mergeCell ref="X513:X514"/>
    <mergeCell ref="Y513:Y514"/>
    <mergeCell ref="Z513:Z514"/>
    <mergeCell ref="AA513:AA514"/>
    <mergeCell ref="R513:R514"/>
    <mergeCell ref="S513:S514"/>
    <mergeCell ref="T513:T514"/>
    <mergeCell ref="U513:U514"/>
    <mergeCell ref="V513:V514"/>
    <mergeCell ref="M513:M514"/>
    <mergeCell ref="N513:N514"/>
    <mergeCell ref="O513:O514"/>
    <mergeCell ref="P513:P514"/>
    <mergeCell ref="Q513:Q514"/>
    <mergeCell ref="AL517:AL518"/>
    <mergeCell ref="AM517:AM518"/>
    <mergeCell ref="AN517:AN518"/>
    <mergeCell ref="A519:A520"/>
    <mergeCell ref="B519:B520"/>
    <mergeCell ref="D519:D520"/>
    <mergeCell ref="H519:H520"/>
    <mergeCell ref="I519:I520"/>
    <mergeCell ref="J519:J520"/>
    <mergeCell ref="K519:K520"/>
    <mergeCell ref="L519:L520"/>
    <mergeCell ref="M519:M520"/>
    <mergeCell ref="N519:N520"/>
    <mergeCell ref="O519:O520"/>
    <mergeCell ref="AG517:AG518"/>
    <mergeCell ref="AH517:AH518"/>
    <mergeCell ref="AI517:AI518"/>
    <mergeCell ref="AJ517:AJ518"/>
    <mergeCell ref="AK517:AK518"/>
    <mergeCell ref="AB517:AB518"/>
    <mergeCell ref="AC517:AC518"/>
    <mergeCell ref="AD517:AD518"/>
    <mergeCell ref="AE517:AE518"/>
    <mergeCell ref="AF517:AF518"/>
    <mergeCell ref="W517:W518"/>
    <mergeCell ref="X517:X518"/>
    <mergeCell ref="Y517:Y518"/>
    <mergeCell ref="Z517:Z518"/>
    <mergeCell ref="AA517:AA518"/>
    <mergeCell ref="R517:R518"/>
    <mergeCell ref="S517:S518"/>
    <mergeCell ref="T517:T518"/>
    <mergeCell ref="U517:U518"/>
    <mergeCell ref="V517:V518"/>
    <mergeCell ref="M517:M518"/>
    <mergeCell ref="N517:N518"/>
    <mergeCell ref="O517:O518"/>
    <mergeCell ref="P517:P518"/>
    <mergeCell ref="Q517:Q518"/>
    <mergeCell ref="H517:H518"/>
    <mergeCell ref="I517:I518"/>
    <mergeCell ref="J517:J518"/>
    <mergeCell ref="K517:K518"/>
    <mergeCell ref="L517:L518"/>
    <mergeCell ref="A517:A518"/>
    <mergeCell ref="B517:B518"/>
    <mergeCell ref="D517:D518"/>
    <mergeCell ref="H521:H522"/>
    <mergeCell ref="I521:I522"/>
    <mergeCell ref="J521:J522"/>
    <mergeCell ref="K521:K522"/>
    <mergeCell ref="L521:L522"/>
    <mergeCell ref="A521:A522"/>
    <mergeCell ref="B521:B522"/>
    <mergeCell ref="D521:D522"/>
    <mergeCell ref="AJ519:AJ520"/>
    <mergeCell ref="AK519:AK520"/>
    <mergeCell ref="AL519:AL520"/>
    <mergeCell ref="AM519:AM520"/>
    <mergeCell ref="AN519:AN520"/>
    <mergeCell ref="AE519:AE520"/>
    <mergeCell ref="AF519:AF520"/>
    <mergeCell ref="AG519:AG520"/>
    <mergeCell ref="AH519:AH520"/>
    <mergeCell ref="AI519:AI520"/>
    <mergeCell ref="Z519:Z520"/>
    <mergeCell ref="AA519:AA520"/>
    <mergeCell ref="AB519:AB520"/>
    <mergeCell ref="AC519:AC520"/>
    <mergeCell ref="AD519:AD520"/>
    <mergeCell ref="U519:U520"/>
    <mergeCell ref="V519:V520"/>
    <mergeCell ref="W519:W520"/>
    <mergeCell ref="X519:X520"/>
    <mergeCell ref="Y519:Y520"/>
    <mergeCell ref="P519:P520"/>
    <mergeCell ref="Q519:Q520"/>
    <mergeCell ref="R519:R520"/>
    <mergeCell ref="S519:S520"/>
    <mergeCell ref="T519:T520"/>
    <mergeCell ref="AJ523:AJ524"/>
    <mergeCell ref="AK523:AK524"/>
    <mergeCell ref="AL523:AL524"/>
    <mergeCell ref="AM523:AM524"/>
    <mergeCell ref="AN523:AN524"/>
    <mergeCell ref="AE523:AE524"/>
    <mergeCell ref="AF523:AF524"/>
    <mergeCell ref="AG523:AG524"/>
    <mergeCell ref="AH523:AH524"/>
    <mergeCell ref="AI523:AI524"/>
    <mergeCell ref="Z523:Z524"/>
    <mergeCell ref="AA523:AA524"/>
    <mergeCell ref="AB523:AB524"/>
    <mergeCell ref="AC523:AC524"/>
    <mergeCell ref="AD523:AD524"/>
    <mergeCell ref="U523:U524"/>
    <mergeCell ref="V523:V524"/>
    <mergeCell ref="W523:W524"/>
    <mergeCell ref="X523:X524"/>
    <mergeCell ref="Y523:Y524"/>
    <mergeCell ref="P523:P524"/>
    <mergeCell ref="Q523:Q524"/>
    <mergeCell ref="R523:R524"/>
    <mergeCell ref="S523:S524"/>
    <mergeCell ref="T523:T524"/>
    <mergeCell ref="AL521:AL522"/>
    <mergeCell ref="AM521:AM522"/>
    <mergeCell ref="AN521:AN522"/>
    <mergeCell ref="A523:A524"/>
    <mergeCell ref="B523:B524"/>
    <mergeCell ref="D523:D524"/>
    <mergeCell ref="H523:H524"/>
    <mergeCell ref="I523:I524"/>
    <mergeCell ref="J523:J524"/>
    <mergeCell ref="K523:K524"/>
    <mergeCell ref="L523:L524"/>
    <mergeCell ref="M523:M524"/>
    <mergeCell ref="N523:N524"/>
    <mergeCell ref="O523:O524"/>
    <mergeCell ref="AG521:AG522"/>
    <mergeCell ref="AH521:AH522"/>
    <mergeCell ref="AI521:AI522"/>
    <mergeCell ref="AJ521:AJ522"/>
    <mergeCell ref="AK521:AK522"/>
    <mergeCell ref="AB521:AB522"/>
    <mergeCell ref="AC521:AC522"/>
    <mergeCell ref="AD521:AD522"/>
    <mergeCell ref="AE521:AE522"/>
    <mergeCell ref="AF521:AF522"/>
    <mergeCell ref="W521:W522"/>
    <mergeCell ref="X521:X522"/>
    <mergeCell ref="Y521:Y522"/>
    <mergeCell ref="Z521:Z522"/>
    <mergeCell ref="AA521:AA522"/>
    <mergeCell ref="R521:R522"/>
    <mergeCell ref="S521:S522"/>
    <mergeCell ref="T521:T522"/>
    <mergeCell ref="U521:U522"/>
    <mergeCell ref="V521:V522"/>
    <mergeCell ref="M521:M522"/>
    <mergeCell ref="N521:N522"/>
    <mergeCell ref="O521:O522"/>
    <mergeCell ref="P521:P522"/>
    <mergeCell ref="Q521:Q522"/>
    <mergeCell ref="AL525:AL526"/>
    <mergeCell ref="AM525:AM526"/>
    <mergeCell ref="AN525:AN526"/>
    <mergeCell ref="A527:A528"/>
    <mergeCell ref="B527:B528"/>
    <mergeCell ref="D527:D528"/>
    <mergeCell ref="H527:H528"/>
    <mergeCell ref="I527:I528"/>
    <mergeCell ref="J527:J528"/>
    <mergeCell ref="K527:K528"/>
    <mergeCell ref="L527:L528"/>
    <mergeCell ref="M527:M528"/>
    <mergeCell ref="N527:N528"/>
    <mergeCell ref="O527:O528"/>
    <mergeCell ref="AG525:AG526"/>
    <mergeCell ref="AH525:AH526"/>
    <mergeCell ref="AI525:AI526"/>
    <mergeCell ref="AJ525:AJ526"/>
    <mergeCell ref="AK525:AK526"/>
    <mergeCell ref="AB525:AB526"/>
    <mergeCell ref="AC525:AC526"/>
    <mergeCell ref="AD525:AD526"/>
    <mergeCell ref="AE525:AE526"/>
    <mergeCell ref="AF525:AF526"/>
    <mergeCell ref="W525:W526"/>
    <mergeCell ref="X525:X526"/>
    <mergeCell ref="Y525:Y526"/>
    <mergeCell ref="Z525:Z526"/>
    <mergeCell ref="AA525:AA526"/>
    <mergeCell ref="R525:R526"/>
    <mergeCell ref="S525:S526"/>
    <mergeCell ref="T525:T526"/>
    <mergeCell ref="U525:U526"/>
    <mergeCell ref="V525:V526"/>
    <mergeCell ref="M525:M526"/>
    <mergeCell ref="N525:N526"/>
    <mergeCell ref="O525:O526"/>
    <mergeCell ref="P525:P526"/>
    <mergeCell ref="Q525:Q526"/>
    <mergeCell ref="H525:H526"/>
    <mergeCell ref="I525:I526"/>
    <mergeCell ref="J525:J526"/>
    <mergeCell ref="K525:K526"/>
    <mergeCell ref="L525:L526"/>
    <mergeCell ref="A525:A526"/>
    <mergeCell ref="B525:B526"/>
    <mergeCell ref="D525:D526"/>
    <mergeCell ref="H529:H530"/>
    <mergeCell ref="I529:I530"/>
    <mergeCell ref="J529:J530"/>
    <mergeCell ref="K529:K530"/>
    <mergeCell ref="L529:L530"/>
    <mergeCell ref="A529:A530"/>
    <mergeCell ref="B529:B530"/>
    <mergeCell ref="D529:D530"/>
    <mergeCell ref="AJ527:AJ528"/>
    <mergeCell ref="AK527:AK528"/>
    <mergeCell ref="AL527:AL528"/>
    <mergeCell ref="AM527:AM528"/>
    <mergeCell ref="AN527:AN528"/>
    <mergeCell ref="AE527:AE528"/>
    <mergeCell ref="AF527:AF528"/>
    <mergeCell ref="AG527:AG528"/>
    <mergeCell ref="AH527:AH528"/>
    <mergeCell ref="AI527:AI528"/>
    <mergeCell ref="Z527:Z528"/>
    <mergeCell ref="AA527:AA528"/>
    <mergeCell ref="AB527:AB528"/>
    <mergeCell ref="AC527:AC528"/>
    <mergeCell ref="AD527:AD528"/>
    <mergeCell ref="U527:U528"/>
    <mergeCell ref="V527:V528"/>
    <mergeCell ref="W527:W528"/>
    <mergeCell ref="X527:X528"/>
    <mergeCell ref="Y527:Y528"/>
    <mergeCell ref="P527:P528"/>
    <mergeCell ref="Q527:Q528"/>
    <mergeCell ref="R527:R528"/>
    <mergeCell ref="S527:S528"/>
    <mergeCell ref="T527:T528"/>
    <mergeCell ref="AJ531:AJ532"/>
    <mergeCell ref="AK531:AK532"/>
    <mergeCell ref="AL531:AL532"/>
    <mergeCell ref="AM531:AM532"/>
    <mergeCell ref="AN531:AN532"/>
    <mergeCell ref="AE531:AE532"/>
    <mergeCell ref="AF531:AF532"/>
    <mergeCell ref="AG531:AG532"/>
    <mergeCell ref="AH531:AH532"/>
    <mergeCell ref="AI531:AI532"/>
    <mergeCell ref="Z531:Z532"/>
    <mergeCell ref="AA531:AA532"/>
    <mergeCell ref="AB531:AB532"/>
    <mergeCell ref="AC531:AC532"/>
    <mergeCell ref="AD531:AD532"/>
    <mergeCell ref="U531:U532"/>
    <mergeCell ref="V531:V532"/>
    <mergeCell ref="W531:W532"/>
    <mergeCell ref="X531:X532"/>
    <mergeCell ref="Y531:Y532"/>
    <mergeCell ref="P531:P532"/>
    <mergeCell ref="Q531:Q532"/>
    <mergeCell ref="R531:R532"/>
    <mergeCell ref="S531:S532"/>
    <mergeCell ref="T531:T532"/>
    <mergeCell ref="AL529:AL530"/>
    <mergeCell ref="AM529:AM530"/>
    <mergeCell ref="AN529:AN530"/>
    <mergeCell ref="A531:A532"/>
    <mergeCell ref="B531:B532"/>
    <mergeCell ref="D531:D532"/>
    <mergeCell ref="H531:H532"/>
    <mergeCell ref="I531:I532"/>
    <mergeCell ref="J531:J532"/>
    <mergeCell ref="K531:K532"/>
    <mergeCell ref="L531:L532"/>
    <mergeCell ref="M531:M532"/>
    <mergeCell ref="N531:N532"/>
    <mergeCell ref="O531:O532"/>
    <mergeCell ref="AG529:AG530"/>
    <mergeCell ref="AH529:AH530"/>
    <mergeCell ref="AI529:AI530"/>
    <mergeCell ref="AJ529:AJ530"/>
    <mergeCell ref="AK529:AK530"/>
    <mergeCell ref="AB529:AB530"/>
    <mergeCell ref="AC529:AC530"/>
    <mergeCell ref="AD529:AD530"/>
    <mergeCell ref="AE529:AE530"/>
    <mergeCell ref="AF529:AF530"/>
    <mergeCell ref="W529:W530"/>
    <mergeCell ref="X529:X530"/>
    <mergeCell ref="Y529:Y530"/>
    <mergeCell ref="Z529:Z530"/>
    <mergeCell ref="AA529:AA530"/>
    <mergeCell ref="R529:R530"/>
    <mergeCell ref="S529:S530"/>
    <mergeCell ref="T529:T530"/>
    <mergeCell ref="U529:U530"/>
    <mergeCell ref="V529:V530"/>
    <mergeCell ref="M529:M530"/>
    <mergeCell ref="N529:N530"/>
    <mergeCell ref="O529:O530"/>
    <mergeCell ref="P529:P530"/>
    <mergeCell ref="Q529:Q530"/>
    <mergeCell ref="AL533:AL534"/>
    <mergeCell ref="AM533:AM534"/>
    <mergeCell ref="AN533:AN534"/>
    <mergeCell ref="A535:A536"/>
    <mergeCell ref="B535:B536"/>
    <mergeCell ref="D535:D536"/>
    <mergeCell ref="H535:H536"/>
    <mergeCell ref="I535:I536"/>
    <mergeCell ref="J535:J536"/>
    <mergeCell ref="K535:K536"/>
    <mergeCell ref="L535:L536"/>
    <mergeCell ref="M535:M536"/>
    <mergeCell ref="N535:N536"/>
    <mergeCell ref="O535:O536"/>
    <mergeCell ref="AG533:AG534"/>
    <mergeCell ref="AH533:AH534"/>
    <mergeCell ref="AI533:AI534"/>
    <mergeCell ref="AJ533:AJ534"/>
    <mergeCell ref="AK533:AK534"/>
    <mergeCell ref="AB533:AB534"/>
    <mergeCell ref="AC533:AC534"/>
    <mergeCell ref="AD533:AD534"/>
    <mergeCell ref="AE533:AE534"/>
    <mergeCell ref="AF533:AF534"/>
    <mergeCell ref="W533:W534"/>
    <mergeCell ref="X533:X534"/>
    <mergeCell ref="Y533:Y534"/>
    <mergeCell ref="Z533:Z534"/>
    <mergeCell ref="AA533:AA534"/>
    <mergeCell ref="R533:R534"/>
    <mergeCell ref="S533:S534"/>
    <mergeCell ref="T533:T534"/>
    <mergeCell ref="U533:U534"/>
    <mergeCell ref="V533:V534"/>
    <mergeCell ref="M533:M534"/>
    <mergeCell ref="N533:N534"/>
    <mergeCell ref="O533:O534"/>
    <mergeCell ref="P533:P534"/>
    <mergeCell ref="Q533:Q534"/>
    <mergeCell ref="H533:H534"/>
    <mergeCell ref="I533:I534"/>
    <mergeCell ref="J533:J534"/>
    <mergeCell ref="K533:K534"/>
    <mergeCell ref="L533:L534"/>
    <mergeCell ref="A533:A534"/>
    <mergeCell ref="B533:B534"/>
    <mergeCell ref="D533:D534"/>
    <mergeCell ref="H537:H538"/>
    <mergeCell ref="I537:I538"/>
    <mergeCell ref="J537:J538"/>
    <mergeCell ref="K537:K538"/>
    <mergeCell ref="L537:L538"/>
    <mergeCell ref="A537:A538"/>
    <mergeCell ref="B537:B538"/>
    <mergeCell ref="D537:D538"/>
    <mergeCell ref="AJ535:AJ536"/>
    <mergeCell ref="AK535:AK536"/>
    <mergeCell ref="AL535:AL536"/>
    <mergeCell ref="AM535:AM536"/>
    <mergeCell ref="AN535:AN536"/>
    <mergeCell ref="AE535:AE536"/>
    <mergeCell ref="AF535:AF536"/>
    <mergeCell ref="AG535:AG536"/>
    <mergeCell ref="AH535:AH536"/>
    <mergeCell ref="AI535:AI536"/>
    <mergeCell ref="Z535:Z536"/>
    <mergeCell ref="AA535:AA536"/>
    <mergeCell ref="AB535:AB536"/>
    <mergeCell ref="AC535:AC536"/>
    <mergeCell ref="AD535:AD536"/>
    <mergeCell ref="U535:U536"/>
    <mergeCell ref="V535:V536"/>
    <mergeCell ref="W535:W536"/>
    <mergeCell ref="X535:X536"/>
    <mergeCell ref="Y535:Y536"/>
    <mergeCell ref="P535:P536"/>
    <mergeCell ref="Q535:Q536"/>
    <mergeCell ref="R535:R536"/>
    <mergeCell ref="S535:S536"/>
    <mergeCell ref="T535:T536"/>
    <mergeCell ref="AJ539:AJ540"/>
    <mergeCell ref="AK539:AK540"/>
    <mergeCell ref="AL539:AL540"/>
    <mergeCell ref="AM539:AM540"/>
    <mergeCell ref="AN539:AN540"/>
    <mergeCell ref="AE539:AE540"/>
    <mergeCell ref="AF539:AF540"/>
    <mergeCell ref="AG539:AG540"/>
    <mergeCell ref="AH539:AH540"/>
    <mergeCell ref="AI539:AI540"/>
    <mergeCell ref="Z539:Z540"/>
    <mergeCell ref="AA539:AA540"/>
    <mergeCell ref="AB539:AB540"/>
    <mergeCell ref="AC539:AC540"/>
    <mergeCell ref="AD539:AD540"/>
    <mergeCell ref="U539:U540"/>
    <mergeCell ref="V539:V540"/>
    <mergeCell ref="W539:W540"/>
    <mergeCell ref="X539:X540"/>
    <mergeCell ref="Y539:Y540"/>
    <mergeCell ref="P539:P540"/>
    <mergeCell ref="Q539:Q540"/>
    <mergeCell ref="R539:R540"/>
    <mergeCell ref="S539:S540"/>
    <mergeCell ref="T539:T540"/>
    <mergeCell ref="AL537:AL538"/>
    <mergeCell ref="AM537:AM538"/>
    <mergeCell ref="AN537:AN538"/>
    <mergeCell ref="A539:A540"/>
    <mergeCell ref="B539:B540"/>
    <mergeCell ref="D539:D540"/>
    <mergeCell ref="H539:H540"/>
    <mergeCell ref="I539:I540"/>
    <mergeCell ref="J539:J540"/>
    <mergeCell ref="K539:K540"/>
    <mergeCell ref="L539:L540"/>
    <mergeCell ref="M539:M540"/>
    <mergeCell ref="N539:N540"/>
    <mergeCell ref="O539:O540"/>
    <mergeCell ref="AG537:AG538"/>
    <mergeCell ref="AH537:AH538"/>
    <mergeCell ref="AI537:AI538"/>
    <mergeCell ref="AJ537:AJ538"/>
    <mergeCell ref="AK537:AK538"/>
    <mergeCell ref="AB537:AB538"/>
    <mergeCell ref="AC537:AC538"/>
    <mergeCell ref="AD537:AD538"/>
    <mergeCell ref="AE537:AE538"/>
    <mergeCell ref="AF537:AF538"/>
    <mergeCell ref="W537:W538"/>
    <mergeCell ref="X537:X538"/>
    <mergeCell ref="Y537:Y538"/>
    <mergeCell ref="Z537:Z538"/>
    <mergeCell ref="AA537:AA538"/>
    <mergeCell ref="R537:R538"/>
    <mergeCell ref="S537:S538"/>
    <mergeCell ref="T537:T538"/>
    <mergeCell ref="U537:U538"/>
    <mergeCell ref="V537:V538"/>
    <mergeCell ref="M537:M538"/>
    <mergeCell ref="N537:N538"/>
    <mergeCell ref="O537:O538"/>
    <mergeCell ref="P537:P538"/>
    <mergeCell ref="Q537:Q538"/>
    <mergeCell ref="AL541:AL542"/>
    <mergeCell ref="AM541:AM542"/>
    <mergeCell ref="AN541:AN542"/>
    <mergeCell ref="A543:A544"/>
    <mergeCell ref="B543:B544"/>
    <mergeCell ref="D543:D544"/>
    <mergeCell ref="H543:H544"/>
    <mergeCell ref="I543:I544"/>
    <mergeCell ref="J543:J544"/>
    <mergeCell ref="K543:K544"/>
    <mergeCell ref="L543:L544"/>
    <mergeCell ref="M543:M544"/>
    <mergeCell ref="N543:N544"/>
    <mergeCell ref="O543:O544"/>
    <mergeCell ref="AG541:AG542"/>
    <mergeCell ref="AH541:AH542"/>
    <mergeCell ref="AI541:AI542"/>
    <mergeCell ref="AJ541:AJ542"/>
    <mergeCell ref="AK541:AK542"/>
    <mergeCell ref="AB541:AB542"/>
    <mergeCell ref="AC541:AC542"/>
    <mergeCell ref="AD541:AD542"/>
    <mergeCell ref="AE541:AE542"/>
    <mergeCell ref="AF541:AF542"/>
    <mergeCell ref="W541:W542"/>
    <mergeCell ref="X541:X542"/>
    <mergeCell ref="Y541:Y542"/>
    <mergeCell ref="Z541:Z542"/>
    <mergeCell ref="AA541:AA542"/>
    <mergeCell ref="R541:R542"/>
    <mergeCell ref="S541:S542"/>
    <mergeCell ref="T541:T542"/>
    <mergeCell ref="U541:U542"/>
    <mergeCell ref="V541:V542"/>
    <mergeCell ref="M541:M542"/>
    <mergeCell ref="N541:N542"/>
    <mergeCell ref="O541:O542"/>
    <mergeCell ref="P541:P542"/>
    <mergeCell ref="Q541:Q542"/>
    <mergeCell ref="H541:H542"/>
    <mergeCell ref="I541:I542"/>
    <mergeCell ref="J541:J542"/>
    <mergeCell ref="K541:K542"/>
    <mergeCell ref="L541:L542"/>
    <mergeCell ref="A541:A542"/>
    <mergeCell ref="B541:B542"/>
    <mergeCell ref="D541:D542"/>
    <mergeCell ref="H545:H546"/>
    <mergeCell ref="I545:I546"/>
    <mergeCell ref="J545:J546"/>
    <mergeCell ref="K545:K546"/>
    <mergeCell ref="L545:L546"/>
    <mergeCell ref="A545:A546"/>
    <mergeCell ref="B545:B546"/>
    <mergeCell ref="D545:D546"/>
    <mergeCell ref="AJ543:AJ544"/>
    <mergeCell ref="AK543:AK544"/>
    <mergeCell ref="AL543:AL544"/>
    <mergeCell ref="AM543:AM544"/>
    <mergeCell ref="AN543:AN544"/>
    <mergeCell ref="AE543:AE544"/>
    <mergeCell ref="AF543:AF544"/>
    <mergeCell ref="AG543:AG544"/>
    <mergeCell ref="AH543:AH544"/>
    <mergeCell ref="AI543:AI544"/>
    <mergeCell ref="Z543:Z544"/>
    <mergeCell ref="AA543:AA544"/>
    <mergeCell ref="AB543:AB544"/>
    <mergeCell ref="AC543:AC544"/>
    <mergeCell ref="AD543:AD544"/>
    <mergeCell ref="U543:U544"/>
    <mergeCell ref="V543:V544"/>
    <mergeCell ref="W543:W544"/>
    <mergeCell ref="X543:X544"/>
    <mergeCell ref="Y543:Y544"/>
    <mergeCell ref="P543:P544"/>
    <mergeCell ref="Q543:Q544"/>
    <mergeCell ref="R543:R544"/>
    <mergeCell ref="S543:S544"/>
    <mergeCell ref="T543:T544"/>
    <mergeCell ref="AJ547:AJ548"/>
    <mergeCell ref="AK547:AK548"/>
    <mergeCell ref="AL547:AL548"/>
    <mergeCell ref="AM547:AM548"/>
    <mergeCell ref="AN547:AN548"/>
    <mergeCell ref="AE547:AE548"/>
    <mergeCell ref="AF547:AF548"/>
    <mergeCell ref="AG547:AG548"/>
    <mergeCell ref="AH547:AH548"/>
    <mergeCell ref="AI547:AI548"/>
    <mergeCell ref="Z547:Z548"/>
    <mergeCell ref="AA547:AA548"/>
    <mergeCell ref="AB547:AB548"/>
    <mergeCell ref="AC547:AC548"/>
    <mergeCell ref="AD547:AD548"/>
    <mergeCell ref="U547:U548"/>
    <mergeCell ref="V547:V548"/>
    <mergeCell ref="W547:W548"/>
    <mergeCell ref="X547:X548"/>
    <mergeCell ref="Y547:Y548"/>
    <mergeCell ref="P547:P548"/>
    <mergeCell ref="Q547:Q548"/>
    <mergeCell ref="R547:R548"/>
    <mergeCell ref="S547:S548"/>
    <mergeCell ref="T547:T548"/>
    <mergeCell ref="AL545:AL546"/>
    <mergeCell ref="AM545:AM546"/>
    <mergeCell ref="AN545:AN546"/>
    <mergeCell ref="A547:A548"/>
    <mergeCell ref="B547:B548"/>
    <mergeCell ref="D547:D548"/>
    <mergeCell ref="H547:H548"/>
    <mergeCell ref="I547:I548"/>
    <mergeCell ref="J547:J548"/>
    <mergeCell ref="K547:K548"/>
    <mergeCell ref="L547:L548"/>
    <mergeCell ref="M547:M548"/>
    <mergeCell ref="N547:N548"/>
    <mergeCell ref="O547:O548"/>
    <mergeCell ref="AG545:AG546"/>
    <mergeCell ref="AH545:AH546"/>
    <mergeCell ref="AI545:AI546"/>
    <mergeCell ref="AJ545:AJ546"/>
    <mergeCell ref="AK545:AK546"/>
    <mergeCell ref="AB545:AB546"/>
    <mergeCell ref="AC545:AC546"/>
    <mergeCell ref="AD545:AD546"/>
    <mergeCell ref="AE545:AE546"/>
    <mergeCell ref="AF545:AF546"/>
    <mergeCell ref="W545:W546"/>
    <mergeCell ref="X545:X546"/>
    <mergeCell ref="Y545:Y546"/>
    <mergeCell ref="Z545:Z546"/>
    <mergeCell ref="AA545:AA546"/>
    <mergeCell ref="R545:R546"/>
    <mergeCell ref="S545:S546"/>
    <mergeCell ref="T545:T546"/>
    <mergeCell ref="U545:U546"/>
    <mergeCell ref="V545:V546"/>
    <mergeCell ref="M545:M546"/>
    <mergeCell ref="N545:N546"/>
    <mergeCell ref="O545:O546"/>
    <mergeCell ref="P545:P546"/>
    <mergeCell ref="Q545:Q546"/>
    <mergeCell ref="AL549:AL550"/>
    <mergeCell ref="AM549:AM550"/>
    <mergeCell ref="AN549:AN550"/>
    <mergeCell ref="A551:A552"/>
    <mergeCell ref="B551:B552"/>
    <mergeCell ref="D551:D552"/>
    <mergeCell ref="H551:H552"/>
    <mergeCell ref="I551:I552"/>
    <mergeCell ref="J551:J552"/>
    <mergeCell ref="K551:K552"/>
    <mergeCell ref="L551:L552"/>
    <mergeCell ref="M551:M552"/>
    <mergeCell ref="N551:N552"/>
    <mergeCell ref="O551:O552"/>
    <mergeCell ref="AG549:AG550"/>
    <mergeCell ref="AH549:AH550"/>
    <mergeCell ref="AI549:AI550"/>
    <mergeCell ref="AJ549:AJ550"/>
    <mergeCell ref="AK549:AK550"/>
    <mergeCell ref="AB549:AB550"/>
    <mergeCell ref="AC549:AC550"/>
    <mergeCell ref="AD549:AD550"/>
    <mergeCell ref="AE549:AE550"/>
    <mergeCell ref="AF549:AF550"/>
    <mergeCell ref="W549:W550"/>
    <mergeCell ref="X549:X550"/>
    <mergeCell ref="Y549:Y550"/>
    <mergeCell ref="Z549:Z550"/>
    <mergeCell ref="AA549:AA550"/>
    <mergeCell ref="R549:R550"/>
    <mergeCell ref="S549:S550"/>
    <mergeCell ref="T549:T550"/>
    <mergeCell ref="U549:U550"/>
    <mergeCell ref="V549:V550"/>
    <mergeCell ref="M549:M550"/>
    <mergeCell ref="N549:N550"/>
    <mergeCell ref="O549:O550"/>
    <mergeCell ref="P549:P550"/>
    <mergeCell ref="Q549:Q550"/>
    <mergeCell ref="H549:H550"/>
    <mergeCell ref="I549:I550"/>
    <mergeCell ref="J549:J550"/>
    <mergeCell ref="K549:K550"/>
    <mergeCell ref="L549:L550"/>
    <mergeCell ref="A549:A550"/>
    <mergeCell ref="B549:B550"/>
    <mergeCell ref="D549:D550"/>
    <mergeCell ref="H553:H554"/>
    <mergeCell ref="I553:I554"/>
    <mergeCell ref="J553:J554"/>
    <mergeCell ref="K553:K554"/>
    <mergeCell ref="L553:L554"/>
    <mergeCell ref="A553:A554"/>
    <mergeCell ref="B553:B554"/>
    <mergeCell ref="D553:D554"/>
    <mergeCell ref="AJ551:AJ552"/>
    <mergeCell ref="AK551:AK552"/>
    <mergeCell ref="AL551:AL552"/>
    <mergeCell ref="AM551:AM552"/>
    <mergeCell ref="AN551:AN552"/>
    <mergeCell ref="AE551:AE552"/>
    <mergeCell ref="AF551:AF552"/>
    <mergeCell ref="AG551:AG552"/>
    <mergeCell ref="AH551:AH552"/>
    <mergeCell ref="AI551:AI552"/>
    <mergeCell ref="Z551:Z552"/>
    <mergeCell ref="AA551:AA552"/>
    <mergeCell ref="AB551:AB552"/>
    <mergeCell ref="AC551:AC552"/>
    <mergeCell ref="AD551:AD552"/>
    <mergeCell ref="U551:U552"/>
    <mergeCell ref="V551:V552"/>
    <mergeCell ref="W551:W552"/>
    <mergeCell ref="X551:X552"/>
    <mergeCell ref="Y551:Y552"/>
    <mergeCell ref="P551:P552"/>
    <mergeCell ref="Q551:Q552"/>
    <mergeCell ref="R551:R552"/>
    <mergeCell ref="S551:S552"/>
    <mergeCell ref="T551:T552"/>
    <mergeCell ref="AJ555:AJ556"/>
    <mergeCell ref="AK555:AK556"/>
    <mergeCell ref="AL555:AL556"/>
    <mergeCell ref="AM555:AM556"/>
    <mergeCell ref="AN555:AN556"/>
    <mergeCell ref="AE555:AE556"/>
    <mergeCell ref="AF555:AF556"/>
    <mergeCell ref="AG555:AG556"/>
    <mergeCell ref="AH555:AH556"/>
    <mergeCell ref="AI555:AI556"/>
    <mergeCell ref="Z555:Z556"/>
    <mergeCell ref="AA555:AA556"/>
    <mergeCell ref="AB555:AB556"/>
    <mergeCell ref="AC555:AC556"/>
    <mergeCell ref="AD555:AD556"/>
    <mergeCell ref="U555:U556"/>
    <mergeCell ref="V555:V556"/>
    <mergeCell ref="W555:W556"/>
    <mergeCell ref="X555:X556"/>
    <mergeCell ref="Y555:Y556"/>
    <mergeCell ref="P555:P556"/>
    <mergeCell ref="Q555:Q556"/>
    <mergeCell ref="R555:R556"/>
    <mergeCell ref="S555:S556"/>
    <mergeCell ref="T555:T556"/>
    <mergeCell ref="AL553:AL554"/>
    <mergeCell ref="AM553:AM554"/>
    <mergeCell ref="AN553:AN554"/>
    <mergeCell ref="A555:A556"/>
    <mergeCell ref="B555:B556"/>
    <mergeCell ref="D555:D556"/>
    <mergeCell ref="H555:H556"/>
    <mergeCell ref="I555:I556"/>
    <mergeCell ref="J555:J556"/>
    <mergeCell ref="K555:K556"/>
    <mergeCell ref="L555:L556"/>
    <mergeCell ref="M555:M556"/>
    <mergeCell ref="N555:N556"/>
    <mergeCell ref="O555:O556"/>
    <mergeCell ref="AG553:AG554"/>
    <mergeCell ref="AH553:AH554"/>
    <mergeCell ref="AI553:AI554"/>
    <mergeCell ref="AJ553:AJ554"/>
    <mergeCell ref="AK553:AK554"/>
    <mergeCell ref="AB553:AB554"/>
    <mergeCell ref="AC553:AC554"/>
    <mergeCell ref="AD553:AD554"/>
    <mergeCell ref="AE553:AE554"/>
    <mergeCell ref="AF553:AF554"/>
    <mergeCell ref="W553:W554"/>
    <mergeCell ref="X553:X554"/>
    <mergeCell ref="Y553:Y554"/>
    <mergeCell ref="Z553:Z554"/>
    <mergeCell ref="AA553:AA554"/>
    <mergeCell ref="R553:R554"/>
    <mergeCell ref="S553:S554"/>
    <mergeCell ref="T553:T554"/>
    <mergeCell ref="U553:U554"/>
    <mergeCell ref="V553:V554"/>
    <mergeCell ref="M553:M554"/>
    <mergeCell ref="N553:N554"/>
    <mergeCell ref="O553:O554"/>
    <mergeCell ref="P553:P554"/>
    <mergeCell ref="Q553:Q554"/>
    <mergeCell ref="AL557:AL558"/>
    <mergeCell ref="AM557:AM558"/>
    <mergeCell ref="AN557:AN558"/>
    <mergeCell ref="A559:A560"/>
    <mergeCell ref="B559:B560"/>
    <mergeCell ref="D559:D560"/>
    <mergeCell ref="H559:H560"/>
    <mergeCell ref="I559:I560"/>
    <mergeCell ref="J559:J560"/>
    <mergeCell ref="K559:K560"/>
    <mergeCell ref="L559:L560"/>
    <mergeCell ref="M559:M560"/>
    <mergeCell ref="N559:N560"/>
    <mergeCell ref="O559:O560"/>
    <mergeCell ref="AG557:AG558"/>
    <mergeCell ref="AH557:AH558"/>
    <mergeCell ref="AI557:AI558"/>
    <mergeCell ref="AJ557:AJ558"/>
    <mergeCell ref="AK557:AK558"/>
    <mergeCell ref="AB557:AB558"/>
    <mergeCell ref="AC557:AC558"/>
    <mergeCell ref="AD557:AD558"/>
    <mergeCell ref="AE557:AE558"/>
    <mergeCell ref="AF557:AF558"/>
    <mergeCell ref="W557:W558"/>
    <mergeCell ref="X557:X558"/>
    <mergeCell ref="Y557:Y558"/>
    <mergeCell ref="Z557:Z558"/>
    <mergeCell ref="AA557:AA558"/>
    <mergeCell ref="R557:R558"/>
    <mergeCell ref="S557:S558"/>
    <mergeCell ref="T557:T558"/>
    <mergeCell ref="U557:U558"/>
    <mergeCell ref="V557:V558"/>
    <mergeCell ref="M557:M558"/>
    <mergeCell ref="N557:N558"/>
    <mergeCell ref="O557:O558"/>
    <mergeCell ref="P557:P558"/>
    <mergeCell ref="Q557:Q558"/>
    <mergeCell ref="H557:H558"/>
    <mergeCell ref="I557:I558"/>
    <mergeCell ref="J557:J558"/>
    <mergeCell ref="K557:K558"/>
    <mergeCell ref="L557:L558"/>
    <mergeCell ref="A557:A558"/>
    <mergeCell ref="B557:B558"/>
    <mergeCell ref="D557:D558"/>
    <mergeCell ref="H561:H562"/>
    <mergeCell ref="I561:I562"/>
    <mergeCell ref="J561:J562"/>
    <mergeCell ref="K561:K562"/>
    <mergeCell ref="L561:L562"/>
    <mergeCell ref="A561:A562"/>
    <mergeCell ref="B561:B562"/>
    <mergeCell ref="D561:D562"/>
    <mergeCell ref="AJ559:AJ560"/>
    <mergeCell ref="AK559:AK560"/>
    <mergeCell ref="AL559:AL560"/>
    <mergeCell ref="AM559:AM560"/>
    <mergeCell ref="AN559:AN560"/>
    <mergeCell ref="AE559:AE560"/>
    <mergeCell ref="AF559:AF560"/>
    <mergeCell ref="AG559:AG560"/>
    <mergeCell ref="AH559:AH560"/>
    <mergeCell ref="AI559:AI560"/>
    <mergeCell ref="Z559:Z560"/>
    <mergeCell ref="AA559:AA560"/>
    <mergeCell ref="AB559:AB560"/>
    <mergeCell ref="AC559:AC560"/>
    <mergeCell ref="AD559:AD560"/>
    <mergeCell ref="U559:U560"/>
    <mergeCell ref="V559:V560"/>
    <mergeCell ref="W559:W560"/>
    <mergeCell ref="X559:X560"/>
    <mergeCell ref="Y559:Y560"/>
    <mergeCell ref="P559:P560"/>
    <mergeCell ref="Q559:Q560"/>
    <mergeCell ref="R559:R560"/>
    <mergeCell ref="S559:S560"/>
    <mergeCell ref="T559:T560"/>
    <mergeCell ref="AJ563:AJ564"/>
    <mergeCell ref="AK563:AK564"/>
    <mergeCell ref="AL563:AL564"/>
    <mergeCell ref="AM563:AM564"/>
    <mergeCell ref="AN563:AN564"/>
    <mergeCell ref="AE563:AE564"/>
    <mergeCell ref="AF563:AF564"/>
    <mergeCell ref="AG563:AG564"/>
    <mergeCell ref="AH563:AH564"/>
    <mergeCell ref="AI563:AI564"/>
    <mergeCell ref="Z563:Z564"/>
    <mergeCell ref="AA563:AA564"/>
    <mergeCell ref="AB563:AB564"/>
    <mergeCell ref="AC563:AC564"/>
    <mergeCell ref="AD563:AD564"/>
    <mergeCell ref="U563:U564"/>
    <mergeCell ref="V563:V564"/>
    <mergeCell ref="W563:W564"/>
    <mergeCell ref="X563:X564"/>
    <mergeCell ref="Y563:Y564"/>
    <mergeCell ref="P563:P564"/>
    <mergeCell ref="Q563:Q564"/>
    <mergeCell ref="R563:R564"/>
    <mergeCell ref="S563:S564"/>
    <mergeCell ref="T563:T564"/>
    <mergeCell ref="AL561:AL562"/>
    <mergeCell ref="AM561:AM562"/>
    <mergeCell ref="AN561:AN562"/>
    <mergeCell ref="A563:A564"/>
    <mergeCell ref="B563:B564"/>
    <mergeCell ref="D563:D564"/>
    <mergeCell ref="H563:H564"/>
    <mergeCell ref="I563:I564"/>
    <mergeCell ref="J563:J564"/>
    <mergeCell ref="K563:K564"/>
    <mergeCell ref="L563:L564"/>
    <mergeCell ref="M563:M564"/>
    <mergeCell ref="N563:N564"/>
    <mergeCell ref="O563:O564"/>
    <mergeCell ref="AG561:AG562"/>
    <mergeCell ref="AH561:AH562"/>
    <mergeCell ref="AI561:AI562"/>
    <mergeCell ref="AJ561:AJ562"/>
    <mergeCell ref="AK561:AK562"/>
    <mergeCell ref="AB561:AB562"/>
    <mergeCell ref="AC561:AC562"/>
    <mergeCell ref="AD561:AD562"/>
    <mergeCell ref="AE561:AE562"/>
    <mergeCell ref="AF561:AF562"/>
    <mergeCell ref="W561:W562"/>
    <mergeCell ref="X561:X562"/>
    <mergeCell ref="Y561:Y562"/>
    <mergeCell ref="Z561:Z562"/>
    <mergeCell ref="AA561:AA562"/>
    <mergeCell ref="R561:R562"/>
    <mergeCell ref="S561:S562"/>
    <mergeCell ref="T561:T562"/>
    <mergeCell ref="U561:U562"/>
    <mergeCell ref="V561:V562"/>
    <mergeCell ref="M561:M562"/>
    <mergeCell ref="N561:N562"/>
    <mergeCell ref="O561:O562"/>
    <mergeCell ref="P561:P562"/>
    <mergeCell ref="Q561:Q562"/>
    <mergeCell ref="AL565:AL566"/>
    <mergeCell ref="AM565:AM566"/>
    <mergeCell ref="AN565:AN566"/>
    <mergeCell ref="A567:A568"/>
    <mergeCell ref="B567:B568"/>
    <mergeCell ref="D567:D568"/>
    <mergeCell ref="H567:H568"/>
    <mergeCell ref="I567:I568"/>
    <mergeCell ref="J567:J568"/>
    <mergeCell ref="K567:K568"/>
    <mergeCell ref="L567:L568"/>
    <mergeCell ref="M567:M568"/>
    <mergeCell ref="N567:N568"/>
    <mergeCell ref="O567:O568"/>
    <mergeCell ref="AG565:AG566"/>
    <mergeCell ref="AH565:AH566"/>
    <mergeCell ref="AI565:AI566"/>
    <mergeCell ref="AJ565:AJ566"/>
    <mergeCell ref="AK565:AK566"/>
    <mergeCell ref="AB565:AB566"/>
    <mergeCell ref="AC565:AC566"/>
    <mergeCell ref="AD565:AD566"/>
    <mergeCell ref="AE565:AE566"/>
    <mergeCell ref="AF565:AF566"/>
    <mergeCell ref="W565:W566"/>
    <mergeCell ref="X565:X566"/>
    <mergeCell ref="Y565:Y566"/>
    <mergeCell ref="Z565:Z566"/>
    <mergeCell ref="AA565:AA566"/>
    <mergeCell ref="R565:R566"/>
    <mergeCell ref="S565:S566"/>
    <mergeCell ref="T565:T566"/>
    <mergeCell ref="U565:U566"/>
    <mergeCell ref="V565:V566"/>
    <mergeCell ref="M565:M566"/>
    <mergeCell ref="N565:N566"/>
    <mergeCell ref="O565:O566"/>
    <mergeCell ref="P565:P566"/>
    <mergeCell ref="Q565:Q566"/>
    <mergeCell ref="H565:H566"/>
    <mergeCell ref="I565:I566"/>
    <mergeCell ref="J565:J566"/>
    <mergeCell ref="K565:K566"/>
    <mergeCell ref="L565:L566"/>
    <mergeCell ref="A565:A566"/>
    <mergeCell ref="B565:B566"/>
    <mergeCell ref="D565:D566"/>
    <mergeCell ref="H569:H570"/>
    <mergeCell ref="I569:I570"/>
    <mergeCell ref="J569:J570"/>
    <mergeCell ref="K569:K570"/>
    <mergeCell ref="L569:L570"/>
    <mergeCell ref="A569:A570"/>
    <mergeCell ref="B569:B570"/>
    <mergeCell ref="D569:D570"/>
    <mergeCell ref="AJ567:AJ568"/>
    <mergeCell ref="AK567:AK568"/>
    <mergeCell ref="AL567:AL568"/>
    <mergeCell ref="AM567:AM568"/>
    <mergeCell ref="AN567:AN568"/>
    <mergeCell ref="AE567:AE568"/>
    <mergeCell ref="AF567:AF568"/>
    <mergeCell ref="AG567:AG568"/>
    <mergeCell ref="AH567:AH568"/>
    <mergeCell ref="AI567:AI568"/>
    <mergeCell ref="Z567:Z568"/>
    <mergeCell ref="AA567:AA568"/>
    <mergeCell ref="AB567:AB568"/>
    <mergeCell ref="AC567:AC568"/>
    <mergeCell ref="AD567:AD568"/>
    <mergeCell ref="U567:U568"/>
    <mergeCell ref="V567:V568"/>
    <mergeCell ref="W567:W568"/>
    <mergeCell ref="X567:X568"/>
    <mergeCell ref="Y567:Y568"/>
    <mergeCell ref="P567:P568"/>
    <mergeCell ref="Q567:Q568"/>
    <mergeCell ref="R567:R568"/>
    <mergeCell ref="S567:S568"/>
    <mergeCell ref="T567:T568"/>
    <mergeCell ref="AJ571:AJ572"/>
    <mergeCell ref="AK571:AK572"/>
    <mergeCell ref="AL571:AL572"/>
    <mergeCell ref="AM571:AM572"/>
    <mergeCell ref="AN571:AN572"/>
    <mergeCell ref="AE571:AE572"/>
    <mergeCell ref="AF571:AF572"/>
    <mergeCell ref="AG571:AG572"/>
    <mergeCell ref="AH571:AH572"/>
    <mergeCell ref="AI571:AI572"/>
    <mergeCell ref="Z571:Z572"/>
    <mergeCell ref="AA571:AA572"/>
    <mergeCell ref="AB571:AB572"/>
    <mergeCell ref="AC571:AC572"/>
    <mergeCell ref="AD571:AD572"/>
    <mergeCell ref="U571:U572"/>
    <mergeCell ref="V571:V572"/>
    <mergeCell ref="W571:W572"/>
    <mergeCell ref="X571:X572"/>
    <mergeCell ref="Y571:Y572"/>
    <mergeCell ref="P571:P572"/>
    <mergeCell ref="Q571:Q572"/>
    <mergeCell ref="R571:R572"/>
    <mergeCell ref="S571:S572"/>
    <mergeCell ref="T571:T572"/>
    <mergeCell ref="AL569:AL570"/>
    <mergeCell ref="AM569:AM570"/>
    <mergeCell ref="AN569:AN570"/>
    <mergeCell ref="A571:A572"/>
    <mergeCell ref="B571:B572"/>
    <mergeCell ref="D571:D572"/>
    <mergeCell ref="H571:H572"/>
    <mergeCell ref="I571:I572"/>
    <mergeCell ref="J571:J572"/>
    <mergeCell ref="K571:K572"/>
    <mergeCell ref="L571:L572"/>
    <mergeCell ref="M571:M572"/>
    <mergeCell ref="N571:N572"/>
    <mergeCell ref="O571:O572"/>
    <mergeCell ref="AG569:AG570"/>
    <mergeCell ref="AH569:AH570"/>
    <mergeCell ref="AI569:AI570"/>
    <mergeCell ref="AJ569:AJ570"/>
    <mergeCell ref="AK569:AK570"/>
    <mergeCell ref="AB569:AB570"/>
    <mergeCell ref="AC569:AC570"/>
    <mergeCell ref="AD569:AD570"/>
    <mergeCell ref="AE569:AE570"/>
    <mergeCell ref="AF569:AF570"/>
    <mergeCell ref="W569:W570"/>
    <mergeCell ref="X569:X570"/>
    <mergeCell ref="Y569:Y570"/>
    <mergeCell ref="Z569:Z570"/>
    <mergeCell ref="AA569:AA570"/>
    <mergeCell ref="R569:R570"/>
    <mergeCell ref="S569:S570"/>
    <mergeCell ref="T569:T570"/>
    <mergeCell ref="U569:U570"/>
    <mergeCell ref="V569:V570"/>
    <mergeCell ref="M569:M570"/>
    <mergeCell ref="N569:N570"/>
    <mergeCell ref="O569:O570"/>
    <mergeCell ref="P569:P570"/>
    <mergeCell ref="Q569:Q570"/>
    <mergeCell ref="AL573:AL574"/>
    <mergeCell ref="AM573:AM574"/>
    <mergeCell ref="AN573:AN574"/>
    <mergeCell ref="A575:A576"/>
    <mergeCell ref="B575:B576"/>
    <mergeCell ref="D575:D576"/>
    <mergeCell ref="H575:H576"/>
    <mergeCell ref="I575:I576"/>
    <mergeCell ref="J575:J576"/>
    <mergeCell ref="K575:K576"/>
    <mergeCell ref="L575:L576"/>
    <mergeCell ref="M575:M576"/>
    <mergeCell ref="N575:N576"/>
    <mergeCell ref="O575:O576"/>
    <mergeCell ref="AG573:AG574"/>
    <mergeCell ref="AH573:AH574"/>
    <mergeCell ref="AI573:AI574"/>
    <mergeCell ref="AJ573:AJ574"/>
    <mergeCell ref="AK573:AK574"/>
    <mergeCell ref="AB573:AB574"/>
    <mergeCell ref="AC573:AC574"/>
    <mergeCell ref="AD573:AD574"/>
    <mergeCell ref="AE573:AE574"/>
    <mergeCell ref="AF573:AF574"/>
    <mergeCell ref="W573:W574"/>
    <mergeCell ref="X573:X574"/>
    <mergeCell ref="Y573:Y574"/>
    <mergeCell ref="Z573:Z574"/>
    <mergeCell ref="AA573:AA574"/>
    <mergeCell ref="R573:R574"/>
    <mergeCell ref="S573:S574"/>
    <mergeCell ref="T573:T574"/>
    <mergeCell ref="U573:U574"/>
    <mergeCell ref="V573:V574"/>
    <mergeCell ref="M573:M574"/>
    <mergeCell ref="N573:N574"/>
    <mergeCell ref="O573:O574"/>
    <mergeCell ref="P573:P574"/>
    <mergeCell ref="Q573:Q574"/>
    <mergeCell ref="H573:H574"/>
    <mergeCell ref="I573:I574"/>
    <mergeCell ref="J573:J574"/>
    <mergeCell ref="K573:K574"/>
    <mergeCell ref="L573:L574"/>
    <mergeCell ref="A573:A574"/>
    <mergeCell ref="B573:B574"/>
    <mergeCell ref="D573:D574"/>
    <mergeCell ref="H577:H578"/>
    <mergeCell ref="I577:I578"/>
    <mergeCell ref="J577:J578"/>
    <mergeCell ref="K577:K578"/>
    <mergeCell ref="L577:L578"/>
    <mergeCell ref="A577:A578"/>
    <mergeCell ref="B577:B578"/>
    <mergeCell ref="D577:D578"/>
    <mergeCell ref="AJ575:AJ576"/>
    <mergeCell ref="AK575:AK576"/>
    <mergeCell ref="AL575:AL576"/>
    <mergeCell ref="AM575:AM576"/>
    <mergeCell ref="AN575:AN576"/>
    <mergeCell ref="AE575:AE576"/>
    <mergeCell ref="AF575:AF576"/>
    <mergeCell ref="AG575:AG576"/>
    <mergeCell ref="AH575:AH576"/>
    <mergeCell ref="AI575:AI576"/>
    <mergeCell ref="Z575:Z576"/>
    <mergeCell ref="AA575:AA576"/>
    <mergeCell ref="AB575:AB576"/>
    <mergeCell ref="AC575:AC576"/>
    <mergeCell ref="AD575:AD576"/>
    <mergeCell ref="U575:U576"/>
    <mergeCell ref="V575:V576"/>
    <mergeCell ref="W575:W576"/>
    <mergeCell ref="X575:X576"/>
    <mergeCell ref="Y575:Y576"/>
    <mergeCell ref="P575:P576"/>
    <mergeCell ref="Q575:Q576"/>
    <mergeCell ref="R575:R576"/>
    <mergeCell ref="S575:S576"/>
    <mergeCell ref="T575:T576"/>
    <mergeCell ref="AJ579:AJ580"/>
    <mergeCell ref="AK579:AK580"/>
    <mergeCell ref="AL579:AL580"/>
    <mergeCell ref="AM579:AM580"/>
    <mergeCell ref="AN579:AN580"/>
    <mergeCell ref="AE579:AE580"/>
    <mergeCell ref="AF579:AF580"/>
    <mergeCell ref="AG579:AG580"/>
    <mergeCell ref="AH579:AH580"/>
    <mergeCell ref="AI579:AI580"/>
    <mergeCell ref="Z579:Z580"/>
    <mergeCell ref="AA579:AA580"/>
    <mergeCell ref="AB579:AB580"/>
    <mergeCell ref="AC579:AC580"/>
    <mergeCell ref="AD579:AD580"/>
    <mergeCell ref="U579:U580"/>
    <mergeCell ref="V579:V580"/>
    <mergeCell ref="W579:W580"/>
    <mergeCell ref="X579:X580"/>
    <mergeCell ref="Y579:Y580"/>
    <mergeCell ref="P579:P580"/>
    <mergeCell ref="Q579:Q580"/>
    <mergeCell ref="R579:R580"/>
    <mergeCell ref="S579:S580"/>
    <mergeCell ref="T579:T580"/>
    <mergeCell ref="AL577:AL578"/>
    <mergeCell ref="AM577:AM578"/>
    <mergeCell ref="AN577:AN578"/>
    <mergeCell ref="A579:A580"/>
    <mergeCell ref="B579:B580"/>
    <mergeCell ref="D579:D580"/>
    <mergeCell ref="H579:H580"/>
    <mergeCell ref="I579:I580"/>
    <mergeCell ref="J579:J580"/>
    <mergeCell ref="K579:K580"/>
    <mergeCell ref="L579:L580"/>
    <mergeCell ref="M579:M580"/>
    <mergeCell ref="N579:N580"/>
    <mergeCell ref="O579:O580"/>
    <mergeCell ref="AG577:AG578"/>
    <mergeCell ref="AH577:AH578"/>
    <mergeCell ref="AI577:AI578"/>
    <mergeCell ref="AJ577:AJ578"/>
    <mergeCell ref="AK577:AK578"/>
    <mergeCell ref="AB577:AB578"/>
    <mergeCell ref="AC577:AC578"/>
    <mergeCell ref="AD577:AD578"/>
    <mergeCell ref="AE577:AE578"/>
    <mergeCell ref="AF577:AF578"/>
    <mergeCell ref="W577:W578"/>
    <mergeCell ref="X577:X578"/>
    <mergeCell ref="Y577:Y578"/>
    <mergeCell ref="Z577:Z578"/>
    <mergeCell ref="AA577:AA578"/>
    <mergeCell ref="R577:R578"/>
    <mergeCell ref="S577:S578"/>
    <mergeCell ref="T577:T578"/>
    <mergeCell ref="U577:U578"/>
    <mergeCell ref="V577:V578"/>
    <mergeCell ref="M577:M578"/>
    <mergeCell ref="N577:N578"/>
    <mergeCell ref="O577:O578"/>
    <mergeCell ref="P577:P578"/>
    <mergeCell ref="Q577:Q578"/>
    <mergeCell ref="AL581:AL582"/>
    <mergeCell ref="AM581:AM582"/>
    <mergeCell ref="AN581:AN582"/>
    <mergeCell ref="A583:A584"/>
    <mergeCell ref="B583:B584"/>
    <mergeCell ref="D583:D584"/>
    <mergeCell ref="H583:H584"/>
    <mergeCell ref="I583:I584"/>
    <mergeCell ref="J583:J584"/>
    <mergeCell ref="K583:K584"/>
    <mergeCell ref="L583:L584"/>
    <mergeCell ref="M583:M584"/>
    <mergeCell ref="N583:N584"/>
    <mergeCell ref="O583:O584"/>
    <mergeCell ref="AG581:AG582"/>
    <mergeCell ref="AH581:AH582"/>
    <mergeCell ref="AI581:AI582"/>
    <mergeCell ref="AJ581:AJ582"/>
    <mergeCell ref="AK581:AK582"/>
    <mergeCell ref="AB581:AB582"/>
    <mergeCell ref="AC581:AC582"/>
    <mergeCell ref="AD581:AD582"/>
    <mergeCell ref="AE581:AE582"/>
    <mergeCell ref="AF581:AF582"/>
    <mergeCell ref="W581:W582"/>
    <mergeCell ref="X581:X582"/>
    <mergeCell ref="Y581:Y582"/>
    <mergeCell ref="Z581:Z582"/>
    <mergeCell ref="AA581:AA582"/>
    <mergeCell ref="R581:R582"/>
    <mergeCell ref="S581:S582"/>
    <mergeCell ref="T581:T582"/>
    <mergeCell ref="U581:U582"/>
    <mergeCell ref="V581:V582"/>
    <mergeCell ref="M581:M582"/>
    <mergeCell ref="N581:N582"/>
    <mergeCell ref="O581:O582"/>
    <mergeCell ref="P581:P582"/>
    <mergeCell ref="Q581:Q582"/>
    <mergeCell ref="H581:H582"/>
    <mergeCell ref="I581:I582"/>
    <mergeCell ref="J581:J582"/>
    <mergeCell ref="K581:K582"/>
    <mergeCell ref="L581:L582"/>
    <mergeCell ref="A581:A582"/>
    <mergeCell ref="B581:B582"/>
    <mergeCell ref="D581:D582"/>
    <mergeCell ref="H585:H586"/>
    <mergeCell ref="I585:I586"/>
    <mergeCell ref="J585:J586"/>
    <mergeCell ref="K585:K586"/>
    <mergeCell ref="L585:L586"/>
    <mergeCell ref="A585:A586"/>
    <mergeCell ref="B585:B586"/>
    <mergeCell ref="D585:D586"/>
    <mergeCell ref="AJ583:AJ584"/>
    <mergeCell ref="AK583:AK584"/>
    <mergeCell ref="AL583:AL584"/>
    <mergeCell ref="AM583:AM584"/>
    <mergeCell ref="AN583:AN584"/>
    <mergeCell ref="AE583:AE584"/>
    <mergeCell ref="AF583:AF584"/>
    <mergeCell ref="AG583:AG584"/>
    <mergeCell ref="AH583:AH584"/>
    <mergeCell ref="AI583:AI584"/>
    <mergeCell ref="Z583:Z584"/>
    <mergeCell ref="AA583:AA584"/>
    <mergeCell ref="AB583:AB584"/>
    <mergeCell ref="AC583:AC584"/>
    <mergeCell ref="AD583:AD584"/>
    <mergeCell ref="U583:U584"/>
    <mergeCell ref="V583:V584"/>
    <mergeCell ref="W583:W584"/>
    <mergeCell ref="X583:X584"/>
    <mergeCell ref="Y583:Y584"/>
    <mergeCell ref="P583:P584"/>
    <mergeCell ref="Q583:Q584"/>
    <mergeCell ref="R583:R584"/>
    <mergeCell ref="S583:S584"/>
    <mergeCell ref="T583:T584"/>
    <mergeCell ref="AJ587:AJ588"/>
    <mergeCell ref="AK587:AK588"/>
    <mergeCell ref="AL587:AL588"/>
    <mergeCell ref="AM587:AM588"/>
    <mergeCell ref="AN587:AN588"/>
    <mergeCell ref="AE587:AE588"/>
    <mergeCell ref="AF587:AF588"/>
    <mergeCell ref="AG587:AG588"/>
    <mergeCell ref="AH587:AH588"/>
    <mergeCell ref="AI587:AI588"/>
    <mergeCell ref="Z587:Z588"/>
    <mergeCell ref="AA587:AA588"/>
    <mergeCell ref="AB587:AB588"/>
    <mergeCell ref="AC587:AC588"/>
    <mergeCell ref="AD587:AD588"/>
    <mergeCell ref="U587:U588"/>
    <mergeCell ref="V587:V588"/>
    <mergeCell ref="W587:W588"/>
    <mergeCell ref="X587:X588"/>
    <mergeCell ref="Y587:Y588"/>
    <mergeCell ref="P587:P588"/>
    <mergeCell ref="Q587:Q588"/>
    <mergeCell ref="R587:R588"/>
    <mergeCell ref="S587:S588"/>
    <mergeCell ref="T587:T588"/>
    <mergeCell ref="AL585:AL586"/>
    <mergeCell ref="AM585:AM586"/>
    <mergeCell ref="AN585:AN586"/>
    <mergeCell ref="A587:A588"/>
    <mergeCell ref="B587:B588"/>
    <mergeCell ref="D587:D588"/>
    <mergeCell ref="H587:H588"/>
    <mergeCell ref="I587:I588"/>
    <mergeCell ref="J587:J588"/>
    <mergeCell ref="K587:K588"/>
    <mergeCell ref="L587:L588"/>
    <mergeCell ref="M587:M588"/>
    <mergeCell ref="N587:N588"/>
    <mergeCell ref="O587:O588"/>
    <mergeCell ref="AG585:AG586"/>
    <mergeCell ref="AH585:AH586"/>
    <mergeCell ref="AI585:AI586"/>
    <mergeCell ref="AJ585:AJ586"/>
    <mergeCell ref="AK585:AK586"/>
    <mergeCell ref="AB585:AB586"/>
    <mergeCell ref="AC585:AC586"/>
    <mergeCell ref="AD585:AD586"/>
    <mergeCell ref="AE585:AE586"/>
    <mergeCell ref="AF585:AF586"/>
    <mergeCell ref="W585:W586"/>
    <mergeCell ref="X585:X586"/>
    <mergeCell ref="Y585:Y586"/>
    <mergeCell ref="Z585:Z586"/>
    <mergeCell ref="AA585:AA586"/>
    <mergeCell ref="R585:R586"/>
    <mergeCell ref="S585:S586"/>
    <mergeCell ref="T585:T586"/>
    <mergeCell ref="U585:U586"/>
    <mergeCell ref="V585:V586"/>
    <mergeCell ref="M585:M586"/>
    <mergeCell ref="N585:N586"/>
    <mergeCell ref="O585:O586"/>
    <mergeCell ref="P585:P586"/>
    <mergeCell ref="Q585:Q586"/>
    <mergeCell ref="AL589:AL590"/>
    <mergeCell ref="AM589:AM590"/>
    <mergeCell ref="AN589:AN590"/>
    <mergeCell ref="A591:A592"/>
    <mergeCell ref="B591:B592"/>
    <mergeCell ref="D591:D592"/>
    <mergeCell ref="H591:H592"/>
    <mergeCell ref="I591:I592"/>
    <mergeCell ref="J591:J592"/>
    <mergeCell ref="K591:K592"/>
    <mergeCell ref="L591:L592"/>
    <mergeCell ref="M591:M592"/>
    <mergeCell ref="N591:N592"/>
    <mergeCell ref="O591:O592"/>
    <mergeCell ref="AG589:AG590"/>
    <mergeCell ref="AH589:AH590"/>
    <mergeCell ref="AI589:AI590"/>
    <mergeCell ref="AJ589:AJ590"/>
    <mergeCell ref="AK589:AK590"/>
    <mergeCell ref="AB589:AB590"/>
    <mergeCell ref="AC589:AC590"/>
    <mergeCell ref="AD589:AD590"/>
    <mergeCell ref="AE589:AE590"/>
    <mergeCell ref="AF589:AF590"/>
    <mergeCell ref="W589:W590"/>
    <mergeCell ref="X589:X590"/>
    <mergeCell ref="Y589:Y590"/>
    <mergeCell ref="Z589:Z590"/>
    <mergeCell ref="AA589:AA590"/>
    <mergeCell ref="R589:R590"/>
    <mergeCell ref="S589:S590"/>
    <mergeCell ref="T589:T590"/>
    <mergeCell ref="U589:U590"/>
    <mergeCell ref="V589:V590"/>
    <mergeCell ref="M589:M590"/>
    <mergeCell ref="N589:N590"/>
    <mergeCell ref="O589:O590"/>
    <mergeCell ref="P589:P590"/>
    <mergeCell ref="Q589:Q590"/>
    <mergeCell ref="H589:H590"/>
    <mergeCell ref="I589:I590"/>
    <mergeCell ref="J589:J590"/>
    <mergeCell ref="K589:K590"/>
    <mergeCell ref="L589:L590"/>
    <mergeCell ref="A589:A590"/>
    <mergeCell ref="B589:B590"/>
    <mergeCell ref="D589:D590"/>
    <mergeCell ref="H593:H594"/>
    <mergeCell ref="I593:I594"/>
    <mergeCell ref="J593:J594"/>
    <mergeCell ref="K593:K594"/>
    <mergeCell ref="L593:L594"/>
    <mergeCell ref="A593:A594"/>
    <mergeCell ref="B593:B594"/>
    <mergeCell ref="D593:D594"/>
    <mergeCell ref="AJ591:AJ592"/>
    <mergeCell ref="AK591:AK592"/>
    <mergeCell ref="AL591:AL592"/>
    <mergeCell ref="AM591:AM592"/>
    <mergeCell ref="AN591:AN592"/>
    <mergeCell ref="AE591:AE592"/>
    <mergeCell ref="AF591:AF592"/>
    <mergeCell ref="AG591:AG592"/>
    <mergeCell ref="AH591:AH592"/>
    <mergeCell ref="AI591:AI592"/>
    <mergeCell ref="Z591:Z592"/>
    <mergeCell ref="AA591:AA592"/>
    <mergeCell ref="AB591:AB592"/>
    <mergeCell ref="AC591:AC592"/>
    <mergeCell ref="AD591:AD592"/>
    <mergeCell ref="U591:U592"/>
    <mergeCell ref="V591:V592"/>
    <mergeCell ref="W591:W592"/>
    <mergeCell ref="X591:X592"/>
    <mergeCell ref="Y591:Y592"/>
    <mergeCell ref="P591:P592"/>
    <mergeCell ref="Q591:Q592"/>
    <mergeCell ref="R591:R592"/>
    <mergeCell ref="S591:S592"/>
    <mergeCell ref="T591:T592"/>
    <mergeCell ref="AJ595:AJ596"/>
    <mergeCell ref="AK595:AK596"/>
    <mergeCell ref="AL595:AL596"/>
    <mergeCell ref="AM595:AM596"/>
    <mergeCell ref="AN595:AN596"/>
    <mergeCell ref="AE595:AE596"/>
    <mergeCell ref="AF595:AF596"/>
    <mergeCell ref="AG595:AG596"/>
    <mergeCell ref="AH595:AH596"/>
    <mergeCell ref="AI595:AI596"/>
    <mergeCell ref="Z595:Z596"/>
    <mergeCell ref="AA595:AA596"/>
    <mergeCell ref="AB595:AB596"/>
    <mergeCell ref="AC595:AC596"/>
    <mergeCell ref="AD595:AD596"/>
    <mergeCell ref="U595:U596"/>
    <mergeCell ref="V595:V596"/>
    <mergeCell ref="W595:W596"/>
    <mergeCell ref="X595:X596"/>
    <mergeCell ref="Y595:Y596"/>
    <mergeCell ref="P595:P596"/>
    <mergeCell ref="Q595:Q596"/>
    <mergeCell ref="R595:R596"/>
    <mergeCell ref="S595:S596"/>
    <mergeCell ref="T595:T596"/>
    <mergeCell ref="AL593:AL594"/>
    <mergeCell ref="AM593:AM594"/>
    <mergeCell ref="AN593:AN594"/>
    <mergeCell ref="A595:A596"/>
    <mergeCell ref="B595:B596"/>
    <mergeCell ref="D595:D596"/>
    <mergeCell ref="H595:H596"/>
    <mergeCell ref="I595:I596"/>
    <mergeCell ref="J595:J596"/>
    <mergeCell ref="K595:K596"/>
    <mergeCell ref="L595:L596"/>
    <mergeCell ref="M595:M596"/>
    <mergeCell ref="N595:N596"/>
    <mergeCell ref="O595:O596"/>
    <mergeCell ref="AG593:AG594"/>
    <mergeCell ref="AH593:AH594"/>
    <mergeCell ref="AI593:AI594"/>
    <mergeCell ref="AJ593:AJ594"/>
    <mergeCell ref="AK593:AK594"/>
    <mergeCell ref="AB593:AB594"/>
    <mergeCell ref="AC593:AC594"/>
    <mergeCell ref="AD593:AD594"/>
    <mergeCell ref="AE593:AE594"/>
    <mergeCell ref="AF593:AF594"/>
    <mergeCell ref="W593:W594"/>
    <mergeCell ref="X593:X594"/>
    <mergeCell ref="Y593:Y594"/>
    <mergeCell ref="Z593:Z594"/>
    <mergeCell ref="AA593:AA594"/>
    <mergeCell ref="R593:R594"/>
    <mergeCell ref="S593:S594"/>
    <mergeCell ref="T593:T594"/>
    <mergeCell ref="U593:U594"/>
    <mergeCell ref="V593:V594"/>
    <mergeCell ref="M593:M594"/>
    <mergeCell ref="N593:N594"/>
    <mergeCell ref="O593:O594"/>
    <mergeCell ref="P593:P594"/>
    <mergeCell ref="Q593:Q594"/>
    <mergeCell ref="AL597:AL598"/>
    <mergeCell ref="AM597:AM598"/>
    <mergeCell ref="AN597:AN598"/>
    <mergeCell ref="A599:A600"/>
    <mergeCell ref="B599:B600"/>
    <mergeCell ref="D599:D600"/>
    <mergeCell ref="H599:H600"/>
    <mergeCell ref="I599:I600"/>
    <mergeCell ref="J599:J600"/>
    <mergeCell ref="K599:K600"/>
    <mergeCell ref="L599:L600"/>
    <mergeCell ref="M599:M600"/>
    <mergeCell ref="N599:N600"/>
    <mergeCell ref="O599:O600"/>
    <mergeCell ref="AG597:AG598"/>
    <mergeCell ref="AH597:AH598"/>
    <mergeCell ref="AI597:AI598"/>
    <mergeCell ref="AJ597:AJ598"/>
    <mergeCell ref="AK597:AK598"/>
    <mergeCell ref="AB597:AB598"/>
    <mergeCell ref="AC597:AC598"/>
    <mergeCell ref="AD597:AD598"/>
    <mergeCell ref="AE597:AE598"/>
    <mergeCell ref="AF597:AF598"/>
    <mergeCell ref="W597:W598"/>
    <mergeCell ref="X597:X598"/>
    <mergeCell ref="Y597:Y598"/>
    <mergeCell ref="Z597:Z598"/>
    <mergeCell ref="AA597:AA598"/>
    <mergeCell ref="R597:R598"/>
    <mergeCell ref="S597:S598"/>
    <mergeCell ref="T597:T598"/>
    <mergeCell ref="U597:U598"/>
    <mergeCell ref="V597:V598"/>
    <mergeCell ref="M597:M598"/>
    <mergeCell ref="N597:N598"/>
    <mergeCell ref="O597:O598"/>
    <mergeCell ref="P597:P598"/>
    <mergeCell ref="Q597:Q598"/>
    <mergeCell ref="H597:H598"/>
    <mergeCell ref="I597:I598"/>
    <mergeCell ref="J597:J598"/>
    <mergeCell ref="K597:K598"/>
    <mergeCell ref="L597:L598"/>
    <mergeCell ref="A597:A598"/>
    <mergeCell ref="B597:B598"/>
    <mergeCell ref="D597:D598"/>
    <mergeCell ref="H601:H602"/>
    <mergeCell ref="I601:I602"/>
    <mergeCell ref="J601:J602"/>
    <mergeCell ref="K601:K602"/>
    <mergeCell ref="L601:L602"/>
    <mergeCell ref="A601:A602"/>
    <mergeCell ref="B601:B602"/>
    <mergeCell ref="D601:D602"/>
    <mergeCell ref="AJ599:AJ600"/>
    <mergeCell ref="AK599:AK600"/>
    <mergeCell ref="AL599:AL600"/>
    <mergeCell ref="AM599:AM600"/>
    <mergeCell ref="AN599:AN600"/>
    <mergeCell ref="AE599:AE600"/>
    <mergeCell ref="AF599:AF600"/>
    <mergeCell ref="AG599:AG600"/>
    <mergeCell ref="AH599:AH600"/>
    <mergeCell ref="AI599:AI600"/>
    <mergeCell ref="Z599:Z600"/>
    <mergeCell ref="AA599:AA600"/>
    <mergeCell ref="AB599:AB600"/>
    <mergeCell ref="AC599:AC600"/>
    <mergeCell ref="AD599:AD600"/>
    <mergeCell ref="U599:U600"/>
    <mergeCell ref="V599:V600"/>
    <mergeCell ref="W599:W600"/>
    <mergeCell ref="X599:X600"/>
    <mergeCell ref="Y599:Y600"/>
    <mergeCell ref="P599:P600"/>
    <mergeCell ref="Q599:Q600"/>
    <mergeCell ref="R599:R600"/>
    <mergeCell ref="S599:S600"/>
    <mergeCell ref="T599:T600"/>
    <mergeCell ref="AJ603:AJ604"/>
    <mergeCell ref="AK603:AK604"/>
    <mergeCell ref="AL603:AL604"/>
    <mergeCell ref="AM603:AM604"/>
    <mergeCell ref="AN603:AN604"/>
    <mergeCell ref="AE603:AE604"/>
    <mergeCell ref="AF603:AF604"/>
    <mergeCell ref="AG603:AG604"/>
    <mergeCell ref="AH603:AH604"/>
    <mergeCell ref="AI603:AI604"/>
    <mergeCell ref="Z603:Z604"/>
    <mergeCell ref="AA603:AA604"/>
    <mergeCell ref="AB603:AB604"/>
    <mergeCell ref="AC603:AC604"/>
    <mergeCell ref="AD603:AD604"/>
    <mergeCell ref="U603:U604"/>
    <mergeCell ref="V603:V604"/>
    <mergeCell ref="W603:W604"/>
    <mergeCell ref="X603:X604"/>
    <mergeCell ref="Y603:Y604"/>
    <mergeCell ref="P603:P604"/>
    <mergeCell ref="Q603:Q604"/>
    <mergeCell ref="R603:R604"/>
    <mergeCell ref="S603:S604"/>
    <mergeCell ref="T603:T604"/>
    <mergeCell ref="AL601:AL602"/>
    <mergeCell ref="AM601:AM602"/>
    <mergeCell ref="AN601:AN602"/>
    <mergeCell ref="A603:A604"/>
    <mergeCell ref="B603:B604"/>
    <mergeCell ref="D603:D604"/>
    <mergeCell ref="H603:H604"/>
    <mergeCell ref="I603:I604"/>
    <mergeCell ref="J603:J604"/>
    <mergeCell ref="K603:K604"/>
    <mergeCell ref="L603:L604"/>
    <mergeCell ref="M603:M604"/>
    <mergeCell ref="N603:N604"/>
    <mergeCell ref="O603:O604"/>
    <mergeCell ref="AG601:AG602"/>
    <mergeCell ref="AH601:AH602"/>
    <mergeCell ref="AI601:AI602"/>
    <mergeCell ref="AJ601:AJ602"/>
    <mergeCell ref="AK601:AK602"/>
    <mergeCell ref="AB601:AB602"/>
    <mergeCell ref="AC601:AC602"/>
    <mergeCell ref="AD601:AD602"/>
    <mergeCell ref="AE601:AE602"/>
    <mergeCell ref="AF601:AF602"/>
    <mergeCell ref="W601:W602"/>
    <mergeCell ref="X601:X602"/>
    <mergeCell ref="Y601:Y602"/>
    <mergeCell ref="Z601:Z602"/>
    <mergeCell ref="AA601:AA602"/>
    <mergeCell ref="R601:R602"/>
    <mergeCell ref="S601:S602"/>
    <mergeCell ref="T601:T602"/>
    <mergeCell ref="U601:U602"/>
    <mergeCell ref="V601:V602"/>
    <mergeCell ref="M601:M602"/>
    <mergeCell ref="N601:N602"/>
    <mergeCell ref="O601:O602"/>
    <mergeCell ref="P601:P602"/>
    <mergeCell ref="Q601:Q602"/>
    <mergeCell ref="AL605:AL606"/>
    <mergeCell ref="AM605:AM606"/>
    <mergeCell ref="AN605:AN606"/>
    <mergeCell ref="A607:A608"/>
    <mergeCell ref="B607:B608"/>
    <mergeCell ref="D607:D608"/>
    <mergeCell ref="H607:H608"/>
    <mergeCell ref="I607:I608"/>
    <mergeCell ref="J607:J608"/>
    <mergeCell ref="K607:K608"/>
    <mergeCell ref="L607:L608"/>
    <mergeCell ref="M607:M608"/>
    <mergeCell ref="N607:N608"/>
    <mergeCell ref="O607:O608"/>
    <mergeCell ref="AG605:AG606"/>
    <mergeCell ref="AH605:AH606"/>
    <mergeCell ref="AI605:AI606"/>
    <mergeCell ref="AJ605:AJ606"/>
    <mergeCell ref="AK605:AK606"/>
    <mergeCell ref="AB605:AB606"/>
    <mergeCell ref="AC605:AC606"/>
    <mergeCell ref="AD605:AD606"/>
    <mergeCell ref="AE605:AE606"/>
    <mergeCell ref="AF605:AF606"/>
    <mergeCell ref="W605:W606"/>
    <mergeCell ref="X605:X606"/>
    <mergeCell ref="Y605:Y606"/>
    <mergeCell ref="Z605:Z606"/>
    <mergeCell ref="AA605:AA606"/>
    <mergeCell ref="R605:R606"/>
    <mergeCell ref="S605:S606"/>
    <mergeCell ref="T605:T606"/>
    <mergeCell ref="U605:U606"/>
    <mergeCell ref="V605:V606"/>
    <mergeCell ref="M605:M606"/>
    <mergeCell ref="N605:N606"/>
    <mergeCell ref="O605:O606"/>
    <mergeCell ref="P605:P606"/>
    <mergeCell ref="Q605:Q606"/>
    <mergeCell ref="H605:H606"/>
    <mergeCell ref="I605:I606"/>
    <mergeCell ref="J605:J606"/>
    <mergeCell ref="K605:K606"/>
    <mergeCell ref="L605:L606"/>
    <mergeCell ref="A605:A606"/>
    <mergeCell ref="B605:B606"/>
    <mergeCell ref="D605:D606"/>
    <mergeCell ref="H609:H610"/>
    <mergeCell ref="I609:I610"/>
    <mergeCell ref="J609:J610"/>
    <mergeCell ref="K609:K610"/>
    <mergeCell ref="L609:L610"/>
    <mergeCell ref="A609:A610"/>
    <mergeCell ref="B609:B610"/>
    <mergeCell ref="D609:D610"/>
    <mergeCell ref="AJ607:AJ608"/>
    <mergeCell ref="AK607:AK608"/>
    <mergeCell ref="AL607:AL608"/>
    <mergeCell ref="AM607:AM608"/>
    <mergeCell ref="AN607:AN608"/>
    <mergeCell ref="AE607:AE608"/>
    <mergeCell ref="AF607:AF608"/>
    <mergeCell ref="AG607:AG608"/>
    <mergeCell ref="AH607:AH608"/>
    <mergeCell ref="AI607:AI608"/>
    <mergeCell ref="Z607:Z608"/>
    <mergeCell ref="AA607:AA608"/>
    <mergeCell ref="AB607:AB608"/>
    <mergeCell ref="AC607:AC608"/>
    <mergeCell ref="AD607:AD608"/>
    <mergeCell ref="U607:U608"/>
    <mergeCell ref="V607:V608"/>
    <mergeCell ref="W607:W608"/>
    <mergeCell ref="X607:X608"/>
    <mergeCell ref="Y607:Y608"/>
    <mergeCell ref="P607:P608"/>
    <mergeCell ref="Q607:Q608"/>
    <mergeCell ref="R607:R608"/>
    <mergeCell ref="S607:S608"/>
    <mergeCell ref="T607:T608"/>
    <mergeCell ref="AJ611:AJ612"/>
    <mergeCell ref="AK611:AK612"/>
    <mergeCell ref="AL611:AL612"/>
    <mergeCell ref="AM611:AM612"/>
    <mergeCell ref="AN611:AN612"/>
    <mergeCell ref="AE611:AE612"/>
    <mergeCell ref="AF611:AF612"/>
    <mergeCell ref="AG611:AG612"/>
    <mergeCell ref="AH611:AH612"/>
    <mergeCell ref="AI611:AI612"/>
    <mergeCell ref="Z611:Z612"/>
    <mergeCell ref="AA611:AA612"/>
    <mergeCell ref="AB611:AB612"/>
    <mergeCell ref="AC611:AC612"/>
    <mergeCell ref="AD611:AD612"/>
    <mergeCell ref="U611:U612"/>
    <mergeCell ref="V611:V612"/>
    <mergeCell ref="W611:W612"/>
    <mergeCell ref="X611:X612"/>
    <mergeCell ref="Y611:Y612"/>
    <mergeCell ref="P611:P612"/>
    <mergeCell ref="Q611:Q612"/>
    <mergeCell ref="R611:R612"/>
    <mergeCell ref="S611:S612"/>
    <mergeCell ref="T611:T612"/>
    <mergeCell ref="AL609:AL610"/>
    <mergeCell ref="AM609:AM610"/>
    <mergeCell ref="AN609:AN610"/>
    <mergeCell ref="A611:A612"/>
    <mergeCell ref="B611:B612"/>
    <mergeCell ref="D611:D612"/>
    <mergeCell ref="H611:H612"/>
    <mergeCell ref="I611:I612"/>
    <mergeCell ref="J611:J612"/>
    <mergeCell ref="K611:K612"/>
    <mergeCell ref="L611:L612"/>
    <mergeCell ref="M611:M612"/>
    <mergeCell ref="N611:N612"/>
    <mergeCell ref="O611:O612"/>
    <mergeCell ref="AG609:AG610"/>
    <mergeCell ref="AH609:AH610"/>
    <mergeCell ref="AI609:AI610"/>
    <mergeCell ref="AJ609:AJ610"/>
    <mergeCell ref="AK609:AK610"/>
    <mergeCell ref="AB609:AB610"/>
    <mergeCell ref="AC609:AC610"/>
    <mergeCell ref="AD609:AD610"/>
    <mergeCell ref="AE609:AE610"/>
    <mergeCell ref="AF609:AF610"/>
    <mergeCell ref="W609:W610"/>
    <mergeCell ref="X609:X610"/>
    <mergeCell ref="Y609:Y610"/>
    <mergeCell ref="Z609:Z610"/>
    <mergeCell ref="AA609:AA610"/>
    <mergeCell ref="R609:R610"/>
    <mergeCell ref="S609:S610"/>
    <mergeCell ref="T609:T610"/>
    <mergeCell ref="U609:U610"/>
    <mergeCell ref="V609:V610"/>
    <mergeCell ref="M609:M610"/>
    <mergeCell ref="N609:N610"/>
    <mergeCell ref="O609:O610"/>
    <mergeCell ref="P609:P610"/>
    <mergeCell ref="Q609:Q610"/>
    <mergeCell ref="AL613:AL614"/>
    <mergeCell ref="AM613:AM614"/>
    <mergeCell ref="AN613:AN614"/>
    <mergeCell ref="A615:A616"/>
    <mergeCell ref="B615:B616"/>
    <mergeCell ref="D615:D616"/>
    <mergeCell ref="H615:H616"/>
    <mergeCell ref="I615:I616"/>
    <mergeCell ref="J615:J616"/>
    <mergeCell ref="K615:K616"/>
    <mergeCell ref="L615:L616"/>
    <mergeCell ref="M615:M616"/>
    <mergeCell ref="N615:N616"/>
    <mergeCell ref="O615:O616"/>
    <mergeCell ref="AG613:AG614"/>
    <mergeCell ref="AH613:AH614"/>
    <mergeCell ref="AI613:AI614"/>
    <mergeCell ref="AJ613:AJ614"/>
    <mergeCell ref="AK613:AK614"/>
    <mergeCell ref="AB613:AB614"/>
    <mergeCell ref="AC613:AC614"/>
    <mergeCell ref="AD613:AD614"/>
    <mergeCell ref="AE613:AE614"/>
    <mergeCell ref="AF613:AF614"/>
    <mergeCell ref="W613:W614"/>
    <mergeCell ref="X613:X614"/>
    <mergeCell ref="Y613:Y614"/>
    <mergeCell ref="Z613:Z614"/>
    <mergeCell ref="AA613:AA614"/>
    <mergeCell ref="R613:R614"/>
    <mergeCell ref="S613:S614"/>
    <mergeCell ref="T613:T614"/>
    <mergeCell ref="U613:U614"/>
    <mergeCell ref="V613:V614"/>
    <mergeCell ref="M613:M614"/>
    <mergeCell ref="N613:N614"/>
    <mergeCell ref="O613:O614"/>
    <mergeCell ref="P613:P614"/>
    <mergeCell ref="Q613:Q614"/>
    <mergeCell ref="H613:H614"/>
    <mergeCell ref="I613:I614"/>
    <mergeCell ref="J613:J614"/>
    <mergeCell ref="K613:K614"/>
    <mergeCell ref="L613:L614"/>
    <mergeCell ref="A613:A614"/>
    <mergeCell ref="B613:B614"/>
    <mergeCell ref="D613:D614"/>
    <mergeCell ref="H617:H618"/>
    <mergeCell ref="I617:I618"/>
    <mergeCell ref="J617:J618"/>
    <mergeCell ref="K617:K618"/>
    <mergeCell ref="L617:L618"/>
    <mergeCell ref="A617:A618"/>
    <mergeCell ref="B617:B618"/>
    <mergeCell ref="D617:D618"/>
    <mergeCell ref="AJ615:AJ616"/>
    <mergeCell ref="AK615:AK616"/>
    <mergeCell ref="AL615:AL616"/>
    <mergeCell ref="AM615:AM616"/>
    <mergeCell ref="AN615:AN616"/>
    <mergeCell ref="AE615:AE616"/>
    <mergeCell ref="AF615:AF616"/>
    <mergeCell ref="AG615:AG616"/>
    <mergeCell ref="AH615:AH616"/>
    <mergeCell ref="AI615:AI616"/>
    <mergeCell ref="Z615:Z616"/>
    <mergeCell ref="AA615:AA616"/>
    <mergeCell ref="AB615:AB616"/>
    <mergeCell ref="AC615:AC616"/>
    <mergeCell ref="AD615:AD616"/>
    <mergeCell ref="U615:U616"/>
    <mergeCell ref="V615:V616"/>
    <mergeCell ref="W615:W616"/>
    <mergeCell ref="X615:X616"/>
    <mergeCell ref="Y615:Y616"/>
    <mergeCell ref="P615:P616"/>
    <mergeCell ref="Q615:Q616"/>
    <mergeCell ref="R615:R616"/>
    <mergeCell ref="S615:S616"/>
    <mergeCell ref="T615:T616"/>
    <mergeCell ref="AJ619:AJ620"/>
    <mergeCell ref="AK619:AK620"/>
    <mergeCell ref="AL619:AL620"/>
    <mergeCell ref="AM619:AM620"/>
    <mergeCell ref="AN619:AN620"/>
    <mergeCell ref="AE619:AE620"/>
    <mergeCell ref="AF619:AF620"/>
    <mergeCell ref="AG619:AG620"/>
    <mergeCell ref="AH619:AH620"/>
    <mergeCell ref="AI619:AI620"/>
    <mergeCell ref="Z619:Z620"/>
    <mergeCell ref="AA619:AA620"/>
    <mergeCell ref="AB619:AB620"/>
    <mergeCell ref="AC619:AC620"/>
    <mergeCell ref="AD619:AD620"/>
    <mergeCell ref="U619:U620"/>
    <mergeCell ref="V619:V620"/>
    <mergeCell ref="W619:W620"/>
    <mergeCell ref="X619:X620"/>
    <mergeCell ref="Y619:Y620"/>
    <mergeCell ref="P619:P620"/>
    <mergeCell ref="Q619:Q620"/>
    <mergeCell ref="R619:R620"/>
    <mergeCell ref="S619:S620"/>
    <mergeCell ref="T619:T620"/>
    <mergeCell ref="AL617:AL618"/>
    <mergeCell ref="AM617:AM618"/>
    <mergeCell ref="AN617:AN618"/>
    <mergeCell ref="A619:A620"/>
    <mergeCell ref="B619:B620"/>
    <mergeCell ref="D619:D620"/>
    <mergeCell ref="H619:H620"/>
    <mergeCell ref="I619:I620"/>
    <mergeCell ref="J619:J620"/>
    <mergeCell ref="K619:K620"/>
    <mergeCell ref="L619:L620"/>
    <mergeCell ref="M619:M620"/>
    <mergeCell ref="N619:N620"/>
    <mergeCell ref="O619:O620"/>
    <mergeCell ref="AG617:AG618"/>
    <mergeCell ref="AH617:AH618"/>
    <mergeCell ref="AI617:AI618"/>
    <mergeCell ref="AJ617:AJ618"/>
    <mergeCell ref="AK617:AK618"/>
    <mergeCell ref="AB617:AB618"/>
    <mergeCell ref="AC617:AC618"/>
    <mergeCell ref="AD617:AD618"/>
    <mergeCell ref="AE617:AE618"/>
    <mergeCell ref="AF617:AF618"/>
    <mergeCell ref="W617:W618"/>
    <mergeCell ref="X617:X618"/>
    <mergeCell ref="Y617:Y618"/>
    <mergeCell ref="Z617:Z618"/>
    <mergeCell ref="AA617:AA618"/>
    <mergeCell ref="R617:R618"/>
    <mergeCell ref="S617:S618"/>
    <mergeCell ref="T617:T618"/>
    <mergeCell ref="U617:U618"/>
    <mergeCell ref="V617:V618"/>
    <mergeCell ref="M617:M618"/>
    <mergeCell ref="N617:N618"/>
    <mergeCell ref="O617:O618"/>
    <mergeCell ref="P617:P618"/>
    <mergeCell ref="Q617:Q618"/>
    <mergeCell ref="AL621:AL622"/>
    <mergeCell ref="AM621:AM622"/>
    <mergeCell ref="AN621:AN622"/>
    <mergeCell ref="A623:A624"/>
    <mergeCell ref="B623:B624"/>
    <mergeCell ref="D623:D624"/>
    <mergeCell ref="H623:H624"/>
    <mergeCell ref="I623:I624"/>
    <mergeCell ref="J623:J624"/>
    <mergeCell ref="K623:K624"/>
    <mergeCell ref="L623:L624"/>
    <mergeCell ref="M623:M624"/>
    <mergeCell ref="N623:N624"/>
    <mergeCell ref="O623:O624"/>
    <mergeCell ref="AG621:AG622"/>
    <mergeCell ref="AH621:AH622"/>
    <mergeCell ref="AI621:AI622"/>
    <mergeCell ref="AJ621:AJ622"/>
    <mergeCell ref="AK621:AK622"/>
    <mergeCell ref="AB621:AB622"/>
    <mergeCell ref="AC621:AC622"/>
    <mergeCell ref="AD621:AD622"/>
    <mergeCell ref="AE621:AE622"/>
    <mergeCell ref="AF621:AF622"/>
    <mergeCell ref="W621:W622"/>
    <mergeCell ref="X621:X622"/>
    <mergeCell ref="Y621:Y622"/>
    <mergeCell ref="Z621:Z622"/>
    <mergeCell ref="AA621:AA622"/>
    <mergeCell ref="R621:R622"/>
    <mergeCell ref="S621:S622"/>
    <mergeCell ref="T621:T622"/>
    <mergeCell ref="U621:U622"/>
    <mergeCell ref="V621:V622"/>
    <mergeCell ref="M621:M622"/>
    <mergeCell ref="N621:N622"/>
    <mergeCell ref="O621:O622"/>
    <mergeCell ref="P621:P622"/>
    <mergeCell ref="Q621:Q622"/>
    <mergeCell ref="H621:H622"/>
    <mergeCell ref="I621:I622"/>
    <mergeCell ref="J621:J622"/>
    <mergeCell ref="K621:K622"/>
    <mergeCell ref="L621:L622"/>
    <mergeCell ref="A621:A622"/>
    <mergeCell ref="B621:B622"/>
    <mergeCell ref="D621:D622"/>
    <mergeCell ref="H625:H626"/>
    <mergeCell ref="I625:I626"/>
    <mergeCell ref="J625:J626"/>
    <mergeCell ref="K625:K626"/>
    <mergeCell ref="L625:L626"/>
    <mergeCell ref="A625:A626"/>
    <mergeCell ref="B625:B626"/>
    <mergeCell ref="D625:D626"/>
    <mergeCell ref="AJ623:AJ624"/>
    <mergeCell ref="AK623:AK624"/>
    <mergeCell ref="AL623:AL624"/>
    <mergeCell ref="AM623:AM624"/>
    <mergeCell ref="AN623:AN624"/>
    <mergeCell ref="AE623:AE624"/>
    <mergeCell ref="AF623:AF624"/>
    <mergeCell ref="AG623:AG624"/>
    <mergeCell ref="AH623:AH624"/>
    <mergeCell ref="AI623:AI624"/>
    <mergeCell ref="Z623:Z624"/>
    <mergeCell ref="AA623:AA624"/>
    <mergeCell ref="AB623:AB624"/>
    <mergeCell ref="AC623:AC624"/>
    <mergeCell ref="AD623:AD624"/>
    <mergeCell ref="U623:U624"/>
    <mergeCell ref="V623:V624"/>
    <mergeCell ref="W623:W624"/>
    <mergeCell ref="X623:X624"/>
    <mergeCell ref="Y623:Y624"/>
    <mergeCell ref="P623:P624"/>
    <mergeCell ref="Q623:Q624"/>
    <mergeCell ref="R623:R624"/>
    <mergeCell ref="S623:S624"/>
    <mergeCell ref="T623:T624"/>
    <mergeCell ref="AJ627:AJ628"/>
    <mergeCell ref="AK627:AK628"/>
    <mergeCell ref="AL627:AL628"/>
    <mergeCell ref="AM627:AM628"/>
    <mergeCell ref="AN627:AN628"/>
    <mergeCell ref="AE627:AE628"/>
    <mergeCell ref="AF627:AF628"/>
    <mergeCell ref="AG627:AG628"/>
    <mergeCell ref="AH627:AH628"/>
    <mergeCell ref="AI627:AI628"/>
    <mergeCell ref="Z627:Z628"/>
    <mergeCell ref="AA627:AA628"/>
    <mergeCell ref="AB627:AB628"/>
    <mergeCell ref="AC627:AC628"/>
    <mergeCell ref="AD627:AD628"/>
    <mergeCell ref="U627:U628"/>
    <mergeCell ref="V627:V628"/>
    <mergeCell ref="W627:W628"/>
    <mergeCell ref="X627:X628"/>
    <mergeCell ref="Y627:Y628"/>
    <mergeCell ref="P627:P628"/>
    <mergeCell ref="Q627:Q628"/>
    <mergeCell ref="R627:R628"/>
    <mergeCell ref="S627:S628"/>
    <mergeCell ref="T627:T628"/>
    <mergeCell ref="AL625:AL626"/>
    <mergeCell ref="AM625:AM626"/>
    <mergeCell ref="AN625:AN626"/>
    <mergeCell ref="A627:A628"/>
    <mergeCell ref="B627:B628"/>
    <mergeCell ref="D627:D628"/>
    <mergeCell ref="H627:H628"/>
    <mergeCell ref="I627:I628"/>
    <mergeCell ref="J627:J628"/>
    <mergeCell ref="K627:K628"/>
    <mergeCell ref="L627:L628"/>
    <mergeCell ref="M627:M628"/>
    <mergeCell ref="N627:N628"/>
    <mergeCell ref="O627:O628"/>
    <mergeCell ref="AG625:AG626"/>
    <mergeCell ref="AH625:AH626"/>
    <mergeCell ref="AI625:AI626"/>
    <mergeCell ref="AJ625:AJ626"/>
    <mergeCell ref="AK625:AK626"/>
    <mergeCell ref="AB625:AB626"/>
    <mergeCell ref="AC625:AC626"/>
    <mergeCell ref="AD625:AD626"/>
    <mergeCell ref="AE625:AE626"/>
    <mergeCell ref="AF625:AF626"/>
    <mergeCell ref="W625:W626"/>
    <mergeCell ref="X625:X626"/>
    <mergeCell ref="Y625:Y626"/>
    <mergeCell ref="Z625:Z626"/>
    <mergeCell ref="AA625:AA626"/>
    <mergeCell ref="R625:R626"/>
    <mergeCell ref="S625:S626"/>
    <mergeCell ref="T625:T626"/>
    <mergeCell ref="U625:U626"/>
    <mergeCell ref="V625:V626"/>
    <mergeCell ref="M625:M626"/>
    <mergeCell ref="N625:N626"/>
    <mergeCell ref="O625:O626"/>
    <mergeCell ref="P625:P626"/>
    <mergeCell ref="Q625:Q626"/>
    <mergeCell ref="AL629:AL630"/>
    <mergeCell ref="AM629:AM630"/>
    <mergeCell ref="AN629:AN630"/>
    <mergeCell ref="A631:A632"/>
    <mergeCell ref="B631:B632"/>
    <mergeCell ref="D631:D632"/>
    <mergeCell ref="H631:H632"/>
    <mergeCell ref="I631:I632"/>
    <mergeCell ref="J631:J632"/>
    <mergeCell ref="K631:K632"/>
    <mergeCell ref="L631:L632"/>
    <mergeCell ref="M631:M632"/>
    <mergeCell ref="N631:N632"/>
    <mergeCell ref="O631:O632"/>
    <mergeCell ref="AG629:AG630"/>
    <mergeCell ref="AH629:AH630"/>
    <mergeCell ref="AI629:AI630"/>
    <mergeCell ref="AJ629:AJ630"/>
    <mergeCell ref="AK629:AK630"/>
    <mergeCell ref="AB629:AB630"/>
    <mergeCell ref="AC629:AC630"/>
    <mergeCell ref="AD629:AD630"/>
    <mergeCell ref="AE629:AE630"/>
    <mergeCell ref="AF629:AF630"/>
    <mergeCell ref="W629:W630"/>
    <mergeCell ref="X629:X630"/>
    <mergeCell ref="Y629:Y630"/>
    <mergeCell ref="Z629:Z630"/>
    <mergeCell ref="AA629:AA630"/>
    <mergeCell ref="R629:R630"/>
    <mergeCell ref="S629:S630"/>
    <mergeCell ref="T629:T630"/>
    <mergeCell ref="U629:U630"/>
    <mergeCell ref="V629:V630"/>
    <mergeCell ref="M629:M630"/>
    <mergeCell ref="N629:N630"/>
    <mergeCell ref="O629:O630"/>
    <mergeCell ref="P629:P630"/>
    <mergeCell ref="Q629:Q630"/>
    <mergeCell ref="H629:H630"/>
    <mergeCell ref="I629:I630"/>
    <mergeCell ref="J629:J630"/>
    <mergeCell ref="K629:K630"/>
    <mergeCell ref="L629:L630"/>
    <mergeCell ref="A629:A630"/>
    <mergeCell ref="B629:B630"/>
    <mergeCell ref="D629:D630"/>
    <mergeCell ref="H633:H634"/>
    <mergeCell ref="I633:I634"/>
    <mergeCell ref="J633:J634"/>
    <mergeCell ref="K633:K634"/>
    <mergeCell ref="L633:L634"/>
    <mergeCell ref="A633:A634"/>
    <mergeCell ref="B633:B634"/>
    <mergeCell ref="D633:D634"/>
    <mergeCell ref="AJ631:AJ632"/>
    <mergeCell ref="AK631:AK632"/>
    <mergeCell ref="AL631:AL632"/>
    <mergeCell ref="AM631:AM632"/>
    <mergeCell ref="AN631:AN632"/>
    <mergeCell ref="AE631:AE632"/>
    <mergeCell ref="AF631:AF632"/>
    <mergeCell ref="AG631:AG632"/>
    <mergeCell ref="AH631:AH632"/>
    <mergeCell ref="AI631:AI632"/>
    <mergeCell ref="Z631:Z632"/>
    <mergeCell ref="AA631:AA632"/>
    <mergeCell ref="AB631:AB632"/>
    <mergeCell ref="AC631:AC632"/>
    <mergeCell ref="AD631:AD632"/>
    <mergeCell ref="U631:U632"/>
    <mergeCell ref="V631:V632"/>
    <mergeCell ref="W631:W632"/>
    <mergeCell ref="X631:X632"/>
    <mergeCell ref="Y631:Y632"/>
    <mergeCell ref="P631:P632"/>
    <mergeCell ref="Q631:Q632"/>
    <mergeCell ref="R631:R632"/>
    <mergeCell ref="S631:S632"/>
    <mergeCell ref="T631:T632"/>
    <mergeCell ref="AJ635:AJ636"/>
    <mergeCell ref="AK635:AK636"/>
    <mergeCell ref="AL635:AL636"/>
    <mergeCell ref="AM635:AM636"/>
    <mergeCell ref="AN635:AN636"/>
    <mergeCell ref="AE635:AE636"/>
    <mergeCell ref="AF635:AF636"/>
    <mergeCell ref="AG635:AG636"/>
    <mergeCell ref="AH635:AH636"/>
    <mergeCell ref="AI635:AI636"/>
    <mergeCell ref="Z635:Z636"/>
    <mergeCell ref="AA635:AA636"/>
    <mergeCell ref="AB635:AB636"/>
    <mergeCell ref="AC635:AC636"/>
    <mergeCell ref="AD635:AD636"/>
    <mergeCell ref="U635:U636"/>
    <mergeCell ref="V635:V636"/>
    <mergeCell ref="W635:W636"/>
    <mergeCell ref="X635:X636"/>
    <mergeCell ref="Y635:Y636"/>
    <mergeCell ref="P635:P636"/>
    <mergeCell ref="Q635:Q636"/>
    <mergeCell ref="R635:R636"/>
    <mergeCell ref="S635:S636"/>
    <mergeCell ref="T635:T636"/>
    <mergeCell ref="AL633:AL634"/>
    <mergeCell ref="AM633:AM634"/>
    <mergeCell ref="AN633:AN634"/>
    <mergeCell ref="A635:A636"/>
    <mergeCell ref="B635:B636"/>
    <mergeCell ref="D635:D636"/>
    <mergeCell ref="H635:H636"/>
    <mergeCell ref="I635:I636"/>
    <mergeCell ref="J635:J636"/>
    <mergeCell ref="K635:K636"/>
    <mergeCell ref="L635:L636"/>
    <mergeCell ref="M635:M636"/>
    <mergeCell ref="N635:N636"/>
    <mergeCell ref="O635:O636"/>
    <mergeCell ref="AG633:AG634"/>
    <mergeCell ref="AH633:AH634"/>
    <mergeCell ref="AI633:AI634"/>
    <mergeCell ref="AJ633:AJ634"/>
    <mergeCell ref="AK633:AK634"/>
    <mergeCell ref="AB633:AB634"/>
    <mergeCell ref="AC633:AC634"/>
    <mergeCell ref="AD633:AD634"/>
    <mergeCell ref="AE633:AE634"/>
    <mergeCell ref="AF633:AF634"/>
    <mergeCell ref="W633:W634"/>
    <mergeCell ref="X633:X634"/>
    <mergeCell ref="Y633:Y634"/>
    <mergeCell ref="Z633:Z634"/>
    <mergeCell ref="AA633:AA634"/>
    <mergeCell ref="R633:R634"/>
    <mergeCell ref="S633:S634"/>
    <mergeCell ref="T633:T634"/>
    <mergeCell ref="U633:U634"/>
    <mergeCell ref="V633:V634"/>
    <mergeCell ref="M633:M634"/>
    <mergeCell ref="N633:N634"/>
    <mergeCell ref="O633:O634"/>
    <mergeCell ref="P633:P634"/>
    <mergeCell ref="Q633:Q634"/>
    <mergeCell ref="AL637:AL638"/>
    <mergeCell ref="AM637:AM638"/>
    <mergeCell ref="AN637:AN638"/>
    <mergeCell ref="A639:A640"/>
    <mergeCell ref="B639:B640"/>
    <mergeCell ref="D639:D640"/>
    <mergeCell ref="H639:H640"/>
    <mergeCell ref="I639:I640"/>
    <mergeCell ref="J639:J640"/>
    <mergeCell ref="K639:K640"/>
    <mergeCell ref="L639:L640"/>
    <mergeCell ref="M639:M640"/>
    <mergeCell ref="N639:N640"/>
    <mergeCell ref="O639:O640"/>
    <mergeCell ref="AG637:AG638"/>
    <mergeCell ref="AH637:AH638"/>
    <mergeCell ref="AI637:AI638"/>
    <mergeCell ref="AJ637:AJ638"/>
    <mergeCell ref="AK637:AK638"/>
    <mergeCell ref="AB637:AB638"/>
    <mergeCell ref="AC637:AC638"/>
    <mergeCell ref="AD637:AD638"/>
    <mergeCell ref="AE637:AE638"/>
    <mergeCell ref="AF637:AF638"/>
    <mergeCell ref="W637:W638"/>
    <mergeCell ref="X637:X638"/>
    <mergeCell ref="Y637:Y638"/>
    <mergeCell ref="Z637:Z638"/>
    <mergeCell ref="AA637:AA638"/>
    <mergeCell ref="R637:R638"/>
    <mergeCell ref="S637:S638"/>
    <mergeCell ref="T637:T638"/>
    <mergeCell ref="U637:U638"/>
    <mergeCell ref="V637:V638"/>
    <mergeCell ref="M637:M638"/>
    <mergeCell ref="N637:N638"/>
    <mergeCell ref="O637:O638"/>
    <mergeCell ref="P637:P638"/>
    <mergeCell ref="Q637:Q638"/>
    <mergeCell ref="H637:H638"/>
    <mergeCell ref="I637:I638"/>
    <mergeCell ref="J637:J638"/>
    <mergeCell ref="K637:K638"/>
    <mergeCell ref="L637:L638"/>
    <mergeCell ref="A637:A638"/>
    <mergeCell ref="B637:B638"/>
    <mergeCell ref="D637:D638"/>
    <mergeCell ref="H641:H642"/>
    <mergeCell ref="I641:I642"/>
    <mergeCell ref="J641:J642"/>
    <mergeCell ref="K641:K642"/>
    <mergeCell ref="L641:L642"/>
    <mergeCell ref="A641:A642"/>
    <mergeCell ref="B641:B642"/>
    <mergeCell ref="D641:D642"/>
    <mergeCell ref="AJ639:AJ640"/>
    <mergeCell ref="AK639:AK640"/>
    <mergeCell ref="AL639:AL640"/>
    <mergeCell ref="AM639:AM640"/>
    <mergeCell ref="AN639:AN640"/>
    <mergeCell ref="AE639:AE640"/>
    <mergeCell ref="AF639:AF640"/>
    <mergeCell ref="AG639:AG640"/>
    <mergeCell ref="AH639:AH640"/>
    <mergeCell ref="AI639:AI640"/>
    <mergeCell ref="Z639:Z640"/>
    <mergeCell ref="AA639:AA640"/>
    <mergeCell ref="AB639:AB640"/>
    <mergeCell ref="AC639:AC640"/>
    <mergeCell ref="AD639:AD640"/>
    <mergeCell ref="U639:U640"/>
    <mergeCell ref="V639:V640"/>
    <mergeCell ref="W639:W640"/>
    <mergeCell ref="X639:X640"/>
    <mergeCell ref="Y639:Y640"/>
    <mergeCell ref="P639:P640"/>
    <mergeCell ref="Q639:Q640"/>
    <mergeCell ref="R639:R640"/>
    <mergeCell ref="S639:S640"/>
    <mergeCell ref="T639:T640"/>
    <mergeCell ref="AJ643:AJ644"/>
    <mergeCell ref="AK643:AK644"/>
    <mergeCell ref="AL643:AL644"/>
    <mergeCell ref="AM643:AM644"/>
    <mergeCell ref="AN643:AN644"/>
    <mergeCell ref="AE643:AE644"/>
    <mergeCell ref="AF643:AF644"/>
    <mergeCell ref="AG643:AG644"/>
    <mergeCell ref="AH643:AH644"/>
    <mergeCell ref="AI643:AI644"/>
    <mergeCell ref="Z643:Z644"/>
    <mergeCell ref="AA643:AA644"/>
    <mergeCell ref="AB643:AB644"/>
    <mergeCell ref="AC643:AC644"/>
    <mergeCell ref="AD643:AD644"/>
    <mergeCell ref="U643:U644"/>
    <mergeCell ref="V643:V644"/>
    <mergeCell ref="W643:W644"/>
    <mergeCell ref="X643:X644"/>
    <mergeCell ref="Y643:Y644"/>
    <mergeCell ref="P643:P644"/>
    <mergeCell ref="Q643:Q644"/>
    <mergeCell ref="R643:R644"/>
    <mergeCell ref="S643:S644"/>
    <mergeCell ref="T643:T644"/>
    <mergeCell ref="AL641:AL642"/>
    <mergeCell ref="AM641:AM642"/>
    <mergeCell ref="AN641:AN642"/>
    <mergeCell ref="A643:A644"/>
    <mergeCell ref="B643:B644"/>
    <mergeCell ref="D643:D644"/>
    <mergeCell ref="H643:H644"/>
    <mergeCell ref="I643:I644"/>
    <mergeCell ref="J643:J644"/>
    <mergeCell ref="K643:K644"/>
    <mergeCell ref="L643:L644"/>
    <mergeCell ref="M643:M644"/>
    <mergeCell ref="N643:N644"/>
    <mergeCell ref="O643:O644"/>
    <mergeCell ref="AG641:AG642"/>
    <mergeCell ref="AH641:AH642"/>
    <mergeCell ref="AI641:AI642"/>
    <mergeCell ref="AJ641:AJ642"/>
    <mergeCell ref="AK641:AK642"/>
    <mergeCell ref="AB641:AB642"/>
    <mergeCell ref="AC641:AC642"/>
    <mergeCell ref="AD641:AD642"/>
    <mergeCell ref="AE641:AE642"/>
    <mergeCell ref="AF641:AF642"/>
    <mergeCell ref="W641:W642"/>
    <mergeCell ref="X641:X642"/>
    <mergeCell ref="Y641:Y642"/>
    <mergeCell ref="Z641:Z642"/>
    <mergeCell ref="AA641:AA642"/>
    <mergeCell ref="R641:R642"/>
    <mergeCell ref="S641:S642"/>
    <mergeCell ref="T641:T642"/>
    <mergeCell ref="U641:U642"/>
    <mergeCell ref="V641:V642"/>
    <mergeCell ref="M641:M642"/>
    <mergeCell ref="N641:N642"/>
    <mergeCell ref="O641:O642"/>
    <mergeCell ref="P641:P642"/>
    <mergeCell ref="Q641:Q642"/>
    <mergeCell ref="AL645:AL646"/>
    <mergeCell ref="AM645:AM646"/>
    <mergeCell ref="AN645:AN646"/>
    <mergeCell ref="A647:A648"/>
    <mergeCell ref="B647:B648"/>
    <mergeCell ref="D647:D648"/>
    <mergeCell ref="H647:H648"/>
    <mergeCell ref="I647:I648"/>
    <mergeCell ref="J647:J648"/>
    <mergeCell ref="K647:K648"/>
    <mergeCell ref="L647:L648"/>
    <mergeCell ref="M647:M648"/>
    <mergeCell ref="N647:N648"/>
    <mergeCell ref="O647:O648"/>
    <mergeCell ref="AG645:AG646"/>
    <mergeCell ref="AH645:AH646"/>
    <mergeCell ref="AI645:AI646"/>
    <mergeCell ref="AJ645:AJ646"/>
    <mergeCell ref="AK645:AK646"/>
    <mergeCell ref="AB645:AB646"/>
    <mergeCell ref="AC645:AC646"/>
    <mergeCell ref="AD645:AD646"/>
    <mergeCell ref="AE645:AE646"/>
    <mergeCell ref="AF645:AF646"/>
    <mergeCell ref="W645:W646"/>
    <mergeCell ref="X645:X646"/>
    <mergeCell ref="Y645:Y646"/>
    <mergeCell ref="Z645:Z646"/>
    <mergeCell ref="AA645:AA646"/>
    <mergeCell ref="R645:R646"/>
    <mergeCell ref="S645:S646"/>
    <mergeCell ref="T645:T646"/>
    <mergeCell ref="U645:U646"/>
    <mergeCell ref="V645:V646"/>
    <mergeCell ref="M645:M646"/>
    <mergeCell ref="N645:N646"/>
    <mergeCell ref="O645:O646"/>
    <mergeCell ref="P645:P646"/>
    <mergeCell ref="Q645:Q646"/>
    <mergeCell ref="H645:H646"/>
    <mergeCell ref="I645:I646"/>
    <mergeCell ref="J645:J646"/>
    <mergeCell ref="K645:K646"/>
    <mergeCell ref="L645:L646"/>
    <mergeCell ref="A645:A646"/>
    <mergeCell ref="B645:B646"/>
    <mergeCell ref="D645:D646"/>
    <mergeCell ref="H649:H650"/>
    <mergeCell ref="I649:I650"/>
    <mergeCell ref="J649:J650"/>
    <mergeCell ref="K649:K650"/>
    <mergeCell ref="L649:L650"/>
    <mergeCell ref="A649:A650"/>
    <mergeCell ref="B649:B650"/>
    <mergeCell ref="D649:D650"/>
    <mergeCell ref="AJ647:AJ648"/>
    <mergeCell ref="AK647:AK648"/>
    <mergeCell ref="AL647:AL648"/>
    <mergeCell ref="AM647:AM648"/>
    <mergeCell ref="AN647:AN648"/>
    <mergeCell ref="AE647:AE648"/>
    <mergeCell ref="AF647:AF648"/>
    <mergeCell ref="AG647:AG648"/>
    <mergeCell ref="AH647:AH648"/>
    <mergeCell ref="AI647:AI648"/>
    <mergeCell ref="Z647:Z648"/>
    <mergeCell ref="AA647:AA648"/>
    <mergeCell ref="AB647:AB648"/>
    <mergeCell ref="AC647:AC648"/>
    <mergeCell ref="AD647:AD648"/>
    <mergeCell ref="U647:U648"/>
    <mergeCell ref="V647:V648"/>
    <mergeCell ref="W647:W648"/>
    <mergeCell ref="X647:X648"/>
    <mergeCell ref="Y647:Y648"/>
    <mergeCell ref="P647:P648"/>
    <mergeCell ref="Q647:Q648"/>
    <mergeCell ref="R647:R648"/>
    <mergeCell ref="S647:S648"/>
    <mergeCell ref="T647:T648"/>
    <mergeCell ref="AJ651:AJ652"/>
    <mergeCell ref="AK651:AK652"/>
    <mergeCell ref="AL651:AL652"/>
    <mergeCell ref="AM651:AM652"/>
    <mergeCell ref="AN651:AN652"/>
    <mergeCell ref="AE651:AE652"/>
    <mergeCell ref="AF651:AF652"/>
    <mergeCell ref="AG651:AG652"/>
    <mergeCell ref="AH651:AH652"/>
    <mergeCell ref="AI651:AI652"/>
    <mergeCell ref="Z651:Z652"/>
    <mergeCell ref="AA651:AA652"/>
    <mergeCell ref="AB651:AB652"/>
    <mergeCell ref="AC651:AC652"/>
    <mergeCell ref="AD651:AD652"/>
    <mergeCell ref="U651:U652"/>
    <mergeCell ref="V651:V652"/>
    <mergeCell ref="W651:W652"/>
    <mergeCell ref="X651:X652"/>
    <mergeCell ref="Y651:Y652"/>
    <mergeCell ref="P651:P652"/>
    <mergeCell ref="Q651:Q652"/>
    <mergeCell ref="R651:R652"/>
    <mergeCell ref="S651:S652"/>
    <mergeCell ref="T651:T652"/>
    <mergeCell ref="AL649:AL650"/>
    <mergeCell ref="AM649:AM650"/>
    <mergeCell ref="AN649:AN650"/>
    <mergeCell ref="A651:A652"/>
    <mergeCell ref="B651:B652"/>
    <mergeCell ref="D651:D652"/>
    <mergeCell ref="H651:H652"/>
    <mergeCell ref="I651:I652"/>
    <mergeCell ref="J651:J652"/>
    <mergeCell ref="K651:K652"/>
    <mergeCell ref="L651:L652"/>
    <mergeCell ref="M651:M652"/>
    <mergeCell ref="N651:N652"/>
    <mergeCell ref="O651:O652"/>
    <mergeCell ref="AG649:AG650"/>
    <mergeCell ref="AH649:AH650"/>
    <mergeCell ref="AI649:AI650"/>
    <mergeCell ref="AJ649:AJ650"/>
    <mergeCell ref="AK649:AK650"/>
    <mergeCell ref="AB649:AB650"/>
    <mergeCell ref="AC649:AC650"/>
    <mergeCell ref="AD649:AD650"/>
    <mergeCell ref="AE649:AE650"/>
    <mergeCell ref="AF649:AF650"/>
    <mergeCell ref="W649:W650"/>
    <mergeCell ref="X649:X650"/>
    <mergeCell ref="Y649:Y650"/>
    <mergeCell ref="Z649:Z650"/>
    <mergeCell ref="AA649:AA650"/>
    <mergeCell ref="R649:R650"/>
    <mergeCell ref="S649:S650"/>
    <mergeCell ref="T649:T650"/>
    <mergeCell ref="U649:U650"/>
    <mergeCell ref="V649:V650"/>
    <mergeCell ref="M649:M650"/>
    <mergeCell ref="N649:N650"/>
    <mergeCell ref="O649:O650"/>
    <mergeCell ref="P649:P650"/>
    <mergeCell ref="Q649:Q650"/>
    <mergeCell ref="AL653:AL654"/>
    <mergeCell ref="AM653:AM654"/>
    <mergeCell ref="AN653:AN654"/>
    <mergeCell ref="A655:A656"/>
    <mergeCell ref="B655:B656"/>
    <mergeCell ref="D655:D656"/>
    <mergeCell ref="H655:H656"/>
    <mergeCell ref="I655:I656"/>
    <mergeCell ref="J655:J656"/>
    <mergeCell ref="K655:K656"/>
    <mergeCell ref="L655:L656"/>
    <mergeCell ref="M655:M656"/>
    <mergeCell ref="N655:N656"/>
    <mergeCell ref="O655:O656"/>
    <mergeCell ref="AG653:AG654"/>
    <mergeCell ref="AH653:AH654"/>
    <mergeCell ref="AI653:AI654"/>
    <mergeCell ref="AJ653:AJ654"/>
    <mergeCell ref="AK653:AK654"/>
    <mergeCell ref="AB653:AB654"/>
    <mergeCell ref="AC653:AC654"/>
    <mergeCell ref="AD653:AD654"/>
    <mergeCell ref="AE653:AE654"/>
    <mergeCell ref="AF653:AF654"/>
    <mergeCell ref="W653:W654"/>
    <mergeCell ref="X653:X654"/>
    <mergeCell ref="Y653:Y654"/>
    <mergeCell ref="Z653:Z654"/>
    <mergeCell ref="AA653:AA654"/>
    <mergeCell ref="R653:R654"/>
    <mergeCell ref="S653:S654"/>
    <mergeCell ref="T653:T654"/>
    <mergeCell ref="U653:U654"/>
    <mergeCell ref="V653:V654"/>
    <mergeCell ref="M653:M654"/>
    <mergeCell ref="N653:N654"/>
    <mergeCell ref="O653:O654"/>
    <mergeCell ref="P653:P654"/>
    <mergeCell ref="Q653:Q654"/>
    <mergeCell ref="H653:H654"/>
    <mergeCell ref="I653:I654"/>
    <mergeCell ref="J653:J654"/>
    <mergeCell ref="K653:K654"/>
    <mergeCell ref="L653:L654"/>
    <mergeCell ref="A653:A654"/>
    <mergeCell ref="B653:B654"/>
    <mergeCell ref="D653:D654"/>
    <mergeCell ref="H657:H658"/>
    <mergeCell ref="I657:I658"/>
    <mergeCell ref="J657:J658"/>
    <mergeCell ref="K657:K658"/>
    <mergeCell ref="L657:L658"/>
    <mergeCell ref="A657:A658"/>
    <mergeCell ref="B657:B658"/>
    <mergeCell ref="D657:D658"/>
    <mergeCell ref="AJ655:AJ656"/>
    <mergeCell ref="AK655:AK656"/>
    <mergeCell ref="AL655:AL656"/>
    <mergeCell ref="AM655:AM656"/>
    <mergeCell ref="AN655:AN656"/>
    <mergeCell ref="AE655:AE656"/>
    <mergeCell ref="AF655:AF656"/>
    <mergeCell ref="AG655:AG656"/>
    <mergeCell ref="AH655:AH656"/>
    <mergeCell ref="AI655:AI656"/>
    <mergeCell ref="Z655:Z656"/>
    <mergeCell ref="AA655:AA656"/>
    <mergeCell ref="AB655:AB656"/>
    <mergeCell ref="AC655:AC656"/>
    <mergeCell ref="AD655:AD656"/>
    <mergeCell ref="U655:U656"/>
    <mergeCell ref="V655:V656"/>
    <mergeCell ref="W655:W656"/>
    <mergeCell ref="X655:X656"/>
    <mergeCell ref="Y655:Y656"/>
    <mergeCell ref="P655:P656"/>
    <mergeCell ref="Q655:Q656"/>
    <mergeCell ref="R655:R656"/>
    <mergeCell ref="S655:S656"/>
    <mergeCell ref="T655:T656"/>
    <mergeCell ref="AJ659:AJ660"/>
    <mergeCell ref="AK659:AK660"/>
    <mergeCell ref="AL659:AL660"/>
    <mergeCell ref="AM659:AM660"/>
    <mergeCell ref="AN659:AN660"/>
    <mergeCell ref="AE659:AE660"/>
    <mergeCell ref="AF659:AF660"/>
    <mergeCell ref="AG659:AG660"/>
    <mergeCell ref="AH659:AH660"/>
    <mergeCell ref="AI659:AI660"/>
    <mergeCell ref="Z659:Z660"/>
    <mergeCell ref="AA659:AA660"/>
    <mergeCell ref="AB659:AB660"/>
    <mergeCell ref="AC659:AC660"/>
    <mergeCell ref="AD659:AD660"/>
    <mergeCell ref="U659:U660"/>
    <mergeCell ref="V659:V660"/>
    <mergeCell ref="W659:W660"/>
    <mergeCell ref="X659:X660"/>
    <mergeCell ref="Y659:Y660"/>
    <mergeCell ref="P659:P660"/>
    <mergeCell ref="Q659:Q660"/>
    <mergeCell ref="R659:R660"/>
    <mergeCell ref="S659:S660"/>
    <mergeCell ref="T659:T660"/>
    <mergeCell ref="AL657:AL658"/>
    <mergeCell ref="AM657:AM658"/>
    <mergeCell ref="AN657:AN658"/>
    <mergeCell ref="A659:A660"/>
    <mergeCell ref="B659:B660"/>
    <mergeCell ref="D659:D660"/>
    <mergeCell ref="H659:H660"/>
    <mergeCell ref="I659:I660"/>
    <mergeCell ref="J659:J660"/>
    <mergeCell ref="K659:K660"/>
    <mergeCell ref="L659:L660"/>
    <mergeCell ref="M659:M660"/>
    <mergeCell ref="N659:N660"/>
    <mergeCell ref="O659:O660"/>
    <mergeCell ref="AG657:AG658"/>
    <mergeCell ref="AH657:AH658"/>
    <mergeCell ref="AI657:AI658"/>
    <mergeCell ref="AJ657:AJ658"/>
    <mergeCell ref="AK657:AK658"/>
    <mergeCell ref="AB657:AB658"/>
    <mergeCell ref="AC657:AC658"/>
    <mergeCell ref="AD657:AD658"/>
    <mergeCell ref="AE657:AE658"/>
    <mergeCell ref="AF657:AF658"/>
    <mergeCell ref="W657:W658"/>
    <mergeCell ref="X657:X658"/>
    <mergeCell ref="Y657:Y658"/>
    <mergeCell ref="Z657:Z658"/>
    <mergeCell ref="AA657:AA658"/>
    <mergeCell ref="R657:R658"/>
    <mergeCell ref="S657:S658"/>
    <mergeCell ref="T657:T658"/>
    <mergeCell ref="U657:U658"/>
    <mergeCell ref="V657:V658"/>
    <mergeCell ref="M657:M658"/>
    <mergeCell ref="N657:N658"/>
    <mergeCell ref="O657:O658"/>
    <mergeCell ref="P657:P658"/>
    <mergeCell ref="Q657:Q658"/>
    <mergeCell ref="AL661:AL662"/>
    <mergeCell ref="AM661:AM662"/>
    <mergeCell ref="AN661:AN662"/>
    <mergeCell ref="A663:A664"/>
    <mergeCell ref="B663:B664"/>
    <mergeCell ref="D663:D664"/>
    <mergeCell ref="H663:H664"/>
    <mergeCell ref="I663:I664"/>
    <mergeCell ref="J663:J664"/>
    <mergeCell ref="K663:K664"/>
    <mergeCell ref="L663:L664"/>
    <mergeCell ref="M663:M664"/>
    <mergeCell ref="N663:N664"/>
    <mergeCell ref="O663:O664"/>
    <mergeCell ref="AG661:AG662"/>
    <mergeCell ref="AH661:AH662"/>
    <mergeCell ref="AI661:AI662"/>
    <mergeCell ref="AJ661:AJ662"/>
    <mergeCell ref="AK661:AK662"/>
    <mergeCell ref="AB661:AB662"/>
    <mergeCell ref="AC661:AC662"/>
    <mergeCell ref="AD661:AD662"/>
    <mergeCell ref="AE661:AE662"/>
    <mergeCell ref="AF661:AF662"/>
    <mergeCell ref="W661:W662"/>
    <mergeCell ref="X661:X662"/>
    <mergeCell ref="Y661:Y662"/>
    <mergeCell ref="Z661:Z662"/>
    <mergeCell ref="AA661:AA662"/>
    <mergeCell ref="R661:R662"/>
    <mergeCell ref="S661:S662"/>
    <mergeCell ref="T661:T662"/>
    <mergeCell ref="U661:U662"/>
    <mergeCell ref="V661:V662"/>
    <mergeCell ref="M661:M662"/>
    <mergeCell ref="N661:N662"/>
    <mergeCell ref="O661:O662"/>
    <mergeCell ref="P661:P662"/>
    <mergeCell ref="Q661:Q662"/>
    <mergeCell ref="H661:H662"/>
    <mergeCell ref="I661:I662"/>
    <mergeCell ref="J661:J662"/>
    <mergeCell ref="K661:K662"/>
    <mergeCell ref="L661:L662"/>
    <mergeCell ref="A661:A662"/>
    <mergeCell ref="B661:B662"/>
    <mergeCell ref="D661:D662"/>
    <mergeCell ref="H665:H666"/>
    <mergeCell ref="I665:I666"/>
    <mergeCell ref="J665:J666"/>
    <mergeCell ref="K665:K666"/>
    <mergeCell ref="L665:L666"/>
    <mergeCell ref="A665:A666"/>
    <mergeCell ref="B665:B666"/>
    <mergeCell ref="D665:D666"/>
    <mergeCell ref="AJ663:AJ664"/>
    <mergeCell ref="AK663:AK664"/>
    <mergeCell ref="AL663:AL664"/>
    <mergeCell ref="AM663:AM664"/>
    <mergeCell ref="AN663:AN664"/>
    <mergeCell ref="AE663:AE664"/>
    <mergeCell ref="AF663:AF664"/>
    <mergeCell ref="AG663:AG664"/>
    <mergeCell ref="AH663:AH664"/>
    <mergeCell ref="AI663:AI664"/>
    <mergeCell ref="Z663:Z664"/>
    <mergeCell ref="AA663:AA664"/>
    <mergeCell ref="AB663:AB664"/>
    <mergeCell ref="AC663:AC664"/>
    <mergeCell ref="AD663:AD664"/>
    <mergeCell ref="U663:U664"/>
    <mergeCell ref="V663:V664"/>
    <mergeCell ref="W663:W664"/>
    <mergeCell ref="X663:X664"/>
    <mergeCell ref="Y663:Y664"/>
    <mergeCell ref="P663:P664"/>
    <mergeCell ref="Q663:Q664"/>
    <mergeCell ref="R663:R664"/>
    <mergeCell ref="S663:S664"/>
    <mergeCell ref="T663:T664"/>
    <mergeCell ref="AJ667:AJ668"/>
    <mergeCell ref="AK667:AK668"/>
    <mergeCell ref="AL667:AL668"/>
    <mergeCell ref="AM667:AM668"/>
    <mergeCell ref="AN667:AN668"/>
    <mergeCell ref="AE667:AE668"/>
    <mergeCell ref="AF667:AF668"/>
    <mergeCell ref="AG667:AG668"/>
    <mergeCell ref="AH667:AH668"/>
    <mergeCell ref="AI667:AI668"/>
    <mergeCell ref="Z667:Z668"/>
    <mergeCell ref="AA667:AA668"/>
    <mergeCell ref="AB667:AB668"/>
    <mergeCell ref="AC667:AC668"/>
    <mergeCell ref="AD667:AD668"/>
    <mergeCell ref="U667:U668"/>
    <mergeCell ref="V667:V668"/>
    <mergeCell ref="W667:W668"/>
    <mergeCell ref="X667:X668"/>
    <mergeCell ref="Y667:Y668"/>
    <mergeCell ref="P667:P668"/>
    <mergeCell ref="Q667:Q668"/>
    <mergeCell ref="R667:R668"/>
    <mergeCell ref="S667:S668"/>
    <mergeCell ref="T667:T668"/>
    <mergeCell ref="AL665:AL666"/>
    <mergeCell ref="AM665:AM666"/>
    <mergeCell ref="AN665:AN666"/>
    <mergeCell ref="A667:A668"/>
    <mergeCell ref="B667:B668"/>
    <mergeCell ref="D667:D668"/>
    <mergeCell ref="H667:H668"/>
    <mergeCell ref="I667:I668"/>
    <mergeCell ref="J667:J668"/>
    <mergeCell ref="K667:K668"/>
    <mergeCell ref="L667:L668"/>
    <mergeCell ref="M667:M668"/>
    <mergeCell ref="N667:N668"/>
    <mergeCell ref="O667:O668"/>
    <mergeCell ref="AG665:AG666"/>
    <mergeCell ref="AH665:AH666"/>
    <mergeCell ref="AI665:AI666"/>
    <mergeCell ref="AJ665:AJ666"/>
    <mergeCell ref="AK665:AK666"/>
    <mergeCell ref="AB665:AB666"/>
    <mergeCell ref="AC665:AC666"/>
    <mergeCell ref="AD665:AD666"/>
    <mergeCell ref="AE665:AE666"/>
    <mergeCell ref="AF665:AF666"/>
    <mergeCell ref="W665:W666"/>
    <mergeCell ref="X665:X666"/>
    <mergeCell ref="Y665:Y666"/>
    <mergeCell ref="Z665:Z666"/>
    <mergeCell ref="AA665:AA666"/>
    <mergeCell ref="R665:R666"/>
    <mergeCell ref="S665:S666"/>
    <mergeCell ref="T665:T666"/>
    <mergeCell ref="U665:U666"/>
    <mergeCell ref="V665:V666"/>
    <mergeCell ref="M665:M666"/>
    <mergeCell ref="N665:N666"/>
    <mergeCell ref="O665:O666"/>
    <mergeCell ref="P665:P666"/>
    <mergeCell ref="Q665:Q666"/>
    <mergeCell ref="AL669:AL670"/>
    <mergeCell ref="AM669:AM670"/>
    <mergeCell ref="AN669:AN670"/>
    <mergeCell ref="A671:A672"/>
    <mergeCell ref="B671:B672"/>
    <mergeCell ref="D671:D672"/>
    <mergeCell ref="H671:H672"/>
    <mergeCell ref="I671:I672"/>
    <mergeCell ref="J671:J672"/>
    <mergeCell ref="K671:K672"/>
    <mergeCell ref="L671:L672"/>
    <mergeCell ref="M671:M672"/>
    <mergeCell ref="N671:N672"/>
    <mergeCell ref="O671:O672"/>
    <mergeCell ref="AG669:AG670"/>
    <mergeCell ref="AH669:AH670"/>
    <mergeCell ref="AI669:AI670"/>
    <mergeCell ref="AJ669:AJ670"/>
    <mergeCell ref="AK669:AK670"/>
    <mergeCell ref="AB669:AB670"/>
    <mergeCell ref="AC669:AC670"/>
    <mergeCell ref="AD669:AD670"/>
    <mergeCell ref="AE669:AE670"/>
    <mergeCell ref="AF669:AF670"/>
    <mergeCell ref="W669:W670"/>
    <mergeCell ref="X669:X670"/>
    <mergeCell ref="Y669:Y670"/>
    <mergeCell ref="Z669:Z670"/>
    <mergeCell ref="AA669:AA670"/>
    <mergeCell ref="R669:R670"/>
    <mergeCell ref="S669:S670"/>
    <mergeCell ref="T669:T670"/>
    <mergeCell ref="U669:U670"/>
    <mergeCell ref="V669:V670"/>
    <mergeCell ref="M669:M670"/>
    <mergeCell ref="N669:N670"/>
    <mergeCell ref="O669:O670"/>
    <mergeCell ref="P669:P670"/>
    <mergeCell ref="Q669:Q670"/>
    <mergeCell ref="H669:H670"/>
    <mergeCell ref="I669:I670"/>
    <mergeCell ref="J669:J670"/>
    <mergeCell ref="K669:K670"/>
    <mergeCell ref="L669:L670"/>
    <mergeCell ref="A669:A670"/>
    <mergeCell ref="B669:B670"/>
    <mergeCell ref="D669:D670"/>
    <mergeCell ref="H673:H674"/>
    <mergeCell ref="I673:I674"/>
    <mergeCell ref="J673:J674"/>
    <mergeCell ref="K673:K674"/>
    <mergeCell ref="L673:L674"/>
    <mergeCell ref="A673:A674"/>
    <mergeCell ref="B673:B674"/>
    <mergeCell ref="D673:D674"/>
    <mergeCell ref="AJ671:AJ672"/>
    <mergeCell ref="AK671:AK672"/>
    <mergeCell ref="AL671:AL672"/>
    <mergeCell ref="AM671:AM672"/>
    <mergeCell ref="AN671:AN672"/>
    <mergeCell ref="AE671:AE672"/>
    <mergeCell ref="AF671:AF672"/>
    <mergeCell ref="AG671:AG672"/>
    <mergeCell ref="AH671:AH672"/>
    <mergeCell ref="AI671:AI672"/>
    <mergeCell ref="Z671:Z672"/>
    <mergeCell ref="AA671:AA672"/>
    <mergeCell ref="AB671:AB672"/>
    <mergeCell ref="AC671:AC672"/>
    <mergeCell ref="AD671:AD672"/>
    <mergeCell ref="U671:U672"/>
    <mergeCell ref="V671:V672"/>
    <mergeCell ref="W671:W672"/>
    <mergeCell ref="X671:X672"/>
    <mergeCell ref="Y671:Y672"/>
    <mergeCell ref="P671:P672"/>
    <mergeCell ref="Q671:Q672"/>
    <mergeCell ref="R671:R672"/>
    <mergeCell ref="S671:S672"/>
    <mergeCell ref="T671:T672"/>
    <mergeCell ref="AJ675:AJ676"/>
    <mergeCell ref="AK675:AK676"/>
    <mergeCell ref="AL675:AL676"/>
    <mergeCell ref="AM675:AM676"/>
    <mergeCell ref="AN675:AN676"/>
    <mergeCell ref="AE675:AE676"/>
    <mergeCell ref="AF675:AF676"/>
    <mergeCell ref="AG675:AG676"/>
    <mergeCell ref="AH675:AH676"/>
    <mergeCell ref="AI675:AI676"/>
    <mergeCell ref="Z675:Z676"/>
    <mergeCell ref="AA675:AA676"/>
    <mergeCell ref="AB675:AB676"/>
    <mergeCell ref="AC675:AC676"/>
    <mergeCell ref="AD675:AD676"/>
    <mergeCell ref="U675:U676"/>
    <mergeCell ref="V675:V676"/>
    <mergeCell ref="W675:W676"/>
    <mergeCell ref="X675:X676"/>
    <mergeCell ref="Y675:Y676"/>
    <mergeCell ref="P675:P676"/>
    <mergeCell ref="Q675:Q676"/>
    <mergeCell ref="R675:R676"/>
    <mergeCell ref="S675:S676"/>
    <mergeCell ref="T675:T676"/>
    <mergeCell ref="AL673:AL674"/>
    <mergeCell ref="AM673:AM674"/>
    <mergeCell ref="AN673:AN674"/>
    <mergeCell ref="A675:A676"/>
    <mergeCell ref="B675:B676"/>
    <mergeCell ref="D675:D676"/>
    <mergeCell ref="H675:H676"/>
    <mergeCell ref="I675:I676"/>
    <mergeCell ref="J675:J676"/>
    <mergeCell ref="K675:K676"/>
    <mergeCell ref="L675:L676"/>
    <mergeCell ref="M675:M676"/>
    <mergeCell ref="N675:N676"/>
    <mergeCell ref="O675:O676"/>
    <mergeCell ref="AG673:AG674"/>
    <mergeCell ref="AH673:AH674"/>
    <mergeCell ref="AI673:AI674"/>
    <mergeCell ref="AJ673:AJ674"/>
    <mergeCell ref="AK673:AK674"/>
    <mergeCell ref="AB673:AB674"/>
    <mergeCell ref="AC673:AC674"/>
    <mergeCell ref="AD673:AD674"/>
    <mergeCell ref="AE673:AE674"/>
    <mergeCell ref="AF673:AF674"/>
    <mergeCell ref="W673:W674"/>
    <mergeCell ref="X673:X674"/>
    <mergeCell ref="Y673:Y674"/>
    <mergeCell ref="Z673:Z674"/>
    <mergeCell ref="AA673:AA674"/>
    <mergeCell ref="R673:R674"/>
    <mergeCell ref="S673:S674"/>
    <mergeCell ref="T673:T674"/>
    <mergeCell ref="U673:U674"/>
    <mergeCell ref="V673:V674"/>
    <mergeCell ref="M673:M674"/>
    <mergeCell ref="N673:N674"/>
    <mergeCell ref="O673:O674"/>
    <mergeCell ref="P673:P674"/>
    <mergeCell ref="Q673:Q674"/>
    <mergeCell ref="AL677:AL678"/>
    <mergeCell ref="AM677:AM678"/>
    <mergeCell ref="AN677:AN678"/>
    <mergeCell ref="A679:A680"/>
    <mergeCell ref="B679:B680"/>
    <mergeCell ref="D679:D680"/>
    <mergeCell ref="H679:H680"/>
    <mergeCell ref="I679:I680"/>
    <mergeCell ref="J679:J680"/>
    <mergeCell ref="K679:K680"/>
    <mergeCell ref="L679:L680"/>
    <mergeCell ref="M679:M680"/>
    <mergeCell ref="N679:N680"/>
    <mergeCell ref="O679:O680"/>
    <mergeCell ref="AG677:AG678"/>
    <mergeCell ref="AH677:AH678"/>
    <mergeCell ref="AI677:AI678"/>
    <mergeCell ref="AJ677:AJ678"/>
    <mergeCell ref="AK677:AK678"/>
    <mergeCell ref="AB677:AB678"/>
    <mergeCell ref="AC677:AC678"/>
    <mergeCell ref="AD677:AD678"/>
    <mergeCell ref="AE677:AE678"/>
    <mergeCell ref="AF677:AF678"/>
    <mergeCell ref="W677:W678"/>
    <mergeCell ref="X677:X678"/>
    <mergeCell ref="Y677:Y678"/>
    <mergeCell ref="Z677:Z678"/>
    <mergeCell ref="AA677:AA678"/>
    <mergeCell ref="R677:R678"/>
    <mergeCell ref="S677:S678"/>
    <mergeCell ref="T677:T678"/>
    <mergeCell ref="U677:U678"/>
    <mergeCell ref="V677:V678"/>
    <mergeCell ref="M677:M678"/>
    <mergeCell ref="N677:N678"/>
    <mergeCell ref="O677:O678"/>
    <mergeCell ref="P677:P678"/>
    <mergeCell ref="Q677:Q678"/>
    <mergeCell ref="H677:H678"/>
    <mergeCell ref="I677:I678"/>
    <mergeCell ref="J677:J678"/>
    <mergeCell ref="K677:K678"/>
    <mergeCell ref="L677:L678"/>
    <mergeCell ref="A677:A678"/>
    <mergeCell ref="B677:B678"/>
    <mergeCell ref="D677:D678"/>
    <mergeCell ref="H681:H682"/>
    <mergeCell ref="I681:I682"/>
    <mergeCell ref="J681:J682"/>
    <mergeCell ref="K681:K682"/>
    <mergeCell ref="L681:L682"/>
    <mergeCell ref="A681:A682"/>
    <mergeCell ref="B681:B682"/>
    <mergeCell ref="D681:D682"/>
    <mergeCell ref="AJ679:AJ680"/>
    <mergeCell ref="AK679:AK680"/>
    <mergeCell ref="AL679:AL680"/>
    <mergeCell ref="AM679:AM680"/>
    <mergeCell ref="AN679:AN680"/>
    <mergeCell ref="AE679:AE680"/>
    <mergeCell ref="AF679:AF680"/>
    <mergeCell ref="AG679:AG680"/>
    <mergeCell ref="AH679:AH680"/>
    <mergeCell ref="AI679:AI680"/>
    <mergeCell ref="Z679:Z680"/>
    <mergeCell ref="AA679:AA680"/>
    <mergeCell ref="AB679:AB680"/>
    <mergeCell ref="AC679:AC680"/>
    <mergeCell ref="AD679:AD680"/>
    <mergeCell ref="U679:U680"/>
    <mergeCell ref="V679:V680"/>
    <mergeCell ref="W679:W680"/>
    <mergeCell ref="X679:X680"/>
    <mergeCell ref="Y679:Y680"/>
    <mergeCell ref="P679:P680"/>
    <mergeCell ref="Q679:Q680"/>
    <mergeCell ref="R679:R680"/>
    <mergeCell ref="S679:S680"/>
    <mergeCell ref="T679:T680"/>
    <mergeCell ref="AJ683:AJ684"/>
    <mergeCell ref="AK683:AK684"/>
    <mergeCell ref="AL683:AL684"/>
    <mergeCell ref="AM683:AM684"/>
    <mergeCell ref="AN683:AN684"/>
    <mergeCell ref="AE683:AE684"/>
    <mergeCell ref="AF683:AF684"/>
    <mergeCell ref="AG683:AG684"/>
    <mergeCell ref="AH683:AH684"/>
    <mergeCell ref="AI683:AI684"/>
    <mergeCell ref="Z683:Z684"/>
    <mergeCell ref="AA683:AA684"/>
    <mergeCell ref="AB683:AB684"/>
    <mergeCell ref="AC683:AC684"/>
    <mergeCell ref="AD683:AD684"/>
    <mergeCell ref="U683:U684"/>
    <mergeCell ref="V683:V684"/>
    <mergeCell ref="W683:W684"/>
    <mergeCell ref="X683:X684"/>
    <mergeCell ref="Y683:Y684"/>
    <mergeCell ref="P683:P684"/>
    <mergeCell ref="Q683:Q684"/>
    <mergeCell ref="R683:R684"/>
    <mergeCell ref="S683:S684"/>
    <mergeCell ref="T683:T684"/>
    <mergeCell ref="AL681:AL682"/>
    <mergeCell ref="AM681:AM682"/>
    <mergeCell ref="AN681:AN682"/>
    <mergeCell ref="A683:A684"/>
    <mergeCell ref="B683:B684"/>
    <mergeCell ref="D683:D684"/>
    <mergeCell ref="H683:H684"/>
    <mergeCell ref="I683:I684"/>
    <mergeCell ref="J683:J684"/>
    <mergeCell ref="K683:K684"/>
    <mergeCell ref="L683:L684"/>
    <mergeCell ref="M683:M684"/>
    <mergeCell ref="N683:N684"/>
    <mergeCell ref="O683:O684"/>
    <mergeCell ref="AG681:AG682"/>
    <mergeCell ref="AH681:AH682"/>
    <mergeCell ref="AI681:AI682"/>
    <mergeCell ref="AJ681:AJ682"/>
    <mergeCell ref="AK681:AK682"/>
    <mergeCell ref="AB681:AB682"/>
    <mergeCell ref="AC681:AC682"/>
    <mergeCell ref="AD681:AD682"/>
    <mergeCell ref="AE681:AE682"/>
    <mergeCell ref="AF681:AF682"/>
    <mergeCell ref="W681:W682"/>
    <mergeCell ref="X681:X682"/>
    <mergeCell ref="Y681:Y682"/>
    <mergeCell ref="Z681:Z682"/>
    <mergeCell ref="AA681:AA682"/>
    <mergeCell ref="R681:R682"/>
    <mergeCell ref="S681:S682"/>
    <mergeCell ref="T681:T682"/>
    <mergeCell ref="U681:U682"/>
    <mergeCell ref="V681:V682"/>
    <mergeCell ref="M681:M682"/>
    <mergeCell ref="N681:N682"/>
    <mergeCell ref="O681:O682"/>
    <mergeCell ref="P681:P682"/>
    <mergeCell ref="Q681:Q682"/>
    <mergeCell ref="AL685:AL686"/>
    <mergeCell ref="AM685:AM686"/>
    <mergeCell ref="AN685:AN686"/>
    <mergeCell ref="A687:A688"/>
    <mergeCell ref="B687:B688"/>
    <mergeCell ref="D687:D688"/>
    <mergeCell ref="H687:H688"/>
    <mergeCell ref="I687:I688"/>
    <mergeCell ref="J687:J688"/>
    <mergeCell ref="K687:K688"/>
    <mergeCell ref="L687:L688"/>
    <mergeCell ref="M687:M688"/>
    <mergeCell ref="N687:N688"/>
    <mergeCell ref="O687:O688"/>
    <mergeCell ref="AG685:AG686"/>
    <mergeCell ref="AH685:AH686"/>
    <mergeCell ref="AI685:AI686"/>
    <mergeCell ref="AJ685:AJ686"/>
    <mergeCell ref="AK685:AK686"/>
    <mergeCell ref="AB685:AB686"/>
    <mergeCell ref="AC685:AC686"/>
    <mergeCell ref="AD685:AD686"/>
    <mergeCell ref="AE685:AE686"/>
    <mergeCell ref="AF685:AF686"/>
    <mergeCell ref="W685:W686"/>
    <mergeCell ref="X685:X686"/>
    <mergeCell ref="Y685:Y686"/>
    <mergeCell ref="Z685:Z686"/>
    <mergeCell ref="AA685:AA686"/>
    <mergeCell ref="R685:R686"/>
    <mergeCell ref="S685:S686"/>
    <mergeCell ref="T685:T686"/>
    <mergeCell ref="U685:U686"/>
    <mergeCell ref="V685:V686"/>
    <mergeCell ref="M685:M686"/>
    <mergeCell ref="N685:N686"/>
    <mergeCell ref="O685:O686"/>
    <mergeCell ref="P685:P686"/>
    <mergeCell ref="Q685:Q686"/>
    <mergeCell ref="H685:H686"/>
    <mergeCell ref="I685:I686"/>
    <mergeCell ref="J685:J686"/>
    <mergeCell ref="K685:K686"/>
    <mergeCell ref="L685:L686"/>
    <mergeCell ref="A685:A686"/>
    <mergeCell ref="B685:B686"/>
    <mergeCell ref="D685:D686"/>
    <mergeCell ref="H689:H690"/>
    <mergeCell ref="I689:I690"/>
    <mergeCell ref="J689:J690"/>
    <mergeCell ref="K689:K690"/>
    <mergeCell ref="L689:L690"/>
    <mergeCell ref="A689:A690"/>
    <mergeCell ref="B689:B690"/>
    <mergeCell ref="D689:D690"/>
    <mergeCell ref="AJ687:AJ688"/>
    <mergeCell ref="AK687:AK688"/>
    <mergeCell ref="AL687:AL688"/>
    <mergeCell ref="AM687:AM688"/>
    <mergeCell ref="AN687:AN688"/>
    <mergeCell ref="AE687:AE688"/>
    <mergeCell ref="AF687:AF688"/>
    <mergeCell ref="AG687:AG688"/>
    <mergeCell ref="AH687:AH688"/>
    <mergeCell ref="AI687:AI688"/>
    <mergeCell ref="Z687:Z688"/>
    <mergeCell ref="AA687:AA688"/>
    <mergeCell ref="AB687:AB688"/>
    <mergeCell ref="AC687:AC688"/>
    <mergeCell ref="AD687:AD688"/>
    <mergeCell ref="U687:U688"/>
    <mergeCell ref="V687:V688"/>
    <mergeCell ref="W687:W688"/>
    <mergeCell ref="X687:X688"/>
    <mergeCell ref="Y687:Y688"/>
    <mergeCell ref="P687:P688"/>
    <mergeCell ref="Q687:Q688"/>
    <mergeCell ref="R687:R688"/>
    <mergeCell ref="S687:S688"/>
    <mergeCell ref="T687:T688"/>
    <mergeCell ref="AJ691:AJ692"/>
    <mergeCell ref="AK691:AK692"/>
    <mergeCell ref="AL691:AL692"/>
    <mergeCell ref="AM691:AM692"/>
    <mergeCell ref="AN691:AN692"/>
    <mergeCell ref="AE691:AE692"/>
    <mergeCell ref="AF691:AF692"/>
    <mergeCell ref="AG691:AG692"/>
    <mergeCell ref="AH691:AH692"/>
    <mergeCell ref="AI691:AI692"/>
    <mergeCell ref="Z691:Z692"/>
    <mergeCell ref="AA691:AA692"/>
    <mergeCell ref="AB691:AB692"/>
    <mergeCell ref="AC691:AC692"/>
    <mergeCell ref="AD691:AD692"/>
    <mergeCell ref="U691:U692"/>
    <mergeCell ref="V691:V692"/>
    <mergeCell ref="W691:W692"/>
    <mergeCell ref="X691:X692"/>
    <mergeCell ref="Y691:Y692"/>
    <mergeCell ref="P691:P692"/>
    <mergeCell ref="Q691:Q692"/>
    <mergeCell ref="R691:R692"/>
    <mergeCell ref="S691:S692"/>
    <mergeCell ref="T691:T692"/>
    <mergeCell ref="AL689:AL690"/>
    <mergeCell ref="AM689:AM690"/>
    <mergeCell ref="AN689:AN690"/>
    <mergeCell ref="A691:A692"/>
    <mergeCell ref="B691:B692"/>
    <mergeCell ref="D691:D692"/>
    <mergeCell ref="H691:H692"/>
    <mergeCell ref="I691:I692"/>
    <mergeCell ref="J691:J692"/>
    <mergeCell ref="K691:K692"/>
    <mergeCell ref="L691:L692"/>
    <mergeCell ref="M691:M692"/>
    <mergeCell ref="N691:N692"/>
    <mergeCell ref="O691:O692"/>
    <mergeCell ref="AG689:AG690"/>
    <mergeCell ref="AH689:AH690"/>
    <mergeCell ref="AI689:AI690"/>
    <mergeCell ref="AJ689:AJ690"/>
    <mergeCell ref="AK689:AK690"/>
    <mergeCell ref="AB689:AB690"/>
    <mergeCell ref="AC689:AC690"/>
    <mergeCell ref="AD689:AD690"/>
    <mergeCell ref="AE689:AE690"/>
    <mergeCell ref="AF689:AF690"/>
    <mergeCell ref="W689:W690"/>
    <mergeCell ref="X689:X690"/>
    <mergeCell ref="Y689:Y690"/>
    <mergeCell ref="Z689:Z690"/>
    <mergeCell ref="AA689:AA690"/>
    <mergeCell ref="R689:R690"/>
    <mergeCell ref="S689:S690"/>
    <mergeCell ref="T689:T690"/>
    <mergeCell ref="U689:U690"/>
    <mergeCell ref="V689:V690"/>
    <mergeCell ref="M689:M690"/>
    <mergeCell ref="N689:N690"/>
    <mergeCell ref="O689:O690"/>
    <mergeCell ref="P689:P690"/>
    <mergeCell ref="Q689:Q690"/>
    <mergeCell ref="AL693:AL694"/>
    <mergeCell ref="AM693:AM694"/>
    <mergeCell ref="AN693:AN694"/>
    <mergeCell ref="A695:A696"/>
    <mergeCell ref="B695:B696"/>
    <mergeCell ref="D695:D696"/>
    <mergeCell ref="H695:H696"/>
    <mergeCell ref="I695:I696"/>
    <mergeCell ref="J695:J696"/>
    <mergeCell ref="K695:K696"/>
    <mergeCell ref="L695:L696"/>
    <mergeCell ref="M695:M696"/>
    <mergeCell ref="N695:N696"/>
    <mergeCell ref="O695:O696"/>
    <mergeCell ref="AG693:AG694"/>
    <mergeCell ref="AH693:AH694"/>
    <mergeCell ref="AI693:AI694"/>
    <mergeCell ref="AJ693:AJ694"/>
    <mergeCell ref="AK693:AK694"/>
    <mergeCell ref="AB693:AB694"/>
    <mergeCell ref="AC693:AC694"/>
    <mergeCell ref="AD693:AD694"/>
    <mergeCell ref="AE693:AE694"/>
    <mergeCell ref="AF693:AF694"/>
    <mergeCell ref="W693:W694"/>
    <mergeCell ref="X693:X694"/>
    <mergeCell ref="Y693:Y694"/>
    <mergeCell ref="Z693:Z694"/>
    <mergeCell ref="AA693:AA694"/>
    <mergeCell ref="R693:R694"/>
    <mergeCell ref="S693:S694"/>
    <mergeCell ref="T693:T694"/>
    <mergeCell ref="U693:U694"/>
    <mergeCell ref="V693:V694"/>
    <mergeCell ref="M693:M694"/>
    <mergeCell ref="N693:N694"/>
    <mergeCell ref="O693:O694"/>
    <mergeCell ref="P693:P694"/>
    <mergeCell ref="Q693:Q694"/>
    <mergeCell ref="H693:H694"/>
    <mergeCell ref="I693:I694"/>
    <mergeCell ref="J693:J694"/>
    <mergeCell ref="K693:K694"/>
    <mergeCell ref="L693:L694"/>
    <mergeCell ref="A693:A694"/>
    <mergeCell ref="B693:B694"/>
    <mergeCell ref="D693:D694"/>
    <mergeCell ref="H697:H698"/>
    <mergeCell ref="I697:I698"/>
    <mergeCell ref="J697:J698"/>
    <mergeCell ref="K697:K698"/>
    <mergeCell ref="L697:L698"/>
    <mergeCell ref="A697:A698"/>
    <mergeCell ref="B697:B698"/>
    <mergeCell ref="D697:D698"/>
    <mergeCell ref="AJ695:AJ696"/>
    <mergeCell ref="AK695:AK696"/>
    <mergeCell ref="AL695:AL696"/>
    <mergeCell ref="AM695:AM696"/>
    <mergeCell ref="AN695:AN696"/>
    <mergeCell ref="AE695:AE696"/>
    <mergeCell ref="AF695:AF696"/>
    <mergeCell ref="AG695:AG696"/>
    <mergeCell ref="AH695:AH696"/>
    <mergeCell ref="AI695:AI696"/>
    <mergeCell ref="Z695:Z696"/>
    <mergeCell ref="AA695:AA696"/>
    <mergeCell ref="AB695:AB696"/>
    <mergeCell ref="AC695:AC696"/>
    <mergeCell ref="AD695:AD696"/>
    <mergeCell ref="U695:U696"/>
    <mergeCell ref="V695:V696"/>
    <mergeCell ref="W695:W696"/>
    <mergeCell ref="X695:X696"/>
    <mergeCell ref="Y695:Y696"/>
    <mergeCell ref="P695:P696"/>
    <mergeCell ref="Q695:Q696"/>
    <mergeCell ref="R695:R696"/>
    <mergeCell ref="S695:S696"/>
    <mergeCell ref="T695:T696"/>
    <mergeCell ref="AJ699:AJ700"/>
    <mergeCell ref="AK699:AK700"/>
    <mergeCell ref="AL699:AL700"/>
    <mergeCell ref="AM699:AM700"/>
    <mergeCell ref="AN699:AN700"/>
    <mergeCell ref="AE699:AE700"/>
    <mergeCell ref="AF699:AF700"/>
    <mergeCell ref="AG699:AG700"/>
    <mergeCell ref="AH699:AH700"/>
    <mergeCell ref="AI699:AI700"/>
    <mergeCell ref="Z699:Z700"/>
    <mergeCell ref="AA699:AA700"/>
    <mergeCell ref="AB699:AB700"/>
    <mergeCell ref="AC699:AC700"/>
    <mergeCell ref="AD699:AD700"/>
    <mergeCell ref="U699:U700"/>
    <mergeCell ref="V699:V700"/>
    <mergeCell ref="W699:W700"/>
    <mergeCell ref="X699:X700"/>
    <mergeCell ref="Y699:Y700"/>
    <mergeCell ref="P699:P700"/>
    <mergeCell ref="Q699:Q700"/>
    <mergeCell ref="R699:R700"/>
    <mergeCell ref="S699:S700"/>
    <mergeCell ref="T699:T700"/>
    <mergeCell ref="AL697:AL698"/>
    <mergeCell ref="AM697:AM698"/>
    <mergeCell ref="AN697:AN698"/>
    <mergeCell ref="A699:A700"/>
    <mergeCell ref="B699:B700"/>
    <mergeCell ref="D699:D700"/>
    <mergeCell ref="H699:H700"/>
    <mergeCell ref="I699:I700"/>
    <mergeCell ref="J699:J700"/>
    <mergeCell ref="K699:K700"/>
    <mergeCell ref="L699:L700"/>
    <mergeCell ref="M699:M700"/>
    <mergeCell ref="N699:N700"/>
    <mergeCell ref="O699:O700"/>
    <mergeCell ref="AG697:AG698"/>
    <mergeCell ref="AH697:AH698"/>
    <mergeCell ref="AI697:AI698"/>
    <mergeCell ref="AJ697:AJ698"/>
    <mergeCell ref="AK697:AK698"/>
    <mergeCell ref="AB697:AB698"/>
    <mergeCell ref="AC697:AC698"/>
    <mergeCell ref="AD697:AD698"/>
    <mergeCell ref="AE697:AE698"/>
    <mergeCell ref="AF697:AF698"/>
    <mergeCell ref="W697:W698"/>
    <mergeCell ref="X697:X698"/>
    <mergeCell ref="Y697:Y698"/>
    <mergeCell ref="Z697:Z698"/>
    <mergeCell ref="AA697:AA698"/>
    <mergeCell ref="R697:R698"/>
    <mergeCell ref="S697:S698"/>
    <mergeCell ref="T697:T698"/>
    <mergeCell ref="U697:U698"/>
    <mergeCell ref="V697:V698"/>
    <mergeCell ref="M697:M698"/>
    <mergeCell ref="N697:N698"/>
    <mergeCell ref="O697:O698"/>
    <mergeCell ref="P697:P698"/>
    <mergeCell ref="Q697:Q698"/>
    <mergeCell ref="AL701:AL702"/>
    <mergeCell ref="AM701:AM702"/>
    <mergeCell ref="AN701:AN702"/>
    <mergeCell ref="A703:A704"/>
    <mergeCell ref="B703:B704"/>
    <mergeCell ref="D703:D704"/>
    <mergeCell ref="H703:H704"/>
    <mergeCell ref="I703:I704"/>
    <mergeCell ref="J703:J704"/>
    <mergeCell ref="K703:K704"/>
    <mergeCell ref="L703:L704"/>
    <mergeCell ref="M703:M704"/>
    <mergeCell ref="N703:N704"/>
    <mergeCell ref="O703:O704"/>
    <mergeCell ref="AG701:AG702"/>
    <mergeCell ref="AH701:AH702"/>
    <mergeCell ref="AI701:AI702"/>
    <mergeCell ref="AJ701:AJ702"/>
    <mergeCell ref="AK701:AK702"/>
    <mergeCell ref="AB701:AB702"/>
    <mergeCell ref="AC701:AC702"/>
    <mergeCell ref="AD701:AD702"/>
    <mergeCell ref="AE701:AE702"/>
    <mergeCell ref="AF701:AF702"/>
    <mergeCell ref="W701:W702"/>
    <mergeCell ref="X701:X702"/>
    <mergeCell ref="Y701:Y702"/>
    <mergeCell ref="Z701:Z702"/>
    <mergeCell ref="AA701:AA702"/>
    <mergeCell ref="R701:R702"/>
    <mergeCell ref="S701:S702"/>
    <mergeCell ref="T701:T702"/>
    <mergeCell ref="U701:U702"/>
    <mergeCell ref="V701:V702"/>
    <mergeCell ref="M701:M702"/>
    <mergeCell ref="N701:N702"/>
    <mergeCell ref="O701:O702"/>
    <mergeCell ref="P701:P702"/>
    <mergeCell ref="Q701:Q702"/>
    <mergeCell ref="H701:H702"/>
    <mergeCell ref="I701:I702"/>
    <mergeCell ref="J701:J702"/>
    <mergeCell ref="K701:K702"/>
    <mergeCell ref="L701:L702"/>
    <mergeCell ref="A701:A702"/>
    <mergeCell ref="B701:B702"/>
    <mergeCell ref="D701:D702"/>
    <mergeCell ref="H705:H706"/>
    <mergeCell ref="I705:I706"/>
    <mergeCell ref="J705:J706"/>
    <mergeCell ref="K705:K706"/>
    <mergeCell ref="L705:L706"/>
    <mergeCell ref="A705:A706"/>
    <mergeCell ref="B705:B706"/>
    <mergeCell ref="D705:D706"/>
    <mergeCell ref="AJ703:AJ704"/>
    <mergeCell ref="AK703:AK704"/>
    <mergeCell ref="AL703:AL704"/>
    <mergeCell ref="AM703:AM704"/>
    <mergeCell ref="AN703:AN704"/>
    <mergeCell ref="AE703:AE704"/>
    <mergeCell ref="AF703:AF704"/>
    <mergeCell ref="AG703:AG704"/>
    <mergeCell ref="AH703:AH704"/>
    <mergeCell ref="AI703:AI704"/>
    <mergeCell ref="Z703:Z704"/>
    <mergeCell ref="AA703:AA704"/>
    <mergeCell ref="AB703:AB704"/>
    <mergeCell ref="AC703:AC704"/>
    <mergeCell ref="AD703:AD704"/>
    <mergeCell ref="U703:U704"/>
    <mergeCell ref="V703:V704"/>
    <mergeCell ref="W703:W704"/>
    <mergeCell ref="X703:X704"/>
    <mergeCell ref="Y703:Y704"/>
    <mergeCell ref="P703:P704"/>
    <mergeCell ref="Q703:Q704"/>
    <mergeCell ref="R703:R704"/>
    <mergeCell ref="S703:S704"/>
    <mergeCell ref="T703:T704"/>
    <mergeCell ref="AJ707:AJ708"/>
    <mergeCell ref="AK707:AK708"/>
    <mergeCell ref="AL707:AL708"/>
    <mergeCell ref="AM707:AM708"/>
    <mergeCell ref="AN707:AN708"/>
    <mergeCell ref="AE707:AE708"/>
    <mergeCell ref="AF707:AF708"/>
    <mergeCell ref="AG707:AG708"/>
    <mergeCell ref="AH707:AH708"/>
    <mergeCell ref="AI707:AI708"/>
    <mergeCell ref="Z707:Z708"/>
    <mergeCell ref="AA707:AA708"/>
    <mergeCell ref="AB707:AB708"/>
    <mergeCell ref="AC707:AC708"/>
    <mergeCell ref="AD707:AD708"/>
    <mergeCell ref="U707:U708"/>
    <mergeCell ref="V707:V708"/>
    <mergeCell ref="W707:W708"/>
    <mergeCell ref="X707:X708"/>
    <mergeCell ref="Y707:Y708"/>
    <mergeCell ref="P707:P708"/>
    <mergeCell ref="Q707:Q708"/>
    <mergeCell ref="R707:R708"/>
    <mergeCell ref="S707:S708"/>
    <mergeCell ref="T707:T708"/>
    <mergeCell ref="AL705:AL706"/>
    <mergeCell ref="AM705:AM706"/>
    <mergeCell ref="AN705:AN706"/>
    <mergeCell ref="A707:A708"/>
    <mergeCell ref="B707:B708"/>
    <mergeCell ref="D707:D708"/>
    <mergeCell ref="H707:H708"/>
    <mergeCell ref="I707:I708"/>
    <mergeCell ref="J707:J708"/>
    <mergeCell ref="K707:K708"/>
    <mergeCell ref="L707:L708"/>
    <mergeCell ref="M707:M708"/>
    <mergeCell ref="N707:N708"/>
    <mergeCell ref="O707:O708"/>
    <mergeCell ref="AG705:AG706"/>
    <mergeCell ref="AH705:AH706"/>
    <mergeCell ref="AI705:AI706"/>
    <mergeCell ref="AJ705:AJ706"/>
    <mergeCell ref="AK705:AK706"/>
    <mergeCell ref="AB705:AB706"/>
    <mergeCell ref="AC705:AC706"/>
    <mergeCell ref="AD705:AD706"/>
    <mergeCell ref="AE705:AE706"/>
    <mergeCell ref="AF705:AF706"/>
    <mergeCell ref="W705:W706"/>
    <mergeCell ref="X705:X706"/>
    <mergeCell ref="Y705:Y706"/>
    <mergeCell ref="Z705:Z706"/>
    <mergeCell ref="AA705:AA706"/>
    <mergeCell ref="R705:R706"/>
    <mergeCell ref="S705:S706"/>
    <mergeCell ref="T705:T706"/>
    <mergeCell ref="U705:U706"/>
    <mergeCell ref="V705:V706"/>
    <mergeCell ref="M705:M706"/>
    <mergeCell ref="N705:N706"/>
    <mergeCell ref="O705:O706"/>
    <mergeCell ref="P705:P706"/>
    <mergeCell ref="Q705:Q706"/>
    <mergeCell ref="AL709:AL710"/>
    <mergeCell ref="AM709:AM710"/>
    <mergeCell ref="AN709:AN710"/>
    <mergeCell ref="A711:A712"/>
    <mergeCell ref="B711:B712"/>
    <mergeCell ref="D711:D712"/>
    <mergeCell ref="H711:H712"/>
    <mergeCell ref="I711:I712"/>
    <mergeCell ref="J711:J712"/>
    <mergeCell ref="K711:K712"/>
    <mergeCell ref="L711:L712"/>
    <mergeCell ref="M711:M712"/>
    <mergeCell ref="N711:N712"/>
    <mergeCell ref="O711:O712"/>
    <mergeCell ref="AG709:AG710"/>
    <mergeCell ref="AH709:AH710"/>
    <mergeCell ref="AI709:AI710"/>
    <mergeCell ref="AJ709:AJ710"/>
    <mergeCell ref="AK709:AK710"/>
    <mergeCell ref="AB709:AB710"/>
    <mergeCell ref="AC709:AC710"/>
    <mergeCell ref="AD709:AD710"/>
    <mergeCell ref="AE709:AE710"/>
    <mergeCell ref="AF709:AF710"/>
    <mergeCell ref="W709:W710"/>
    <mergeCell ref="X709:X710"/>
    <mergeCell ref="Y709:Y710"/>
    <mergeCell ref="Z709:Z710"/>
    <mergeCell ref="AA709:AA710"/>
    <mergeCell ref="R709:R710"/>
    <mergeCell ref="S709:S710"/>
    <mergeCell ref="T709:T710"/>
    <mergeCell ref="U709:U710"/>
    <mergeCell ref="V709:V710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A709:A710"/>
    <mergeCell ref="B709:B710"/>
    <mergeCell ref="D709:D710"/>
    <mergeCell ref="H713:H714"/>
    <mergeCell ref="I713:I714"/>
    <mergeCell ref="J713:J714"/>
    <mergeCell ref="K713:K714"/>
    <mergeCell ref="L713:L714"/>
    <mergeCell ref="A713:A714"/>
    <mergeCell ref="B713:B714"/>
    <mergeCell ref="D713:D714"/>
    <mergeCell ref="AJ711:AJ712"/>
    <mergeCell ref="AK711:AK712"/>
    <mergeCell ref="AL711:AL712"/>
    <mergeCell ref="AM711:AM712"/>
    <mergeCell ref="AN711:AN712"/>
    <mergeCell ref="AE711:AE712"/>
    <mergeCell ref="AF711:AF712"/>
    <mergeCell ref="AG711:AG712"/>
    <mergeCell ref="AH711:AH712"/>
    <mergeCell ref="AI711:AI712"/>
    <mergeCell ref="Z711:Z712"/>
    <mergeCell ref="AA711:AA712"/>
    <mergeCell ref="AB711:AB712"/>
    <mergeCell ref="AC711:AC712"/>
    <mergeCell ref="AD711:AD712"/>
    <mergeCell ref="U711:U712"/>
    <mergeCell ref="V711:V712"/>
    <mergeCell ref="W711:W712"/>
    <mergeCell ref="X711:X712"/>
    <mergeCell ref="Y711:Y712"/>
    <mergeCell ref="P711:P712"/>
    <mergeCell ref="Q711:Q712"/>
    <mergeCell ref="R711:R712"/>
    <mergeCell ref="S711:S712"/>
    <mergeCell ref="T711:T712"/>
    <mergeCell ref="AJ715:AJ716"/>
    <mergeCell ref="AK715:AK716"/>
    <mergeCell ref="AL715:AL716"/>
    <mergeCell ref="AM715:AM716"/>
    <mergeCell ref="AN715:AN716"/>
    <mergeCell ref="AE715:AE716"/>
    <mergeCell ref="AF715:AF716"/>
    <mergeCell ref="AG715:AG716"/>
    <mergeCell ref="AH715:AH716"/>
    <mergeCell ref="AI715:AI716"/>
    <mergeCell ref="Z715:Z716"/>
    <mergeCell ref="AA715:AA716"/>
    <mergeCell ref="AB715:AB716"/>
    <mergeCell ref="AC715:AC716"/>
    <mergeCell ref="AD715:AD716"/>
    <mergeCell ref="U715:U716"/>
    <mergeCell ref="V715:V716"/>
    <mergeCell ref="W715:W716"/>
    <mergeCell ref="X715:X716"/>
    <mergeCell ref="Y715:Y716"/>
    <mergeCell ref="P715:P716"/>
    <mergeCell ref="Q715:Q716"/>
    <mergeCell ref="R715:R716"/>
    <mergeCell ref="S715:S716"/>
    <mergeCell ref="T715:T716"/>
    <mergeCell ref="AL713:AL714"/>
    <mergeCell ref="AM713:AM714"/>
    <mergeCell ref="AN713:AN714"/>
    <mergeCell ref="A715:A716"/>
    <mergeCell ref="B715:B716"/>
    <mergeCell ref="D715:D716"/>
    <mergeCell ref="H715:H716"/>
    <mergeCell ref="I715:I716"/>
    <mergeCell ref="J715:J716"/>
    <mergeCell ref="K715:K716"/>
    <mergeCell ref="L715:L716"/>
    <mergeCell ref="M715:M716"/>
    <mergeCell ref="N715:N716"/>
    <mergeCell ref="O715:O716"/>
    <mergeCell ref="AG713:AG714"/>
    <mergeCell ref="AH713:AH714"/>
    <mergeCell ref="AI713:AI714"/>
    <mergeCell ref="AJ713:AJ714"/>
    <mergeCell ref="AK713:AK714"/>
    <mergeCell ref="AB713:AB714"/>
    <mergeCell ref="AC713:AC714"/>
    <mergeCell ref="AD713:AD714"/>
    <mergeCell ref="AE713:AE714"/>
    <mergeCell ref="AF713:AF714"/>
    <mergeCell ref="W713:W714"/>
    <mergeCell ref="X713:X714"/>
    <mergeCell ref="Y713:Y714"/>
    <mergeCell ref="Z713:Z714"/>
    <mergeCell ref="AA713:AA714"/>
    <mergeCell ref="R713:R714"/>
    <mergeCell ref="S713:S714"/>
    <mergeCell ref="T713:T714"/>
    <mergeCell ref="U713:U714"/>
    <mergeCell ref="V713:V714"/>
    <mergeCell ref="M713:M714"/>
    <mergeCell ref="N713:N714"/>
    <mergeCell ref="O713:O714"/>
    <mergeCell ref="P713:P714"/>
    <mergeCell ref="Q713:Q714"/>
    <mergeCell ref="AL717:AL718"/>
    <mergeCell ref="AM717:AM718"/>
    <mergeCell ref="AN717:AN718"/>
    <mergeCell ref="A719:A720"/>
    <mergeCell ref="B719:B720"/>
    <mergeCell ref="D719:D720"/>
    <mergeCell ref="H719:H720"/>
    <mergeCell ref="I719:I720"/>
    <mergeCell ref="J719:J720"/>
    <mergeCell ref="K719:K720"/>
    <mergeCell ref="L719:L720"/>
    <mergeCell ref="M719:M720"/>
    <mergeCell ref="N719:N720"/>
    <mergeCell ref="O719:O720"/>
    <mergeCell ref="AG717:AG718"/>
    <mergeCell ref="AH717:AH718"/>
    <mergeCell ref="AI717:AI718"/>
    <mergeCell ref="AJ717:AJ718"/>
    <mergeCell ref="AK717:AK718"/>
    <mergeCell ref="AB717:AB718"/>
    <mergeCell ref="AC717:AC718"/>
    <mergeCell ref="AD717:AD718"/>
    <mergeCell ref="AE717:AE718"/>
    <mergeCell ref="AF717:AF718"/>
    <mergeCell ref="W717:W718"/>
    <mergeCell ref="X717:X718"/>
    <mergeCell ref="Y717:Y718"/>
    <mergeCell ref="Z717:Z718"/>
    <mergeCell ref="AA717:AA718"/>
    <mergeCell ref="R717:R718"/>
    <mergeCell ref="S717:S718"/>
    <mergeCell ref="T717:T718"/>
    <mergeCell ref="U717:U718"/>
    <mergeCell ref="V717:V718"/>
    <mergeCell ref="M717:M718"/>
    <mergeCell ref="N717:N718"/>
    <mergeCell ref="O717:O718"/>
    <mergeCell ref="P717:P718"/>
    <mergeCell ref="Q717:Q718"/>
    <mergeCell ref="H717:H718"/>
    <mergeCell ref="I717:I718"/>
    <mergeCell ref="J717:J718"/>
    <mergeCell ref="K717:K718"/>
    <mergeCell ref="L717:L718"/>
    <mergeCell ref="A717:A718"/>
    <mergeCell ref="B717:B718"/>
    <mergeCell ref="D717:D718"/>
    <mergeCell ref="H721:H722"/>
    <mergeCell ref="I721:I722"/>
    <mergeCell ref="J721:J722"/>
    <mergeCell ref="K721:K722"/>
    <mergeCell ref="L721:L722"/>
    <mergeCell ref="A721:A722"/>
    <mergeCell ref="B721:B722"/>
    <mergeCell ref="D721:D722"/>
    <mergeCell ref="AJ719:AJ720"/>
    <mergeCell ref="AK719:AK720"/>
    <mergeCell ref="AL719:AL720"/>
    <mergeCell ref="AM719:AM720"/>
    <mergeCell ref="AN719:AN720"/>
    <mergeCell ref="AE719:AE720"/>
    <mergeCell ref="AF719:AF720"/>
    <mergeCell ref="AG719:AG720"/>
    <mergeCell ref="AH719:AH720"/>
    <mergeCell ref="AI719:AI720"/>
    <mergeCell ref="Z719:Z720"/>
    <mergeCell ref="AA719:AA720"/>
    <mergeCell ref="AB719:AB720"/>
    <mergeCell ref="AC719:AC720"/>
    <mergeCell ref="AD719:AD720"/>
    <mergeCell ref="U719:U720"/>
    <mergeCell ref="V719:V720"/>
    <mergeCell ref="W719:W720"/>
    <mergeCell ref="X719:X720"/>
    <mergeCell ref="Y719:Y720"/>
    <mergeCell ref="P719:P720"/>
    <mergeCell ref="Q719:Q720"/>
    <mergeCell ref="R719:R720"/>
    <mergeCell ref="S719:S720"/>
    <mergeCell ref="T719:T720"/>
    <mergeCell ref="AJ723:AJ724"/>
    <mergeCell ref="AK723:AK724"/>
    <mergeCell ref="AL723:AL724"/>
    <mergeCell ref="AM723:AM724"/>
    <mergeCell ref="AN723:AN724"/>
    <mergeCell ref="AE723:AE724"/>
    <mergeCell ref="AF723:AF724"/>
    <mergeCell ref="AG723:AG724"/>
    <mergeCell ref="AH723:AH724"/>
    <mergeCell ref="AI723:AI724"/>
    <mergeCell ref="Z723:Z724"/>
    <mergeCell ref="AA723:AA724"/>
    <mergeCell ref="AB723:AB724"/>
    <mergeCell ref="AC723:AC724"/>
    <mergeCell ref="AD723:AD724"/>
    <mergeCell ref="U723:U724"/>
    <mergeCell ref="V723:V724"/>
    <mergeCell ref="W723:W724"/>
    <mergeCell ref="X723:X724"/>
    <mergeCell ref="Y723:Y724"/>
    <mergeCell ref="P723:P724"/>
    <mergeCell ref="Q723:Q724"/>
    <mergeCell ref="R723:R724"/>
    <mergeCell ref="S723:S724"/>
    <mergeCell ref="T723:T724"/>
    <mergeCell ref="AL721:AL722"/>
    <mergeCell ref="AM721:AM722"/>
    <mergeCell ref="AN721:AN722"/>
    <mergeCell ref="A723:A724"/>
    <mergeCell ref="B723:B724"/>
    <mergeCell ref="D723:D724"/>
    <mergeCell ref="H723:H724"/>
    <mergeCell ref="I723:I724"/>
    <mergeCell ref="J723:J724"/>
    <mergeCell ref="K723:K724"/>
    <mergeCell ref="L723:L724"/>
    <mergeCell ref="M723:M724"/>
    <mergeCell ref="N723:N724"/>
    <mergeCell ref="O723:O724"/>
    <mergeCell ref="AG721:AG722"/>
    <mergeCell ref="AH721:AH722"/>
    <mergeCell ref="AI721:AI722"/>
    <mergeCell ref="AJ721:AJ722"/>
    <mergeCell ref="AK721:AK722"/>
    <mergeCell ref="AB721:AB722"/>
    <mergeCell ref="AC721:AC722"/>
    <mergeCell ref="AD721:AD722"/>
    <mergeCell ref="AE721:AE722"/>
    <mergeCell ref="AF721:AF722"/>
    <mergeCell ref="W721:W722"/>
    <mergeCell ref="X721:X722"/>
    <mergeCell ref="Y721:Y722"/>
    <mergeCell ref="Z721:Z722"/>
    <mergeCell ref="AA721:AA722"/>
    <mergeCell ref="R721:R722"/>
    <mergeCell ref="S721:S722"/>
    <mergeCell ref="T721:T722"/>
    <mergeCell ref="U721:U722"/>
    <mergeCell ref="V721:V722"/>
    <mergeCell ref="M721:M722"/>
    <mergeCell ref="N721:N722"/>
    <mergeCell ref="O721:O722"/>
    <mergeCell ref="P721:P722"/>
    <mergeCell ref="Q721:Q722"/>
    <mergeCell ref="AL725:AL726"/>
    <mergeCell ref="AM725:AM726"/>
    <mergeCell ref="AN725:AN726"/>
    <mergeCell ref="A727:A728"/>
    <mergeCell ref="B727:B728"/>
    <mergeCell ref="D727:D728"/>
    <mergeCell ref="H727:H728"/>
    <mergeCell ref="I727:I728"/>
    <mergeCell ref="J727:J728"/>
    <mergeCell ref="K727:K728"/>
    <mergeCell ref="L727:L728"/>
    <mergeCell ref="M727:M728"/>
    <mergeCell ref="N727:N728"/>
    <mergeCell ref="O727:O728"/>
    <mergeCell ref="AG725:AG726"/>
    <mergeCell ref="AH725:AH726"/>
    <mergeCell ref="AI725:AI726"/>
    <mergeCell ref="AJ725:AJ726"/>
    <mergeCell ref="AK725:AK726"/>
    <mergeCell ref="AB725:AB726"/>
    <mergeCell ref="AC725:AC726"/>
    <mergeCell ref="AD725:AD726"/>
    <mergeCell ref="AE725:AE726"/>
    <mergeCell ref="AF725:AF726"/>
    <mergeCell ref="W725:W726"/>
    <mergeCell ref="X725:X726"/>
    <mergeCell ref="Y725:Y726"/>
    <mergeCell ref="Z725:Z726"/>
    <mergeCell ref="AA725:AA726"/>
    <mergeCell ref="R725:R726"/>
    <mergeCell ref="S725:S726"/>
    <mergeCell ref="T725:T726"/>
    <mergeCell ref="U725:U726"/>
    <mergeCell ref="V725:V726"/>
    <mergeCell ref="M725:M726"/>
    <mergeCell ref="N725:N726"/>
    <mergeCell ref="O725:O726"/>
    <mergeCell ref="P725:P726"/>
    <mergeCell ref="Q725:Q726"/>
    <mergeCell ref="H725:H726"/>
    <mergeCell ref="I725:I726"/>
    <mergeCell ref="J725:J726"/>
    <mergeCell ref="K725:K726"/>
    <mergeCell ref="L725:L726"/>
    <mergeCell ref="A725:A726"/>
    <mergeCell ref="B725:B726"/>
    <mergeCell ref="D725:D726"/>
    <mergeCell ref="H729:H730"/>
    <mergeCell ref="I729:I730"/>
    <mergeCell ref="J729:J730"/>
    <mergeCell ref="K729:K730"/>
    <mergeCell ref="L729:L730"/>
    <mergeCell ref="A729:A730"/>
    <mergeCell ref="B729:B730"/>
    <mergeCell ref="D729:D730"/>
    <mergeCell ref="AJ727:AJ728"/>
    <mergeCell ref="AK727:AK728"/>
    <mergeCell ref="AL727:AL728"/>
    <mergeCell ref="AM727:AM728"/>
    <mergeCell ref="AN727:AN728"/>
    <mergeCell ref="AE727:AE728"/>
    <mergeCell ref="AF727:AF728"/>
    <mergeCell ref="AG727:AG728"/>
    <mergeCell ref="AH727:AH728"/>
    <mergeCell ref="AI727:AI728"/>
    <mergeCell ref="Z727:Z728"/>
    <mergeCell ref="AA727:AA728"/>
    <mergeCell ref="AB727:AB728"/>
    <mergeCell ref="AC727:AC728"/>
    <mergeCell ref="AD727:AD728"/>
    <mergeCell ref="U727:U728"/>
    <mergeCell ref="V727:V728"/>
    <mergeCell ref="W727:W728"/>
    <mergeCell ref="X727:X728"/>
    <mergeCell ref="Y727:Y728"/>
    <mergeCell ref="P727:P728"/>
    <mergeCell ref="Q727:Q728"/>
    <mergeCell ref="R727:R728"/>
    <mergeCell ref="S727:S728"/>
    <mergeCell ref="T727:T728"/>
    <mergeCell ref="AJ731:AJ732"/>
    <mergeCell ref="AK731:AK732"/>
    <mergeCell ref="AL731:AL732"/>
    <mergeCell ref="AM731:AM732"/>
    <mergeCell ref="AN731:AN732"/>
    <mergeCell ref="AE731:AE732"/>
    <mergeCell ref="AF731:AF732"/>
    <mergeCell ref="AG731:AG732"/>
    <mergeCell ref="AH731:AH732"/>
    <mergeCell ref="AI731:AI732"/>
    <mergeCell ref="Z731:Z732"/>
    <mergeCell ref="AA731:AA732"/>
    <mergeCell ref="AB731:AB732"/>
    <mergeCell ref="AC731:AC732"/>
    <mergeCell ref="AD731:AD732"/>
    <mergeCell ref="U731:U732"/>
    <mergeCell ref="V731:V732"/>
    <mergeCell ref="W731:W732"/>
    <mergeCell ref="X731:X732"/>
    <mergeCell ref="Y731:Y732"/>
    <mergeCell ref="P731:P732"/>
    <mergeCell ref="Q731:Q732"/>
    <mergeCell ref="R731:R732"/>
    <mergeCell ref="S731:S732"/>
    <mergeCell ref="T731:T732"/>
    <mergeCell ref="AL729:AL730"/>
    <mergeCell ref="AM729:AM730"/>
    <mergeCell ref="AN729:AN730"/>
    <mergeCell ref="A731:A732"/>
    <mergeCell ref="B731:B732"/>
    <mergeCell ref="D731:D732"/>
    <mergeCell ref="H731:H732"/>
    <mergeCell ref="I731:I732"/>
    <mergeCell ref="J731:J732"/>
    <mergeCell ref="K731:K732"/>
    <mergeCell ref="L731:L732"/>
    <mergeCell ref="M731:M732"/>
    <mergeCell ref="N731:N732"/>
    <mergeCell ref="O731:O732"/>
    <mergeCell ref="AG729:AG730"/>
    <mergeCell ref="AH729:AH730"/>
    <mergeCell ref="AI729:AI730"/>
    <mergeCell ref="AJ729:AJ730"/>
    <mergeCell ref="AK729:AK730"/>
    <mergeCell ref="AB729:AB730"/>
    <mergeCell ref="AC729:AC730"/>
    <mergeCell ref="AD729:AD730"/>
    <mergeCell ref="AE729:AE730"/>
    <mergeCell ref="AF729:AF730"/>
    <mergeCell ref="W729:W730"/>
    <mergeCell ref="X729:X730"/>
    <mergeCell ref="Y729:Y730"/>
    <mergeCell ref="Z729:Z730"/>
    <mergeCell ref="AA729:AA730"/>
    <mergeCell ref="R729:R730"/>
    <mergeCell ref="S729:S730"/>
    <mergeCell ref="T729:T730"/>
    <mergeCell ref="U729:U730"/>
    <mergeCell ref="V729:V730"/>
    <mergeCell ref="M729:M730"/>
    <mergeCell ref="N729:N730"/>
    <mergeCell ref="O729:O730"/>
    <mergeCell ref="P729:P730"/>
    <mergeCell ref="Q729:Q730"/>
    <mergeCell ref="AL733:AL734"/>
    <mergeCell ref="AM733:AM734"/>
    <mergeCell ref="AN733:AN734"/>
    <mergeCell ref="A735:A736"/>
    <mergeCell ref="B735:B736"/>
    <mergeCell ref="D735:D736"/>
    <mergeCell ref="H735:H736"/>
    <mergeCell ref="I735:I736"/>
    <mergeCell ref="J735:J736"/>
    <mergeCell ref="K735:K736"/>
    <mergeCell ref="L735:L736"/>
    <mergeCell ref="M735:M736"/>
    <mergeCell ref="N735:N736"/>
    <mergeCell ref="O735:O736"/>
    <mergeCell ref="AG733:AG734"/>
    <mergeCell ref="AH733:AH734"/>
    <mergeCell ref="AI733:AI734"/>
    <mergeCell ref="AJ733:AJ734"/>
    <mergeCell ref="AK733:AK734"/>
    <mergeCell ref="AB733:AB734"/>
    <mergeCell ref="AC733:AC734"/>
    <mergeCell ref="AD733:AD734"/>
    <mergeCell ref="AE733:AE734"/>
    <mergeCell ref="AF733:AF734"/>
    <mergeCell ref="W733:W734"/>
    <mergeCell ref="X733:X734"/>
    <mergeCell ref="Y733:Y734"/>
    <mergeCell ref="Z733:Z734"/>
    <mergeCell ref="AA733:AA734"/>
    <mergeCell ref="R733:R734"/>
    <mergeCell ref="S733:S734"/>
    <mergeCell ref="T733:T734"/>
    <mergeCell ref="U733:U734"/>
    <mergeCell ref="V733:V734"/>
    <mergeCell ref="M733:M734"/>
    <mergeCell ref="N733:N734"/>
    <mergeCell ref="O733:O734"/>
    <mergeCell ref="P733:P734"/>
    <mergeCell ref="Q733:Q734"/>
    <mergeCell ref="H733:H734"/>
    <mergeCell ref="I733:I734"/>
    <mergeCell ref="J733:J734"/>
    <mergeCell ref="K733:K734"/>
    <mergeCell ref="L733:L734"/>
    <mergeCell ref="A733:A734"/>
    <mergeCell ref="B733:B734"/>
    <mergeCell ref="D733:D734"/>
    <mergeCell ref="H737:H738"/>
    <mergeCell ref="I737:I738"/>
    <mergeCell ref="J737:J738"/>
    <mergeCell ref="K737:K738"/>
    <mergeCell ref="L737:L738"/>
    <mergeCell ref="A737:A738"/>
    <mergeCell ref="B737:B738"/>
    <mergeCell ref="D737:D738"/>
    <mergeCell ref="AJ735:AJ736"/>
    <mergeCell ref="AK735:AK736"/>
    <mergeCell ref="AL735:AL736"/>
    <mergeCell ref="AM735:AM736"/>
    <mergeCell ref="AN735:AN736"/>
    <mergeCell ref="AE735:AE736"/>
    <mergeCell ref="AF735:AF736"/>
    <mergeCell ref="AG735:AG736"/>
    <mergeCell ref="AH735:AH736"/>
    <mergeCell ref="AI735:AI736"/>
    <mergeCell ref="Z735:Z736"/>
    <mergeCell ref="AA735:AA736"/>
    <mergeCell ref="AB735:AB736"/>
    <mergeCell ref="AC735:AC736"/>
    <mergeCell ref="AD735:AD736"/>
    <mergeCell ref="U735:U736"/>
    <mergeCell ref="V735:V736"/>
    <mergeCell ref="W735:W736"/>
    <mergeCell ref="X735:X736"/>
    <mergeCell ref="Y735:Y736"/>
    <mergeCell ref="P735:P736"/>
    <mergeCell ref="Q735:Q736"/>
    <mergeCell ref="R735:R736"/>
    <mergeCell ref="S735:S736"/>
    <mergeCell ref="T735:T736"/>
    <mergeCell ref="AJ739:AJ740"/>
    <mergeCell ref="AK739:AK740"/>
    <mergeCell ref="AL739:AL740"/>
    <mergeCell ref="AM739:AM740"/>
    <mergeCell ref="AN739:AN740"/>
    <mergeCell ref="AE739:AE740"/>
    <mergeCell ref="AF739:AF740"/>
    <mergeCell ref="AG739:AG740"/>
    <mergeCell ref="AH739:AH740"/>
    <mergeCell ref="AI739:AI740"/>
    <mergeCell ref="Z739:Z740"/>
    <mergeCell ref="AA739:AA740"/>
    <mergeCell ref="AB739:AB740"/>
    <mergeCell ref="AC739:AC740"/>
    <mergeCell ref="AD739:AD740"/>
    <mergeCell ref="U739:U740"/>
    <mergeCell ref="V739:V740"/>
    <mergeCell ref="W739:W740"/>
    <mergeCell ref="X739:X740"/>
    <mergeCell ref="Y739:Y740"/>
    <mergeCell ref="P739:P740"/>
    <mergeCell ref="Q739:Q740"/>
    <mergeCell ref="R739:R740"/>
    <mergeCell ref="S739:S740"/>
    <mergeCell ref="T739:T740"/>
    <mergeCell ref="AL737:AL738"/>
    <mergeCell ref="AM737:AM738"/>
    <mergeCell ref="AN737:AN738"/>
    <mergeCell ref="A739:A740"/>
    <mergeCell ref="B739:B740"/>
    <mergeCell ref="D739:D740"/>
    <mergeCell ref="H739:H740"/>
    <mergeCell ref="I739:I740"/>
    <mergeCell ref="J739:J740"/>
    <mergeCell ref="K739:K740"/>
    <mergeCell ref="L739:L740"/>
    <mergeCell ref="M739:M740"/>
    <mergeCell ref="N739:N740"/>
    <mergeCell ref="O739:O740"/>
    <mergeCell ref="AG737:AG738"/>
    <mergeCell ref="AH737:AH738"/>
    <mergeCell ref="AI737:AI738"/>
    <mergeCell ref="AJ737:AJ738"/>
    <mergeCell ref="AK737:AK738"/>
    <mergeCell ref="AB737:AB738"/>
    <mergeCell ref="AC737:AC738"/>
    <mergeCell ref="AD737:AD738"/>
    <mergeCell ref="AE737:AE738"/>
    <mergeCell ref="AF737:AF738"/>
    <mergeCell ref="W737:W738"/>
    <mergeCell ref="X737:X738"/>
    <mergeCell ref="Y737:Y738"/>
    <mergeCell ref="Z737:Z738"/>
    <mergeCell ref="AA737:AA738"/>
    <mergeCell ref="R737:R738"/>
    <mergeCell ref="S737:S738"/>
    <mergeCell ref="T737:T738"/>
    <mergeCell ref="U737:U738"/>
    <mergeCell ref="V737:V738"/>
    <mergeCell ref="M737:M738"/>
    <mergeCell ref="N737:N738"/>
    <mergeCell ref="O737:O738"/>
    <mergeCell ref="P737:P738"/>
    <mergeCell ref="Q737:Q738"/>
    <mergeCell ref="AL741:AL742"/>
    <mergeCell ref="AM741:AM742"/>
    <mergeCell ref="AN741:AN742"/>
    <mergeCell ref="A743:A744"/>
    <mergeCell ref="B743:B744"/>
    <mergeCell ref="D743:D744"/>
    <mergeCell ref="H743:H744"/>
    <mergeCell ref="I743:I744"/>
    <mergeCell ref="J743:J744"/>
    <mergeCell ref="K743:K744"/>
    <mergeCell ref="L743:L744"/>
    <mergeCell ref="M743:M744"/>
    <mergeCell ref="N743:N744"/>
    <mergeCell ref="O743:O744"/>
    <mergeCell ref="AG741:AG742"/>
    <mergeCell ref="AH741:AH742"/>
    <mergeCell ref="AI741:AI742"/>
    <mergeCell ref="AJ741:AJ742"/>
    <mergeCell ref="AK741:AK742"/>
    <mergeCell ref="AB741:AB742"/>
    <mergeCell ref="AC741:AC742"/>
    <mergeCell ref="AD741:AD742"/>
    <mergeCell ref="AE741:AE742"/>
    <mergeCell ref="AF741:AF742"/>
    <mergeCell ref="W741:W742"/>
    <mergeCell ref="X741:X742"/>
    <mergeCell ref="Y741:Y742"/>
    <mergeCell ref="Z741:Z742"/>
    <mergeCell ref="AA741:AA742"/>
    <mergeCell ref="R741:R742"/>
    <mergeCell ref="S741:S742"/>
    <mergeCell ref="T741:T742"/>
    <mergeCell ref="U741:U742"/>
    <mergeCell ref="V741:V742"/>
    <mergeCell ref="M741:M742"/>
    <mergeCell ref="N741:N742"/>
    <mergeCell ref="O741:O742"/>
    <mergeCell ref="P741:P742"/>
    <mergeCell ref="Q741:Q742"/>
    <mergeCell ref="H741:H742"/>
    <mergeCell ref="I741:I742"/>
    <mergeCell ref="J741:J742"/>
    <mergeCell ref="K741:K742"/>
    <mergeCell ref="L741:L742"/>
    <mergeCell ref="A741:A742"/>
    <mergeCell ref="B741:B742"/>
    <mergeCell ref="D741:D742"/>
    <mergeCell ref="H745:H746"/>
    <mergeCell ref="I745:I746"/>
    <mergeCell ref="J745:J746"/>
    <mergeCell ref="K745:K746"/>
    <mergeCell ref="L745:L746"/>
    <mergeCell ref="A745:A746"/>
    <mergeCell ref="B745:B746"/>
    <mergeCell ref="D745:D746"/>
    <mergeCell ref="AJ743:AJ744"/>
    <mergeCell ref="AK743:AK744"/>
    <mergeCell ref="AL743:AL744"/>
    <mergeCell ref="AM743:AM744"/>
    <mergeCell ref="AN743:AN744"/>
    <mergeCell ref="AE743:AE744"/>
    <mergeCell ref="AF743:AF744"/>
    <mergeCell ref="AG743:AG744"/>
    <mergeCell ref="AH743:AH744"/>
    <mergeCell ref="AI743:AI744"/>
    <mergeCell ref="Z743:Z744"/>
    <mergeCell ref="AA743:AA744"/>
    <mergeCell ref="AB743:AB744"/>
    <mergeCell ref="AC743:AC744"/>
    <mergeCell ref="AD743:AD744"/>
    <mergeCell ref="U743:U744"/>
    <mergeCell ref="V743:V744"/>
    <mergeCell ref="W743:W744"/>
    <mergeCell ref="X743:X744"/>
    <mergeCell ref="Y743:Y744"/>
    <mergeCell ref="P743:P744"/>
    <mergeCell ref="Q743:Q744"/>
    <mergeCell ref="R743:R744"/>
    <mergeCell ref="S743:S744"/>
    <mergeCell ref="T743:T744"/>
    <mergeCell ref="AJ747:AJ748"/>
    <mergeCell ref="AK747:AK748"/>
    <mergeCell ref="AL747:AL748"/>
    <mergeCell ref="AM747:AM748"/>
    <mergeCell ref="AN747:AN748"/>
    <mergeCell ref="AE747:AE748"/>
    <mergeCell ref="AF747:AF748"/>
    <mergeCell ref="AG747:AG748"/>
    <mergeCell ref="AH747:AH748"/>
    <mergeCell ref="AI747:AI748"/>
    <mergeCell ref="Z747:Z748"/>
    <mergeCell ref="AA747:AA748"/>
    <mergeCell ref="AB747:AB748"/>
    <mergeCell ref="AC747:AC748"/>
    <mergeCell ref="AD747:AD748"/>
    <mergeCell ref="U747:U748"/>
    <mergeCell ref="V747:V748"/>
    <mergeCell ref="W747:W748"/>
    <mergeCell ref="X747:X748"/>
    <mergeCell ref="Y747:Y748"/>
    <mergeCell ref="P747:P748"/>
    <mergeCell ref="Q747:Q748"/>
    <mergeCell ref="R747:R748"/>
    <mergeCell ref="S747:S748"/>
    <mergeCell ref="T747:T748"/>
    <mergeCell ref="AL745:AL746"/>
    <mergeCell ref="AM745:AM746"/>
    <mergeCell ref="AN745:AN746"/>
    <mergeCell ref="A747:A748"/>
    <mergeCell ref="B747:B748"/>
    <mergeCell ref="D747:D748"/>
    <mergeCell ref="H747:H748"/>
    <mergeCell ref="I747:I748"/>
    <mergeCell ref="J747:J748"/>
    <mergeCell ref="K747:K748"/>
    <mergeCell ref="L747:L748"/>
    <mergeCell ref="M747:M748"/>
    <mergeCell ref="N747:N748"/>
    <mergeCell ref="O747:O748"/>
    <mergeCell ref="AG745:AG746"/>
    <mergeCell ref="AH745:AH746"/>
    <mergeCell ref="AI745:AI746"/>
    <mergeCell ref="AJ745:AJ746"/>
    <mergeCell ref="AK745:AK746"/>
    <mergeCell ref="AB745:AB746"/>
    <mergeCell ref="AC745:AC746"/>
    <mergeCell ref="AD745:AD746"/>
    <mergeCell ref="AE745:AE746"/>
    <mergeCell ref="AF745:AF746"/>
    <mergeCell ref="W745:W746"/>
    <mergeCell ref="X745:X746"/>
    <mergeCell ref="Y745:Y746"/>
    <mergeCell ref="Z745:Z746"/>
    <mergeCell ref="AA745:AA746"/>
    <mergeCell ref="R745:R746"/>
    <mergeCell ref="S745:S746"/>
    <mergeCell ref="T745:T746"/>
    <mergeCell ref="U745:U746"/>
    <mergeCell ref="V745:V746"/>
    <mergeCell ref="M745:M746"/>
    <mergeCell ref="N745:N746"/>
    <mergeCell ref="O745:O746"/>
    <mergeCell ref="P745:P746"/>
    <mergeCell ref="Q745:Q746"/>
    <mergeCell ref="AL749:AL750"/>
    <mergeCell ref="AM749:AM750"/>
    <mergeCell ref="AN749:AN750"/>
    <mergeCell ref="A751:A752"/>
    <mergeCell ref="B751:B752"/>
    <mergeCell ref="D751:D752"/>
    <mergeCell ref="H751:H752"/>
    <mergeCell ref="I751:I752"/>
    <mergeCell ref="J751:J752"/>
    <mergeCell ref="K751:K752"/>
    <mergeCell ref="L751:L752"/>
    <mergeCell ref="M751:M752"/>
    <mergeCell ref="N751:N752"/>
    <mergeCell ref="O751:O752"/>
    <mergeCell ref="AG749:AG750"/>
    <mergeCell ref="AH749:AH750"/>
    <mergeCell ref="AI749:AI750"/>
    <mergeCell ref="AJ749:AJ750"/>
    <mergeCell ref="AK749:AK750"/>
    <mergeCell ref="AB749:AB750"/>
    <mergeCell ref="AC749:AC750"/>
    <mergeCell ref="AD749:AD750"/>
    <mergeCell ref="AE749:AE750"/>
    <mergeCell ref="AF749:AF750"/>
    <mergeCell ref="W749:W750"/>
    <mergeCell ref="X749:X750"/>
    <mergeCell ref="Y749:Y750"/>
    <mergeCell ref="Z749:Z750"/>
    <mergeCell ref="AA749:AA750"/>
    <mergeCell ref="R749:R750"/>
    <mergeCell ref="S749:S750"/>
    <mergeCell ref="T749:T750"/>
    <mergeCell ref="U749:U750"/>
    <mergeCell ref="V749:V750"/>
    <mergeCell ref="M749:M750"/>
    <mergeCell ref="N749:N750"/>
    <mergeCell ref="O749:O750"/>
    <mergeCell ref="P749:P750"/>
    <mergeCell ref="Q749:Q750"/>
    <mergeCell ref="H749:H750"/>
    <mergeCell ref="I749:I750"/>
    <mergeCell ref="J749:J750"/>
    <mergeCell ref="K749:K750"/>
    <mergeCell ref="L749:L750"/>
    <mergeCell ref="A749:A750"/>
    <mergeCell ref="B749:B750"/>
    <mergeCell ref="D749:D750"/>
    <mergeCell ref="H753:H754"/>
    <mergeCell ref="I753:I754"/>
    <mergeCell ref="J753:J754"/>
    <mergeCell ref="K753:K754"/>
    <mergeCell ref="L753:L754"/>
    <mergeCell ref="A753:A754"/>
    <mergeCell ref="B753:B754"/>
    <mergeCell ref="D753:D754"/>
    <mergeCell ref="AJ751:AJ752"/>
    <mergeCell ref="AK751:AK752"/>
    <mergeCell ref="AL751:AL752"/>
    <mergeCell ref="AM751:AM752"/>
    <mergeCell ref="AN751:AN752"/>
    <mergeCell ref="AE751:AE752"/>
    <mergeCell ref="AF751:AF752"/>
    <mergeCell ref="AG751:AG752"/>
    <mergeCell ref="AH751:AH752"/>
    <mergeCell ref="AI751:AI752"/>
    <mergeCell ref="Z751:Z752"/>
    <mergeCell ref="AA751:AA752"/>
    <mergeCell ref="AB751:AB752"/>
    <mergeCell ref="AC751:AC752"/>
    <mergeCell ref="AD751:AD752"/>
    <mergeCell ref="U751:U752"/>
    <mergeCell ref="V751:V752"/>
    <mergeCell ref="W751:W752"/>
    <mergeCell ref="X751:X752"/>
    <mergeCell ref="Y751:Y752"/>
    <mergeCell ref="P751:P752"/>
    <mergeCell ref="Q751:Q752"/>
    <mergeCell ref="R751:R752"/>
    <mergeCell ref="S751:S752"/>
    <mergeCell ref="T751:T752"/>
    <mergeCell ref="AJ755:AJ756"/>
    <mergeCell ref="AK755:AK756"/>
    <mergeCell ref="AL755:AL756"/>
    <mergeCell ref="AM755:AM756"/>
    <mergeCell ref="AN755:AN756"/>
    <mergeCell ref="AE755:AE756"/>
    <mergeCell ref="AF755:AF756"/>
    <mergeCell ref="AG755:AG756"/>
    <mergeCell ref="AH755:AH756"/>
    <mergeCell ref="AI755:AI756"/>
    <mergeCell ref="Z755:Z756"/>
    <mergeCell ref="AA755:AA756"/>
    <mergeCell ref="AB755:AB756"/>
    <mergeCell ref="AC755:AC756"/>
    <mergeCell ref="AD755:AD756"/>
    <mergeCell ref="U755:U756"/>
    <mergeCell ref="V755:V756"/>
    <mergeCell ref="W755:W756"/>
    <mergeCell ref="X755:X756"/>
    <mergeCell ref="Y755:Y756"/>
    <mergeCell ref="P755:P756"/>
    <mergeCell ref="Q755:Q756"/>
    <mergeCell ref="R755:R756"/>
    <mergeCell ref="S755:S756"/>
    <mergeCell ref="T755:T756"/>
    <mergeCell ref="AL753:AL754"/>
    <mergeCell ref="AM753:AM754"/>
    <mergeCell ref="AN753:AN754"/>
    <mergeCell ref="A755:A756"/>
    <mergeCell ref="B755:B756"/>
    <mergeCell ref="D755:D756"/>
    <mergeCell ref="H755:H756"/>
    <mergeCell ref="I755:I756"/>
    <mergeCell ref="J755:J756"/>
    <mergeCell ref="K755:K756"/>
    <mergeCell ref="L755:L756"/>
    <mergeCell ref="M755:M756"/>
    <mergeCell ref="N755:N756"/>
    <mergeCell ref="O755:O756"/>
    <mergeCell ref="AG753:AG754"/>
    <mergeCell ref="AH753:AH754"/>
    <mergeCell ref="AI753:AI754"/>
    <mergeCell ref="AJ753:AJ754"/>
    <mergeCell ref="AK753:AK754"/>
    <mergeCell ref="AB753:AB754"/>
    <mergeCell ref="AC753:AC754"/>
    <mergeCell ref="AD753:AD754"/>
    <mergeCell ref="AE753:AE754"/>
    <mergeCell ref="AF753:AF754"/>
    <mergeCell ref="W753:W754"/>
    <mergeCell ref="X753:X754"/>
    <mergeCell ref="Y753:Y754"/>
    <mergeCell ref="Z753:Z754"/>
    <mergeCell ref="AA753:AA754"/>
    <mergeCell ref="R753:R754"/>
    <mergeCell ref="S753:S754"/>
    <mergeCell ref="T753:T754"/>
    <mergeCell ref="U753:U754"/>
    <mergeCell ref="V753:V754"/>
    <mergeCell ref="M753:M754"/>
    <mergeCell ref="N753:N754"/>
    <mergeCell ref="O753:O754"/>
    <mergeCell ref="P753:P754"/>
    <mergeCell ref="Q753:Q754"/>
    <mergeCell ref="AL757:AL758"/>
    <mergeCell ref="AM757:AM758"/>
    <mergeCell ref="AN757:AN758"/>
    <mergeCell ref="A759:A760"/>
    <mergeCell ref="B759:B760"/>
    <mergeCell ref="D759:D760"/>
    <mergeCell ref="H759:H760"/>
    <mergeCell ref="I759:I760"/>
    <mergeCell ref="J759:J760"/>
    <mergeCell ref="K759:K760"/>
    <mergeCell ref="L759:L760"/>
    <mergeCell ref="M759:M760"/>
    <mergeCell ref="N759:N760"/>
    <mergeCell ref="O759:O760"/>
    <mergeCell ref="AG757:AG758"/>
    <mergeCell ref="AH757:AH758"/>
    <mergeCell ref="AI757:AI758"/>
    <mergeCell ref="AJ757:AJ758"/>
    <mergeCell ref="AK757:AK758"/>
    <mergeCell ref="AB757:AB758"/>
    <mergeCell ref="AC757:AC758"/>
    <mergeCell ref="AD757:AD758"/>
    <mergeCell ref="AE757:AE758"/>
    <mergeCell ref="AF757:AF758"/>
    <mergeCell ref="W757:W758"/>
    <mergeCell ref="X757:X758"/>
    <mergeCell ref="Y757:Y758"/>
    <mergeCell ref="Z757:Z758"/>
    <mergeCell ref="AA757:AA758"/>
    <mergeCell ref="R757:R758"/>
    <mergeCell ref="S757:S758"/>
    <mergeCell ref="T757:T758"/>
    <mergeCell ref="U757:U758"/>
    <mergeCell ref="V757:V758"/>
    <mergeCell ref="M757:M758"/>
    <mergeCell ref="N757:N758"/>
    <mergeCell ref="O757:O758"/>
    <mergeCell ref="P757:P758"/>
    <mergeCell ref="Q757:Q758"/>
    <mergeCell ref="H757:H758"/>
    <mergeCell ref="I757:I758"/>
    <mergeCell ref="J757:J758"/>
    <mergeCell ref="K757:K758"/>
    <mergeCell ref="L757:L758"/>
    <mergeCell ref="A757:A758"/>
    <mergeCell ref="B757:B758"/>
    <mergeCell ref="D757:D758"/>
    <mergeCell ref="H761:H762"/>
    <mergeCell ref="I761:I762"/>
    <mergeCell ref="J761:J762"/>
    <mergeCell ref="K761:K762"/>
    <mergeCell ref="L761:L762"/>
    <mergeCell ref="A761:A762"/>
    <mergeCell ref="B761:B762"/>
    <mergeCell ref="D761:D762"/>
    <mergeCell ref="AJ759:AJ760"/>
    <mergeCell ref="AK759:AK760"/>
    <mergeCell ref="AL759:AL760"/>
    <mergeCell ref="AM759:AM760"/>
    <mergeCell ref="AN759:AN760"/>
    <mergeCell ref="AE759:AE760"/>
    <mergeCell ref="AF759:AF760"/>
    <mergeCell ref="AG759:AG760"/>
    <mergeCell ref="AH759:AH760"/>
    <mergeCell ref="AI759:AI760"/>
    <mergeCell ref="Z759:Z760"/>
    <mergeCell ref="AA759:AA760"/>
    <mergeCell ref="AB759:AB760"/>
    <mergeCell ref="AC759:AC760"/>
    <mergeCell ref="AD759:AD760"/>
    <mergeCell ref="U759:U760"/>
    <mergeCell ref="V759:V760"/>
    <mergeCell ref="W759:W760"/>
    <mergeCell ref="X759:X760"/>
    <mergeCell ref="Y759:Y760"/>
    <mergeCell ref="P759:P760"/>
    <mergeCell ref="Q759:Q760"/>
    <mergeCell ref="R759:R760"/>
    <mergeCell ref="S759:S760"/>
    <mergeCell ref="T759:T760"/>
    <mergeCell ref="AJ763:AJ764"/>
    <mergeCell ref="AK763:AK764"/>
    <mergeCell ref="AL763:AL764"/>
    <mergeCell ref="AM763:AM764"/>
    <mergeCell ref="AN763:AN764"/>
    <mergeCell ref="AE763:AE764"/>
    <mergeCell ref="AF763:AF764"/>
    <mergeCell ref="AG763:AG764"/>
    <mergeCell ref="AH763:AH764"/>
    <mergeCell ref="AI763:AI764"/>
    <mergeCell ref="Z763:Z764"/>
    <mergeCell ref="AA763:AA764"/>
    <mergeCell ref="AB763:AB764"/>
    <mergeCell ref="AC763:AC764"/>
    <mergeCell ref="AD763:AD764"/>
    <mergeCell ref="U763:U764"/>
    <mergeCell ref="V763:V764"/>
    <mergeCell ref="W763:W764"/>
    <mergeCell ref="X763:X764"/>
    <mergeCell ref="Y763:Y764"/>
    <mergeCell ref="P763:P764"/>
    <mergeCell ref="Q763:Q764"/>
    <mergeCell ref="R763:R764"/>
    <mergeCell ref="S763:S764"/>
    <mergeCell ref="T763:T764"/>
    <mergeCell ref="AL761:AL762"/>
    <mergeCell ref="AM761:AM762"/>
    <mergeCell ref="AN761:AN762"/>
    <mergeCell ref="A763:A764"/>
    <mergeCell ref="B763:B764"/>
    <mergeCell ref="D763:D764"/>
    <mergeCell ref="H763:H764"/>
    <mergeCell ref="I763:I764"/>
    <mergeCell ref="J763:J764"/>
    <mergeCell ref="K763:K764"/>
    <mergeCell ref="L763:L764"/>
    <mergeCell ref="M763:M764"/>
    <mergeCell ref="N763:N764"/>
    <mergeCell ref="O763:O764"/>
    <mergeCell ref="AG761:AG762"/>
    <mergeCell ref="AH761:AH762"/>
    <mergeCell ref="AI761:AI762"/>
    <mergeCell ref="AJ761:AJ762"/>
    <mergeCell ref="AK761:AK762"/>
    <mergeCell ref="AB761:AB762"/>
    <mergeCell ref="AC761:AC762"/>
    <mergeCell ref="AD761:AD762"/>
    <mergeCell ref="AE761:AE762"/>
    <mergeCell ref="AF761:AF762"/>
    <mergeCell ref="W761:W762"/>
    <mergeCell ref="X761:X762"/>
    <mergeCell ref="Y761:Y762"/>
    <mergeCell ref="Z761:Z762"/>
    <mergeCell ref="AA761:AA762"/>
    <mergeCell ref="R761:R762"/>
    <mergeCell ref="S761:S762"/>
    <mergeCell ref="T761:T762"/>
    <mergeCell ref="U761:U762"/>
    <mergeCell ref="V761:V762"/>
    <mergeCell ref="M761:M762"/>
    <mergeCell ref="N761:N762"/>
    <mergeCell ref="O761:O762"/>
    <mergeCell ref="P761:P762"/>
    <mergeCell ref="Q761:Q762"/>
    <mergeCell ref="AL765:AL766"/>
    <mergeCell ref="AM765:AM766"/>
    <mergeCell ref="AN765:AN766"/>
    <mergeCell ref="A767:A768"/>
    <mergeCell ref="B767:B768"/>
    <mergeCell ref="D767:D768"/>
    <mergeCell ref="H767:H768"/>
    <mergeCell ref="I767:I768"/>
    <mergeCell ref="J767:J768"/>
    <mergeCell ref="K767:K768"/>
    <mergeCell ref="L767:L768"/>
    <mergeCell ref="M767:M768"/>
    <mergeCell ref="N767:N768"/>
    <mergeCell ref="O767:O768"/>
    <mergeCell ref="AG765:AG766"/>
    <mergeCell ref="AH765:AH766"/>
    <mergeCell ref="AI765:AI766"/>
    <mergeCell ref="AJ765:AJ766"/>
    <mergeCell ref="AK765:AK766"/>
    <mergeCell ref="AB765:AB766"/>
    <mergeCell ref="AC765:AC766"/>
    <mergeCell ref="AD765:AD766"/>
    <mergeCell ref="AE765:AE766"/>
    <mergeCell ref="AF765:AF766"/>
    <mergeCell ref="W765:W766"/>
    <mergeCell ref="X765:X766"/>
    <mergeCell ref="Y765:Y766"/>
    <mergeCell ref="Z765:Z766"/>
    <mergeCell ref="AA765:AA766"/>
    <mergeCell ref="R765:R766"/>
    <mergeCell ref="S765:S766"/>
    <mergeCell ref="T765:T766"/>
    <mergeCell ref="U765:U766"/>
    <mergeCell ref="V765:V766"/>
    <mergeCell ref="M765:M766"/>
    <mergeCell ref="N765:N766"/>
    <mergeCell ref="O765:O766"/>
    <mergeCell ref="P765:P766"/>
    <mergeCell ref="Q765:Q766"/>
    <mergeCell ref="H765:H766"/>
    <mergeCell ref="I765:I766"/>
    <mergeCell ref="J765:J766"/>
    <mergeCell ref="K765:K766"/>
    <mergeCell ref="L765:L766"/>
    <mergeCell ref="A765:A766"/>
    <mergeCell ref="B765:B766"/>
    <mergeCell ref="D765:D766"/>
    <mergeCell ref="H769:H770"/>
    <mergeCell ref="I769:I770"/>
    <mergeCell ref="J769:J770"/>
    <mergeCell ref="K769:K770"/>
    <mergeCell ref="L769:L770"/>
    <mergeCell ref="A769:A770"/>
    <mergeCell ref="B769:B770"/>
    <mergeCell ref="D769:D770"/>
    <mergeCell ref="AJ767:AJ768"/>
    <mergeCell ref="AK767:AK768"/>
    <mergeCell ref="AL767:AL768"/>
    <mergeCell ref="AM767:AM768"/>
    <mergeCell ref="AN767:AN768"/>
    <mergeCell ref="AE767:AE768"/>
    <mergeCell ref="AF767:AF768"/>
    <mergeCell ref="AG767:AG768"/>
    <mergeCell ref="AH767:AH768"/>
    <mergeCell ref="AI767:AI768"/>
    <mergeCell ref="Z767:Z768"/>
    <mergeCell ref="AA767:AA768"/>
    <mergeCell ref="AB767:AB768"/>
    <mergeCell ref="AC767:AC768"/>
    <mergeCell ref="AD767:AD768"/>
    <mergeCell ref="U767:U768"/>
    <mergeCell ref="V767:V768"/>
    <mergeCell ref="W767:W768"/>
    <mergeCell ref="X767:X768"/>
    <mergeCell ref="Y767:Y768"/>
    <mergeCell ref="P767:P768"/>
    <mergeCell ref="Q767:Q768"/>
    <mergeCell ref="R767:R768"/>
    <mergeCell ref="S767:S768"/>
    <mergeCell ref="T767:T768"/>
    <mergeCell ref="AJ771:AJ772"/>
    <mergeCell ref="AK771:AK772"/>
    <mergeCell ref="AL771:AL772"/>
    <mergeCell ref="AM771:AM772"/>
    <mergeCell ref="AN771:AN772"/>
    <mergeCell ref="AE771:AE772"/>
    <mergeCell ref="AF771:AF772"/>
    <mergeCell ref="AG771:AG772"/>
    <mergeCell ref="AH771:AH772"/>
    <mergeCell ref="AI771:AI772"/>
    <mergeCell ref="Z771:Z772"/>
    <mergeCell ref="AA771:AA772"/>
    <mergeCell ref="AB771:AB772"/>
    <mergeCell ref="AC771:AC772"/>
    <mergeCell ref="AD771:AD772"/>
    <mergeCell ref="U771:U772"/>
    <mergeCell ref="V771:V772"/>
    <mergeCell ref="W771:W772"/>
    <mergeCell ref="X771:X772"/>
    <mergeCell ref="Y771:Y772"/>
    <mergeCell ref="P771:P772"/>
    <mergeCell ref="Q771:Q772"/>
    <mergeCell ref="R771:R772"/>
    <mergeCell ref="S771:S772"/>
    <mergeCell ref="T771:T772"/>
    <mergeCell ref="AL769:AL770"/>
    <mergeCell ref="AM769:AM770"/>
    <mergeCell ref="AN769:AN770"/>
    <mergeCell ref="A771:A772"/>
    <mergeCell ref="B771:B772"/>
    <mergeCell ref="D771:D772"/>
    <mergeCell ref="H771:H772"/>
    <mergeCell ref="I771:I772"/>
    <mergeCell ref="J771:J772"/>
    <mergeCell ref="K771:K772"/>
    <mergeCell ref="L771:L772"/>
    <mergeCell ref="M771:M772"/>
    <mergeCell ref="N771:N772"/>
    <mergeCell ref="O771:O772"/>
    <mergeCell ref="AG769:AG770"/>
    <mergeCell ref="AH769:AH770"/>
    <mergeCell ref="AI769:AI770"/>
    <mergeCell ref="AJ769:AJ770"/>
    <mergeCell ref="AK769:AK770"/>
    <mergeCell ref="AB769:AB770"/>
    <mergeCell ref="AC769:AC770"/>
    <mergeCell ref="AD769:AD770"/>
    <mergeCell ref="AE769:AE770"/>
    <mergeCell ref="AF769:AF770"/>
    <mergeCell ref="W769:W770"/>
    <mergeCell ref="X769:X770"/>
    <mergeCell ref="Y769:Y770"/>
    <mergeCell ref="Z769:Z770"/>
    <mergeCell ref="AA769:AA770"/>
    <mergeCell ref="R769:R770"/>
    <mergeCell ref="S769:S770"/>
    <mergeCell ref="T769:T770"/>
    <mergeCell ref="U769:U770"/>
    <mergeCell ref="V769:V770"/>
    <mergeCell ref="M769:M770"/>
    <mergeCell ref="N769:N770"/>
    <mergeCell ref="O769:O770"/>
    <mergeCell ref="P769:P770"/>
    <mergeCell ref="Q769:Q770"/>
    <mergeCell ref="AL773:AL774"/>
    <mergeCell ref="AM773:AM774"/>
    <mergeCell ref="AN773:AN774"/>
    <mergeCell ref="A775:A776"/>
    <mergeCell ref="B775:B776"/>
    <mergeCell ref="D775:D776"/>
    <mergeCell ref="H775:H776"/>
    <mergeCell ref="I775:I776"/>
    <mergeCell ref="J775:J776"/>
    <mergeCell ref="K775:K776"/>
    <mergeCell ref="L775:L776"/>
    <mergeCell ref="M775:M776"/>
    <mergeCell ref="N775:N776"/>
    <mergeCell ref="O775:O776"/>
    <mergeCell ref="AG773:AG774"/>
    <mergeCell ref="AH773:AH774"/>
    <mergeCell ref="AI773:AI774"/>
    <mergeCell ref="AJ773:AJ774"/>
    <mergeCell ref="AK773:AK774"/>
    <mergeCell ref="AB773:AB774"/>
    <mergeCell ref="AC773:AC774"/>
    <mergeCell ref="AD773:AD774"/>
    <mergeCell ref="AE773:AE774"/>
    <mergeCell ref="AF773:AF774"/>
    <mergeCell ref="W773:W774"/>
    <mergeCell ref="X773:X774"/>
    <mergeCell ref="Y773:Y774"/>
    <mergeCell ref="Z773:Z774"/>
    <mergeCell ref="AA773:AA774"/>
    <mergeCell ref="R773:R774"/>
    <mergeCell ref="S773:S774"/>
    <mergeCell ref="T773:T774"/>
    <mergeCell ref="U773:U774"/>
    <mergeCell ref="V773:V774"/>
    <mergeCell ref="M773:M774"/>
    <mergeCell ref="N773:N774"/>
    <mergeCell ref="O773:O774"/>
    <mergeCell ref="P773:P774"/>
    <mergeCell ref="Q773:Q774"/>
    <mergeCell ref="H773:H774"/>
    <mergeCell ref="I773:I774"/>
    <mergeCell ref="J773:J774"/>
    <mergeCell ref="K773:K774"/>
    <mergeCell ref="L773:L774"/>
    <mergeCell ref="A773:A774"/>
    <mergeCell ref="B773:B774"/>
    <mergeCell ref="D773:D774"/>
    <mergeCell ref="H777:H778"/>
    <mergeCell ref="I777:I778"/>
    <mergeCell ref="J777:J778"/>
    <mergeCell ref="K777:K778"/>
    <mergeCell ref="L777:L778"/>
    <mergeCell ref="A777:A778"/>
    <mergeCell ref="B777:B778"/>
    <mergeCell ref="D777:D778"/>
    <mergeCell ref="AJ775:AJ776"/>
    <mergeCell ref="AK775:AK776"/>
    <mergeCell ref="AL775:AL776"/>
    <mergeCell ref="AM775:AM776"/>
    <mergeCell ref="AN775:AN776"/>
    <mergeCell ref="AE775:AE776"/>
    <mergeCell ref="AF775:AF776"/>
    <mergeCell ref="AG775:AG776"/>
    <mergeCell ref="AH775:AH776"/>
    <mergeCell ref="AI775:AI776"/>
    <mergeCell ref="Z775:Z776"/>
    <mergeCell ref="AA775:AA776"/>
    <mergeCell ref="AB775:AB776"/>
    <mergeCell ref="AC775:AC776"/>
    <mergeCell ref="AD775:AD776"/>
    <mergeCell ref="U775:U776"/>
    <mergeCell ref="V775:V776"/>
    <mergeCell ref="W775:W776"/>
    <mergeCell ref="X775:X776"/>
    <mergeCell ref="Y775:Y776"/>
    <mergeCell ref="P775:P776"/>
    <mergeCell ref="Q775:Q776"/>
    <mergeCell ref="R775:R776"/>
    <mergeCell ref="S775:S776"/>
    <mergeCell ref="T775:T776"/>
    <mergeCell ref="AJ779:AJ780"/>
    <mergeCell ref="AK779:AK780"/>
    <mergeCell ref="AL779:AL780"/>
    <mergeCell ref="AM779:AM780"/>
    <mergeCell ref="AN779:AN780"/>
    <mergeCell ref="AE779:AE780"/>
    <mergeCell ref="AF779:AF780"/>
    <mergeCell ref="AG779:AG780"/>
    <mergeCell ref="AH779:AH780"/>
    <mergeCell ref="AI779:AI780"/>
    <mergeCell ref="Z779:Z780"/>
    <mergeCell ref="AA779:AA780"/>
    <mergeCell ref="AB779:AB780"/>
    <mergeCell ref="AC779:AC780"/>
    <mergeCell ref="AD779:AD780"/>
    <mergeCell ref="U779:U780"/>
    <mergeCell ref="V779:V780"/>
    <mergeCell ref="W779:W780"/>
    <mergeCell ref="X779:X780"/>
    <mergeCell ref="Y779:Y780"/>
    <mergeCell ref="P779:P780"/>
    <mergeCell ref="Q779:Q780"/>
    <mergeCell ref="R779:R780"/>
    <mergeCell ref="S779:S780"/>
    <mergeCell ref="T779:T780"/>
    <mergeCell ref="AL777:AL778"/>
    <mergeCell ref="AM777:AM778"/>
    <mergeCell ref="AN777:AN778"/>
    <mergeCell ref="A779:A780"/>
    <mergeCell ref="B779:B780"/>
    <mergeCell ref="D779:D780"/>
    <mergeCell ref="H779:H780"/>
    <mergeCell ref="I779:I780"/>
    <mergeCell ref="J779:J780"/>
    <mergeCell ref="K779:K780"/>
    <mergeCell ref="L779:L780"/>
    <mergeCell ref="M779:M780"/>
    <mergeCell ref="N779:N780"/>
    <mergeCell ref="O779:O780"/>
    <mergeCell ref="AG777:AG778"/>
    <mergeCell ref="AH777:AH778"/>
    <mergeCell ref="AI777:AI778"/>
    <mergeCell ref="AJ777:AJ778"/>
    <mergeCell ref="AK777:AK778"/>
    <mergeCell ref="AB777:AB778"/>
    <mergeCell ref="AC777:AC778"/>
    <mergeCell ref="AD777:AD778"/>
    <mergeCell ref="AE777:AE778"/>
    <mergeCell ref="AF777:AF778"/>
    <mergeCell ref="W777:W778"/>
    <mergeCell ref="X777:X778"/>
    <mergeCell ref="Y777:Y778"/>
    <mergeCell ref="Z777:Z778"/>
    <mergeCell ref="AA777:AA778"/>
    <mergeCell ref="R777:R778"/>
    <mergeCell ref="S777:S778"/>
    <mergeCell ref="T777:T778"/>
    <mergeCell ref="U777:U778"/>
    <mergeCell ref="V777:V778"/>
    <mergeCell ref="M777:M778"/>
    <mergeCell ref="N777:N778"/>
    <mergeCell ref="O777:O778"/>
    <mergeCell ref="P777:P778"/>
    <mergeCell ref="Q777:Q778"/>
    <mergeCell ref="AL781:AL782"/>
    <mergeCell ref="AM781:AM782"/>
    <mergeCell ref="AN781:AN782"/>
    <mergeCell ref="A783:A784"/>
    <mergeCell ref="B783:B784"/>
    <mergeCell ref="D783:D784"/>
    <mergeCell ref="H783:H784"/>
    <mergeCell ref="I783:I784"/>
    <mergeCell ref="J783:J784"/>
    <mergeCell ref="K783:K784"/>
    <mergeCell ref="L783:L784"/>
    <mergeCell ref="M783:M784"/>
    <mergeCell ref="N783:N784"/>
    <mergeCell ref="O783:O784"/>
    <mergeCell ref="AG781:AG782"/>
    <mergeCell ref="AH781:AH782"/>
    <mergeCell ref="AI781:AI782"/>
    <mergeCell ref="AJ781:AJ782"/>
    <mergeCell ref="AK781:AK782"/>
    <mergeCell ref="AB781:AB782"/>
    <mergeCell ref="AC781:AC782"/>
    <mergeCell ref="AD781:AD782"/>
    <mergeCell ref="AE781:AE782"/>
    <mergeCell ref="AF781:AF782"/>
    <mergeCell ref="W781:W782"/>
    <mergeCell ref="X781:X782"/>
    <mergeCell ref="Y781:Y782"/>
    <mergeCell ref="Z781:Z782"/>
    <mergeCell ref="AA781:AA782"/>
    <mergeCell ref="R781:R782"/>
    <mergeCell ref="S781:S782"/>
    <mergeCell ref="T781:T782"/>
    <mergeCell ref="U781:U782"/>
    <mergeCell ref="V781:V782"/>
    <mergeCell ref="M781:M782"/>
    <mergeCell ref="N781:N782"/>
    <mergeCell ref="O781:O782"/>
    <mergeCell ref="P781:P782"/>
    <mergeCell ref="Q781:Q782"/>
    <mergeCell ref="H781:H782"/>
    <mergeCell ref="I781:I782"/>
    <mergeCell ref="J781:J782"/>
    <mergeCell ref="K781:K782"/>
    <mergeCell ref="L781:L782"/>
    <mergeCell ref="A781:A782"/>
    <mergeCell ref="B781:B782"/>
    <mergeCell ref="D781:D782"/>
    <mergeCell ref="H785:H786"/>
    <mergeCell ref="I785:I786"/>
    <mergeCell ref="J785:J786"/>
    <mergeCell ref="K785:K786"/>
    <mergeCell ref="L785:L786"/>
    <mergeCell ref="A785:A786"/>
    <mergeCell ref="B785:B786"/>
    <mergeCell ref="D785:D786"/>
    <mergeCell ref="AJ783:AJ784"/>
    <mergeCell ref="AK783:AK784"/>
    <mergeCell ref="AL783:AL784"/>
    <mergeCell ref="AM783:AM784"/>
    <mergeCell ref="AN783:AN784"/>
    <mergeCell ref="AE783:AE784"/>
    <mergeCell ref="AF783:AF784"/>
    <mergeCell ref="AG783:AG784"/>
    <mergeCell ref="AH783:AH784"/>
    <mergeCell ref="AI783:AI784"/>
    <mergeCell ref="Z783:Z784"/>
    <mergeCell ref="AA783:AA784"/>
    <mergeCell ref="AB783:AB784"/>
    <mergeCell ref="AC783:AC784"/>
    <mergeCell ref="AD783:AD784"/>
    <mergeCell ref="U783:U784"/>
    <mergeCell ref="V783:V784"/>
    <mergeCell ref="W783:W784"/>
    <mergeCell ref="X783:X784"/>
    <mergeCell ref="Y783:Y784"/>
    <mergeCell ref="P783:P784"/>
    <mergeCell ref="Q783:Q784"/>
    <mergeCell ref="R783:R784"/>
    <mergeCell ref="S783:S784"/>
    <mergeCell ref="T783:T784"/>
    <mergeCell ref="AJ787:AJ788"/>
    <mergeCell ref="AK787:AK788"/>
    <mergeCell ref="AL787:AL788"/>
    <mergeCell ref="AM787:AM788"/>
    <mergeCell ref="AN787:AN788"/>
    <mergeCell ref="AE787:AE788"/>
    <mergeCell ref="AF787:AF788"/>
    <mergeCell ref="AG787:AG788"/>
    <mergeCell ref="AH787:AH788"/>
    <mergeCell ref="AI787:AI788"/>
    <mergeCell ref="Z787:Z788"/>
    <mergeCell ref="AA787:AA788"/>
    <mergeCell ref="AB787:AB788"/>
    <mergeCell ref="AC787:AC788"/>
    <mergeCell ref="AD787:AD788"/>
    <mergeCell ref="U787:U788"/>
    <mergeCell ref="V787:V788"/>
    <mergeCell ref="W787:W788"/>
    <mergeCell ref="X787:X788"/>
    <mergeCell ref="Y787:Y788"/>
    <mergeCell ref="P787:P788"/>
    <mergeCell ref="Q787:Q788"/>
    <mergeCell ref="R787:R788"/>
    <mergeCell ref="S787:S788"/>
    <mergeCell ref="T787:T788"/>
    <mergeCell ref="AL785:AL786"/>
    <mergeCell ref="AM785:AM786"/>
    <mergeCell ref="AN785:AN786"/>
    <mergeCell ref="A787:A788"/>
    <mergeCell ref="B787:B788"/>
    <mergeCell ref="D787:D788"/>
    <mergeCell ref="H787:H788"/>
    <mergeCell ref="I787:I788"/>
    <mergeCell ref="J787:J788"/>
    <mergeCell ref="K787:K788"/>
    <mergeCell ref="L787:L788"/>
    <mergeCell ref="M787:M788"/>
    <mergeCell ref="N787:N788"/>
    <mergeCell ref="O787:O788"/>
    <mergeCell ref="AG785:AG786"/>
    <mergeCell ref="AH785:AH786"/>
    <mergeCell ref="AI785:AI786"/>
    <mergeCell ref="AJ785:AJ786"/>
    <mergeCell ref="AK785:AK786"/>
    <mergeCell ref="AB785:AB786"/>
    <mergeCell ref="AC785:AC786"/>
    <mergeCell ref="AD785:AD786"/>
    <mergeCell ref="AE785:AE786"/>
    <mergeCell ref="AF785:AF786"/>
    <mergeCell ref="W785:W786"/>
    <mergeCell ref="X785:X786"/>
    <mergeCell ref="Y785:Y786"/>
    <mergeCell ref="Z785:Z786"/>
    <mergeCell ref="AA785:AA786"/>
    <mergeCell ref="R785:R786"/>
    <mergeCell ref="S785:S786"/>
    <mergeCell ref="T785:T786"/>
    <mergeCell ref="U785:U786"/>
    <mergeCell ref="V785:V786"/>
    <mergeCell ref="M785:M786"/>
    <mergeCell ref="N785:N786"/>
    <mergeCell ref="O785:O786"/>
    <mergeCell ref="P785:P786"/>
    <mergeCell ref="Q785:Q786"/>
    <mergeCell ref="AL789:AL790"/>
    <mergeCell ref="AM789:AM790"/>
    <mergeCell ref="AN789:AN790"/>
    <mergeCell ref="A791:A792"/>
    <mergeCell ref="B791:B792"/>
    <mergeCell ref="D791:D792"/>
    <mergeCell ref="H791:H792"/>
    <mergeCell ref="I791:I792"/>
    <mergeCell ref="J791:J792"/>
    <mergeCell ref="K791:K792"/>
    <mergeCell ref="L791:L792"/>
    <mergeCell ref="M791:M792"/>
    <mergeCell ref="N791:N792"/>
    <mergeCell ref="O791:O792"/>
    <mergeCell ref="AG789:AG790"/>
    <mergeCell ref="AH789:AH790"/>
    <mergeCell ref="AI789:AI790"/>
    <mergeCell ref="AJ789:AJ790"/>
    <mergeCell ref="AK789:AK790"/>
    <mergeCell ref="AB789:AB790"/>
    <mergeCell ref="AC789:AC790"/>
    <mergeCell ref="AD789:AD790"/>
    <mergeCell ref="AE789:AE790"/>
    <mergeCell ref="AF789:AF790"/>
    <mergeCell ref="W789:W790"/>
    <mergeCell ref="X789:X790"/>
    <mergeCell ref="Y789:Y790"/>
    <mergeCell ref="Z789:Z790"/>
    <mergeCell ref="AA789:AA790"/>
    <mergeCell ref="R789:R790"/>
    <mergeCell ref="S789:S790"/>
    <mergeCell ref="T789:T790"/>
    <mergeCell ref="U789:U790"/>
    <mergeCell ref="V789:V790"/>
    <mergeCell ref="M789:M790"/>
    <mergeCell ref="N789:N790"/>
    <mergeCell ref="O789:O790"/>
    <mergeCell ref="P789:P790"/>
    <mergeCell ref="Q789:Q790"/>
    <mergeCell ref="H789:H790"/>
    <mergeCell ref="I789:I790"/>
    <mergeCell ref="J789:J790"/>
    <mergeCell ref="K789:K790"/>
    <mergeCell ref="L789:L790"/>
    <mergeCell ref="A789:A790"/>
    <mergeCell ref="B789:B790"/>
    <mergeCell ref="D789:D790"/>
    <mergeCell ref="H793:H794"/>
    <mergeCell ref="I793:I794"/>
    <mergeCell ref="J793:J794"/>
    <mergeCell ref="K793:K794"/>
    <mergeCell ref="L793:L794"/>
    <mergeCell ref="A793:A794"/>
    <mergeCell ref="B793:B794"/>
    <mergeCell ref="D793:D794"/>
    <mergeCell ref="AJ791:AJ792"/>
    <mergeCell ref="AK791:AK792"/>
    <mergeCell ref="AL791:AL792"/>
    <mergeCell ref="AM791:AM792"/>
    <mergeCell ref="AN791:AN792"/>
    <mergeCell ref="AE791:AE792"/>
    <mergeCell ref="AF791:AF792"/>
    <mergeCell ref="AG791:AG792"/>
    <mergeCell ref="AH791:AH792"/>
    <mergeCell ref="AI791:AI792"/>
    <mergeCell ref="Z791:Z792"/>
    <mergeCell ref="AA791:AA792"/>
    <mergeCell ref="AB791:AB792"/>
    <mergeCell ref="AC791:AC792"/>
    <mergeCell ref="AD791:AD792"/>
    <mergeCell ref="U791:U792"/>
    <mergeCell ref="V791:V792"/>
    <mergeCell ref="W791:W792"/>
    <mergeCell ref="X791:X792"/>
    <mergeCell ref="Y791:Y792"/>
    <mergeCell ref="P791:P792"/>
    <mergeCell ref="Q791:Q792"/>
    <mergeCell ref="R791:R792"/>
    <mergeCell ref="S791:S792"/>
    <mergeCell ref="T791:T792"/>
    <mergeCell ref="AJ795:AJ796"/>
    <mergeCell ref="AK795:AK796"/>
    <mergeCell ref="AL795:AL796"/>
    <mergeCell ref="AM795:AM796"/>
    <mergeCell ref="AN795:AN796"/>
    <mergeCell ref="AE795:AE796"/>
    <mergeCell ref="AF795:AF796"/>
    <mergeCell ref="AG795:AG796"/>
    <mergeCell ref="AH795:AH796"/>
    <mergeCell ref="AI795:AI796"/>
    <mergeCell ref="Z795:Z796"/>
    <mergeCell ref="AA795:AA796"/>
    <mergeCell ref="AB795:AB796"/>
    <mergeCell ref="AC795:AC796"/>
    <mergeCell ref="AD795:AD796"/>
    <mergeCell ref="U795:U796"/>
    <mergeCell ref="V795:V796"/>
    <mergeCell ref="W795:W796"/>
    <mergeCell ref="X795:X796"/>
    <mergeCell ref="Y795:Y796"/>
    <mergeCell ref="P795:P796"/>
    <mergeCell ref="Q795:Q796"/>
    <mergeCell ref="R795:R796"/>
    <mergeCell ref="S795:S796"/>
    <mergeCell ref="T795:T796"/>
    <mergeCell ref="AL793:AL794"/>
    <mergeCell ref="AM793:AM794"/>
    <mergeCell ref="AN793:AN794"/>
    <mergeCell ref="A795:A796"/>
    <mergeCell ref="B795:B796"/>
    <mergeCell ref="D795:D796"/>
    <mergeCell ref="H795:H796"/>
    <mergeCell ref="I795:I796"/>
    <mergeCell ref="J795:J796"/>
    <mergeCell ref="K795:K796"/>
    <mergeCell ref="L795:L796"/>
    <mergeCell ref="M795:M796"/>
    <mergeCell ref="N795:N796"/>
    <mergeCell ref="O795:O796"/>
    <mergeCell ref="AG793:AG794"/>
    <mergeCell ref="AH793:AH794"/>
    <mergeCell ref="AI793:AI794"/>
    <mergeCell ref="AJ793:AJ794"/>
    <mergeCell ref="AK793:AK794"/>
    <mergeCell ref="AB793:AB794"/>
    <mergeCell ref="AC793:AC794"/>
    <mergeCell ref="AD793:AD794"/>
    <mergeCell ref="AE793:AE794"/>
    <mergeCell ref="AF793:AF794"/>
    <mergeCell ref="W793:W794"/>
    <mergeCell ref="X793:X794"/>
    <mergeCell ref="Y793:Y794"/>
    <mergeCell ref="Z793:Z794"/>
    <mergeCell ref="AA793:AA794"/>
    <mergeCell ref="R793:R794"/>
    <mergeCell ref="S793:S794"/>
    <mergeCell ref="T793:T794"/>
    <mergeCell ref="U793:U794"/>
    <mergeCell ref="V793:V794"/>
    <mergeCell ref="M793:M794"/>
    <mergeCell ref="N793:N794"/>
    <mergeCell ref="O793:O794"/>
    <mergeCell ref="P793:P794"/>
    <mergeCell ref="Q793:Q794"/>
    <mergeCell ref="AL797:AL798"/>
    <mergeCell ref="AM797:AM798"/>
    <mergeCell ref="AN797:AN798"/>
    <mergeCell ref="A799:A800"/>
    <mergeCell ref="B799:B800"/>
    <mergeCell ref="D799:D800"/>
    <mergeCell ref="H799:H800"/>
    <mergeCell ref="I799:I800"/>
    <mergeCell ref="J799:J800"/>
    <mergeCell ref="K799:K800"/>
    <mergeCell ref="L799:L800"/>
    <mergeCell ref="M799:M800"/>
    <mergeCell ref="N799:N800"/>
    <mergeCell ref="O799:O800"/>
    <mergeCell ref="AG797:AG798"/>
    <mergeCell ref="AH797:AH798"/>
    <mergeCell ref="AI797:AI798"/>
    <mergeCell ref="AJ797:AJ798"/>
    <mergeCell ref="AK797:AK798"/>
    <mergeCell ref="AB797:AB798"/>
    <mergeCell ref="AC797:AC798"/>
    <mergeCell ref="AD797:AD798"/>
    <mergeCell ref="AE797:AE798"/>
    <mergeCell ref="AF797:AF798"/>
    <mergeCell ref="W797:W798"/>
    <mergeCell ref="X797:X798"/>
    <mergeCell ref="Y797:Y798"/>
    <mergeCell ref="Z797:Z798"/>
    <mergeCell ref="AA797:AA798"/>
    <mergeCell ref="R797:R798"/>
    <mergeCell ref="S797:S798"/>
    <mergeCell ref="T797:T798"/>
    <mergeCell ref="U797:U798"/>
    <mergeCell ref="V797:V798"/>
    <mergeCell ref="M797:M798"/>
    <mergeCell ref="N797:N798"/>
    <mergeCell ref="O797:O798"/>
    <mergeCell ref="P797:P798"/>
    <mergeCell ref="Q797:Q798"/>
    <mergeCell ref="H797:H798"/>
    <mergeCell ref="I797:I798"/>
    <mergeCell ref="J797:J798"/>
    <mergeCell ref="K797:K798"/>
    <mergeCell ref="L797:L798"/>
    <mergeCell ref="A797:A798"/>
    <mergeCell ref="B797:B798"/>
    <mergeCell ref="D797:D798"/>
    <mergeCell ref="H801:H802"/>
    <mergeCell ref="I801:I802"/>
    <mergeCell ref="J801:J802"/>
    <mergeCell ref="K801:K802"/>
    <mergeCell ref="L801:L802"/>
    <mergeCell ref="A801:A802"/>
    <mergeCell ref="B801:B802"/>
    <mergeCell ref="D801:D802"/>
    <mergeCell ref="AJ799:AJ800"/>
    <mergeCell ref="AK799:AK800"/>
    <mergeCell ref="AL799:AL800"/>
    <mergeCell ref="AM799:AM800"/>
    <mergeCell ref="AN799:AN800"/>
    <mergeCell ref="AE799:AE800"/>
    <mergeCell ref="AF799:AF800"/>
    <mergeCell ref="AG799:AG800"/>
    <mergeCell ref="AH799:AH800"/>
    <mergeCell ref="AI799:AI800"/>
    <mergeCell ref="Z799:Z800"/>
    <mergeCell ref="AA799:AA800"/>
    <mergeCell ref="AB799:AB800"/>
    <mergeCell ref="AC799:AC800"/>
    <mergeCell ref="AD799:AD800"/>
    <mergeCell ref="U799:U800"/>
    <mergeCell ref="V799:V800"/>
    <mergeCell ref="W799:W800"/>
    <mergeCell ref="X799:X800"/>
    <mergeCell ref="Y799:Y800"/>
    <mergeCell ref="P799:P800"/>
    <mergeCell ref="Q799:Q800"/>
    <mergeCell ref="R799:R800"/>
    <mergeCell ref="S799:S800"/>
    <mergeCell ref="T799:T800"/>
    <mergeCell ref="AJ803:AJ804"/>
    <mergeCell ref="AK803:AK804"/>
    <mergeCell ref="AL803:AL804"/>
    <mergeCell ref="AM803:AM804"/>
    <mergeCell ref="AN803:AN804"/>
    <mergeCell ref="AE803:AE804"/>
    <mergeCell ref="AF803:AF804"/>
    <mergeCell ref="AG803:AG804"/>
    <mergeCell ref="AH803:AH804"/>
    <mergeCell ref="AI803:AI804"/>
    <mergeCell ref="Z803:Z804"/>
    <mergeCell ref="AA803:AA804"/>
    <mergeCell ref="AB803:AB804"/>
    <mergeCell ref="AC803:AC804"/>
    <mergeCell ref="AD803:AD804"/>
    <mergeCell ref="U803:U804"/>
    <mergeCell ref="V803:V804"/>
    <mergeCell ref="W803:W804"/>
    <mergeCell ref="X803:X804"/>
    <mergeCell ref="Y803:Y804"/>
    <mergeCell ref="P803:P804"/>
    <mergeCell ref="Q803:Q804"/>
    <mergeCell ref="R803:R804"/>
    <mergeCell ref="S803:S804"/>
    <mergeCell ref="T803:T804"/>
    <mergeCell ref="AL801:AL802"/>
    <mergeCell ref="AM801:AM802"/>
    <mergeCell ref="AN801:AN802"/>
    <mergeCell ref="A803:A804"/>
    <mergeCell ref="B803:B804"/>
    <mergeCell ref="D803:D804"/>
    <mergeCell ref="H803:H804"/>
    <mergeCell ref="I803:I804"/>
    <mergeCell ref="J803:J804"/>
    <mergeCell ref="K803:K804"/>
    <mergeCell ref="L803:L804"/>
    <mergeCell ref="M803:M804"/>
    <mergeCell ref="N803:N804"/>
    <mergeCell ref="O803:O804"/>
    <mergeCell ref="AG801:AG802"/>
    <mergeCell ref="AH801:AH802"/>
    <mergeCell ref="AI801:AI802"/>
    <mergeCell ref="AJ801:AJ802"/>
    <mergeCell ref="AK801:AK802"/>
    <mergeCell ref="AB801:AB802"/>
    <mergeCell ref="AC801:AC802"/>
    <mergeCell ref="AD801:AD802"/>
    <mergeCell ref="AE801:AE802"/>
    <mergeCell ref="AF801:AF802"/>
    <mergeCell ref="W801:W802"/>
    <mergeCell ref="X801:X802"/>
    <mergeCell ref="Y801:Y802"/>
    <mergeCell ref="Z801:Z802"/>
    <mergeCell ref="AA801:AA802"/>
    <mergeCell ref="R801:R802"/>
    <mergeCell ref="S801:S802"/>
    <mergeCell ref="T801:T802"/>
    <mergeCell ref="U801:U802"/>
    <mergeCell ref="V801:V802"/>
    <mergeCell ref="M801:M802"/>
    <mergeCell ref="N801:N802"/>
    <mergeCell ref="O801:O802"/>
    <mergeCell ref="P801:P802"/>
    <mergeCell ref="Q801:Q802"/>
    <mergeCell ref="AL805:AL806"/>
    <mergeCell ref="AM805:AM806"/>
    <mergeCell ref="AN805:AN806"/>
    <mergeCell ref="A807:A808"/>
    <mergeCell ref="B807:B808"/>
    <mergeCell ref="D807:D808"/>
    <mergeCell ref="H807:H808"/>
    <mergeCell ref="I807:I808"/>
    <mergeCell ref="J807:J808"/>
    <mergeCell ref="K807:K808"/>
    <mergeCell ref="L807:L808"/>
    <mergeCell ref="M807:M808"/>
    <mergeCell ref="N807:N808"/>
    <mergeCell ref="O807:O808"/>
    <mergeCell ref="AG805:AG806"/>
    <mergeCell ref="AH805:AH806"/>
    <mergeCell ref="AI805:AI806"/>
    <mergeCell ref="AJ805:AJ806"/>
    <mergeCell ref="AK805:AK806"/>
    <mergeCell ref="AB805:AB806"/>
    <mergeCell ref="AC805:AC806"/>
    <mergeCell ref="AD805:AD806"/>
    <mergeCell ref="AE805:AE806"/>
    <mergeCell ref="AF805:AF806"/>
    <mergeCell ref="W805:W806"/>
    <mergeCell ref="X805:X806"/>
    <mergeCell ref="Y805:Y806"/>
    <mergeCell ref="Z805:Z806"/>
    <mergeCell ref="AA805:AA806"/>
    <mergeCell ref="R805:R806"/>
    <mergeCell ref="S805:S806"/>
    <mergeCell ref="T805:T806"/>
    <mergeCell ref="U805:U806"/>
    <mergeCell ref="V805:V806"/>
    <mergeCell ref="M805:M806"/>
    <mergeCell ref="N805:N806"/>
    <mergeCell ref="O805:O806"/>
    <mergeCell ref="P805:P806"/>
    <mergeCell ref="Q805:Q806"/>
    <mergeCell ref="H805:H806"/>
    <mergeCell ref="I805:I806"/>
    <mergeCell ref="J805:J806"/>
    <mergeCell ref="K805:K806"/>
    <mergeCell ref="L805:L806"/>
    <mergeCell ref="A805:A806"/>
    <mergeCell ref="B805:B806"/>
    <mergeCell ref="D805:D806"/>
    <mergeCell ref="H809:H810"/>
    <mergeCell ref="I809:I810"/>
    <mergeCell ref="J809:J810"/>
    <mergeCell ref="K809:K810"/>
    <mergeCell ref="L809:L810"/>
    <mergeCell ref="A809:A810"/>
    <mergeCell ref="B809:B810"/>
    <mergeCell ref="D809:D810"/>
    <mergeCell ref="AJ807:AJ808"/>
    <mergeCell ref="AK807:AK808"/>
    <mergeCell ref="AL807:AL808"/>
    <mergeCell ref="AM807:AM808"/>
    <mergeCell ref="AN807:AN808"/>
    <mergeCell ref="AE807:AE808"/>
    <mergeCell ref="AF807:AF808"/>
    <mergeCell ref="AG807:AG808"/>
    <mergeCell ref="AH807:AH808"/>
    <mergeCell ref="AI807:AI808"/>
    <mergeCell ref="Z807:Z808"/>
    <mergeCell ref="AA807:AA808"/>
    <mergeCell ref="AB807:AB808"/>
    <mergeCell ref="AC807:AC808"/>
    <mergeCell ref="AD807:AD808"/>
    <mergeCell ref="U807:U808"/>
    <mergeCell ref="V807:V808"/>
    <mergeCell ref="W807:W808"/>
    <mergeCell ref="X807:X808"/>
    <mergeCell ref="Y807:Y808"/>
    <mergeCell ref="P807:P808"/>
    <mergeCell ref="Q807:Q808"/>
    <mergeCell ref="R807:R808"/>
    <mergeCell ref="S807:S808"/>
    <mergeCell ref="T807:T808"/>
    <mergeCell ref="AJ811:AJ812"/>
    <mergeCell ref="AK811:AK812"/>
    <mergeCell ref="AL811:AL812"/>
    <mergeCell ref="AM811:AM812"/>
    <mergeCell ref="AN811:AN812"/>
    <mergeCell ref="AE811:AE812"/>
    <mergeCell ref="AF811:AF812"/>
    <mergeCell ref="AG811:AG812"/>
    <mergeCell ref="AH811:AH812"/>
    <mergeCell ref="AI811:AI812"/>
    <mergeCell ref="Z811:Z812"/>
    <mergeCell ref="AA811:AA812"/>
    <mergeCell ref="AB811:AB812"/>
    <mergeCell ref="AC811:AC812"/>
    <mergeCell ref="AD811:AD812"/>
    <mergeCell ref="U811:U812"/>
    <mergeCell ref="V811:V812"/>
    <mergeCell ref="W811:W812"/>
    <mergeCell ref="X811:X812"/>
    <mergeCell ref="Y811:Y812"/>
    <mergeCell ref="P811:P812"/>
    <mergeCell ref="Q811:Q812"/>
    <mergeCell ref="R811:R812"/>
    <mergeCell ref="S811:S812"/>
    <mergeCell ref="T811:T812"/>
    <mergeCell ref="AL809:AL810"/>
    <mergeCell ref="AM809:AM810"/>
    <mergeCell ref="AN809:AN810"/>
    <mergeCell ref="A811:A812"/>
    <mergeCell ref="B811:B812"/>
    <mergeCell ref="D811:D812"/>
    <mergeCell ref="H811:H812"/>
    <mergeCell ref="I811:I812"/>
    <mergeCell ref="J811:J812"/>
    <mergeCell ref="K811:K812"/>
    <mergeCell ref="L811:L812"/>
    <mergeCell ref="M811:M812"/>
    <mergeCell ref="N811:N812"/>
    <mergeCell ref="O811:O812"/>
    <mergeCell ref="AG809:AG810"/>
    <mergeCell ref="AH809:AH810"/>
    <mergeCell ref="AI809:AI810"/>
    <mergeCell ref="AJ809:AJ810"/>
    <mergeCell ref="AK809:AK810"/>
    <mergeCell ref="AB809:AB810"/>
    <mergeCell ref="AC809:AC810"/>
    <mergeCell ref="AD809:AD810"/>
    <mergeCell ref="AE809:AE810"/>
    <mergeCell ref="AF809:AF810"/>
    <mergeCell ref="W809:W810"/>
    <mergeCell ref="X809:X810"/>
    <mergeCell ref="Y809:Y810"/>
    <mergeCell ref="Z809:Z810"/>
    <mergeCell ref="AA809:AA810"/>
    <mergeCell ref="R809:R810"/>
    <mergeCell ref="S809:S810"/>
    <mergeCell ref="T809:T810"/>
    <mergeCell ref="U809:U810"/>
    <mergeCell ref="V809:V810"/>
    <mergeCell ref="M809:M810"/>
    <mergeCell ref="N809:N810"/>
    <mergeCell ref="O809:O810"/>
    <mergeCell ref="P809:P810"/>
    <mergeCell ref="Q809:Q810"/>
    <mergeCell ref="AL813:AL814"/>
    <mergeCell ref="AM813:AM814"/>
    <mergeCell ref="AN813:AN814"/>
    <mergeCell ref="A815:A816"/>
    <mergeCell ref="B815:B816"/>
    <mergeCell ref="D815:D816"/>
    <mergeCell ref="H815:H816"/>
    <mergeCell ref="I815:I816"/>
    <mergeCell ref="J815:J816"/>
    <mergeCell ref="K815:K816"/>
    <mergeCell ref="L815:L816"/>
    <mergeCell ref="M815:M816"/>
    <mergeCell ref="N815:N816"/>
    <mergeCell ref="O815:O816"/>
    <mergeCell ref="AG813:AG814"/>
    <mergeCell ref="AH813:AH814"/>
    <mergeCell ref="AI813:AI814"/>
    <mergeCell ref="AJ813:AJ814"/>
    <mergeCell ref="AK813:AK814"/>
    <mergeCell ref="AB813:AB814"/>
    <mergeCell ref="AC813:AC814"/>
    <mergeCell ref="AD813:AD814"/>
    <mergeCell ref="AE813:AE814"/>
    <mergeCell ref="AF813:AF814"/>
    <mergeCell ref="W813:W814"/>
    <mergeCell ref="X813:X814"/>
    <mergeCell ref="Y813:Y814"/>
    <mergeCell ref="Z813:Z814"/>
    <mergeCell ref="AA813:AA814"/>
    <mergeCell ref="R813:R814"/>
    <mergeCell ref="S813:S814"/>
    <mergeCell ref="T813:T814"/>
    <mergeCell ref="U813:U814"/>
    <mergeCell ref="V813:V814"/>
    <mergeCell ref="M813:M814"/>
    <mergeCell ref="N813:N814"/>
    <mergeCell ref="O813:O814"/>
    <mergeCell ref="P813:P814"/>
    <mergeCell ref="Q813:Q814"/>
    <mergeCell ref="H813:H814"/>
    <mergeCell ref="I813:I814"/>
    <mergeCell ref="J813:J814"/>
    <mergeCell ref="K813:K814"/>
    <mergeCell ref="L813:L814"/>
    <mergeCell ref="A813:A814"/>
    <mergeCell ref="B813:B814"/>
    <mergeCell ref="D813:D814"/>
    <mergeCell ref="H817:H818"/>
    <mergeCell ref="I817:I818"/>
    <mergeCell ref="J817:J818"/>
    <mergeCell ref="K817:K818"/>
    <mergeCell ref="L817:L818"/>
    <mergeCell ref="A817:A818"/>
    <mergeCell ref="B817:B818"/>
    <mergeCell ref="D817:D818"/>
    <mergeCell ref="AJ815:AJ816"/>
    <mergeCell ref="AK815:AK816"/>
    <mergeCell ref="AL815:AL816"/>
    <mergeCell ref="AM815:AM816"/>
    <mergeCell ref="AN815:AN816"/>
    <mergeCell ref="AE815:AE816"/>
    <mergeCell ref="AF815:AF816"/>
    <mergeCell ref="AG815:AG816"/>
    <mergeCell ref="AH815:AH816"/>
    <mergeCell ref="AI815:AI816"/>
    <mergeCell ref="Z815:Z816"/>
    <mergeCell ref="AA815:AA816"/>
    <mergeCell ref="AB815:AB816"/>
    <mergeCell ref="AC815:AC816"/>
    <mergeCell ref="AD815:AD816"/>
    <mergeCell ref="U815:U816"/>
    <mergeCell ref="V815:V816"/>
    <mergeCell ref="W815:W816"/>
    <mergeCell ref="X815:X816"/>
    <mergeCell ref="Y815:Y816"/>
    <mergeCell ref="P815:P816"/>
    <mergeCell ref="Q815:Q816"/>
    <mergeCell ref="R815:R816"/>
    <mergeCell ref="S815:S816"/>
    <mergeCell ref="T815:T816"/>
    <mergeCell ref="AJ819:AJ820"/>
    <mergeCell ref="AK819:AK820"/>
    <mergeCell ref="AL819:AL820"/>
    <mergeCell ref="AM819:AM820"/>
    <mergeCell ref="AN819:AN820"/>
    <mergeCell ref="AE819:AE820"/>
    <mergeCell ref="AF819:AF820"/>
    <mergeCell ref="AG819:AG820"/>
    <mergeCell ref="AH819:AH820"/>
    <mergeCell ref="AI819:AI820"/>
    <mergeCell ref="Z819:Z820"/>
    <mergeCell ref="AA819:AA820"/>
    <mergeCell ref="AB819:AB820"/>
    <mergeCell ref="AC819:AC820"/>
    <mergeCell ref="AD819:AD820"/>
    <mergeCell ref="U819:U820"/>
    <mergeCell ref="V819:V820"/>
    <mergeCell ref="W819:W820"/>
    <mergeCell ref="X819:X820"/>
    <mergeCell ref="Y819:Y820"/>
    <mergeCell ref="P819:P820"/>
    <mergeCell ref="Q819:Q820"/>
    <mergeCell ref="R819:R820"/>
    <mergeCell ref="S819:S820"/>
    <mergeCell ref="T819:T820"/>
    <mergeCell ref="AL817:AL818"/>
    <mergeCell ref="AM817:AM818"/>
    <mergeCell ref="AN817:AN818"/>
    <mergeCell ref="A819:A820"/>
    <mergeCell ref="B819:B820"/>
    <mergeCell ref="D819:D820"/>
    <mergeCell ref="H819:H820"/>
    <mergeCell ref="I819:I820"/>
    <mergeCell ref="J819:J820"/>
    <mergeCell ref="K819:K820"/>
    <mergeCell ref="L819:L820"/>
    <mergeCell ref="M819:M820"/>
    <mergeCell ref="N819:N820"/>
    <mergeCell ref="O819:O820"/>
    <mergeCell ref="AG817:AG818"/>
    <mergeCell ref="AH817:AH818"/>
    <mergeCell ref="AI817:AI818"/>
    <mergeCell ref="AJ817:AJ818"/>
    <mergeCell ref="AK817:AK818"/>
    <mergeCell ref="AB817:AB818"/>
    <mergeCell ref="AC817:AC818"/>
    <mergeCell ref="AD817:AD818"/>
    <mergeCell ref="AE817:AE818"/>
    <mergeCell ref="AF817:AF818"/>
    <mergeCell ref="W817:W818"/>
    <mergeCell ref="X817:X818"/>
    <mergeCell ref="Y817:Y818"/>
    <mergeCell ref="Z817:Z818"/>
    <mergeCell ref="AA817:AA818"/>
    <mergeCell ref="R817:R818"/>
    <mergeCell ref="S817:S818"/>
    <mergeCell ref="T817:T818"/>
    <mergeCell ref="U817:U818"/>
    <mergeCell ref="V817:V818"/>
    <mergeCell ref="M817:M818"/>
    <mergeCell ref="N817:N818"/>
    <mergeCell ref="O817:O818"/>
    <mergeCell ref="P817:P818"/>
    <mergeCell ref="Q817:Q818"/>
    <mergeCell ref="AL821:AL822"/>
    <mergeCell ref="AM821:AM822"/>
    <mergeCell ref="AN821:AN822"/>
    <mergeCell ref="A823:A824"/>
    <mergeCell ref="B823:B824"/>
    <mergeCell ref="D823:D824"/>
    <mergeCell ref="H823:H824"/>
    <mergeCell ref="I823:I824"/>
    <mergeCell ref="J823:J824"/>
    <mergeCell ref="K823:K824"/>
    <mergeCell ref="L823:L824"/>
    <mergeCell ref="M823:M824"/>
    <mergeCell ref="N823:N824"/>
    <mergeCell ref="O823:O824"/>
    <mergeCell ref="AG821:AG822"/>
    <mergeCell ref="AH821:AH822"/>
    <mergeCell ref="AI821:AI822"/>
    <mergeCell ref="AJ821:AJ822"/>
    <mergeCell ref="AK821:AK822"/>
    <mergeCell ref="AB821:AB822"/>
    <mergeCell ref="AC821:AC822"/>
    <mergeCell ref="AD821:AD822"/>
    <mergeCell ref="AE821:AE822"/>
    <mergeCell ref="AF821:AF822"/>
    <mergeCell ref="W821:W822"/>
    <mergeCell ref="X821:X822"/>
    <mergeCell ref="Y821:Y822"/>
    <mergeCell ref="Z821:Z822"/>
    <mergeCell ref="AA821:AA822"/>
    <mergeCell ref="R821:R822"/>
    <mergeCell ref="S821:S822"/>
    <mergeCell ref="T821:T822"/>
    <mergeCell ref="U821:U822"/>
    <mergeCell ref="V821:V822"/>
    <mergeCell ref="M821:M822"/>
    <mergeCell ref="N821:N822"/>
    <mergeCell ref="O821:O822"/>
    <mergeCell ref="P821:P822"/>
    <mergeCell ref="Q821:Q822"/>
    <mergeCell ref="H821:H822"/>
    <mergeCell ref="I821:I822"/>
    <mergeCell ref="J821:J822"/>
    <mergeCell ref="K821:K822"/>
    <mergeCell ref="L821:L822"/>
    <mergeCell ref="A821:A822"/>
    <mergeCell ref="B821:B822"/>
    <mergeCell ref="D821:D822"/>
    <mergeCell ref="H825:H826"/>
    <mergeCell ref="I825:I826"/>
    <mergeCell ref="J825:J826"/>
    <mergeCell ref="K825:K826"/>
    <mergeCell ref="L825:L826"/>
    <mergeCell ref="A825:A826"/>
    <mergeCell ref="B825:B826"/>
    <mergeCell ref="D825:D826"/>
    <mergeCell ref="AJ823:AJ824"/>
    <mergeCell ref="AK823:AK824"/>
    <mergeCell ref="AL823:AL824"/>
    <mergeCell ref="AM823:AM824"/>
    <mergeCell ref="AN823:AN824"/>
    <mergeCell ref="AE823:AE824"/>
    <mergeCell ref="AF823:AF824"/>
    <mergeCell ref="AG823:AG824"/>
    <mergeCell ref="AH823:AH824"/>
    <mergeCell ref="AI823:AI824"/>
    <mergeCell ref="Z823:Z824"/>
    <mergeCell ref="AA823:AA824"/>
    <mergeCell ref="AB823:AB824"/>
    <mergeCell ref="AC823:AC824"/>
    <mergeCell ref="AD823:AD824"/>
    <mergeCell ref="U823:U824"/>
    <mergeCell ref="V823:V824"/>
    <mergeCell ref="W823:W824"/>
    <mergeCell ref="X823:X824"/>
    <mergeCell ref="Y823:Y824"/>
    <mergeCell ref="P823:P824"/>
    <mergeCell ref="Q823:Q824"/>
    <mergeCell ref="R823:R824"/>
    <mergeCell ref="S823:S824"/>
    <mergeCell ref="T823:T824"/>
    <mergeCell ref="AJ827:AJ828"/>
    <mergeCell ref="AK827:AK828"/>
    <mergeCell ref="AL827:AL828"/>
    <mergeCell ref="AM827:AM828"/>
    <mergeCell ref="AN827:AN828"/>
    <mergeCell ref="AE827:AE828"/>
    <mergeCell ref="AF827:AF828"/>
    <mergeCell ref="AG827:AG828"/>
    <mergeCell ref="AH827:AH828"/>
    <mergeCell ref="AI827:AI828"/>
    <mergeCell ref="Z827:Z828"/>
    <mergeCell ref="AA827:AA828"/>
    <mergeCell ref="AB827:AB828"/>
    <mergeCell ref="AC827:AC828"/>
    <mergeCell ref="AD827:AD828"/>
    <mergeCell ref="U827:U828"/>
    <mergeCell ref="V827:V828"/>
    <mergeCell ref="W827:W828"/>
    <mergeCell ref="X827:X828"/>
    <mergeCell ref="Y827:Y828"/>
    <mergeCell ref="P827:P828"/>
    <mergeCell ref="Q827:Q828"/>
    <mergeCell ref="R827:R828"/>
    <mergeCell ref="S827:S828"/>
    <mergeCell ref="T827:T828"/>
    <mergeCell ref="AL825:AL826"/>
    <mergeCell ref="AM825:AM826"/>
    <mergeCell ref="AN825:AN826"/>
    <mergeCell ref="A827:A828"/>
    <mergeCell ref="B827:B828"/>
    <mergeCell ref="D827:D828"/>
    <mergeCell ref="H827:H828"/>
    <mergeCell ref="I827:I828"/>
    <mergeCell ref="J827:J828"/>
    <mergeCell ref="K827:K828"/>
    <mergeCell ref="L827:L828"/>
    <mergeCell ref="M827:M828"/>
    <mergeCell ref="N827:N828"/>
    <mergeCell ref="O827:O828"/>
    <mergeCell ref="AG825:AG826"/>
    <mergeCell ref="AH825:AH826"/>
    <mergeCell ref="AI825:AI826"/>
    <mergeCell ref="AJ825:AJ826"/>
    <mergeCell ref="AK825:AK826"/>
    <mergeCell ref="AB825:AB826"/>
    <mergeCell ref="AC825:AC826"/>
    <mergeCell ref="AD825:AD826"/>
    <mergeCell ref="AE825:AE826"/>
    <mergeCell ref="AF825:AF826"/>
    <mergeCell ref="W825:W826"/>
    <mergeCell ref="X825:X826"/>
    <mergeCell ref="Y825:Y826"/>
    <mergeCell ref="Z825:Z826"/>
    <mergeCell ref="AA825:AA826"/>
    <mergeCell ref="R825:R826"/>
    <mergeCell ref="S825:S826"/>
    <mergeCell ref="T825:T826"/>
    <mergeCell ref="U825:U826"/>
    <mergeCell ref="V825:V826"/>
    <mergeCell ref="M825:M826"/>
    <mergeCell ref="N825:N826"/>
    <mergeCell ref="O825:O826"/>
    <mergeCell ref="P825:P826"/>
    <mergeCell ref="Q825:Q826"/>
    <mergeCell ref="AL829:AL830"/>
    <mergeCell ref="AM829:AM830"/>
    <mergeCell ref="AN829:AN830"/>
    <mergeCell ref="A831:A832"/>
    <mergeCell ref="B831:B832"/>
    <mergeCell ref="D831:D832"/>
    <mergeCell ref="H831:H832"/>
    <mergeCell ref="I831:I832"/>
    <mergeCell ref="J831:J832"/>
    <mergeCell ref="K831:K832"/>
    <mergeCell ref="L831:L832"/>
    <mergeCell ref="M831:M832"/>
    <mergeCell ref="N831:N832"/>
    <mergeCell ref="O831:O832"/>
    <mergeCell ref="AG829:AG830"/>
    <mergeCell ref="AH829:AH830"/>
    <mergeCell ref="AI829:AI830"/>
    <mergeCell ref="AJ829:AJ830"/>
    <mergeCell ref="AK829:AK830"/>
    <mergeCell ref="AB829:AB830"/>
    <mergeCell ref="AC829:AC830"/>
    <mergeCell ref="AD829:AD830"/>
    <mergeCell ref="AE829:AE830"/>
    <mergeCell ref="AF829:AF830"/>
    <mergeCell ref="W829:W830"/>
    <mergeCell ref="X829:X830"/>
    <mergeCell ref="Y829:Y830"/>
    <mergeCell ref="Z829:Z830"/>
    <mergeCell ref="AA829:AA830"/>
    <mergeCell ref="R829:R830"/>
    <mergeCell ref="S829:S830"/>
    <mergeCell ref="T829:T830"/>
    <mergeCell ref="U829:U830"/>
    <mergeCell ref="V829:V830"/>
    <mergeCell ref="M829:M830"/>
    <mergeCell ref="N829:N830"/>
    <mergeCell ref="O829:O830"/>
    <mergeCell ref="P829:P830"/>
    <mergeCell ref="Q829:Q830"/>
    <mergeCell ref="H829:H830"/>
    <mergeCell ref="I829:I830"/>
    <mergeCell ref="J829:J830"/>
    <mergeCell ref="K829:K830"/>
    <mergeCell ref="L829:L830"/>
    <mergeCell ref="A829:A830"/>
    <mergeCell ref="B829:B830"/>
    <mergeCell ref="D829:D830"/>
    <mergeCell ref="H833:H834"/>
    <mergeCell ref="I833:I834"/>
    <mergeCell ref="J833:J834"/>
    <mergeCell ref="K833:K834"/>
    <mergeCell ref="L833:L834"/>
    <mergeCell ref="A833:A834"/>
    <mergeCell ref="B833:B834"/>
    <mergeCell ref="D833:D834"/>
    <mergeCell ref="AJ831:AJ832"/>
    <mergeCell ref="AK831:AK832"/>
    <mergeCell ref="AL831:AL832"/>
    <mergeCell ref="AM831:AM832"/>
    <mergeCell ref="AN831:AN832"/>
    <mergeCell ref="AE831:AE832"/>
    <mergeCell ref="AF831:AF832"/>
    <mergeCell ref="AG831:AG832"/>
    <mergeCell ref="AH831:AH832"/>
    <mergeCell ref="AI831:AI832"/>
    <mergeCell ref="Z831:Z832"/>
    <mergeCell ref="AA831:AA832"/>
    <mergeCell ref="AB831:AB832"/>
    <mergeCell ref="AC831:AC832"/>
    <mergeCell ref="AD831:AD832"/>
    <mergeCell ref="U831:U832"/>
    <mergeCell ref="V831:V832"/>
    <mergeCell ref="W831:W832"/>
    <mergeCell ref="X831:X832"/>
    <mergeCell ref="Y831:Y832"/>
    <mergeCell ref="P831:P832"/>
    <mergeCell ref="Q831:Q832"/>
    <mergeCell ref="R831:R832"/>
    <mergeCell ref="S831:S832"/>
    <mergeCell ref="T831:T832"/>
    <mergeCell ref="AJ835:AJ836"/>
    <mergeCell ref="AK835:AK836"/>
    <mergeCell ref="AL835:AL836"/>
    <mergeCell ref="AM835:AM836"/>
    <mergeCell ref="AN835:AN836"/>
    <mergeCell ref="AE835:AE836"/>
    <mergeCell ref="AF835:AF836"/>
    <mergeCell ref="AG835:AG836"/>
    <mergeCell ref="AH835:AH836"/>
    <mergeCell ref="AI835:AI836"/>
    <mergeCell ref="Z835:Z836"/>
    <mergeCell ref="AA835:AA836"/>
    <mergeCell ref="AB835:AB836"/>
    <mergeCell ref="AC835:AC836"/>
    <mergeCell ref="AD835:AD836"/>
    <mergeCell ref="U835:U836"/>
    <mergeCell ref="V835:V836"/>
    <mergeCell ref="W835:W836"/>
    <mergeCell ref="X835:X836"/>
    <mergeCell ref="Y835:Y836"/>
    <mergeCell ref="P835:P836"/>
    <mergeCell ref="Q835:Q836"/>
    <mergeCell ref="R835:R836"/>
    <mergeCell ref="S835:S836"/>
    <mergeCell ref="T835:T836"/>
    <mergeCell ref="AL833:AL834"/>
    <mergeCell ref="AM833:AM834"/>
    <mergeCell ref="AN833:AN834"/>
    <mergeCell ref="A835:A836"/>
    <mergeCell ref="B835:B836"/>
    <mergeCell ref="D835:D836"/>
    <mergeCell ref="H835:H836"/>
    <mergeCell ref="I835:I836"/>
    <mergeCell ref="J835:J836"/>
    <mergeCell ref="K835:K836"/>
    <mergeCell ref="L835:L836"/>
    <mergeCell ref="M835:M836"/>
    <mergeCell ref="N835:N836"/>
    <mergeCell ref="O835:O836"/>
    <mergeCell ref="AG833:AG834"/>
    <mergeCell ref="AH833:AH834"/>
    <mergeCell ref="AI833:AI834"/>
    <mergeCell ref="AJ833:AJ834"/>
    <mergeCell ref="AK833:AK834"/>
    <mergeCell ref="AB833:AB834"/>
    <mergeCell ref="AC833:AC834"/>
    <mergeCell ref="AD833:AD834"/>
    <mergeCell ref="AE833:AE834"/>
    <mergeCell ref="AF833:AF834"/>
    <mergeCell ref="W833:W834"/>
    <mergeCell ref="X833:X834"/>
    <mergeCell ref="Y833:Y834"/>
    <mergeCell ref="Z833:Z834"/>
    <mergeCell ref="AA833:AA834"/>
    <mergeCell ref="R833:R834"/>
    <mergeCell ref="S833:S834"/>
    <mergeCell ref="T833:T834"/>
    <mergeCell ref="U833:U834"/>
    <mergeCell ref="V833:V834"/>
    <mergeCell ref="M833:M834"/>
    <mergeCell ref="N833:N834"/>
    <mergeCell ref="O833:O834"/>
    <mergeCell ref="P833:P834"/>
    <mergeCell ref="Q833:Q834"/>
    <mergeCell ref="AL837:AL838"/>
    <mergeCell ref="AM837:AM838"/>
    <mergeCell ref="AN837:AN838"/>
    <mergeCell ref="A839:A840"/>
    <mergeCell ref="B839:B840"/>
    <mergeCell ref="D839:D840"/>
    <mergeCell ref="H839:H840"/>
    <mergeCell ref="I839:I840"/>
    <mergeCell ref="J839:J840"/>
    <mergeCell ref="K839:K840"/>
    <mergeCell ref="L839:L840"/>
    <mergeCell ref="M839:M840"/>
    <mergeCell ref="N839:N840"/>
    <mergeCell ref="O839:O840"/>
    <mergeCell ref="AG837:AG838"/>
    <mergeCell ref="AH837:AH838"/>
    <mergeCell ref="AI837:AI838"/>
    <mergeCell ref="AJ837:AJ838"/>
    <mergeCell ref="AK837:AK838"/>
    <mergeCell ref="AB837:AB838"/>
    <mergeCell ref="AC837:AC838"/>
    <mergeCell ref="AD837:AD838"/>
    <mergeCell ref="AE837:AE838"/>
    <mergeCell ref="AF837:AF838"/>
    <mergeCell ref="W837:W838"/>
    <mergeCell ref="X837:X838"/>
    <mergeCell ref="Y837:Y838"/>
    <mergeCell ref="Z837:Z838"/>
    <mergeCell ref="AA837:AA838"/>
    <mergeCell ref="R837:R838"/>
    <mergeCell ref="S837:S838"/>
    <mergeCell ref="T837:T838"/>
    <mergeCell ref="U837:U838"/>
    <mergeCell ref="V837:V838"/>
    <mergeCell ref="M837:M838"/>
    <mergeCell ref="N837:N838"/>
    <mergeCell ref="O837:O838"/>
    <mergeCell ref="P837:P838"/>
    <mergeCell ref="Q837:Q838"/>
    <mergeCell ref="H837:H838"/>
    <mergeCell ref="I837:I838"/>
    <mergeCell ref="J837:J838"/>
    <mergeCell ref="K837:K838"/>
    <mergeCell ref="L837:L838"/>
    <mergeCell ref="A837:A838"/>
    <mergeCell ref="B837:B838"/>
    <mergeCell ref="D837:D838"/>
    <mergeCell ref="H841:H842"/>
    <mergeCell ref="I841:I842"/>
    <mergeCell ref="J841:J842"/>
    <mergeCell ref="K841:K842"/>
    <mergeCell ref="L841:L842"/>
    <mergeCell ref="A841:A842"/>
    <mergeCell ref="B841:B842"/>
    <mergeCell ref="D841:D842"/>
    <mergeCell ref="AJ839:AJ840"/>
    <mergeCell ref="AK839:AK840"/>
    <mergeCell ref="AL839:AL840"/>
    <mergeCell ref="AM839:AM840"/>
    <mergeCell ref="AN839:AN840"/>
    <mergeCell ref="AE839:AE840"/>
    <mergeCell ref="AF839:AF840"/>
    <mergeCell ref="AG839:AG840"/>
    <mergeCell ref="AH839:AH840"/>
    <mergeCell ref="AI839:AI840"/>
    <mergeCell ref="Z839:Z840"/>
    <mergeCell ref="AA839:AA840"/>
    <mergeCell ref="AB839:AB840"/>
    <mergeCell ref="AC839:AC840"/>
    <mergeCell ref="AD839:AD840"/>
    <mergeCell ref="U839:U840"/>
    <mergeCell ref="V839:V840"/>
    <mergeCell ref="W839:W840"/>
    <mergeCell ref="X839:X840"/>
    <mergeCell ref="Y839:Y840"/>
    <mergeCell ref="P839:P840"/>
    <mergeCell ref="Q839:Q840"/>
    <mergeCell ref="R839:R840"/>
    <mergeCell ref="S839:S840"/>
    <mergeCell ref="T839:T840"/>
    <mergeCell ref="AJ843:AJ844"/>
    <mergeCell ref="AK843:AK844"/>
    <mergeCell ref="AL843:AL844"/>
    <mergeCell ref="AM843:AM844"/>
    <mergeCell ref="AN843:AN844"/>
    <mergeCell ref="AE843:AE844"/>
    <mergeCell ref="AF843:AF844"/>
    <mergeCell ref="AG843:AG844"/>
    <mergeCell ref="AH843:AH844"/>
    <mergeCell ref="AI843:AI844"/>
    <mergeCell ref="Z843:Z844"/>
    <mergeCell ref="AA843:AA844"/>
    <mergeCell ref="AB843:AB844"/>
    <mergeCell ref="AC843:AC844"/>
    <mergeCell ref="AD843:AD844"/>
    <mergeCell ref="U843:U844"/>
    <mergeCell ref="V843:V844"/>
    <mergeCell ref="W843:W844"/>
    <mergeCell ref="X843:X844"/>
    <mergeCell ref="Y843:Y844"/>
    <mergeCell ref="P843:P844"/>
    <mergeCell ref="Q843:Q844"/>
    <mergeCell ref="R843:R844"/>
    <mergeCell ref="S843:S844"/>
    <mergeCell ref="T843:T844"/>
    <mergeCell ref="AL841:AL842"/>
    <mergeCell ref="AM841:AM842"/>
    <mergeCell ref="AN841:AN842"/>
    <mergeCell ref="A843:A844"/>
    <mergeCell ref="B843:B844"/>
    <mergeCell ref="D843:D844"/>
    <mergeCell ref="H843:H844"/>
    <mergeCell ref="I843:I844"/>
    <mergeCell ref="J843:J844"/>
    <mergeCell ref="K843:K844"/>
    <mergeCell ref="L843:L844"/>
    <mergeCell ref="M843:M844"/>
    <mergeCell ref="N843:N844"/>
    <mergeCell ref="O843:O844"/>
    <mergeCell ref="AG841:AG842"/>
    <mergeCell ref="AH841:AH842"/>
    <mergeCell ref="AI841:AI842"/>
    <mergeCell ref="AJ841:AJ842"/>
    <mergeCell ref="AK841:AK842"/>
    <mergeCell ref="AB841:AB842"/>
    <mergeCell ref="AC841:AC842"/>
    <mergeCell ref="AD841:AD842"/>
    <mergeCell ref="AE841:AE842"/>
    <mergeCell ref="AF841:AF842"/>
    <mergeCell ref="W841:W842"/>
    <mergeCell ref="X841:X842"/>
    <mergeCell ref="Y841:Y842"/>
    <mergeCell ref="Z841:Z842"/>
    <mergeCell ref="AA841:AA842"/>
    <mergeCell ref="R841:R842"/>
    <mergeCell ref="S841:S842"/>
    <mergeCell ref="T841:T842"/>
    <mergeCell ref="U841:U842"/>
    <mergeCell ref="V841:V842"/>
    <mergeCell ref="M841:M842"/>
    <mergeCell ref="N841:N842"/>
    <mergeCell ref="O841:O842"/>
    <mergeCell ref="P841:P842"/>
    <mergeCell ref="Q841:Q842"/>
    <mergeCell ref="AL845:AL846"/>
    <mergeCell ref="AM845:AM846"/>
    <mergeCell ref="AN845:AN846"/>
    <mergeCell ref="A847:A848"/>
    <mergeCell ref="B847:B848"/>
    <mergeCell ref="D847:D848"/>
    <mergeCell ref="H847:H848"/>
    <mergeCell ref="I847:I848"/>
    <mergeCell ref="J847:J848"/>
    <mergeCell ref="K847:K848"/>
    <mergeCell ref="L847:L848"/>
    <mergeCell ref="M847:M848"/>
    <mergeCell ref="N847:N848"/>
    <mergeCell ref="O847:O848"/>
    <mergeCell ref="AG845:AG846"/>
    <mergeCell ref="AH845:AH846"/>
    <mergeCell ref="AI845:AI846"/>
    <mergeCell ref="AJ845:AJ846"/>
    <mergeCell ref="AK845:AK846"/>
    <mergeCell ref="AB845:AB846"/>
    <mergeCell ref="AC845:AC846"/>
    <mergeCell ref="AD845:AD846"/>
    <mergeCell ref="AE845:AE846"/>
    <mergeCell ref="AF845:AF846"/>
    <mergeCell ref="W845:W846"/>
    <mergeCell ref="X845:X846"/>
    <mergeCell ref="Y845:Y846"/>
    <mergeCell ref="Z845:Z846"/>
    <mergeCell ref="AA845:AA846"/>
    <mergeCell ref="R845:R846"/>
    <mergeCell ref="S845:S846"/>
    <mergeCell ref="T845:T846"/>
    <mergeCell ref="U845:U846"/>
    <mergeCell ref="V845:V846"/>
    <mergeCell ref="M845:M846"/>
    <mergeCell ref="N845:N846"/>
    <mergeCell ref="O845:O846"/>
    <mergeCell ref="P845:P846"/>
    <mergeCell ref="Q845:Q846"/>
    <mergeCell ref="H845:H846"/>
    <mergeCell ref="I845:I846"/>
    <mergeCell ref="J845:J846"/>
    <mergeCell ref="K845:K846"/>
    <mergeCell ref="L845:L846"/>
    <mergeCell ref="A845:A846"/>
    <mergeCell ref="B845:B846"/>
    <mergeCell ref="D845:D846"/>
    <mergeCell ref="H849:H850"/>
    <mergeCell ref="I849:I850"/>
    <mergeCell ref="J849:J850"/>
    <mergeCell ref="K849:K850"/>
    <mergeCell ref="L849:L850"/>
    <mergeCell ref="A849:A850"/>
    <mergeCell ref="B849:B850"/>
    <mergeCell ref="D849:D850"/>
    <mergeCell ref="AJ847:AJ848"/>
    <mergeCell ref="AK847:AK848"/>
    <mergeCell ref="AL847:AL848"/>
    <mergeCell ref="AM847:AM848"/>
    <mergeCell ref="AN847:AN848"/>
    <mergeCell ref="AE847:AE848"/>
    <mergeCell ref="AF847:AF848"/>
    <mergeCell ref="AG847:AG848"/>
    <mergeCell ref="AH847:AH848"/>
    <mergeCell ref="AI847:AI848"/>
    <mergeCell ref="Z847:Z848"/>
    <mergeCell ref="AA847:AA848"/>
    <mergeCell ref="AB847:AB848"/>
    <mergeCell ref="AC847:AC848"/>
    <mergeCell ref="AD847:AD848"/>
    <mergeCell ref="U847:U848"/>
    <mergeCell ref="V847:V848"/>
    <mergeCell ref="W847:W848"/>
    <mergeCell ref="X847:X848"/>
    <mergeCell ref="Y847:Y848"/>
    <mergeCell ref="P847:P848"/>
    <mergeCell ref="Q847:Q848"/>
    <mergeCell ref="R847:R848"/>
    <mergeCell ref="S847:S848"/>
    <mergeCell ref="T847:T848"/>
    <mergeCell ref="AJ851:AJ852"/>
    <mergeCell ref="AK851:AK852"/>
    <mergeCell ref="AL851:AL852"/>
    <mergeCell ref="AM851:AM852"/>
    <mergeCell ref="AN851:AN852"/>
    <mergeCell ref="AE851:AE852"/>
    <mergeCell ref="AF851:AF852"/>
    <mergeCell ref="AG851:AG852"/>
    <mergeCell ref="AH851:AH852"/>
    <mergeCell ref="AI851:AI852"/>
    <mergeCell ref="Z851:Z852"/>
    <mergeCell ref="AA851:AA852"/>
    <mergeCell ref="AB851:AB852"/>
    <mergeCell ref="AC851:AC852"/>
    <mergeCell ref="AD851:AD852"/>
    <mergeCell ref="U851:U852"/>
    <mergeCell ref="V851:V852"/>
    <mergeCell ref="W851:W852"/>
    <mergeCell ref="X851:X852"/>
    <mergeCell ref="Y851:Y852"/>
    <mergeCell ref="P851:P852"/>
    <mergeCell ref="Q851:Q852"/>
    <mergeCell ref="R851:R852"/>
    <mergeCell ref="S851:S852"/>
    <mergeCell ref="T851:T852"/>
    <mergeCell ref="AL849:AL850"/>
    <mergeCell ref="AM849:AM850"/>
    <mergeCell ref="AN849:AN850"/>
    <mergeCell ref="AP851:AP852"/>
    <mergeCell ref="B851:B852"/>
    <mergeCell ref="D851:D852"/>
    <mergeCell ref="H851:H852"/>
    <mergeCell ref="I851:I852"/>
    <mergeCell ref="J851:J852"/>
    <mergeCell ref="K851:K852"/>
    <mergeCell ref="L851:L852"/>
    <mergeCell ref="M851:M852"/>
    <mergeCell ref="N851:N852"/>
    <mergeCell ref="O851:O852"/>
    <mergeCell ref="AG849:AG850"/>
    <mergeCell ref="AH849:AH850"/>
    <mergeCell ref="AI849:AI850"/>
    <mergeCell ref="AJ849:AJ850"/>
    <mergeCell ref="AK849:AK850"/>
    <mergeCell ref="AB849:AB850"/>
    <mergeCell ref="AC849:AC850"/>
    <mergeCell ref="AD849:AD850"/>
    <mergeCell ref="AE849:AE850"/>
    <mergeCell ref="AF849:AF850"/>
    <mergeCell ref="W849:W850"/>
    <mergeCell ref="X849:X850"/>
    <mergeCell ref="Y849:Y850"/>
    <mergeCell ref="Z849:Z850"/>
    <mergeCell ref="AA849:AA850"/>
    <mergeCell ref="R849:R850"/>
    <mergeCell ref="S849:S850"/>
    <mergeCell ref="T849:T850"/>
    <mergeCell ref="U849:U850"/>
    <mergeCell ref="V849:V850"/>
    <mergeCell ref="M849:M850"/>
    <mergeCell ref="N849:N850"/>
    <mergeCell ref="O849:O850"/>
    <mergeCell ref="P849:P850"/>
    <mergeCell ref="Q849:Q850"/>
    <mergeCell ref="AL853:AL854"/>
    <mergeCell ref="AM853:AM854"/>
    <mergeCell ref="AN853:AN854"/>
    <mergeCell ref="AP855:AP856"/>
    <mergeCell ref="B855:B856"/>
    <mergeCell ref="D855:D856"/>
    <mergeCell ref="H855:H856"/>
    <mergeCell ref="I855:I856"/>
    <mergeCell ref="J855:J856"/>
    <mergeCell ref="K855:K856"/>
    <mergeCell ref="L855:L856"/>
    <mergeCell ref="M855:M856"/>
    <mergeCell ref="N855:N856"/>
    <mergeCell ref="O855:O856"/>
    <mergeCell ref="AG853:AG854"/>
    <mergeCell ref="AH853:AH854"/>
    <mergeCell ref="AI853:AI854"/>
    <mergeCell ref="AJ853:AJ854"/>
    <mergeCell ref="AK853:AK854"/>
    <mergeCell ref="AB853:AB854"/>
    <mergeCell ref="AC853:AC854"/>
    <mergeCell ref="AD853:AD854"/>
    <mergeCell ref="AE853:AE854"/>
    <mergeCell ref="AF853:AF854"/>
    <mergeCell ref="W853:W854"/>
    <mergeCell ref="X853:X854"/>
    <mergeCell ref="Y853:Y854"/>
    <mergeCell ref="Z853:Z854"/>
    <mergeCell ref="AA853:AA854"/>
    <mergeCell ref="R853:R854"/>
    <mergeCell ref="S853:S854"/>
    <mergeCell ref="T853:T854"/>
    <mergeCell ref="U853:U854"/>
    <mergeCell ref="V853:V854"/>
    <mergeCell ref="M853:M854"/>
    <mergeCell ref="N853:N854"/>
    <mergeCell ref="O853:O854"/>
    <mergeCell ref="P853:P854"/>
    <mergeCell ref="Q853:Q854"/>
    <mergeCell ref="H853:H854"/>
    <mergeCell ref="I853:I854"/>
    <mergeCell ref="J853:J854"/>
    <mergeCell ref="K853:K854"/>
    <mergeCell ref="L853:L854"/>
    <mergeCell ref="AP853:AP854"/>
    <mergeCell ref="B853:B854"/>
    <mergeCell ref="D853:D854"/>
    <mergeCell ref="H857:H858"/>
    <mergeCell ref="I857:I858"/>
    <mergeCell ref="J857:J858"/>
    <mergeCell ref="K857:K858"/>
    <mergeCell ref="L857:L858"/>
    <mergeCell ref="AP857:AP858"/>
    <mergeCell ref="B857:B858"/>
    <mergeCell ref="D857:D858"/>
    <mergeCell ref="AJ855:AJ856"/>
    <mergeCell ref="AK855:AK856"/>
    <mergeCell ref="AL855:AL856"/>
    <mergeCell ref="AM855:AM856"/>
    <mergeCell ref="AN855:AN856"/>
    <mergeCell ref="AE855:AE856"/>
    <mergeCell ref="AF855:AF856"/>
    <mergeCell ref="AG855:AG856"/>
    <mergeCell ref="AH855:AH856"/>
    <mergeCell ref="AI855:AI856"/>
    <mergeCell ref="Z855:Z856"/>
    <mergeCell ref="AA855:AA856"/>
    <mergeCell ref="AB855:AB856"/>
    <mergeCell ref="AC855:AC856"/>
    <mergeCell ref="AD855:AD856"/>
    <mergeCell ref="U855:U856"/>
    <mergeCell ref="V855:V856"/>
    <mergeCell ref="W855:W856"/>
    <mergeCell ref="X855:X856"/>
    <mergeCell ref="Y855:Y856"/>
    <mergeCell ref="P855:P856"/>
    <mergeCell ref="Q855:Q856"/>
    <mergeCell ref="R855:R856"/>
    <mergeCell ref="S855:S856"/>
    <mergeCell ref="T855:T856"/>
    <mergeCell ref="AJ859:AJ860"/>
    <mergeCell ref="AK859:AK860"/>
    <mergeCell ref="AL859:AL860"/>
    <mergeCell ref="AM859:AM860"/>
    <mergeCell ref="AN859:AN860"/>
    <mergeCell ref="AE859:AE860"/>
    <mergeCell ref="AF859:AF860"/>
    <mergeCell ref="AG859:AG860"/>
    <mergeCell ref="AH859:AH860"/>
    <mergeCell ref="AI859:AI860"/>
    <mergeCell ref="Z859:Z860"/>
    <mergeCell ref="AA859:AA860"/>
    <mergeCell ref="AB859:AB860"/>
    <mergeCell ref="AC859:AC860"/>
    <mergeCell ref="AD859:AD860"/>
    <mergeCell ref="U859:U860"/>
    <mergeCell ref="V859:V860"/>
    <mergeCell ref="W859:W860"/>
    <mergeCell ref="X859:X860"/>
    <mergeCell ref="Y859:Y860"/>
    <mergeCell ref="P859:P860"/>
    <mergeCell ref="Q859:Q860"/>
    <mergeCell ref="R859:R860"/>
    <mergeCell ref="S859:S860"/>
    <mergeCell ref="T859:T860"/>
    <mergeCell ref="AL857:AL858"/>
    <mergeCell ref="AM857:AM858"/>
    <mergeCell ref="AN857:AN858"/>
    <mergeCell ref="AP859:AP860"/>
    <mergeCell ref="B859:B860"/>
    <mergeCell ref="D859:D860"/>
    <mergeCell ref="H859:H860"/>
    <mergeCell ref="I859:I860"/>
    <mergeCell ref="J859:J860"/>
    <mergeCell ref="K859:K860"/>
    <mergeCell ref="L859:L860"/>
    <mergeCell ref="M859:M860"/>
    <mergeCell ref="N859:N860"/>
    <mergeCell ref="O859:O860"/>
    <mergeCell ref="AG857:AG858"/>
    <mergeCell ref="AH857:AH858"/>
    <mergeCell ref="AI857:AI858"/>
    <mergeCell ref="AJ857:AJ858"/>
    <mergeCell ref="AK857:AK858"/>
    <mergeCell ref="AB857:AB858"/>
    <mergeCell ref="AC857:AC858"/>
    <mergeCell ref="AD857:AD858"/>
    <mergeCell ref="AE857:AE858"/>
    <mergeCell ref="AF857:AF858"/>
    <mergeCell ref="W857:W858"/>
    <mergeCell ref="X857:X858"/>
    <mergeCell ref="Y857:Y858"/>
    <mergeCell ref="Z857:Z858"/>
    <mergeCell ref="AA857:AA858"/>
    <mergeCell ref="R857:R858"/>
    <mergeCell ref="S857:S858"/>
    <mergeCell ref="T857:T858"/>
    <mergeCell ref="U857:U858"/>
    <mergeCell ref="V857:V858"/>
    <mergeCell ref="M857:M858"/>
    <mergeCell ref="N857:N858"/>
    <mergeCell ref="O857:O858"/>
    <mergeCell ref="P857:P858"/>
    <mergeCell ref="Q857:Q858"/>
    <mergeCell ref="AL861:AL862"/>
    <mergeCell ref="AM861:AM862"/>
    <mergeCell ref="AN861:AN862"/>
    <mergeCell ref="AP863:AP864"/>
    <mergeCell ref="B863:B864"/>
    <mergeCell ref="D863:D864"/>
    <mergeCell ref="H863:H864"/>
    <mergeCell ref="I863:I864"/>
    <mergeCell ref="J863:J864"/>
    <mergeCell ref="K863:K864"/>
    <mergeCell ref="L863:L864"/>
    <mergeCell ref="M863:M864"/>
    <mergeCell ref="N863:N864"/>
    <mergeCell ref="O863:O864"/>
    <mergeCell ref="AG861:AG862"/>
    <mergeCell ref="AH861:AH862"/>
    <mergeCell ref="AI861:AI862"/>
    <mergeCell ref="AJ861:AJ862"/>
    <mergeCell ref="AK861:AK862"/>
    <mergeCell ref="AB861:AB862"/>
    <mergeCell ref="AC861:AC862"/>
    <mergeCell ref="AD861:AD862"/>
    <mergeCell ref="AE861:AE862"/>
    <mergeCell ref="AF861:AF862"/>
    <mergeCell ref="W861:W862"/>
    <mergeCell ref="X861:X862"/>
    <mergeCell ref="Y861:Y862"/>
    <mergeCell ref="Z861:Z862"/>
    <mergeCell ref="AA861:AA862"/>
    <mergeCell ref="R861:R862"/>
    <mergeCell ref="S861:S862"/>
    <mergeCell ref="T861:T862"/>
    <mergeCell ref="U861:U862"/>
    <mergeCell ref="V861:V862"/>
    <mergeCell ref="M861:M862"/>
    <mergeCell ref="N861:N862"/>
    <mergeCell ref="O861:O862"/>
    <mergeCell ref="P861:P862"/>
    <mergeCell ref="Q861:Q862"/>
    <mergeCell ref="H861:H862"/>
    <mergeCell ref="I861:I862"/>
    <mergeCell ref="J861:J862"/>
    <mergeCell ref="K861:K862"/>
    <mergeCell ref="L861:L862"/>
    <mergeCell ref="AP861:AP862"/>
    <mergeCell ref="B861:B862"/>
    <mergeCell ref="D861:D862"/>
    <mergeCell ref="H865:H866"/>
    <mergeCell ref="I865:I866"/>
    <mergeCell ref="J865:J866"/>
    <mergeCell ref="K865:K866"/>
    <mergeCell ref="L865:L866"/>
    <mergeCell ref="AP865:AP866"/>
    <mergeCell ref="B865:B866"/>
    <mergeCell ref="D865:D866"/>
    <mergeCell ref="AJ863:AJ864"/>
    <mergeCell ref="AK863:AK864"/>
    <mergeCell ref="AL863:AL864"/>
    <mergeCell ref="AM863:AM864"/>
    <mergeCell ref="AN863:AN864"/>
    <mergeCell ref="AE863:AE864"/>
    <mergeCell ref="AF863:AF864"/>
    <mergeCell ref="AG863:AG864"/>
    <mergeCell ref="AH863:AH864"/>
    <mergeCell ref="AI863:AI864"/>
    <mergeCell ref="Z863:Z864"/>
    <mergeCell ref="AA863:AA864"/>
    <mergeCell ref="AB863:AB864"/>
    <mergeCell ref="AC863:AC864"/>
    <mergeCell ref="AD863:AD864"/>
    <mergeCell ref="U863:U864"/>
    <mergeCell ref="V863:V864"/>
    <mergeCell ref="W863:W864"/>
    <mergeCell ref="X863:X864"/>
    <mergeCell ref="Y863:Y864"/>
    <mergeCell ref="P863:P864"/>
    <mergeCell ref="Q863:Q864"/>
    <mergeCell ref="R863:R864"/>
    <mergeCell ref="S863:S864"/>
    <mergeCell ref="T863:T864"/>
    <mergeCell ref="AJ867:AJ868"/>
    <mergeCell ref="AK867:AK868"/>
    <mergeCell ref="AL867:AL868"/>
    <mergeCell ref="AM867:AM868"/>
    <mergeCell ref="AN867:AN868"/>
    <mergeCell ref="AE867:AE868"/>
    <mergeCell ref="AF867:AF868"/>
    <mergeCell ref="AG867:AG868"/>
    <mergeCell ref="AH867:AH868"/>
    <mergeCell ref="AI867:AI868"/>
    <mergeCell ref="Z867:Z868"/>
    <mergeCell ref="AA867:AA868"/>
    <mergeCell ref="AB867:AB868"/>
    <mergeCell ref="AC867:AC868"/>
    <mergeCell ref="AD867:AD868"/>
    <mergeCell ref="U867:U868"/>
    <mergeCell ref="V867:V868"/>
    <mergeCell ref="W867:W868"/>
    <mergeCell ref="X867:X868"/>
    <mergeCell ref="Y867:Y868"/>
    <mergeCell ref="P867:P868"/>
    <mergeCell ref="Q867:Q868"/>
    <mergeCell ref="R867:R868"/>
    <mergeCell ref="S867:S868"/>
    <mergeCell ref="T867:T868"/>
    <mergeCell ref="AL865:AL866"/>
    <mergeCell ref="AM865:AM866"/>
    <mergeCell ref="AN865:AN866"/>
    <mergeCell ref="AP867:AP868"/>
    <mergeCell ref="B867:B868"/>
    <mergeCell ref="D867:D868"/>
    <mergeCell ref="H867:H868"/>
    <mergeCell ref="I867:I868"/>
    <mergeCell ref="J867:J868"/>
    <mergeCell ref="K867:K868"/>
    <mergeCell ref="L867:L868"/>
    <mergeCell ref="M867:M868"/>
    <mergeCell ref="N867:N868"/>
    <mergeCell ref="O867:O868"/>
    <mergeCell ref="AG865:AG866"/>
    <mergeCell ref="AH865:AH866"/>
    <mergeCell ref="AI865:AI866"/>
    <mergeCell ref="AJ865:AJ866"/>
    <mergeCell ref="AK865:AK866"/>
    <mergeCell ref="AB865:AB866"/>
    <mergeCell ref="AC865:AC866"/>
    <mergeCell ref="AD865:AD866"/>
    <mergeCell ref="AE865:AE866"/>
    <mergeCell ref="AF865:AF866"/>
    <mergeCell ref="W865:W866"/>
    <mergeCell ref="X865:X866"/>
    <mergeCell ref="Y865:Y866"/>
    <mergeCell ref="Z865:Z866"/>
    <mergeCell ref="AA865:AA866"/>
    <mergeCell ref="R865:R866"/>
    <mergeCell ref="S865:S866"/>
    <mergeCell ref="T865:T866"/>
    <mergeCell ref="U865:U866"/>
    <mergeCell ref="V865:V866"/>
    <mergeCell ref="M865:M866"/>
    <mergeCell ref="N865:N866"/>
    <mergeCell ref="O865:O866"/>
    <mergeCell ref="P865:P866"/>
    <mergeCell ref="Q865:Q866"/>
    <mergeCell ref="AL869:AL870"/>
    <mergeCell ref="AM869:AM870"/>
    <mergeCell ref="AN869:AN870"/>
    <mergeCell ref="AP871:AP872"/>
    <mergeCell ref="B871:B872"/>
    <mergeCell ref="D871:D872"/>
    <mergeCell ref="H871:H872"/>
    <mergeCell ref="I871:I872"/>
    <mergeCell ref="J871:J872"/>
    <mergeCell ref="K871:K872"/>
    <mergeCell ref="L871:L872"/>
    <mergeCell ref="M871:M872"/>
    <mergeCell ref="N871:N872"/>
    <mergeCell ref="O871:O872"/>
    <mergeCell ref="AG869:AG870"/>
    <mergeCell ref="AH869:AH870"/>
    <mergeCell ref="AI869:AI870"/>
    <mergeCell ref="AJ869:AJ870"/>
    <mergeCell ref="AK869:AK870"/>
    <mergeCell ref="AB869:AB870"/>
    <mergeCell ref="AC869:AC870"/>
    <mergeCell ref="AD869:AD870"/>
    <mergeCell ref="AE869:AE870"/>
    <mergeCell ref="AF869:AF870"/>
    <mergeCell ref="W869:W870"/>
    <mergeCell ref="X869:X870"/>
    <mergeCell ref="Y869:Y870"/>
    <mergeCell ref="Z869:Z870"/>
    <mergeCell ref="AA869:AA870"/>
    <mergeCell ref="R869:R870"/>
    <mergeCell ref="S869:S870"/>
    <mergeCell ref="T869:T870"/>
    <mergeCell ref="U869:U870"/>
    <mergeCell ref="V869:V870"/>
    <mergeCell ref="M869:M870"/>
    <mergeCell ref="N869:N870"/>
    <mergeCell ref="O869:O870"/>
    <mergeCell ref="P869:P870"/>
    <mergeCell ref="Q869:Q870"/>
    <mergeCell ref="H869:H870"/>
    <mergeCell ref="I869:I870"/>
    <mergeCell ref="J869:J870"/>
    <mergeCell ref="K869:K870"/>
    <mergeCell ref="L869:L870"/>
    <mergeCell ref="AP869:AP870"/>
    <mergeCell ref="B869:B870"/>
    <mergeCell ref="D869:D870"/>
    <mergeCell ref="H873:H874"/>
    <mergeCell ref="I873:I874"/>
    <mergeCell ref="J873:J874"/>
    <mergeCell ref="K873:K874"/>
    <mergeCell ref="L873:L874"/>
    <mergeCell ref="AP873:AP874"/>
    <mergeCell ref="B873:B874"/>
    <mergeCell ref="D873:D874"/>
    <mergeCell ref="AJ871:AJ872"/>
    <mergeCell ref="AK871:AK872"/>
    <mergeCell ref="AL871:AL872"/>
    <mergeCell ref="AM871:AM872"/>
    <mergeCell ref="AN871:AN872"/>
    <mergeCell ref="AE871:AE872"/>
    <mergeCell ref="AF871:AF872"/>
    <mergeCell ref="AG871:AG872"/>
    <mergeCell ref="AH871:AH872"/>
    <mergeCell ref="AI871:AI872"/>
    <mergeCell ref="Z871:Z872"/>
    <mergeCell ref="AA871:AA872"/>
    <mergeCell ref="AB871:AB872"/>
    <mergeCell ref="AC871:AC872"/>
    <mergeCell ref="AD871:AD872"/>
    <mergeCell ref="U871:U872"/>
    <mergeCell ref="V871:V872"/>
    <mergeCell ref="W871:W872"/>
    <mergeCell ref="X871:X872"/>
    <mergeCell ref="Y871:Y872"/>
    <mergeCell ref="P871:P872"/>
    <mergeCell ref="Q871:Q872"/>
    <mergeCell ref="R871:R872"/>
    <mergeCell ref="S871:S872"/>
    <mergeCell ref="T871:T872"/>
    <mergeCell ref="AJ875:AJ876"/>
    <mergeCell ref="AK875:AK876"/>
    <mergeCell ref="AL875:AL876"/>
    <mergeCell ref="AM875:AM876"/>
    <mergeCell ref="AN875:AN876"/>
    <mergeCell ref="AE875:AE876"/>
    <mergeCell ref="AF875:AF876"/>
    <mergeCell ref="AG875:AG876"/>
    <mergeCell ref="AH875:AH876"/>
    <mergeCell ref="AI875:AI876"/>
    <mergeCell ref="Z875:Z876"/>
    <mergeCell ref="AA875:AA876"/>
    <mergeCell ref="AB875:AB876"/>
    <mergeCell ref="AC875:AC876"/>
    <mergeCell ref="AD875:AD876"/>
    <mergeCell ref="U875:U876"/>
    <mergeCell ref="V875:V876"/>
    <mergeCell ref="W875:W876"/>
    <mergeCell ref="X875:X876"/>
    <mergeCell ref="Y875:Y876"/>
    <mergeCell ref="P875:P876"/>
    <mergeCell ref="Q875:Q876"/>
    <mergeCell ref="R875:R876"/>
    <mergeCell ref="S875:S876"/>
    <mergeCell ref="T875:T876"/>
    <mergeCell ref="AL873:AL874"/>
    <mergeCell ref="AM873:AM874"/>
    <mergeCell ref="AN873:AN874"/>
    <mergeCell ref="AP875:AP876"/>
    <mergeCell ref="B875:B876"/>
    <mergeCell ref="D875:D876"/>
    <mergeCell ref="H875:H876"/>
    <mergeCell ref="I875:I876"/>
    <mergeCell ref="J875:J876"/>
    <mergeCell ref="K875:K876"/>
    <mergeCell ref="L875:L876"/>
    <mergeCell ref="M875:M876"/>
    <mergeCell ref="N875:N876"/>
    <mergeCell ref="O875:O876"/>
    <mergeCell ref="AG873:AG874"/>
    <mergeCell ref="AH873:AH874"/>
    <mergeCell ref="AI873:AI874"/>
    <mergeCell ref="AJ873:AJ874"/>
    <mergeCell ref="AK873:AK874"/>
    <mergeCell ref="AB873:AB874"/>
    <mergeCell ref="AC873:AC874"/>
    <mergeCell ref="AD873:AD874"/>
    <mergeCell ref="AE873:AE874"/>
    <mergeCell ref="AF873:AF874"/>
    <mergeCell ref="W873:W874"/>
    <mergeCell ref="X873:X874"/>
    <mergeCell ref="Y873:Y874"/>
    <mergeCell ref="Z873:Z874"/>
    <mergeCell ref="AA873:AA874"/>
    <mergeCell ref="R873:R874"/>
    <mergeCell ref="S873:S874"/>
    <mergeCell ref="T873:T874"/>
    <mergeCell ref="U873:U874"/>
    <mergeCell ref="V873:V874"/>
    <mergeCell ref="M873:M874"/>
    <mergeCell ref="N873:N874"/>
    <mergeCell ref="O873:O874"/>
    <mergeCell ref="P873:P874"/>
    <mergeCell ref="Q873:Q874"/>
    <mergeCell ref="AL877:AL878"/>
    <mergeCell ref="AM877:AM878"/>
    <mergeCell ref="AN877:AN878"/>
    <mergeCell ref="AP879:AP880"/>
    <mergeCell ref="B879:B880"/>
    <mergeCell ref="D879:D880"/>
    <mergeCell ref="H879:H880"/>
    <mergeCell ref="I879:I880"/>
    <mergeCell ref="J879:J880"/>
    <mergeCell ref="K879:K880"/>
    <mergeCell ref="L879:L880"/>
    <mergeCell ref="M879:M880"/>
    <mergeCell ref="N879:N880"/>
    <mergeCell ref="O879:O880"/>
    <mergeCell ref="AG877:AG878"/>
    <mergeCell ref="AH877:AH878"/>
    <mergeCell ref="AI877:AI878"/>
    <mergeCell ref="AJ877:AJ878"/>
    <mergeCell ref="AK877:AK878"/>
    <mergeCell ref="AB877:AB878"/>
    <mergeCell ref="AC877:AC878"/>
    <mergeCell ref="AD877:AD878"/>
    <mergeCell ref="AE877:AE878"/>
    <mergeCell ref="AF877:AF878"/>
    <mergeCell ref="W877:W878"/>
    <mergeCell ref="X877:X878"/>
    <mergeCell ref="Y877:Y878"/>
    <mergeCell ref="Z877:Z878"/>
    <mergeCell ref="AA877:AA878"/>
    <mergeCell ref="R877:R878"/>
    <mergeCell ref="S877:S878"/>
    <mergeCell ref="T877:T878"/>
    <mergeCell ref="U877:U878"/>
    <mergeCell ref="V877:V878"/>
    <mergeCell ref="M877:M878"/>
    <mergeCell ref="N877:N878"/>
    <mergeCell ref="O877:O878"/>
    <mergeCell ref="P877:P878"/>
    <mergeCell ref="Q877:Q878"/>
    <mergeCell ref="H877:H878"/>
    <mergeCell ref="I877:I878"/>
    <mergeCell ref="J877:J878"/>
    <mergeCell ref="K877:K878"/>
    <mergeCell ref="L877:L878"/>
    <mergeCell ref="AP877:AP878"/>
    <mergeCell ref="B877:B878"/>
    <mergeCell ref="D877:D878"/>
    <mergeCell ref="H881:H882"/>
    <mergeCell ref="I881:I882"/>
    <mergeCell ref="J881:J882"/>
    <mergeCell ref="K881:K882"/>
    <mergeCell ref="L881:L882"/>
    <mergeCell ref="AP881:AP882"/>
    <mergeCell ref="B881:B882"/>
    <mergeCell ref="D881:D882"/>
    <mergeCell ref="AJ879:AJ880"/>
    <mergeCell ref="AK879:AK880"/>
    <mergeCell ref="AL879:AL880"/>
    <mergeCell ref="AM879:AM880"/>
    <mergeCell ref="AN879:AN880"/>
    <mergeCell ref="AE879:AE880"/>
    <mergeCell ref="AF879:AF880"/>
    <mergeCell ref="AG879:AG880"/>
    <mergeCell ref="AH879:AH880"/>
    <mergeCell ref="AI879:AI880"/>
    <mergeCell ref="Z879:Z880"/>
    <mergeCell ref="AA879:AA880"/>
    <mergeCell ref="AB879:AB880"/>
    <mergeCell ref="AC879:AC880"/>
    <mergeCell ref="AD879:AD880"/>
    <mergeCell ref="U879:U880"/>
    <mergeCell ref="V879:V880"/>
    <mergeCell ref="W879:W880"/>
    <mergeCell ref="X879:X880"/>
    <mergeCell ref="Y879:Y880"/>
    <mergeCell ref="P879:P880"/>
    <mergeCell ref="Q879:Q880"/>
    <mergeCell ref="R879:R880"/>
    <mergeCell ref="S879:S880"/>
    <mergeCell ref="T879:T880"/>
    <mergeCell ref="AJ883:AJ884"/>
    <mergeCell ref="AK883:AK884"/>
    <mergeCell ref="AL883:AL884"/>
    <mergeCell ref="AM883:AM884"/>
    <mergeCell ref="AN883:AN884"/>
    <mergeCell ref="AE883:AE884"/>
    <mergeCell ref="AF883:AF884"/>
    <mergeCell ref="AG883:AG884"/>
    <mergeCell ref="AH883:AH884"/>
    <mergeCell ref="AI883:AI884"/>
    <mergeCell ref="Z883:Z884"/>
    <mergeCell ref="AA883:AA884"/>
    <mergeCell ref="AB883:AB884"/>
    <mergeCell ref="AC883:AC884"/>
    <mergeCell ref="AD883:AD884"/>
    <mergeCell ref="U883:U884"/>
    <mergeCell ref="V883:V884"/>
    <mergeCell ref="W883:W884"/>
    <mergeCell ref="X883:X884"/>
    <mergeCell ref="Y883:Y884"/>
    <mergeCell ref="P883:P884"/>
    <mergeCell ref="Q883:Q884"/>
    <mergeCell ref="R883:R884"/>
    <mergeCell ref="S883:S884"/>
    <mergeCell ref="T883:T884"/>
    <mergeCell ref="AL881:AL882"/>
    <mergeCell ref="AM881:AM882"/>
    <mergeCell ref="AN881:AN882"/>
    <mergeCell ref="AP883:AP884"/>
    <mergeCell ref="B883:B884"/>
    <mergeCell ref="D883:D884"/>
    <mergeCell ref="H883:H884"/>
    <mergeCell ref="I883:I884"/>
    <mergeCell ref="J883:J884"/>
    <mergeCell ref="K883:K884"/>
    <mergeCell ref="L883:L884"/>
    <mergeCell ref="M883:M884"/>
    <mergeCell ref="N883:N884"/>
    <mergeCell ref="O883:O884"/>
    <mergeCell ref="AG881:AG882"/>
    <mergeCell ref="AH881:AH882"/>
    <mergeCell ref="AI881:AI882"/>
    <mergeCell ref="AJ881:AJ882"/>
    <mergeCell ref="AK881:AK882"/>
    <mergeCell ref="AB881:AB882"/>
    <mergeCell ref="AC881:AC882"/>
    <mergeCell ref="AD881:AD882"/>
    <mergeCell ref="AE881:AE882"/>
    <mergeCell ref="AF881:AF882"/>
    <mergeCell ref="W881:W882"/>
    <mergeCell ref="X881:X882"/>
    <mergeCell ref="Y881:Y882"/>
    <mergeCell ref="Z881:Z882"/>
    <mergeCell ref="AA881:AA882"/>
    <mergeCell ref="R881:R882"/>
    <mergeCell ref="S881:S882"/>
    <mergeCell ref="T881:T882"/>
    <mergeCell ref="U881:U882"/>
    <mergeCell ref="V881:V882"/>
    <mergeCell ref="M881:M882"/>
    <mergeCell ref="N881:N882"/>
    <mergeCell ref="O881:O882"/>
    <mergeCell ref="P881:P882"/>
    <mergeCell ref="Q881:Q882"/>
    <mergeCell ref="AL885:AL886"/>
    <mergeCell ref="AM885:AM886"/>
    <mergeCell ref="AN885:AN886"/>
    <mergeCell ref="AP887:AP888"/>
    <mergeCell ref="B887:B888"/>
    <mergeCell ref="D887:D888"/>
    <mergeCell ref="H887:H888"/>
    <mergeCell ref="I887:I888"/>
    <mergeCell ref="J887:J888"/>
    <mergeCell ref="K887:K888"/>
    <mergeCell ref="L887:L888"/>
    <mergeCell ref="M887:M888"/>
    <mergeCell ref="N887:N888"/>
    <mergeCell ref="O887:O888"/>
    <mergeCell ref="AG885:AG886"/>
    <mergeCell ref="AH885:AH886"/>
    <mergeCell ref="AI885:AI886"/>
    <mergeCell ref="AJ885:AJ886"/>
    <mergeCell ref="AK885:AK886"/>
    <mergeCell ref="AB885:AB886"/>
    <mergeCell ref="AC885:AC886"/>
    <mergeCell ref="AD885:AD886"/>
    <mergeCell ref="AE885:AE886"/>
    <mergeCell ref="AF885:AF886"/>
    <mergeCell ref="W885:W886"/>
    <mergeCell ref="X885:X886"/>
    <mergeCell ref="Y885:Y886"/>
    <mergeCell ref="Z885:Z886"/>
    <mergeCell ref="AA885:AA886"/>
    <mergeCell ref="R885:R886"/>
    <mergeCell ref="S885:S886"/>
    <mergeCell ref="T885:T886"/>
    <mergeCell ref="U885:U886"/>
    <mergeCell ref="V885:V886"/>
    <mergeCell ref="M885:M886"/>
    <mergeCell ref="N885:N886"/>
    <mergeCell ref="O885:O886"/>
    <mergeCell ref="P885:P886"/>
    <mergeCell ref="Q885:Q886"/>
    <mergeCell ref="H885:H886"/>
    <mergeCell ref="I885:I886"/>
    <mergeCell ref="J885:J886"/>
    <mergeCell ref="K885:K886"/>
    <mergeCell ref="L885:L886"/>
    <mergeCell ref="AP885:AP886"/>
    <mergeCell ref="B885:B886"/>
    <mergeCell ref="D885:D886"/>
    <mergeCell ref="H889:H890"/>
    <mergeCell ref="I889:I890"/>
    <mergeCell ref="J889:J890"/>
    <mergeCell ref="K889:K890"/>
    <mergeCell ref="L889:L890"/>
    <mergeCell ref="AP889:AP890"/>
    <mergeCell ref="B889:B890"/>
    <mergeCell ref="D889:D890"/>
    <mergeCell ref="AJ887:AJ888"/>
    <mergeCell ref="AK887:AK888"/>
    <mergeCell ref="AL887:AL888"/>
    <mergeCell ref="AM887:AM888"/>
    <mergeCell ref="AN887:AN888"/>
    <mergeCell ref="AE887:AE888"/>
    <mergeCell ref="AF887:AF888"/>
    <mergeCell ref="AG887:AG888"/>
    <mergeCell ref="AH887:AH888"/>
    <mergeCell ref="AI887:AI888"/>
    <mergeCell ref="Z887:Z888"/>
    <mergeCell ref="AA887:AA888"/>
    <mergeCell ref="AB887:AB888"/>
    <mergeCell ref="AC887:AC888"/>
    <mergeCell ref="AD887:AD888"/>
    <mergeCell ref="U887:U888"/>
    <mergeCell ref="V887:V888"/>
    <mergeCell ref="W887:W888"/>
    <mergeCell ref="X887:X888"/>
    <mergeCell ref="Y887:Y888"/>
    <mergeCell ref="P887:P888"/>
    <mergeCell ref="Q887:Q888"/>
    <mergeCell ref="R887:R888"/>
    <mergeCell ref="S887:S888"/>
    <mergeCell ref="T887:T888"/>
    <mergeCell ref="AJ891:AJ892"/>
    <mergeCell ref="AK891:AK892"/>
    <mergeCell ref="AL891:AL892"/>
    <mergeCell ref="AM891:AM892"/>
    <mergeCell ref="AN891:AN892"/>
    <mergeCell ref="AE891:AE892"/>
    <mergeCell ref="AF891:AF892"/>
    <mergeCell ref="AG891:AG892"/>
    <mergeCell ref="AH891:AH892"/>
    <mergeCell ref="AI891:AI892"/>
    <mergeCell ref="Z891:Z892"/>
    <mergeCell ref="AA891:AA892"/>
    <mergeCell ref="AB891:AB892"/>
    <mergeCell ref="AC891:AC892"/>
    <mergeCell ref="AD891:AD892"/>
    <mergeCell ref="U891:U892"/>
    <mergeCell ref="V891:V892"/>
    <mergeCell ref="W891:W892"/>
    <mergeCell ref="X891:X892"/>
    <mergeCell ref="Y891:Y892"/>
    <mergeCell ref="P891:P892"/>
    <mergeCell ref="Q891:Q892"/>
    <mergeCell ref="R891:R892"/>
    <mergeCell ref="S891:S892"/>
    <mergeCell ref="T891:T892"/>
    <mergeCell ref="AL889:AL890"/>
    <mergeCell ref="AM889:AM890"/>
    <mergeCell ref="AN889:AN890"/>
    <mergeCell ref="AP891:AP892"/>
    <mergeCell ref="B891:B892"/>
    <mergeCell ref="D891:D892"/>
    <mergeCell ref="H891:H892"/>
    <mergeCell ref="I891:I892"/>
    <mergeCell ref="J891:J892"/>
    <mergeCell ref="K891:K892"/>
    <mergeCell ref="L891:L892"/>
    <mergeCell ref="M891:M892"/>
    <mergeCell ref="N891:N892"/>
    <mergeCell ref="O891:O892"/>
    <mergeCell ref="AG889:AG890"/>
    <mergeCell ref="AH889:AH890"/>
    <mergeCell ref="AI889:AI890"/>
    <mergeCell ref="AJ889:AJ890"/>
    <mergeCell ref="AK889:AK890"/>
    <mergeCell ref="AB889:AB890"/>
    <mergeCell ref="AC889:AC890"/>
    <mergeCell ref="AD889:AD890"/>
    <mergeCell ref="AE889:AE890"/>
    <mergeCell ref="AF889:AF890"/>
    <mergeCell ref="W889:W890"/>
    <mergeCell ref="X889:X890"/>
    <mergeCell ref="Y889:Y890"/>
    <mergeCell ref="Z889:Z890"/>
    <mergeCell ref="AA889:AA890"/>
    <mergeCell ref="R889:R890"/>
    <mergeCell ref="S889:S890"/>
    <mergeCell ref="T889:T890"/>
    <mergeCell ref="U889:U890"/>
    <mergeCell ref="V889:V890"/>
    <mergeCell ref="M889:M890"/>
    <mergeCell ref="N889:N890"/>
    <mergeCell ref="O889:O890"/>
    <mergeCell ref="P889:P890"/>
    <mergeCell ref="Q889:Q890"/>
    <mergeCell ref="AL893:AL894"/>
    <mergeCell ref="AM893:AM894"/>
    <mergeCell ref="AN893:AN894"/>
    <mergeCell ref="AP895:AP896"/>
    <mergeCell ref="B895:B896"/>
    <mergeCell ref="D895:D896"/>
    <mergeCell ref="H895:H896"/>
    <mergeCell ref="I895:I896"/>
    <mergeCell ref="J895:J896"/>
    <mergeCell ref="K895:K896"/>
    <mergeCell ref="L895:L896"/>
    <mergeCell ref="M895:M896"/>
    <mergeCell ref="N895:N896"/>
    <mergeCell ref="O895:O896"/>
    <mergeCell ref="AG893:AG894"/>
    <mergeCell ref="AH893:AH894"/>
    <mergeCell ref="AI893:AI894"/>
    <mergeCell ref="AJ893:AJ894"/>
    <mergeCell ref="AK893:AK894"/>
    <mergeCell ref="AB893:AB894"/>
    <mergeCell ref="AC893:AC894"/>
    <mergeCell ref="AD893:AD894"/>
    <mergeCell ref="AE893:AE894"/>
    <mergeCell ref="AF893:AF894"/>
    <mergeCell ref="W893:W894"/>
    <mergeCell ref="X893:X894"/>
    <mergeCell ref="Y893:Y894"/>
    <mergeCell ref="Z893:Z894"/>
    <mergeCell ref="AA893:AA894"/>
    <mergeCell ref="R893:R894"/>
    <mergeCell ref="S893:S894"/>
    <mergeCell ref="T893:T894"/>
    <mergeCell ref="U893:U894"/>
    <mergeCell ref="V893:V894"/>
    <mergeCell ref="M893:M894"/>
    <mergeCell ref="N893:N894"/>
    <mergeCell ref="O893:O894"/>
    <mergeCell ref="P893:P894"/>
    <mergeCell ref="Q893:Q894"/>
    <mergeCell ref="H893:H894"/>
    <mergeCell ref="I893:I894"/>
    <mergeCell ref="J893:J894"/>
    <mergeCell ref="K893:K894"/>
    <mergeCell ref="L893:L894"/>
    <mergeCell ref="AP893:AP894"/>
    <mergeCell ref="B893:B894"/>
    <mergeCell ref="D893:D894"/>
    <mergeCell ref="H897:H898"/>
    <mergeCell ref="I897:I898"/>
    <mergeCell ref="J897:J898"/>
    <mergeCell ref="K897:K898"/>
    <mergeCell ref="L897:L898"/>
    <mergeCell ref="AP897:AP898"/>
    <mergeCell ref="B897:B898"/>
    <mergeCell ref="D897:D898"/>
    <mergeCell ref="AJ895:AJ896"/>
    <mergeCell ref="AK895:AK896"/>
    <mergeCell ref="AL895:AL896"/>
    <mergeCell ref="AM895:AM896"/>
    <mergeCell ref="AN895:AN896"/>
    <mergeCell ref="AE895:AE896"/>
    <mergeCell ref="AF895:AF896"/>
    <mergeCell ref="AG895:AG896"/>
    <mergeCell ref="AH895:AH896"/>
    <mergeCell ref="AI895:AI896"/>
    <mergeCell ref="Z895:Z896"/>
    <mergeCell ref="AA895:AA896"/>
    <mergeCell ref="AB895:AB896"/>
    <mergeCell ref="AC895:AC896"/>
    <mergeCell ref="AD895:AD896"/>
    <mergeCell ref="U895:U896"/>
    <mergeCell ref="V895:V896"/>
    <mergeCell ref="W895:W896"/>
    <mergeCell ref="X895:X896"/>
    <mergeCell ref="Y895:Y896"/>
    <mergeCell ref="P895:P896"/>
    <mergeCell ref="Q895:Q896"/>
    <mergeCell ref="R895:R896"/>
    <mergeCell ref="S895:S896"/>
    <mergeCell ref="T895:T896"/>
    <mergeCell ref="AJ899:AJ900"/>
    <mergeCell ref="AK899:AK900"/>
    <mergeCell ref="AL899:AL900"/>
    <mergeCell ref="AM899:AM900"/>
    <mergeCell ref="AN899:AN900"/>
    <mergeCell ref="AE899:AE900"/>
    <mergeCell ref="AF899:AF900"/>
    <mergeCell ref="AG899:AG900"/>
    <mergeCell ref="AH899:AH900"/>
    <mergeCell ref="AI899:AI900"/>
    <mergeCell ref="Z899:Z900"/>
    <mergeCell ref="AA899:AA900"/>
    <mergeCell ref="AB899:AB900"/>
    <mergeCell ref="AC899:AC900"/>
    <mergeCell ref="AD899:AD900"/>
    <mergeCell ref="U899:U900"/>
    <mergeCell ref="V899:V900"/>
    <mergeCell ref="W899:W900"/>
    <mergeCell ref="X899:X900"/>
    <mergeCell ref="Y899:Y900"/>
    <mergeCell ref="P899:P900"/>
    <mergeCell ref="Q899:Q900"/>
    <mergeCell ref="R899:R900"/>
    <mergeCell ref="S899:S900"/>
    <mergeCell ref="T899:T900"/>
    <mergeCell ref="AL897:AL898"/>
    <mergeCell ref="AM897:AM898"/>
    <mergeCell ref="AN897:AN898"/>
    <mergeCell ref="AP899:AP900"/>
    <mergeCell ref="B899:B900"/>
    <mergeCell ref="D899:D900"/>
    <mergeCell ref="H899:H900"/>
    <mergeCell ref="I899:I900"/>
    <mergeCell ref="J899:J900"/>
    <mergeCell ref="K899:K900"/>
    <mergeCell ref="L899:L900"/>
    <mergeCell ref="M899:M900"/>
    <mergeCell ref="N899:N900"/>
    <mergeCell ref="O899:O900"/>
    <mergeCell ref="AG897:AG898"/>
    <mergeCell ref="AH897:AH898"/>
    <mergeCell ref="AI897:AI898"/>
    <mergeCell ref="AJ897:AJ898"/>
    <mergeCell ref="AK897:AK898"/>
    <mergeCell ref="AB897:AB898"/>
    <mergeCell ref="AC897:AC898"/>
    <mergeCell ref="AD897:AD898"/>
    <mergeCell ref="AE897:AE898"/>
    <mergeCell ref="AF897:AF898"/>
    <mergeCell ref="W897:W898"/>
    <mergeCell ref="X897:X898"/>
    <mergeCell ref="Y897:Y898"/>
    <mergeCell ref="Z897:Z898"/>
    <mergeCell ref="AA897:AA898"/>
    <mergeCell ref="R897:R898"/>
    <mergeCell ref="S897:S898"/>
    <mergeCell ref="T897:T898"/>
    <mergeCell ref="U897:U898"/>
    <mergeCell ref="V897:V898"/>
    <mergeCell ref="M897:M898"/>
    <mergeCell ref="N897:N898"/>
    <mergeCell ref="O897:O898"/>
    <mergeCell ref="P897:P898"/>
    <mergeCell ref="Q897:Q898"/>
    <mergeCell ref="AL901:AL902"/>
    <mergeCell ref="AM901:AM902"/>
    <mergeCell ref="AN901:AN902"/>
    <mergeCell ref="AP903:AP904"/>
    <mergeCell ref="B903:B904"/>
    <mergeCell ref="D903:D904"/>
    <mergeCell ref="H903:H904"/>
    <mergeCell ref="I903:I904"/>
    <mergeCell ref="J903:J904"/>
    <mergeCell ref="K903:K904"/>
    <mergeCell ref="L903:L904"/>
    <mergeCell ref="M903:M904"/>
    <mergeCell ref="N903:N904"/>
    <mergeCell ref="O903:O904"/>
    <mergeCell ref="AG901:AG902"/>
    <mergeCell ref="AH901:AH902"/>
    <mergeCell ref="AI901:AI902"/>
    <mergeCell ref="AJ901:AJ902"/>
    <mergeCell ref="AK901:AK902"/>
    <mergeCell ref="AB901:AB902"/>
    <mergeCell ref="AC901:AC902"/>
    <mergeCell ref="AD901:AD902"/>
    <mergeCell ref="AE901:AE902"/>
    <mergeCell ref="AF901:AF902"/>
    <mergeCell ref="W901:W902"/>
    <mergeCell ref="X901:X902"/>
    <mergeCell ref="Y901:Y902"/>
    <mergeCell ref="Z901:Z902"/>
    <mergeCell ref="AA901:AA902"/>
    <mergeCell ref="R901:R902"/>
    <mergeCell ref="S901:S902"/>
    <mergeCell ref="T901:T902"/>
    <mergeCell ref="U901:U902"/>
    <mergeCell ref="V901:V902"/>
    <mergeCell ref="M901:M902"/>
    <mergeCell ref="N901:N902"/>
    <mergeCell ref="O901:O902"/>
    <mergeCell ref="P901:P902"/>
    <mergeCell ref="Q901:Q902"/>
    <mergeCell ref="H901:H902"/>
    <mergeCell ref="I901:I902"/>
    <mergeCell ref="J901:J902"/>
    <mergeCell ref="K901:K902"/>
    <mergeCell ref="L901:L902"/>
    <mergeCell ref="AP901:AP902"/>
    <mergeCell ref="B901:B902"/>
    <mergeCell ref="D901:D902"/>
    <mergeCell ref="H905:H906"/>
    <mergeCell ref="I905:I906"/>
    <mergeCell ref="J905:J906"/>
    <mergeCell ref="K905:K906"/>
    <mergeCell ref="L905:L906"/>
    <mergeCell ref="AP905:AP906"/>
    <mergeCell ref="B905:B906"/>
    <mergeCell ref="D905:D906"/>
    <mergeCell ref="AJ903:AJ904"/>
    <mergeCell ref="AK903:AK904"/>
    <mergeCell ref="AL903:AL904"/>
    <mergeCell ref="AM903:AM904"/>
    <mergeCell ref="AN903:AN904"/>
    <mergeCell ref="AE903:AE904"/>
    <mergeCell ref="AF903:AF904"/>
    <mergeCell ref="AG903:AG904"/>
    <mergeCell ref="AH903:AH904"/>
    <mergeCell ref="AI903:AI904"/>
    <mergeCell ref="Z903:Z904"/>
    <mergeCell ref="AA903:AA904"/>
    <mergeCell ref="AB903:AB904"/>
    <mergeCell ref="AC903:AC904"/>
    <mergeCell ref="AD903:AD904"/>
    <mergeCell ref="U903:U904"/>
    <mergeCell ref="V903:V904"/>
    <mergeCell ref="W903:W904"/>
    <mergeCell ref="X903:X904"/>
    <mergeCell ref="Y903:Y904"/>
    <mergeCell ref="P903:P904"/>
    <mergeCell ref="Q903:Q904"/>
    <mergeCell ref="R903:R904"/>
    <mergeCell ref="S903:S904"/>
    <mergeCell ref="T903:T904"/>
    <mergeCell ref="AJ907:AJ908"/>
    <mergeCell ref="AK907:AK908"/>
    <mergeCell ref="AL907:AL908"/>
    <mergeCell ref="AM907:AM908"/>
    <mergeCell ref="AN907:AN908"/>
    <mergeCell ref="AE907:AE908"/>
    <mergeCell ref="AF907:AF908"/>
    <mergeCell ref="AG907:AG908"/>
    <mergeCell ref="AH907:AH908"/>
    <mergeCell ref="AI907:AI908"/>
    <mergeCell ref="Z907:Z908"/>
    <mergeCell ref="AA907:AA908"/>
    <mergeCell ref="AB907:AB908"/>
    <mergeCell ref="AC907:AC908"/>
    <mergeCell ref="AD907:AD908"/>
    <mergeCell ref="U907:U908"/>
    <mergeCell ref="V907:V908"/>
    <mergeCell ref="W907:W908"/>
    <mergeCell ref="X907:X908"/>
    <mergeCell ref="Y907:Y908"/>
    <mergeCell ref="P907:P908"/>
    <mergeCell ref="Q907:Q908"/>
    <mergeCell ref="R907:R908"/>
    <mergeCell ref="S907:S908"/>
    <mergeCell ref="T907:T908"/>
    <mergeCell ref="AL905:AL906"/>
    <mergeCell ref="AM905:AM906"/>
    <mergeCell ref="AN905:AN906"/>
    <mergeCell ref="AP907:AP908"/>
    <mergeCell ref="B907:B908"/>
    <mergeCell ref="D907:D908"/>
    <mergeCell ref="H907:H908"/>
    <mergeCell ref="I907:I908"/>
    <mergeCell ref="J907:J908"/>
    <mergeCell ref="K907:K908"/>
    <mergeCell ref="L907:L908"/>
    <mergeCell ref="M907:M908"/>
    <mergeCell ref="N907:N908"/>
    <mergeCell ref="O907:O908"/>
    <mergeCell ref="AG905:AG906"/>
    <mergeCell ref="AH905:AH906"/>
    <mergeCell ref="AI905:AI906"/>
    <mergeCell ref="AJ905:AJ906"/>
    <mergeCell ref="AK905:AK906"/>
    <mergeCell ref="AB905:AB906"/>
    <mergeCell ref="AC905:AC906"/>
    <mergeCell ref="AD905:AD906"/>
    <mergeCell ref="AE905:AE906"/>
    <mergeCell ref="AF905:AF906"/>
    <mergeCell ref="W905:W906"/>
    <mergeCell ref="X905:X906"/>
    <mergeCell ref="Y905:Y906"/>
    <mergeCell ref="Z905:Z906"/>
    <mergeCell ref="AA905:AA906"/>
    <mergeCell ref="R905:R906"/>
    <mergeCell ref="S905:S906"/>
    <mergeCell ref="T905:T906"/>
    <mergeCell ref="U905:U906"/>
    <mergeCell ref="V905:V906"/>
    <mergeCell ref="M905:M906"/>
    <mergeCell ref="N905:N906"/>
    <mergeCell ref="O905:O906"/>
    <mergeCell ref="P905:P906"/>
    <mergeCell ref="Q905:Q906"/>
    <mergeCell ref="AL909:AL910"/>
    <mergeCell ref="AM909:AM910"/>
    <mergeCell ref="AN909:AN910"/>
    <mergeCell ref="AP911:AP912"/>
    <mergeCell ref="B911:B912"/>
    <mergeCell ref="D911:D912"/>
    <mergeCell ref="H911:H912"/>
    <mergeCell ref="I911:I912"/>
    <mergeCell ref="J911:J912"/>
    <mergeCell ref="K911:K912"/>
    <mergeCell ref="L911:L912"/>
    <mergeCell ref="M911:M912"/>
    <mergeCell ref="N911:N912"/>
    <mergeCell ref="O911:O912"/>
    <mergeCell ref="AG909:AG910"/>
    <mergeCell ref="AH909:AH910"/>
    <mergeCell ref="AI909:AI910"/>
    <mergeCell ref="AJ909:AJ910"/>
    <mergeCell ref="AK909:AK910"/>
    <mergeCell ref="AB909:AB910"/>
    <mergeCell ref="AC909:AC910"/>
    <mergeCell ref="AD909:AD910"/>
    <mergeCell ref="AE909:AE910"/>
    <mergeCell ref="AF909:AF910"/>
    <mergeCell ref="W909:W910"/>
    <mergeCell ref="X909:X910"/>
    <mergeCell ref="Y909:Y910"/>
    <mergeCell ref="Z909:Z910"/>
    <mergeCell ref="AA909:AA910"/>
    <mergeCell ref="R909:R910"/>
    <mergeCell ref="S909:S910"/>
    <mergeCell ref="T909:T910"/>
    <mergeCell ref="U909:U910"/>
    <mergeCell ref="V909:V910"/>
    <mergeCell ref="M909:M910"/>
    <mergeCell ref="N909:N910"/>
    <mergeCell ref="O909:O910"/>
    <mergeCell ref="P909:P910"/>
    <mergeCell ref="Q909:Q910"/>
    <mergeCell ref="H909:H910"/>
    <mergeCell ref="I909:I910"/>
    <mergeCell ref="J909:J910"/>
    <mergeCell ref="K909:K910"/>
    <mergeCell ref="L909:L910"/>
    <mergeCell ref="AP909:AP910"/>
    <mergeCell ref="B909:B910"/>
    <mergeCell ref="D909:D910"/>
    <mergeCell ref="H913:H914"/>
    <mergeCell ref="I913:I914"/>
    <mergeCell ref="J913:J914"/>
    <mergeCell ref="K913:K914"/>
    <mergeCell ref="L913:L914"/>
    <mergeCell ref="AP913:AP914"/>
    <mergeCell ref="B913:B914"/>
    <mergeCell ref="D913:D914"/>
    <mergeCell ref="AJ911:AJ912"/>
    <mergeCell ref="AK911:AK912"/>
    <mergeCell ref="AL911:AL912"/>
    <mergeCell ref="AM911:AM912"/>
    <mergeCell ref="AN911:AN912"/>
    <mergeCell ref="AE911:AE912"/>
    <mergeCell ref="AF911:AF912"/>
    <mergeCell ref="AG911:AG912"/>
    <mergeCell ref="AH911:AH912"/>
    <mergeCell ref="AI911:AI912"/>
    <mergeCell ref="Z911:Z912"/>
    <mergeCell ref="AA911:AA912"/>
    <mergeCell ref="AB911:AB912"/>
    <mergeCell ref="AC911:AC912"/>
    <mergeCell ref="AD911:AD912"/>
    <mergeCell ref="U911:U912"/>
    <mergeCell ref="V911:V912"/>
    <mergeCell ref="W911:W912"/>
    <mergeCell ref="X911:X912"/>
    <mergeCell ref="Y911:Y912"/>
    <mergeCell ref="P911:P912"/>
    <mergeCell ref="Q911:Q912"/>
    <mergeCell ref="R911:R912"/>
    <mergeCell ref="S911:S912"/>
    <mergeCell ref="T911:T912"/>
    <mergeCell ref="AJ915:AJ916"/>
    <mergeCell ref="AK915:AK916"/>
    <mergeCell ref="AL915:AL916"/>
    <mergeCell ref="AM915:AM916"/>
    <mergeCell ref="AN915:AN916"/>
    <mergeCell ref="AE915:AE916"/>
    <mergeCell ref="AF915:AF916"/>
    <mergeCell ref="AG915:AG916"/>
    <mergeCell ref="AH915:AH916"/>
    <mergeCell ref="AI915:AI916"/>
    <mergeCell ref="Z915:Z916"/>
    <mergeCell ref="AA915:AA916"/>
    <mergeCell ref="AB915:AB916"/>
    <mergeCell ref="AC915:AC916"/>
    <mergeCell ref="AD915:AD916"/>
    <mergeCell ref="U915:U916"/>
    <mergeCell ref="V915:V916"/>
    <mergeCell ref="W915:W916"/>
    <mergeCell ref="X915:X916"/>
    <mergeCell ref="Y915:Y916"/>
    <mergeCell ref="P915:P916"/>
    <mergeCell ref="Q915:Q916"/>
    <mergeCell ref="R915:R916"/>
    <mergeCell ref="S915:S916"/>
    <mergeCell ref="T915:T916"/>
    <mergeCell ref="AL913:AL914"/>
    <mergeCell ref="AM913:AM914"/>
    <mergeCell ref="AN913:AN914"/>
    <mergeCell ref="AP915:AP916"/>
    <mergeCell ref="B915:B916"/>
    <mergeCell ref="D915:D916"/>
    <mergeCell ref="H915:H916"/>
    <mergeCell ref="I915:I916"/>
    <mergeCell ref="J915:J916"/>
    <mergeCell ref="K915:K916"/>
    <mergeCell ref="L915:L916"/>
    <mergeCell ref="M915:M916"/>
    <mergeCell ref="N915:N916"/>
    <mergeCell ref="O915:O916"/>
    <mergeCell ref="AG913:AG914"/>
    <mergeCell ref="AH913:AH914"/>
    <mergeCell ref="AI913:AI914"/>
    <mergeCell ref="AJ913:AJ914"/>
    <mergeCell ref="AK913:AK914"/>
    <mergeCell ref="AB913:AB914"/>
    <mergeCell ref="AC913:AC914"/>
    <mergeCell ref="AD913:AD914"/>
    <mergeCell ref="AE913:AE914"/>
    <mergeCell ref="AF913:AF914"/>
    <mergeCell ref="W913:W914"/>
    <mergeCell ref="X913:X914"/>
    <mergeCell ref="Y913:Y914"/>
    <mergeCell ref="Z913:Z914"/>
    <mergeCell ref="AA913:AA914"/>
    <mergeCell ref="R913:R914"/>
    <mergeCell ref="S913:S914"/>
    <mergeCell ref="T913:T914"/>
    <mergeCell ref="U913:U914"/>
    <mergeCell ref="V913:V914"/>
    <mergeCell ref="M913:M914"/>
    <mergeCell ref="N913:N914"/>
    <mergeCell ref="O913:O914"/>
    <mergeCell ref="P913:P914"/>
    <mergeCell ref="Q913:Q914"/>
    <mergeCell ref="AL917:AL918"/>
    <mergeCell ref="AM917:AM918"/>
    <mergeCell ref="AN917:AN918"/>
    <mergeCell ref="AP919:AP920"/>
    <mergeCell ref="B919:B920"/>
    <mergeCell ref="D919:D920"/>
    <mergeCell ref="H919:H920"/>
    <mergeCell ref="I919:I920"/>
    <mergeCell ref="J919:J920"/>
    <mergeCell ref="K919:K920"/>
    <mergeCell ref="L919:L920"/>
    <mergeCell ref="M919:M920"/>
    <mergeCell ref="N919:N920"/>
    <mergeCell ref="O919:O920"/>
    <mergeCell ref="AG917:AG918"/>
    <mergeCell ref="AH917:AH918"/>
    <mergeCell ref="AI917:AI918"/>
    <mergeCell ref="AJ917:AJ918"/>
    <mergeCell ref="AK917:AK918"/>
    <mergeCell ref="AB917:AB918"/>
    <mergeCell ref="AC917:AC918"/>
    <mergeCell ref="AD917:AD918"/>
    <mergeCell ref="AE917:AE918"/>
    <mergeCell ref="AF917:AF918"/>
    <mergeCell ref="W917:W918"/>
    <mergeCell ref="X917:X918"/>
    <mergeCell ref="Y917:Y918"/>
    <mergeCell ref="Z917:Z918"/>
    <mergeCell ref="AA917:AA918"/>
    <mergeCell ref="R917:R918"/>
    <mergeCell ref="S917:S918"/>
    <mergeCell ref="T917:T918"/>
    <mergeCell ref="U917:U918"/>
    <mergeCell ref="V917:V918"/>
    <mergeCell ref="M917:M918"/>
    <mergeCell ref="N917:N918"/>
    <mergeCell ref="O917:O918"/>
    <mergeCell ref="P917:P918"/>
    <mergeCell ref="Q917:Q918"/>
    <mergeCell ref="H917:H918"/>
    <mergeCell ref="I917:I918"/>
    <mergeCell ref="J917:J918"/>
    <mergeCell ref="K917:K918"/>
    <mergeCell ref="L917:L918"/>
    <mergeCell ref="AP917:AP918"/>
    <mergeCell ref="B917:B918"/>
    <mergeCell ref="D917:D918"/>
    <mergeCell ref="H921:H922"/>
    <mergeCell ref="I921:I922"/>
    <mergeCell ref="J921:J922"/>
    <mergeCell ref="K921:K922"/>
    <mergeCell ref="L921:L922"/>
    <mergeCell ref="AP921:AP922"/>
    <mergeCell ref="B921:B922"/>
    <mergeCell ref="D921:D922"/>
    <mergeCell ref="AJ919:AJ920"/>
    <mergeCell ref="AK919:AK920"/>
    <mergeCell ref="AL919:AL920"/>
    <mergeCell ref="AM919:AM920"/>
    <mergeCell ref="AN919:AN920"/>
    <mergeCell ref="AE919:AE920"/>
    <mergeCell ref="AF919:AF920"/>
    <mergeCell ref="AG919:AG920"/>
    <mergeCell ref="AH919:AH920"/>
    <mergeCell ref="AI919:AI920"/>
    <mergeCell ref="Z919:Z920"/>
    <mergeCell ref="AA919:AA920"/>
    <mergeCell ref="AB919:AB920"/>
    <mergeCell ref="AC919:AC920"/>
    <mergeCell ref="AD919:AD920"/>
    <mergeCell ref="U919:U920"/>
    <mergeCell ref="V919:V920"/>
    <mergeCell ref="W919:W920"/>
    <mergeCell ref="X919:X920"/>
    <mergeCell ref="Y919:Y920"/>
    <mergeCell ref="P919:P920"/>
    <mergeCell ref="Q919:Q920"/>
    <mergeCell ref="R919:R920"/>
    <mergeCell ref="S919:S920"/>
    <mergeCell ref="T919:T920"/>
    <mergeCell ref="AJ923:AJ924"/>
    <mergeCell ref="AK923:AK924"/>
    <mergeCell ref="AL923:AL924"/>
    <mergeCell ref="AM923:AM924"/>
    <mergeCell ref="AN923:AN924"/>
    <mergeCell ref="AE923:AE924"/>
    <mergeCell ref="AF923:AF924"/>
    <mergeCell ref="AG923:AG924"/>
    <mergeCell ref="AH923:AH924"/>
    <mergeCell ref="AI923:AI924"/>
    <mergeCell ref="Z923:Z924"/>
    <mergeCell ref="AA923:AA924"/>
    <mergeCell ref="AB923:AB924"/>
    <mergeCell ref="AC923:AC924"/>
    <mergeCell ref="AD923:AD924"/>
    <mergeCell ref="U923:U924"/>
    <mergeCell ref="V923:V924"/>
    <mergeCell ref="W923:W924"/>
    <mergeCell ref="X923:X924"/>
    <mergeCell ref="Y923:Y924"/>
    <mergeCell ref="P923:P924"/>
    <mergeCell ref="Q923:Q924"/>
    <mergeCell ref="R923:R924"/>
    <mergeCell ref="S923:S924"/>
    <mergeCell ref="T923:T924"/>
    <mergeCell ref="AL921:AL922"/>
    <mergeCell ref="AM921:AM922"/>
    <mergeCell ref="AN921:AN922"/>
    <mergeCell ref="AP923:AP924"/>
    <mergeCell ref="B923:B924"/>
    <mergeCell ref="D923:D924"/>
    <mergeCell ref="H923:H924"/>
    <mergeCell ref="I923:I924"/>
    <mergeCell ref="J923:J924"/>
    <mergeCell ref="K923:K924"/>
    <mergeCell ref="L923:L924"/>
    <mergeCell ref="M923:M924"/>
    <mergeCell ref="N923:N924"/>
    <mergeCell ref="O923:O924"/>
    <mergeCell ref="AG921:AG922"/>
    <mergeCell ref="AH921:AH922"/>
    <mergeCell ref="AI921:AI922"/>
    <mergeCell ref="AJ921:AJ922"/>
    <mergeCell ref="AK921:AK922"/>
    <mergeCell ref="AB921:AB922"/>
    <mergeCell ref="AC921:AC922"/>
    <mergeCell ref="AD921:AD922"/>
    <mergeCell ref="AE921:AE922"/>
    <mergeCell ref="AF921:AF922"/>
    <mergeCell ref="W921:W922"/>
    <mergeCell ref="X921:X922"/>
    <mergeCell ref="Y921:Y922"/>
    <mergeCell ref="Z921:Z922"/>
    <mergeCell ref="AA921:AA922"/>
    <mergeCell ref="R921:R922"/>
    <mergeCell ref="S921:S922"/>
    <mergeCell ref="T921:T922"/>
    <mergeCell ref="U921:U922"/>
    <mergeCell ref="V921:V922"/>
    <mergeCell ref="M921:M922"/>
    <mergeCell ref="N921:N922"/>
    <mergeCell ref="O921:O922"/>
    <mergeCell ref="P921:P922"/>
    <mergeCell ref="Q921:Q922"/>
    <mergeCell ref="AL925:AL926"/>
    <mergeCell ref="AM925:AM926"/>
    <mergeCell ref="AN925:AN926"/>
    <mergeCell ref="AP927:AP928"/>
    <mergeCell ref="B927:B928"/>
    <mergeCell ref="D927:D928"/>
    <mergeCell ref="H927:H928"/>
    <mergeCell ref="I927:I928"/>
    <mergeCell ref="J927:J928"/>
    <mergeCell ref="K927:K928"/>
    <mergeCell ref="L927:L928"/>
    <mergeCell ref="M927:M928"/>
    <mergeCell ref="N927:N928"/>
    <mergeCell ref="O927:O928"/>
    <mergeCell ref="AG925:AG926"/>
    <mergeCell ref="AH925:AH926"/>
    <mergeCell ref="AI925:AI926"/>
    <mergeCell ref="AJ925:AJ926"/>
    <mergeCell ref="AK925:AK926"/>
    <mergeCell ref="AB925:AB926"/>
    <mergeCell ref="AC925:AC926"/>
    <mergeCell ref="AD925:AD926"/>
    <mergeCell ref="AE925:AE926"/>
    <mergeCell ref="AF925:AF926"/>
    <mergeCell ref="W925:W926"/>
    <mergeCell ref="X925:X926"/>
    <mergeCell ref="Y925:Y926"/>
    <mergeCell ref="Z925:Z926"/>
    <mergeCell ref="AA925:AA926"/>
    <mergeCell ref="R925:R926"/>
    <mergeCell ref="S925:S926"/>
    <mergeCell ref="T925:T926"/>
    <mergeCell ref="U925:U926"/>
    <mergeCell ref="V925:V926"/>
    <mergeCell ref="M925:M926"/>
    <mergeCell ref="N925:N926"/>
    <mergeCell ref="O925:O926"/>
    <mergeCell ref="P925:P926"/>
    <mergeCell ref="Q925:Q926"/>
    <mergeCell ref="H925:H926"/>
    <mergeCell ref="I925:I926"/>
    <mergeCell ref="J925:J926"/>
    <mergeCell ref="K925:K926"/>
    <mergeCell ref="L925:L926"/>
    <mergeCell ref="AP925:AP926"/>
    <mergeCell ref="B925:B926"/>
    <mergeCell ref="D925:D926"/>
    <mergeCell ref="H929:H930"/>
    <mergeCell ref="I929:I930"/>
    <mergeCell ref="J929:J930"/>
    <mergeCell ref="K929:K930"/>
    <mergeCell ref="L929:L930"/>
    <mergeCell ref="AP929:AP930"/>
    <mergeCell ref="B929:B930"/>
    <mergeCell ref="D929:D930"/>
    <mergeCell ref="AJ927:AJ928"/>
    <mergeCell ref="AK927:AK928"/>
    <mergeCell ref="AL927:AL928"/>
    <mergeCell ref="AM927:AM928"/>
    <mergeCell ref="AN927:AN928"/>
    <mergeCell ref="AE927:AE928"/>
    <mergeCell ref="AF927:AF928"/>
    <mergeCell ref="AG927:AG928"/>
    <mergeCell ref="AH927:AH928"/>
    <mergeCell ref="AI927:AI928"/>
    <mergeCell ref="Z927:Z928"/>
    <mergeCell ref="AA927:AA928"/>
    <mergeCell ref="AB927:AB928"/>
    <mergeCell ref="AC927:AC928"/>
    <mergeCell ref="AD927:AD928"/>
    <mergeCell ref="U927:U928"/>
    <mergeCell ref="V927:V928"/>
    <mergeCell ref="W927:W928"/>
    <mergeCell ref="X927:X928"/>
    <mergeCell ref="Y927:Y928"/>
    <mergeCell ref="P927:P928"/>
    <mergeCell ref="Q927:Q928"/>
    <mergeCell ref="R927:R928"/>
    <mergeCell ref="S927:S928"/>
    <mergeCell ref="T927:T928"/>
    <mergeCell ref="AJ931:AJ932"/>
    <mergeCell ref="AK931:AK932"/>
    <mergeCell ref="AL931:AL932"/>
    <mergeCell ref="AM931:AM932"/>
    <mergeCell ref="AN931:AN932"/>
    <mergeCell ref="AE931:AE932"/>
    <mergeCell ref="AF931:AF932"/>
    <mergeCell ref="AG931:AG932"/>
    <mergeCell ref="AH931:AH932"/>
    <mergeCell ref="AI931:AI932"/>
    <mergeCell ref="Z931:Z932"/>
    <mergeCell ref="AA931:AA932"/>
    <mergeCell ref="AB931:AB932"/>
    <mergeCell ref="AC931:AC932"/>
    <mergeCell ref="AD931:AD932"/>
    <mergeCell ref="U931:U932"/>
    <mergeCell ref="V931:V932"/>
    <mergeCell ref="W931:W932"/>
    <mergeCell ref="X931:X932"/>
    <mergeCell ref="Y931:Y932"/>
    <mergeCell ref="P931:P932"/>
    <mergeCell ref="Q931:Q932"/>
    <mergeCell ref="R931:R932"/>
    <mergeCell ref="S931:S932"/>
    <mergeCell ref="T931:T932"/>
    <mergeCell ref="AL929:AL930"/>
    <mergeCell ref="AM929:AM930"/>
    <mergeCell ref="AN929:AN930"/>
    <mergeCell ref="AP931:AP932"/>
    <mergeCell ref="B931:B932"/>
    <mergeCell ref="D931:D932"/>
    <mergeCell ref="H931:H932"/>
    <mergeCell ref="I931:I932"/>
    <mergeCell ref="J931:J932"/>
    <mergeCell ref="K931:K932"/>
    <mergeCell ref="L931:L932"/>
    <mergeCell ref="M931:M932"/>
    <mergeCell ref="N931:N932"/>
    <mergeCell ref="O931:O932"/>
    <mergeCell ref="AG929:AG930"/>
    <mergeCell ref="AH929:AH930"/>
    <mergeCell ref="AI929:AI930"/>
    <mergeCell ref="AJ929:AJ930"/>
    <mergeCell ref="AK929:AK930"/>
    <mergeCell ref="AB929:AB930"/>
    <mergeCell ref="AC929:AC930"/>
    <mergeCell ref="AD929:AD930"/>
    <mergeCell ref="AE929:AE930"/>
    <mergeCell ref="AF929:AF930"/>
    <mergeCell ref="W929:W930"/>
    <mergeCell ref="X929:X930"/>
    <mergeCell ref="Y929:Y930"/>
    <mergeCell ref="Z929:Z930"/>
    <mergeCell ref="AA929:AA930"/>
    <mergeCell ref="R929:R930"/>
    <mergeCell ref="S929:S930"/>
    <mergeCell ref="T929:T930"/>
    <mergeCell ref="U929:U930"/>
    <mergeCell ref="V929:V930"/>
    <mergeCell ref="M929:M930"/>
    <mergeCell ref="N929:N930"/>
    <mergeCell ref="O929:O930"/>
    <mergeCell ref="P929:P930"/>
    <mergeCell ref="Q929:Q930"/>
    <mergeCell ref="AL933:AL934"/>
    <mergeCell ref="AM933:AM934"/>
    <mergeCell ref="AN933:AN934"/>
    <mergeCell ref="AP935:AP936"/>
    <mergeCell ref="B935:B936"/>
    <mergeCell ref="D935:D936"/>
    <mergeCell ref="H935:H936"/>
    <mergeCell ref="I935:I936"/>
    <mergeCell ref="J935:J936"/>
    <mergeCell ref="K935:K936"/>
    <mergeCell ref="L935:L936"/>
    <mergeCell ref="M935:M936"/>
    <mergeCell ref="N935:N936"/>
    <mergeCell ref="O935:O936"/>
    <mergeCell ref="AG933:AG934"/>
    <mergeCell ref="AH933:AH934"/>
    <mergeCell ref="AI933:AI934"/>
    <mergeCell ref="AJ933:AJ934"/>
    <mergeCell ref="AK933:AK934"/>
    <mergeCell ref="AB933:AB934"/>
    <mergeCell ref="AC933:AC934"/>
    <mergeCell ref="AD933:AD934"/>
    <mergeCell ref="AE933:AE934"/>
    <mergeCell ref="AF933:AF934"/>
    <mergeCell ref="W933:W934"/>
    <mergeCell ref="X933:X934"/>
    <mergeCell ref="Y933:Y934"/>
    <mergeCell ref="Z933:Z934"/>
    <mergeCell ref="AA933:AA934"/>
    <mergeCell ref="R933:R934"/>
    <mergeCell ref="S933:S934"/>
    <mergeCell ref="T933:T934"/>
    <mergeCell ref="U933:U934"/>
    <mergeCell ref="V933:V934"/>
    <mergeCell ref="M933:M934"/>
    <mergeCell ref="N933:N934"/>
    <mergeCell ref="O933:O934"/>
    <mergeCell ref="P933:P934"/>
    <mergeCell ref="Q933:Q934"/>
    <mergeCell ref="H933:H934"/>
    <mergeCell ref="I933:I934"/>
    <mergeCell ref="J933:J934"/>
    <mergeCell ref="K933:K934"/>
    <mergeCell ref="L933:L934"/>
    <mergeCell ref="AP933:AP934"/>
    <mergeCell ref="B933:B934"/>
    <mergeCell ref="D933:D934"/>
    <mergeCell ref="H937:H938"/>
    <mergeCell ref="I937:I938"/>
    <mergeCell ref="J937:J938"/>
    <mergeCell ref="K937:K938"/>
    <mergeCell ref="L937:L938"/>
    <mergeCell ref="AP937:AP938"/>
    <mergeCell ref="B937:B938"/>
    <mergeCell ref="D937:D938"/>
    <mergeCell ref="AJ935:AJ936"/>
    <mergeCell ref="AK935:AK936"/>
    <mergeCell ref="AL935:AL936"/>
    <mergeCell ref="AM935:AM936"/>
    <mergeCell ref="AN935:AN936"/>
    <mergeCell ref="AE935:AE936"/>
    <mergeCell ref="AF935:AF936"/>
    <mergeCell ref="AG935:AG936"/>
    <mergeCell ref="AH935:AH936"/>
    <mergeCell ref="AI935:AI936"/>
    <mergeCell ref="Z935:Z936"/>
    <mergeCell ref="AA935:AA936"/>
    <mergeCell ref="AB935:AB936"/>
    <mergeCell ref="AC935:AC936"/>
    <mergeCell ref="AD935:AD936"/>
    <mergeCell ref="U935:U936"/>
    <mergeCell ref="V935:V936"/>
    <mergeCell ref="W935:W936"/>
    <mergeCell ref="X935:X936"/>
    <mergeCell ref="Y935:Y936"/>
    <mergeCell ref="P935:P936"/>
    <mergeCell ref="Q935:Q936"/>
    <mergeCell ref="R935:R936"/>
    <mergeCell ref="S935:S936"/>
    <mergeCell ref="T935:T936"/>
    <mergeCell ref="AJ939:AJ940"/>
    <mergeCell ref="AK939:AK940"/>
    <mergeCell ref="AL939:AL940"/>
    <mergeCell ref="AM939:AM940"/>
    <mergeCell ref="AN939:AN940"/>
    <mergeCell ref="AE939:AE940"/>
    <mergeCell ref="AF939:AF940"/>
    <mergeCell ref="AG939:AG940"/>
    <mergeCell ref="AH939:AH940"/>
    <mergeCell ref="AI939:AI940"/>
    <mergeCell ref="Z939:Z940"/>
    <mergeCell ref="AA939:AA940"/>
    <mergeCell ref="AB939:AB940"/>
    <mergeCell ref="AC939:AC940"/>
    <mergeCell ref="AD939:AD940"/>
    <mergeCell ref="U939:U940"/>
    <mergeCell ref="V939:V940"/>
    <mergeCell ref="W939:W940"/>
    <mergeCell ref="X939:X940"/>
    <mergeCell ref="Y939:Y940"/>
    <mergeCell ref="P939:P940"/>
    <mergeCell ref="Q939:Q940"/>
    <mergeCell ref="R939:R940"/>
    <mergeCell ref="S939:S940"/>
    <mergeCell ref="T939:T940"/>
    <mergeCell ref="AL937:AL938"/>
    <mergeCell ref="AM937:AM938"/>
    <mergeCell ref="AN937:AN938"/>
    <mergeCell ref="AP939:AP940"/>
    <mergeCell ref="B939:B940"/>
    <mergeCell ref="D939:D940"/>
    <mergeCell ref="H939:H940"/>
    <mergeCell ref="I939:I940"/>
    <mergeCell ref="J939:J940"/>
    <mergeCell ref="K939:K940"/>
    <mergeCell ref="L939:L940"/>
    <mergeCell ref="M939:M940"/>
    <mergeCell ref="N939:N940"/>
    <mergeCell ref="O939:O940"/>
    <mergeCell ref="AG937:AG938"/>
    <mergeCell ref="AH937:AH938"/>
    <mergeCell ref="AI937:AI938"/>
    <mergeCell ref="AJ937:AJ938"/>
    <mergeCell ref="AK937:AK938"/>
    <mergeCell ref="AB937:AB938"/>
    <mergeCell ref="AC937:AC938"/>
    <mergeCell ref="AD937:AD938"/>
    <mergeCell ref="AE937:AE938"/>
    <mergeCell ref="AF937:AF938"/>
    <mergeCell ref="W937:W938"/>
    <mergeCell ref="X937:X938"/>
    <mergeCell ref="Y937:Y938"/>
    <mergeCell ref="Z937:Z938"/>
    <mergeCell ref="AA937:AA938"/>
    <mergeCell ref="R937:R938"/>
    <mergeCell ref="S937:S938"/>
    <mergeCell ref="T937:T938"/>
    <mergeCell ref="U937:U938"/>
    <mergeCell ref="V937:V938"/>
    <mergeCell ref="M937:M938"/>
    <mergeCell ref="N937:N938"/>
    <mergeCell ref="O937:O938"/>
    <mergeCell ref="P937:P938"/>
    <mergeCell ref="Q937:Q938"/>
    <mergeCell ref="AL941:AL942"/>
    <mergeCell ref="AM941:AM942"/>
    <mergeCell ref="AN941:AN942"/>
    <mergeCell ref="AP943:AP944"/>
    <mergeCell ref="B943:B944"/>
    <mergeCell ref="D943:D944"/>
    <mergeCell ref="H943:H944"/>
    <mergeCell ref="I943:I944"/>
    <mergeCell ref="J943:J944"/>
    <mergeCell ref="K943:K944"/>
    <mergeCell ref="L943:L944"/>
    <mergeCell ref="M943:M944"/>
    <mergeCell ref="N943:N944"/>
    <mergeCell ref="O943:O944"/>
    <mergeCell ref="AG941:AG942"/>
    <mergeCell ref="AH941:AH942"/>
    <mergeCell ref="AI941:AI942"/>
    <mergeCell ref="AJ941:AJ942"/>
    <mergeCell ref="AK941:AK942"/>
    <mergeCell ref="AB941:AB942"/>
    <mergeCell ref="AC941:AC942"/>
    <mergeCell ref="AD941:AD942"/>
    <mergeCell ref="AE941:AE942"/>
    <mergeCell ref="AF941:AF942"/>
    <mergeCell ref="W941:W942"/>
    <mergeCell ref="X941:X942"/>
    <mergeCell ref="Y941:Y942"/>
    <mergeCell ref="Z941:Z942"/>
    <mergeCell ref="AA941:AA942"/>
    <mergeCell ref="R941:R942"/>
    <mergeCell ref="S941:S942"/>
    <mergeCell ref="T941:T942"/>
    <mergeCell ref="U941:U942"/>
    <mergeCell ref="V941:V942"/>
    <mergeCell ref="M941:M942"/>
    <mergeCell ref="N941:N942"/>
    <mergeCell ref="O941:O942"/>
    <mergeCell ref="P941:P942"/>
    <mergeCell ref="Q941:Q942"/>
    <mergeCell ref="H941:H942"/>
    <mergeCell ref="I941:I942"/>
    <mergeCell ref="J941:J942"/>
    <mergeCell ref="K941:K942"/>
    <mergeCell ref="L941:L942"/>
    <mergeCell ref="AP941:AP942"/>
    <mergeCell ref="B941:B942"/>
    <mergeCell ref="D941:D942"/>
    <mergeCell ref="H945:H946"/>
    <mergeCell ref="I945:I946"/>
    <mergeCell ref="J945:J946"/>
    <mergeCell ref="K945:K946"/>
    <mergeCell ref="L945:L946"/>
    <mergeCell ref="AP945:AP946"/>
    <mergeCell ref="B945:B946"/>
    <mergeCell ref="D945:D946"/>
    <mergeCell ref="AJ943:AJ944"/>
    <mergeCell ref="AK943:AK944"/>
    <mergeCell ref="AL943:AL944"/>
    <mergeCell ref="AM943:AM944"/>
    <mergeCell ref="AN943:AN944"/>
    <mergeCell ref="AE943:AE944"/>
    <mergeCell ref="AF943:AF944"/>
    <mergeCell ref="AG943:AG944"/>
    <mergeCell ref="AH943:AH944"/>
    <mergeCell ref="AI943:AI944"/>
    <mergeCell ref="Z943:Z944"/>
    <mergeCell ref="AA943:AA944"/>
    <mergeCell ref="AB943:AB944"/>
    <mergeCell ref="AC943:AC944"/>
    <mergeCell ref="AD943:AD944"/>
    <mergeCell ref="U943:U944"/>
    <mergeCell ref="V943:V944"/>
    <mergeCell ref="W943:W944"/>
    <mergeCell ref="X943:X944"/>
    <mergeCell ref="Y943:Y944"/>
    <mergeCell ref="P943:P944"/>
    <mergeCell ref="Q943:Q944"/>
    <mergeCell ref="R943:R944"/>
    <mergeCell ref="S943:S944"/>
    <mergeCell ref="T943:T944"/>
    <mergeCell ref="AJ947:AJ948"/>
    <mergeCell ref="AK947:AK948"/>
    <mergeCell ref="AL947:AL948"/>
    <mergeCell ref="AM947:AM948"/>
    <mergeCell ref="AN947:AN948"/>
    <mergeCell ref="AE947:AE948"/>
    <mergeCell ref="AF947:AF948"/>
    <mergeCell ref="AG947:AG948"/>
    <mergeCell ref="AH947:AH948"/>
    <mergeCell ref="AI947:AI948"/>
    <mergeCell ref="Z947:Z948"/>
    <mergeCell ref="AA947:AA948"/>
    <mergeCell ref="AB947:AB948"/>
    <mergeCell ref="AC947:AC948"/>
    <mergeCell ref="AD947:AD948"/>
    <mergeCell ref="U947:U948"/>
    <mergeCell ref="V947:V948"/>
    <mergeCell ref="W947:W948"/>
    <mergeCell ref="X947:X948"/>
    <mergeCell ref="Y947:Y948"/>
    <mergeCell ref="P947:P948"/>
    <mergeCell ref="Q947:Q948"/>
    <mergeCell ref="R947:R948"/>
    <mergeCell ref="S947:S948"/>
    <mergeCell ref="T947:T948"/>
    <mergeCell ref="AL945:AL946"/>
    <mergeCell ref="AM945:AM946"/>
    <mergeCell ref="AN945:AN946"/>
    <mergeCell ref="AP947:AP948"/>
    <mergeCell ref="B947:B948"/>
    <mergeCell ref="D947:D948"/>
    <mergeCell ref="H947:H948"/>
    <mergeCell ref="I947:I948"/>
    <mergeCell ref="J947:J948"/>
    <mergeCell ref="K947:K948"/>
    <mergeCell ref="L947:L948"/>
    <mergeCell ref="M947:M948"/>
    <mergeCell ref="N947:N948"/>
    <mergeCell ref="O947:O948"/>
    <mergeCell ref="AG945:AG946"/>
    <mergeCell ref="AH945:AH946"/>
    <mergeCell ref="AI945:AI946"/>
    <mergeCell ref="AJ945:AJ946"/>
    <mergeCell ref="AK945:AK946"/>
    <mergeCell ref="AB945:AB946"/>
    <mergeCell ref="AC945:AC946"/>
    <mergeCell ref="AD945:AD946"/>
    <mergeCell ref="AE945:AE946"/>
    <mergeCell ref="AF945:AF946"/>
    <mergeCell ref="W945:W946"/>
    <mergeCell ref="X945:X946"/>
    <mergeCell ref="Y945:Y946"/>
    <mergeCell ref="Z945:Z946"/>
    <mergeCell ref="AA945:AA946"/>
    <mergeCell ref="R945:R946"/>
    <mergeCell ref="S945:S946"/>
    <mergeCell ref="T945:T946"/>
    <mergeCell ref="U945:U946"/>
    <mergeCell ref="V945:V946"/>
    <mergeCell ref="M945:M946"/>
    <mergeCell ref="N945:N946"/>
    <mergeCell ref="O945:O946"/>
    <mergeCell ref="P945:P946"/>
    <mergeCell ref="Q945:Q946"/>
    <mergeCell ref="AL949:AL950"/>
    <mergeCell ref="AM949:AM950"/>
    <mergeCell ref="AN949:AN950"/>
    <mergeCell ref="AP951:AP952"/>
    <mergeCell ref="B951:B952"/>
    <mergeCell ref="D951:D952"/>
    <mergeCell ref="H951:H952"/>
    <mergeCell ref="I951:I952"/>
    <mergeCell ref="J951:J952"/>
    <mergeCell ref="K951:K952"/>
    <mergeCell ref="L951:L952"/>
    <mergeCell ref="M951:M952"/>
    <mergeCell ref="N951:N952"/>
    <mergeCell ref="O951:O952"/>
    <mergeCell ref="AG949:AG950"/>
    <mergeCell ref="AH949:AH950"/>
    <mergeCell ref="AI949:AI950"/>
    <mergeCell ref="AJ949:AJ950"/>
    <mergeCell ref="AK949:AK950"/>
    <mergeCell ref="AB949:AB950"/>
    <mergeCell ref="AC949:AC950"/>
    <mergeCell ref="AD949:AD950"/>
    <mergeCell ref="AE949:AE950"/>
    <mergeCell ref="AF949:AF950"/>
    <mergeCell ref="W949:W950"/>
    <mergeCell ref="X949:X950"/>
    <mergeCell ref="Y949:Y950"/>
    <mergeCell ref="Z949:Z950"/>
    <mergeCell ref="AA949:AA950"/>
    <mergeCell ref="R949:R950"/>
    <mergeCell ref="S949:S950"/>
    <mergeCell ref="T949:T950"/>
    <mergeCell ref="U949:U950"/>
    <mergeCell ref="V949:V950"/>
    <mergeCell ref="M949:M950"/>
    <mergeCell ref="N949:N950"/>
    <mergeCell ref="O949:O950"/>
    <mergeCell ref="P949:P950"/>
    <mergeCell ref="Q949:Q950"/>
    <mergeCell ref="H949:H950"/>
    <mergeCell ref="I949:I950"/>
    <mergeCell ref="J949:J950"/>
    <mergeCell ref="K949:K950"/>
    <mergeCell ref="L949:L950"/>
    <mergeCell ref="AP949:AP950"/>
    <mergeCell ref="B949:B950"/>
    <mergeCell ref="D949:D950"/>
    <mergeCell ref="H953:H954"/>
    <mergeCell ref="I953:I954"/>
    <mergeCell ref="J953:J954"/>
    <mergeCell ref="K953:K954"/>
    <mergeCell ref="L953:L954"/>
    <mergeCell ref="AP953:AP954"/>
    <mergeCell ref="B953:B954"/>
    <mergeCell ref="D953:D954"/>
    <mergeCell ref="AJ951:AJ952"/>
    <mergeCell ref="AK951:AK952"/>
    <mergeCell ref="AL951:AL952"/>
    <mergeCell ref="AM951:AM952"/>
    <mergeCell ref="AN951:AN952"/>
    <mergeCell ref="AE951:AE952"/>
    <mergeCell ref="AF951:AF952"/>
    <mergeCell ref="AG951:AG952"/>
    <mergeCell ref="AH951:AH952"/>
    <mergeCell ref="AI951:AI952"/>
    <mergeCell ref="Z951:Z952"/>
    <mergeCell ref="AA951:AA952"/>
    <mergeCell ref="AB951:AB952"/>
    <mergeCell ref="AC951:AC952"/>
    <mergeCell ref="AD951:AD952"/>
    <mergeCell ref="U951:U952"/>
    <mergeCell ref="V951:V952"/>
    <mergeCell ref="W951:W952"/>
    <mergeCell ref="X951:X952"/>
    <mergeCell ref="Y951:Y952"/>
    <mergeCell ref="P951:P952"/>
    <mergeCell ref="Q951:Q952"/>
    <mergeCell ref="R951:R952"/>
    <mergeCell ref="S951:S952"/>
    <mergeCell ref="T951:T952"/>
    <mergeCell ref="AJ955:AJ956"/>
    <mergeCell ref="AK955:AK956"/>
    <mergeCell ref="AL955:AL956"/>
    <mergeCell ref="AM955:AM956"/>
    <mergeCell ref="AN955:AN956"/>
    <mergeCell ref="AE955:AE956"/>
    <mergeCell ref="AF955:AF956"/>
    <mergeCell ref="AG955:AG956"/>
    <mergeCell ref="AH955:AH956"/>
    <mergeCell ref="AI955:AI956"/>
    <mergeCell ref="Z955:Z956"/>
    <mergeCell ref="AA955:AA956"/>
    <mergeCell ref="AB955:AB956"/>
    <mergeCell ref="AC955:AC956"/>
    <mergeCell ref="AD955:AD956"/>
    <mergeCell ref="U955:U956"/>
    <mergeCell ref="V955:V956"/>
    <mergeCell ref="W955:W956"/>
    <mergeCell ref="X955:X956"/>
    <mergeCell ref="Y955:Y956"/>
    <mergeCell ref="P955:P956"/>
    <mergeCell ref="Q955:Q956"/>
    <mergeCell ref="R955:R956"/>
    <mergeCell ref="S955:S956"/>
    <mergeCell ref="T955:T956"/>
    <mergeCell ref="AL953:AL954"/>
    <mergeCell ref="AM953:AM954"/>
    <mergeCell ref="AN953:AN954"/>
    <mergeCell ref="AP955:AP956"/>
    <mergeCell ref="B955:B956"/>
    <mergeCell ref="D955:D956"/>
    <mergeCell ref="H955:H956"/>
    <mergeCell ref="I955:I956"/>
    <mergeCell ref="J955:J956"/>
    <mergeCell ref="K955:K956"/>
    <mergeCell ref="L955:L956"/>
    <mergeCell ref="M955:M956"/>
    <mergeCell ref="N955:N956"/>
    <mergeCell ref="O955:O956"/>
    <mergeCell ref="AG953:AG954"/>
    <mergeCell ref="AH953:AH954"/>
    <mergeCell ref="AI953:AI954"/>
    <mergeCell ref="AJ953:AJ954"/>
    <mergeCell ref="AK953:AK954"/>
    <mergeCell ref="AB953:AB954"/>
    <mergeCell ref="AC953:AC954"/>
    <mergeCell ref="AD953:AD954"/>
    <mergeCell ref="AE953:AE954"/>
    <mergeCell ref="AF953:AF954"/>
    <mergeCell ref="W953:W954"/>
    <mergeCell ref="X953:X954"/>
    <mergeCell ref="Y953:Y954"/>
    <mergeCell ref="Z953:Z954"/>
    <mergeCell ref="AA953:AA954"/>
    <mergeCell ref="R953:R954"/>
    <mergeCell ref="S953:S954"/>
    <mergeCell ref="T953:T954"/>
    <mergeCell ref="U953:U954"/>
    <mergeCell ref="V953:V954"/>
    <mergeCell ref="M953:M954"/>
    <mergeCell ref="N953:N954"/>
    <mergeCell ref="O953:O954"/>
    <mergeCell ref="P953:P954"/>
    <mergeCell ref="Q953:Q954"/>
    <mergeCell ref="AL957:AL958"/>
    <mergeCell ref="AM957:AM958"/>
    <mergeCell ref="AN957:AN958"/>
    <mergeCell ref="AP959:AP960"/>
    <mergeCell ref="B959:B960"/>
    <mergeCell ref="D959:D960"/>
    <mergeCell ref="H959:H960"/>
    <mergeCell ref="I959:I960"/>
    <mergeCell ref="J959:J960"/>
    <mergeCell ref="K959:K960"/>
    <mergeCell ref="L959:L960"/>
    <mergeCell ref="M959:M960"/>
    <mergeCell ref="N959:N960"/>
    <mergeCell ref="O959:O960"/>
    <mergeCell ref="AG957:AG958"/>
    <mergeCell ref="AH957:AH958"/>
    <mergeCell ref="AI957:AI958"/>
    <mergeCell ref="AJ957:AJ958"/>
    <mergeCell ref="AK957:AK958"/>
    <mergeCell ref="AB957:AB958"/>
    <mergeCell ref="AC957:AC958"/>
    <mergeCell ref="AD957:AD958"/>
    <mergeCell ref="AE957:AE958"/>
    <mergeCell ref="AF957:AF958"/>
    <mergeCell ref="W957:W958"/>
    <mergeCell ref="X957:X958"/>
    <mergeCell ref="Y957:Y958"/>
    <mergeCell ref="Z957:Z958"/>
    <mergeCell ref="AA957:AA958"/>
    <mergeCell ref="R957:R958"/>
    <mergeCell ref="S957:S958"/>
    <mergeCell ref="T957:T958"/>
    <mergeCell ref="U957:U958"/>
    <mergeCell ref="V957:V958"/>
    <mergeCell ref="M957:M958"/>
    <mergeCell ref="N957:N958"/>
    <mergeCell ref="O957:O958"/>
    <mergeCell ref="P957:P958"/>
    <mergeCell ref="Q957:Q958"/>
    <mergeCell ref="H957:H958"/>
    <mergeCell ref="I957:I958"/>
    <mergeCell ref="J957:J958"/>
    <mergeCell ref="K957:K958"/>
    <mergeCell ref="L957:L958"/>
    <mergeCell ref="AP957:AP958"/>
    <mergeCell ref="B957:B958"/>
    <mergeCell ref="D957:D958"/>
    <mergeCell ref="H961:H962"/>
    <mergeCell ref="I961:I962"/>
    <mergeCell ref="J961:J962"/>
    <mergeCell ref="K961:K962"/>
    <mergeCell ref="L961:L962"/>
    <mergeCell ref="AP961:AP962"/>
    <mergeCell ref="B961:B962"/>
    <mergeCell ref="D961:D962"/>
    <mergeCell ref="AJ959:AJ960"/>
    <mergeCell ref="AK959:AK960"/>
    <mergeCell ref="AL959:AL960"/>
    <mergeCell ref="AM959:AM960"/>
    <mergeCell ref="AN959:AN960"/>
    <mergeCell ref="AE959:AE960"/>
    <mergeCell ref="AF959:AF960"/>
    <mergeCell ref="AG959:AG960"/>
    <mergeCell ref="AH959:AH960"/>
    <mergeCell ref="AI959:AI960"/>
    <mergeCell ref="Z959:Z960"/>
    <mergeCell ref="AA959:AA960"/>
    <mergeCell ref="AB959:AB960"/>
    <mergeCell ref="AC959:AC960"/>
    <mergeCell ref="AD959:AD960"/>
    <mergeCell ref="U959:U960"/>
    <mergeCell ref="V959:V960"/>
    <mergeCell ref="W959:W960"/>
    <mergeCell ref="X959:X960"/>
    <mergeCell ref="Y959:Y960"/>
    <mergeCell ref="P959:P960"/>
    <mergeCell ref="Q959:Q960"/>
    <mergeCell ref="R959:R960"/>
    <mergeCell ref="S959:S960"/>
    <mergeCell ref="T959:T960"/>
    <mergeCell ref="AJ963:AJ964"/>
    <mergeCell ref="AK963:AK964"/>
    <mergeCell ref="AL963:AL964"/>
    <mergeCell ref="AM963:AM964"/>
    <mergeCell ref="AN963:AN964"/>
    <mergeCell ref="AE963:AE964"/>
    <mergeCell ref="AF963:AF964"/>
    <mergeCell ref="AG963:AG964"/>
    <mergeCell ref="AH963:AH964"/>
    <mergeCell ref="AI963:AI964"/>
    <mergeCell ref="Z963:Z964"/>
    <mergeCell ref="AA963:AA964"/>
    <mergeCell ref="AB963:AB964"/>
    <mergeCell ref="AC963:AC964"/>
    <mergeCell ref="AD963:AD964"/>
    <mergeCell ref="U963:U964"/>
    <mergeCell ref="V963:V964"/>
    <mergeCell ref="W963:W964"/>
    <mergeCell ref="X963:X964"/>
    <mergeCell ref="Y963:Y964"/>
    <mergeCell ref="P963:P964"/>
    <mergeCell ref="Q963:Q964"/>
    <mergeCell ref="R963:R964"/>
    <mergeCell ref="S963:S964"/>
    <mergeCell ref="T963:T964"/>
    <mergeCell ref="AL961:AL962"/>
    <mergeCell ref="AM961:AM962"/>
    <mergeCell ref="AN961:AN962"/>
    <mergeCell ref="AP963:AP964"/>
    <mergeCell ref="B963:B964"/>
    <mergeCell ref="D963:D964"/>
    <mergeCell ref="H963:H964"/>
    <mergeCell ref="I963:I964"/>
    <mergeCell ref="J963:J964"/>
    <mergeCell ref="K963:K964"/>
    <mergeCell ref="L963:L964"/>
    <mergeCell ref="M963:M964"/>
    <mergeCell ref="N963:N964"/>
    <mergeCell ref="O963:O964"/>
    <mergeCell ref="AG961:AG962"/>
    <mergeCell ref="AH961:AH962"/>
    <mergeCell ref="AI961:AI962"/>
    <mergeCell ref="AJ961:AJ962"/>
    <mergeCell ref="AK961:AK962"/>
    <mergeCell ref="AB961:AB962"/>
    <mergeCell ref="AC961:AC962"/>
    <mergeCell ref="AD961:AD962"/>
    <mergeCell ref="AE961:AE962"/>
    <mergeCell ref="AF961:AF962"/>
    <mergeCell ref="W961:W962"/>
    <mergeCell ref="X961:X962"/>
    <mergeCell ref="Y961:Y962"/>
    <mergeCell ref="Z961:Z962"/>
    <mergeCell ref="AA961:AA962"/>
    <mergeCell ref="R961:R962"/>
    <mergeCell ref="S961:S962"/>
    <mergeCell ref="T961:T962"/>
    <mergeCell ref="U961:U962"/>
    <mergeCell ref="V961:V962"/>
    <mergeCell ref="M961:M962"/>
    <mergeCell ref="N961:N962"/>
    <mergeCell ref="O961:O962"/>
    <mergeCell ref="P961:P962"/>
    <mergeCell ref="Q961:Q962"/>
    <mergeCell ref="AL965:AL966"/>
    <mergeCell ref="AM965:AM966"/>
    <mergeCell ref="AN965:AN966"/>
    <mergeCell ref="AP967:AP968"/>
    <mergeCell ref="B967:B968"/>
    <mergeCell ref="D967:D968"/>
    <mergeCell ref="H967:H968"/>
    <mergeCell ref="I967:I968"/>
    <mergeCell ref="J967:J968"/>
    <mergeCell ref="K967:K968"/>
    <mergeCell ref="L967:L968"/>
    <mergeCell ref="M967:M968"/>
    <mergeCell ref="N967:N968"/>
    <mergeCell ref="O967:O968"/>
    <mergeCell ref="AG965:AG966"/>
    <mergeCell ref="AH965:AH966"/>
    <mergeCell ref="AI965:AI966"/>
    <mergeCell ref="AJ965:AJ966"/>
    <mergeCell ref="AK965:AK966"/>
    <mergeCell ref="AB965:AB966"/>
    <mergeCell ref="AC965:AC966"/>
    <mergeCell ref="AD965:AD966"/>
    <mergeCell ref="AE965:AE966"/>
    <mergeCell ref="AF965:AF966"/>
    <mergeCell ref="W965:W966"/>
    <mergeCell ref="X965:X966"/>
    <mergeCell ref="Y965:Y966"/>
    <mergeCell ref="Z965:Z966"/>
    <mergeCell ref="AA965:AA966"/>
    <mergeCell ref="R965:R966"/>
    <mergeCell ref="S965:S966"/>
    <mergeCell ref="T965:T966"/>
    <mergeCell ref="U965:U966"/>
    <mergeCell ref="V965:V966"/>
    <mergeCell ref="M965:M966"/>
    <mergeCell ref="N965:N966"/>
    <mergeCell ref="O965:O966"/>
    <mergeCell ref="P965:P966"/>
    <mergeCell ref="Q965:Q966"/>
    <mergeCell ref="H965:H966"/>
    <mergeCell ref="I965:I966"/>
    <mergeCell ref="J965:J966"/>
    <mergeCell ref="K965:K966"/>
    <mergeCell ref="L965:L966"/>
    <mergeCell ref="AP965:AP966"/>
    <mergeCell ref="B965:B966"/>
    <mergeCell ref="D965:D966"/>
    <mergeCell ref="H969:H970"/>
    <mergeCell ref="I969:I970"/>
    <mergeCell ref="J969:J970"/>
    <mergeCell ref="K969:K970"/>
    <mergeCell ref="L969:L970"/>
    <mergeCell ref="AP969:AP970"/>
    <mergeCell ref="B969:B970"/>
    <mergeCell ref="D969:D970"/>
    <mergeCell ref="AJ967:AJ968"/>
    <mergeCell ref="AK967:AK968"/>
    <mergeCell ref="AL967:AL968"/>
    <mergeCell ref="AM967:AM968"/>
    <mergeCell ref="AN967:AN968"/>
    <mergeCell ref="AE967:AE968"/>
    <mergeCell ref="AF967:AF968"/>
    <mergeCell ref="AG967:AG968"/>
    <mergeCell ref="AH967:AH968"/>
    <mergeCell ref="AI967:AI968"/>
    <mergeCell ref="Z967:Z968"/>
    <mergeCell ref="AA967:AA968"/>
    <mergeCell ref="AB967:AB968"/>
    <mergeCell ref="AC967:AC968"/>
    <mergeCell ref="AD967:AD968"/>
    <mergeCell ref="U967:U968"/>
    <mergeCell ref="V967:V968"/>
    <mergeCell ref="W967:W968"/>
    <mergeCell ref="X967:X968"/>
    <mergeCell ref="Y967:Y968"/>
    <mergeCell ref="P967:P968"/>
    <mergeCell ref="Q967:Q968"/>
    <mergeCell ref="R967:R968"/>
    <mergeCell ref="S967:S968"/>
    <mergeCell ref="T967:T968"/>
    <mergeCell ref="AJ971:AJ972"/>
    <mergeCell ref="AK971:AK972"/>
    <mergeCell ref="AL971:AL972"/>
    <mergeCell ref="AM971:AM972"/>
    <mergeCell ref="AN971:AN972"/>
    <mergeCell ref="AE971:AE972"/>
    <mergeCell ref="AF971:AF972"/>
    <mergeCell ref="AG971:AG972"/>
    <mergeCell ref="AH971:AH972"/>
    <mergeCell ref="AI971:AI972"/>
    <mergeCell ref="Z971:Z972"/>
    <mergeCell ref="AA971:AA972"/>
    <mergeCell ref="AB971:AB972"/>
    <mergeCell ref="AC971:AC972"/>
    <mergeCell ref="AD971:AD972"/>
    <mergeCell ref="U971:U972"/>
    <mergeCell ref="V971:V972"/>
    <mergeCell ref="W971:W972"/>
    <mergeCell ref="X971:X972"/>
    <mergeCell ref="Y971:Y972"/>
    <mergeCell ref="P971:P972"/>
    <mergeCell ref="Q971:Q972"/>
    <mergeCell ref="R971:R972"/>
    <mergeCell ref="S971:S972"/>
    <mergeCell ref="T971:T972"/>
    <mergeCell ref="AL969:AL970"/>
    <mergeCell ref="AM969:AM970"/>
    <mergeCell ref="AN969:AN970"/>
    <mergeCell ref="AP971:AP972"/>
    <mergeCell ref="B971:B972"/>
    <mergeCell ref="D971:D972"/>
    <mergeCell ref="H971:H972"/>
    <mergeCell ref="I971:I972"/>
    <mergeCell ref="J971:J972"/>
    <mergeCell ref="K971:K972"/>
    <mergeCell ref="L971:L972"/>
    <mergeCell ref="M971:M972"/>
    <mergeCell ref="N971:N972"/>
    <mergeCell ref="O971:O972"/>
    <mergeCell ref="AG969:AG970"/>
    <mergeCell ref="AH969:AH970"/>
    <mergeCell ref="AI969:AI970"/>
    <mergeCell ref="AJ969:AJ970"/>
    <mergeCell ref="AK969:AK970"/>
    <mergeCell ref="AB969:AB970"/>
    <mergeCell ref="AC969:AC970"/>
    <mergeCell ref="AD969:AD970"/>
    <mergeCell ref="AE969:AE970"/>
    <mergeCell ref="AF969:AF970"/>
    <mergeCell ref="W969:W970"/>
    <mergeCell ref="X969:X970"/>
    <mergeCell ref="Y969:Y970"/>
    <mergeCell ref="Z969:Z970"/>
    <mergeCell ref="AA969:AA970"/>
    <mergeCell ref="R969:R970"/>
    <mergeCell ref="S969:S970"/>
    <mergeCell ref="T969:T970"/>
    <mergeCell ref="U969:U970"/>
    <mergeCell ref="V969:V970"/>
    <mergeCell ref="M969:M970"/>
    <mergeCell ref="N969:N970"/>
    <mergeCell ref="O969:O970"/>
    <mergeCell ref="P969:P970"/>
    <mergeCell ref="Q969:Q970"/>
    <mergeCell ref="AL973:AL974"/>
    <mergeCell ref="AM973:AM974"/>
    <mergeCell ref="AN973:AN974"/>
    <mergeCell ref="AP975:AP976"/>
    <mergeCell ref="B975:B976"/>
    <mergeCell ref="D975:D976"/>
    <mergeCell ref="H975:H976"/>
    <mergeCell ref="I975:I976"/>
    <mergeCell ref="J975:J976"/>
    <mergeCell ref="K975:K976"/>
    <mergeCell ref="L975:L976"/>
    <mergeCell ref="M975:M976"/>
    <mergeCell ref="N975:N976"/>
    <mergeCell ref="O975:O976"/>
    <mergeCell ref="AG973:AG974"/>
    <mergeCell ref="AH973:AH974"/>
    <mergeCell ref="AI973:AI974"/>
    <mergeCell ref="AJ973:AJ974"/>
    <mergeCell ref="AK973:AK974"/>
    <mergeCell ref="AB973:AB974"/>
    <mergeCell ref="AC973:AC974"/>
    <mergeCell ref="AD973:AD974"/>
    <mergeCell ref="AE973:AE974"/>
    <mergeCell ref="AF973:AF974"/>
    <mergeCell ref="W973:W974"/>
    <mergeCell ref="X973:X974"/>
    <mergeCell ref="Y973:Y974"/>
    <mergeCell ref="Z973:Z974"/>
    <mergeCell ref="AA973:AA974"/>
    <mergeCell ref="R973:R974"/>
    <mergeCell ref="S973:S974"/>
    <mergeCell ref="T973:T974"/>
    <mergeCell ref="U973:U974"/>
    <mergeCell ref="V973:V974"/>
    <mergeCell ref="M973:M974"/>
    <mergeCell ref="N973:N974"/>
    <mergeCell ref="O973:O974"/>
    <mergeCell ref="P973:P974"/>
    <mergeCell ref="Q973:Q974"/>
    <mergeCell ref="H973:H974"/>
    <mergeCell ref="I973:I974"/>
    <mergeCell ref="J973:J974"/>
    <mergeCell ref="K973:K974"/>
    <mergeCell ref="L973:L974"/>
    <mergeCell ref="AP973:AP974"/>
    <mergeCell ref="B973:B974"/>
    <mergeCell ref="D973:D974"/>
    <mergeCell ref="H977:H978"/>
    <mergeCell ref="I977:I978"/>
    <mergeCell ref="J977:J978"/>
    <mergeCell ref="K977:K978"/>
    <mergeCell ref="L977:L978"/>
    <mergeCell ref="AP977:AP978"/>
    <mergeCell ref="B977:B978"/>
    <mergeCell ref="D977:D978"/>
    <mergeCell ref="AJ975:AJ976"/>
    <mergeCell ref="AK975:AK976"/>
    <mergeCell ref="AL975:AL976"/>
    <mergeCell ref="AM975:AM976"/>
    <mergeCell ref="AN975:AN976"/>
    <mergeCell ref="AE975:AE976"/>
    <mergeCell ref="AF975:AF976"/>
    <mergeCell ref="AG975:AG976"/>
    <mergeCell ref="AH975:AH976"/>
    <mergeCell ref="AI975:AI976"/>
    <mergeCell ref="Z975:Z976"/>
    <mergeCell ref="AA975:AA976"/>
    <mergeCell ref="AB975:AB976"/>
    <mergeCell ref="AC975:AC976"/>
    <mergeCell ref="AD975:AD976"/>
    <mergeCell ref="U975:U976"/>
    <mergeCell ref="V975:V976"/>
    <mergeCell ref="W975:W976"/>
    <mergeCell ref="X975:X976"/>
    <mergeCell ref="Y975:Y976"/>
    <mergeCell ref="P975:P976"/>
    <mergeCell ref="Q975:Q976"/>
    <mergeCell ref="R975:R976"/>
    <mergeCell ref="S975:S976"/>
    <mergeCell ref="T975:T976"/>
    <mergeCell ref="AJ979:AJ980"/>
    <mergeCell ref="AK979:AK980"/>
    <mergeCell ref="AL979:AL980"/>
    <mergeCell ref="AM979:AM980"/>
    <mergeCell ref="AN979:AN980"/>
    <mergeCell ref="AE979:AE980"/>
    <mergeCell ref="AF979:AF980"/>
    <mergeCell ref="AG979:AG980"/>
    <mergeCell ref="AH979:AH980"/>
    <mergeCell ref="AI979:AI980"/>
    <mergeCell ref="Z979:Z980"/>
    <mergeCell ref="AA979:AA980"/>
    <mergeCell ref="AB979:AB980"/>
    <mergeCell ref="AC979:AC980"/>
    <mergeCell ref="AD979:AD980"/>
    <mergeCell ref="U979:U980"/>
    <mergeCell ref="V979:V980"/>
    <mergeCell ref="W979:W980"/>
    <mergeCell ref="X979:X980"/>
    <mergeCell ref="Y979:Y980"/>
    <mergeCell ref="P979:P980"/>
    <mergeCell ref="Q979:Q980"/>
    <mergeCell ref="R979:R980"/>
    <mergeCell ref="S979:S980"/>
    <mergeCell ref="T979:T980"/>
    <mergeCell ref="AL977:AL978"/>
    <mergeCell ref="AM977:AM978"/>
    <mergeCell ref="AN977:AN978"/>
    <mergeCell ref="AP979:AP980"/>
    <mergeCell ref="B979:B980"/>
    <mergeCell ref="D979:D980"/>
    <mergeCell ref="H979:H980"/>
    <mergeCell ref="I979:I980"/>
    <mergeCell ref="J979:J980"/>
    <mergeCell ref="K979:K980"/>
    <mergeCell ref="L979:L980"/>
    <mergeCell ref="M979:M980"/>
    <mergeCell ref="N979:N980"/>
    <mergeCell ref="O979:O980"/>
    <mergeCell ref="AG977:AG978"/>
    <mergeCell ref="AH977:AH978"/>
    <mergeCell ref="AI977:AI978"/>
    <mergeCell ref="AJ977:AJ978"/>
    <mergeCell ref="AK977:AK978"/>
    <mergeCell ref="AB977:AB978"/>
    <mergeCell ref="AC977:AC978"/>
    <mergeCell ref="AD977:AD978"/>
    <mergeCell ref="AE977:AE978"/>
    <mergeCell ref="AF977:AF978"/>
    <mergeCell ref="W977:W978"/>
    <mergeCell ref="X977:X978"/>
    <mergeCell ref="Y977:Y978"/>
    <mergeCell ref="Z977:Z978"/>
    <mergeCell ref="AA977:AA978"/>
    <mergeCell ref="R977:R978"/>
    <mergeCell ref="S977:S978"/>
    <mergeCell ref="T977:T978"/>
    <mergeCell ref="U977:U978"/>
    <mergeCell ref="V977:V978"/>
    <mergeCell ref="M977:M978"/>
    <mergeCell ref="N977:N978"/>
    <mergeCell ref="O977:O978"/>
    <mergeCell ref="P977:P978"/>
    <mergeCell ref="Q977:Q978"/>
    <mergeCell ref="AL981:AL982"/>
    <mergeCell ref="AM981:AM982"/>
    <mergeCell ref="AN981:AN982"/>
    <mergeCell ref="AP983:AP984"/>
    <mergeCell ref="B983:B984"/>
    <mergeCell ref="D983:D984"/>
    <mergeCell ref="H983:H984"/>
    <mergeCell ref="I983:I984"/>
    <mergeCell ref="J983:J984"/>
    <mergeCell ref="K983:K984"/>
    <mergeCell ref="L983:L984"/>
    <mergeCell ref="M983:M984"/>
    <mergeCell ref="N983:N984"/>
    <mergeCell ref="O983:O984"/>
    <mergeCell ref="AG981:AG982"/>
    <mergeCell ref="AH981:AH982"/>
    <mergeCell ref="AI981:AI982"/>
    <mergeCell ref="AJ981:AJ982"/>
    <mergeCell ref="AK981:AK982"/>
    <mergeCell ref="AB981:AB982"/>
    <mergeCell ref="AC981:AC982"/>
    <mergeCell ref="AD981:AD982"/>
    <mergeCell ref="AE981:AE982"/>
    <mergeCell ref="AF981:AF982"/>
    <mergeCell ref="W981:W982"/>
    <mergeCell ref="X981:X982"/>
    <mergeCell ref="Y981:Y982"/>
    <mergeCell ref="Z981:Z982"/>
    <mergeCell ref="AA981:AA982"/>
    <mergeCell ref="R981:R982"/>
    <mergeCell ref="S981:S982"/>
    <mergeCell ref="T981:T982"/>
    <mergeCell ref="U981:U982"/>
    <mergeCell ref="V981:V982"/>
    <mergeCell ref="M981:M982"/>
    <mergeCell ref="N981:N982"/>
    <mergeCell ref="O981:O982"/>
    <mergeCell ref="P981:P982"/>
    <mergeCell ref="Q981:Q982"/>
    <mergeCell ref="H981:H982"/>
    <mergeCell ref="I981:I982"/>
    <mergeCell ref="J981:J982"/>
    <mergeCell ref="K981:K982"/>
    <mergeCell ref="L981:L982"/>
    <mergeCell ref="AP981:AP982"/>
    <mergeCell ref="B981:B982"/>
    <mergeCell ref="D981:D982"/>
    <mergeCell ref="H985:H986"/>
    <mergeCell ref="I985:I986"/>
    <mergeCell ref="J985:J986"/>
    <mergeCell ref="K985:K986"/>
    <mergeCell ref="L985:L986"/>
    <mergeCell ref="AP985:AP986"/>
    <mergeCell ref="B985:B986"/>
    <mergeCell ref="D985:D986"/>
    <mergeCell ref="AJ983:AJ984"/>
    <mergeCell ref="AK983:AK984"/>
    <mergeCell ref="AL983:AL984"/>
    <mergeCell ref="AM983:AM984"/>
    <mergeCell ref="AN983:AN984"/>
    <mergeCell ref="AE983:AE984"/>
    <mergeCell ref="AF983:AF984"/>
    <mergeCell ref="AG983:AG984"/>
    <mergeCell ref="AH983:AH984"/>
    <mergeCell ref="AI983:AI984"/>
    <mergeCell ref="Z983:Z984"/>
    <mergeCell ref="AA983:AA984"/>
    <mergeCell ref="AB983:AB984"/>
    <mergeCell ref="AC983:AC984"/>
    <mergeCell ref="AD983:AD984"/>
    <mergeCell ref="U983:U984"/>
    <mergeCell ref="V983:V984"/>
    <mergeCell ref="W983:W984"/>
    <mergeCell ref="X983:X984"/>
    <mergeCell ref="Y983:Y984"/>
    <mergeCell ref="P983:P984"/>
    <mergeCell ref="Q983:Q984"/>
    <mergeCell ref="R983:R984"/>
    <mergeCell ref="S983:S984"/>
    <mergeCell ref="T983:T984"/>
    <mergeCell ref="AJ987:AJ988"/>
    <mergeCell ref="AK987:AK988"/>
    <mergeCell ref="AL987:AL988"/>
    <mergeCell ref="AM987:AM988"/>
    <mergeCell ref="AN987:AN988"/>
    <mergeCell ref="AE987:AE988"/>
    <mergeCell ref="AF987:AF988"/>
    <mergeCell ref="AG987:AG988"/>
    <mergeCell ref="AH987:AH988"/>
    <mergeCell ref="AI987:AI988"/>
    <mergeCell ref="Z987:Z988"/>
    <mergeCell ref="AA987:AA988"/>
    <mergeCell ref="AB987:AB988"/>
    <mergeCell ref="AC987:AC988"/>
    <mergeCell ref="AD987:AD988"/>
    <mergeCell ref="U987:U988"/>
    <mergeCell ref="V987:V988"/>
    <mergeCell ref="W987:W988"/>
    <mergeCell ref="X987:X988"/>
    <mergeCell ref="Y987:Y988"/>
    <mergeCell ref="P987:P988"/>
    <mergeCell ref="Q987:Q988"/>
    <mergeCell ref="R987:R988"/>
    <mergeCell ref="S987:S988"/>
    <mergeCell ref="T987:T988"/>
    <mergeCell ref="AL985:AL986"/>
    <mergeCell ref="AM985:AM986"/>
    <mergeCell ref="AN985:AN986"/>
    <mergeCell ref="AP987:AP988"/>
    <mergeCell ref="B987:B988"/>
    <mergeCell ref="D987:D988"/>
    <mergeCell ref="H987:H988"/>
    <mergeCell ref="I987:I988"/>
    <mergeCell ref="J987:J988"/>
    <mergeCell ref="K987:K988"/>
    <mergeCell ref="L987:L988"/>
    <mergeCell ref="M987:M988"/>
    <mergeCell ref="N987:N988"/>
    <mergeCell ref="O987:O988"/>
    <mergeCell ref="AG985:AG986"/>
    <mergeCell ref="AH985:AH986"/>
    <mergeCell ref="AI985:AI986"/>
    <mergeCell ref="AJ985:AJ986"/>
    <mergeCell ref="AK985:AK986"/>
    <mergeCell ref="AB985:AB986"/>
    <mergeCell ref="AC985:AC986"/>
    <mergeCell ref="AD985:AD986"/>
    <mergeCell ref="AE985:AE986"/>
    <mergeCell ref="AF985:AF986"/>
    <mergeCell ref="W985:W986"/>
    <mergeCell ref="X985:X986"/>
    <mergeCell ref="Y985:Y986"/>
    <mergeCell ref="Z985:Z986"/>
    <mergeCell ref="AA985:AA986"/>
    <mergeCell ref="R985:R986"/>
    <mergeCell ref="S985:S986"/>
    <mergeCell ref="T985:T986"/>
    <mergeCell ref="U985:U986"/>
    <mergeCell ref="V985:V986"/>
    <mergeCell ref="M985:M986"/>
    <mergeCell ref="N985:N986"/>
    <mergeCell ref="O985:O986"/>
    <mergeCell ref="P985:P986"/>
    <mergeCell ref="Q985:Q986"/>
    <mergeCell ref="AL989:AL990"/>
    <mergeCell ref="AM989:AM990"/>
    <mergeCell ref="AN989:AN990"/>
    <mergeCell ref="AP991:AP992"/>
    <mergeCell ref="B991:B992"/>
    <mergeCell ref="D991:D992"/>
    <mergeCell ref="H991:H992"/>
    <mergeCell ref="I991:I992"/>
    <mergeCell ref="J991:J992"/>
    <mergeCell ref="K991:K992"/>
    <mergeCell ref="L991:L992"/>
    <mergeCell ref="M991:M992"/>
    <mergeCell ref="N991:N992"/>
    <mergeCell ref="O991:O992"/>
    <mergeCell ref="AG989:AG990"/>
    <mergeCell ref="AH989:AH990"/>
    <mergeCell ref="AI989:AI990"/>
    <mergeCell ref="AJ989:AJ990"/>
    <mergeCell ref="AK989:AK990"/>
    <mergeCell ref="AB989:AB990"/>
    <mergeCell ref="AC989:AC990"/>
    <mergeCell ref="AD989:AD990"/>
    <mergeCell ref="AE989:AE990"/>
    <mergeCell ref="AF989:AF990"/>
    <mergeCell ref="W989:W990"/>
    <mergeCell ref="X989:X990"/>
    <mergeCell ref="Y989:Y990"/>
    <mergeCell ref="Z989:Z990"/>
    <mergeCell ref="AA989:AA990"/>
    <mergeCell ref="R989:R990"/>
    <mergeCell ref="S989:S990"/>
    <mergeCell ref="T989:T990"/>
    <mergeCell ref="U989:U990"/>
    <mergeCell ref="V989:V990"/>
    <mergeCell ref="M989:M990"/>
    <mergeCell ref="N989:N990"/>
    <mergeCell ref="O989:O990"/>
    <mergeCell ref="P989:P990"/>
    <mergeCell ref="Q989:Q990"/>
    <mergeCell ref="H989:H990"/>
    <mergeCell ref="I989:I990"/>
    <mergeCell ref="J989:J990"/>
    <mergeCell ref="K989:K990"/>
    <mergeCell ref="L989:L990"/>
    <mergeCell ref="AP989:AP990"/>
    <mergeCell ref="B989:B990"/>
    <mergeCell ref="D989:D990"/>
    <mergeCell ref="H993:H994"/>
    <mergeCell ref="I993:I994"/>
    <mergeCell ref="J993:J994"/>
    <mergeCell ref="K993:K994"/>
    <mergeCell ref="L993:L994"/>
    <mergeCell ref="AP993:AP994"/>
    <mergeCell ref="B993:B994"/>
    <mergeCell ref="D993:D994"/>
    <mergeCell ref="AJ991:AJ992"/>
    <mergeCell ref="AK991:AK992"/>
    <mergeCell ref="AL991:AL992"/>
    <mergeCell ref="AM991:AM992"/>
    <mergeCell ref="AN991:AN992"/>
    <mergeCell ref="AE991:AE992"/>
    <mergeCell ref="AF991:AF992"/>
    <mergeCell ref="AG991:AG992"/>
    <mergeCell ref="AH991:AH992"/>
    <mergeCell ref="AI991:AI992"/>
    <mergeCell ref="Z991:Z992"/>
    <mergeCell ref="AA991:AA992"/>
    <mergeCell ref="AB991:AB992"/>
    <mergeCell ref="AC991:AC992"/>
    <mergeCell ref="AD991:AD992"/>
    <mergeCell ref="U991:U992"/>
    <mergeCell ref="V991:V992"/>
    <mergeCell ref="W991:W992"/>
    <mergeCell ref="X991:X992"/>
    <mergeCell ref="Y991:Y992"/>
    <mergeCell ref="P991:P992"/>
    <mergeCell ref="Q991:Q992"/>
    <mergeCell ref="R991:R992"/>
    <mergeCell ref="S991:S992"/>
    <mergeCell ref="T991:T992"/>
    <mergeCell ref="AJ995:AJ996"/>
    <mergeCell ref="AK995:AK996"/>
    <mergeCell ref="AL995:AL996"/>
    <mergeCell ref="AM995:AM996"/>
    <mergeCell ref="AN995:AN996"/>
    <mergeCell ref="AE995:AE996"/>
    <mergeCell ref="AF995:AF996"/>
    <mergeCell ref="AG995:AG996"/>
    <mergeCell ref="AH995:AH996"/>
    <mergeCell ref="AI995:AI996"/>
    <mergeCell ref="Z995:Z996"/>
    <mergeCell ref="AA995:AA996"/>
    <mergeCell ref="AB995:AB996"/>
    <mergeCell ref="AC995:AC996"/>
    <mergeCell ref="AD995:AD996"/>
    <mergeCell ref="U995:U996"/>
    <mergeCell ref="V995:V996"/>
    <mergeCell ref="W995:W996"/>
    <mergeCell ref="X995:X996"/>
    <mergeCell ref="Y995:Y996"/>
    <mergeCell ref="P995:P996"/>
    <mergeCell ref="Q995:Q996"/>
    <mergeCell ref="R995:R996"/>
    <mergeCell ref="S995:S996"/>
    <mergeCell ref="T995:T996"/>
    <mergeCell ref="AL993:AL994"/>
    <mergeCell ref="AM993:AM994"/>
    <mergeCell ref="AN993:AN994"/>
    <mergeCell ref="AP995:AP996"/>
    <mergeCell ref="B995:B996"/>
    <mergeCell ref="D995:D996"/>
    <mergeCell ref="H995:H996"/>
    <mergeCell ref="I995:I996"/>
    <mergeCell ref="J995:J996"/>
    <mergeCell ref="K995:K996"/>
    <mergeCell ref="L995:L996"/>
    <mergeCell ref="M995:M996"/>
    <mergeCell ref="N995:N996"/>
    <mergeCell ref="O995:O996"/>
    <mergeCell ref="AG993:AG994"/>
    <mergeCell ref="AH993:AH994"/>
    <mergeCell ref="AI993:AI994"/>
    <mergeCell ref="AJ993:AJ994"/>
    <mergeCell ref="AK993:AK994"/>
    <mergeCell ref="AB993:AB994"/>
    <mergeCell ref="AC993:AC994"/>
    <mergeCell ref="AD993:AD994"/>
    <mergeCell ref="AE993:AE994"/>
    <mergeCell ref="AF993:AF994"/>
    <mergeCell ref="W993:W994"/>
    <mergeCell ref="X993:X994"/>
    <mergeCell ref="Y993:Y994"/>
    <mergeCell ref="Z993:Z994"/>
    <mergeCell ref="AA993:AA994"/>
    <mergeCell ref="R993:R994"/>
    <mergeCell ref="S993:S994"/>
    <mergeCell ref="T993:T994"/>
    <mergeCell ref="U993:U994"/>
    <mergeCell ref="V993:V994"/>
    <mergeCell ref="M993:M994"/>
    <mergeCell ref="N993:N994"/>
    <mergeCell ref="O993:O994"/>
    <mergeCell ref="P993:P994"/>
    <mergeCell ref="Q993:Q994"/>
    <mergeCell ref="AL997:AL998"/>
    <mergeCell ref="AM997:AM998"/>
    <mergeCell ref="AN997:AN998"/>
    <mergeCell ref="AP999:AP1000"/>
    <mergeCell ref="B999:B1000"/>
    <mergeCell ref="D999:D1000"/>
    <mergeCell ref="H999:H1000"/>
    <mergeCell ref="I999:I1000"/>
    <mergeCell ref="J999:J1000"/>
    <mergeCell ref="K999:K1000"/>
    <mergeCell ref="L999:L1000"/>
    <mergeCell ref="M999:M1000"/>
    <mergeCell ref="N999:N1000"/>
    <mergeCell ref="O999:O1000"/>
    <mergeCell ref="AG997:AG998"/>
    <mergeCell ref="AH997:AH998"/>
    <mergeCell ref="AI997:AI998"/>
    <mergeCell ref="AJ997:AJ998"/>
    <mergeCell ref="AK997:AK998"/>
    <mergeCell ref="AB997:AB998"/>
    <mergeCell ref="AC997:AC998"/>
    <mergeCell ref="AD997:AD998"/>
    <mergeCell ref="AE997:AE998"/>
    <mergeCell ref="AF997:AF998"/>
    <mergeCell ref="W997:W998"/>
    <mergeCell ref="X997:X998"/>
    <mergeCell ref="Y997:Y998"/>
    <mergeCell ref="Z997:Z998"/>
    <mergeCell ref="AA997:AA998"/>
    <mergeCell ref="R997:R998"/>
    <mergeCell ref="S997:S998"/>
    <mergeCell ref="T997:T998"/>
    <mergeCell ref="U997:U998"/>
    <mergeCell ref="V997:V998"/>
    <mergeCell ref="M997:M998"/>
    <mergeCell ref="N997:N998"/>
    <mergeCell ref="O997:O998"/>
    <mergeCell ref="P997:P998"/>
    <mergeCell ref="Q997:Q998"/>
    <mergeCell ref="H997:H998"/>
    <mergeCell ref="I997:I998"/>
    <mergeCell ref="J997:J998"/>
    <mergeCell ref="K997:K998"/>
    <mergeCell ref="L997:L998"/>
    <mergeCell ref="AP997:AP998"/>
    <mergeCell ref="B997:B998"/>
    <mergeCell ref="D997:D998"/>
    <mergeCell ref="H1001:H1002"/>
    <mergeCell ref="I1001:I1002"/>
    <mergeCell ref="J1001:J1002"/>
    <mergeCell ref="K1001:K1002"/>
    <mergeCell ref="L1001:L1002"/>
    <mergeCell ref="AP1001:AP1002"/>
    <mergeCell ref="B1001:B1002"/>
    <mergeCell ref="D1001:D1002"/>
    <mergeCell ref="AJ999:AJ1000"/>
    <mergeCell ref="AK999:AK1000"/>
    <mergeCell ref="AL999:AL1000"/>
    <mergeCell ref="AM999:AM1000"/>
    <mergeCell ref="AN999:AN1000"/>
    <mergeCell ref="AE999:AE1000"/>
    <mergeCell ref="AF999:AF1000"/>
    <mergeCell ref="AG999:AG1000"/>
    <mergeCell ref="AH999:AH1000"/>
    <mergeCell ref="AI999:AI1000"/>
    <mergeCell ref="Z999:Z1000"/>
    <mergeCell ref="AA999:AA1000"/>
    <mergeCell ref="AB999:AB1000"/>
    <mergeCell ref="AC999:AC1000"/>
    <mergeCell ref="AD999:AD1000"/>
    <mergeCell ref="U999:U1000"/>
    <mergeCell ref="V999:V1000"/>
    <mergeCell ref="W999:W1000"/>
    <mergeCell ref="X999:X1000"/>
    <mergeCell ref="Y999:Y1000"/>
    <mergeCell ref="P999:P1000"/>
    <mergeCell ref="Q999:Q1000"/>
    <mergeCell ref="R999:R1000"/>
    <mergeCell ref="S999:S1000"/>
    <mergeCell ref="T999:T1000"/>
    <mergeCell ref="AJ1003:AJ1004"/>
    <mergeCell ref="AK1003:AK1004"/>
    <mergeCell ref="AL1003:AL1004"/>
    <mergeCell ref="AM1003:AM1004"/>
    <mergeCell ref="AN1003:AN1004"/>
    <mergeCell ref="AE1003:AE1004"/>
    <mergeCell ref="AF1003:AF1004"/>
    <mergeCell ref="AG1003:AG1004"/>
    <mergeCell ref="AH1003:AH1004"/>
    <mergeCell ref="AI1003:AI1004"/>
    <mergeCell ref="Z1003:Z1004"/>
    <mergeCell ref="AA1003:AA1004"/>
    <mergeCell ref="AB1003:AB1004"/>
    <mergeCell ref="AC1003:AC1004"/>
    <mergeCell ref="AD1003:AD1004"/>
    <mergeCell ref="U1003:U1004"/>
    <mergeCell ref="V1003:V1004"/>
    <mergeCell ref="W1003:W1004"/>
    <mergeCell ref="X1003:X1004"/>
    <mergeCell ref="Y1003:Y1004"/>
    <mergeCell ref="P1003:P1004"/>
    <mergeCell ref="Q1003:Q1004"/>
    <mergeCell ref="R1003:R1004"/>
    <mergeCell ref="S1003:S1004"/>
    <mergeCell ref="T1003:T1004"/>
    <mergeCell ref="AL1001:AL1002"/>
    <mergeCell ref="AM1001:AM1002"/>
    <mergeCell ref="AN1001:AN1002"/>
    <mergeCell ref="AP1003:AP1004"/>
    <mergeCell ref="B1003:B1004"/>
    <mergeCell ref="D1003:D1004"/>
    <mergeCell ref="H1003:H1004"/>
    <mergeCell ref="I1003:I1004"/>
    <mergeCell ref="J1003:J1004"/>
    <mergeCell ref="K1003:K1004"/>
    <mergeCell ref="L1003:L1004"/>
    <mergeCell ref="M1003:M1004"/>
    <mergeCell ref="N1003:N1004"/>
    <mergeCell ref="O1003:O1004"/>
    <mergeCell ref="AG1001:AG1002"/>
    <mergeCell ref="AH1001:AH1002"/>
    <mergeCell ref="AI1001:AI1002"/>
    <mergeCell ref="AJ1001:AJ1002"/>
    <mergeCell ref="AK1001:AK1002"/>
    <mergeCell ref="AB1001:AB1002"/>
    <mergeCell ref="AC1001:AC1002"/>
    <mergeCell ref="AD1001:AD1002"/>
    <mergeCell ref="AE1001:AE1002"/>
    <mergeCell ref="AF1001:AF1002"/>
    <mergeCell ref="W1001:W1002"/>
    <mergeCell ref="X1001:X1002"/>
    <mergeCell ref="Y1001:Y1002"/>
    <mergeCell ref="Z1001:Z1002"/>
    <mergeCell ref="AA1001:AA1002"/>
    <mergeCell ref="R1001:R1002"/>
    <mergeCell ref="S1001:S1002"/>
    <mergeCell ref="T1001:T1002"/>
    <mergeCell ref="U1001:U1002"/>
    <mergeCell ref="V1001:V1002"/>
    <mergeCell ref="M1001:M1002"/>
    <mergeCell ref="N1001:N1002"/>
    <mergeCell ref="O1001:O1002"/>
    <mergeCell ref="P1001:P1002"/>
    <mergeCell ref="Q1001:Q1002"/>
    <mergeCell ref="AL1005:AL1006"/>
    <mergeCell ref="AM1005:AM1006"/>
    <mergeCell ref="AN1005:AN1006"/>
    <mergeCell ref="AP1007:AP1008"/>
    <mergeCell ref="B1007:B1008"/>
    <mergeCell ref="D1007:D1008"/>
    <mergeCell ref="H1007:H1008"/>
    <mergeCell ref="I1007:I1008"/>
    <mergeCell ref="J1007:J1008"/>
    <mergeCell ref="K1007:K1008"/>
    <mergeCell ref="L1007:L1008"/>
    <mergeCell ref="M1007:M1008"/>
    <mergeCell ref="N1007:N1008"/>
    <mergeCell ref="O1007:O1008"/>
    <mergeCell ref="AG1005:AG1006"/>
    <mergeCell ref="AH1005:AH1006"/>
    <mergeCell ref="AI1005:AI1006"/>
    <mergeCell ref="AJ1005:AJ1006"/>
    <mergeCell ref="AK1005:AK1006"/>
    <mergeCell ref="AB1005:AB1006"/>
    <mergeCell ref="AC1005:AC1006"/>
    <mergeCell ref="AD1005:AD1006"/>
    <mergeCell ref="AE1005:AE1006"/>
    <mergeCell ref="AF1005:AF1006"/>
    <mergeCell ref="W1005:W1006"/>
    <mergeCell ref="X1005:X1006"/>
    <mergeCell ref="Y1005:Y1006"/>
    <mergeCell ref="Z1005:Z1006"/>
    <mergeCell ref="AA1005:AA1006"/>
    <mergeCell ref="R1005:R1006"/>
    <mergeCell ref="S1005:S1006"/>
    <mergeCell ref="T1005:T1006"/>
    <mergeCell ref="U1005:U1006"/>
    <mergeCell ref="V1005:V1006"/>
    <mergeCell ref="M1005:M1006"/>
    <mergeCell ref="N1005:N1006"/>
    <mergeCell ref="O1005:O1006"/>
    <mergeCell ref="P1005:P1006"/>
    <mergeCell ref="Q1005:Q1006"/>
    <mergeCell ref="H1005:H1006"/>
    <mergeCell ref="I1005:I1006"/>
    <mergeCell ref="J1005:J1006"/>
    <mergeCell ref="K1005:K1006"/>
    <mergeCell ref="L1005:L1006"/>
    <mergeCell ref="AP1005:AP1006"/>
    <mergeCell ref="B1005:B1006"/>
    <mergeCell ref="D1005:D1006"/>
    <mergeCell ref="H1009:H1010"/>
    <mergeCell ref="I1009:I1010"/>
    <mergeCell ref="J1009:J1010"/>
    <mergeCell ref="K1009:K1010"/>
    <mergeCell ref="L1009:L1010"/>
    <mergeCell ref="AP1009:AP1010"/>
    <mergeCell ref="B1009:B1010"/>
    <mergeCell ref="D1009:D1010"/>
    <mergeCell ref="AJ1007:AJ1008"/>
    <mergeCell ref="AK1007:AK1008"/>
    <mergeCell ref="AL1007:AL1008"/>
    <mergeCell ref="AM1007:AM1008"/>
    <mergeCell ref="AN1007:AN1008"/>
    <mergeCell ref="AE1007:AE1008"/>
    <mergeCell ref="AF1007:AF1008"/>
    <mergeCell ref="AG1007:AG1008"/>
    <mergeCell ref="AH1007:AH1008"/>
    <mergeCell ref="AI1007:AI1008"/>
    <mergeCell ref="Z1007:Z1008"/>
    <mergeCell ref="AA1007:AA1008"/>
    <mergeCell ref="AB1007:AB1008"/>
    <mergeCell ref="AC1007:AC1008"/>
    <mergeCell ref="AD1007:AD1008"/>
    <mergeCell ref="U1007:U1008"/>
    <mergeCell ref="V1007:V1008"/>
    <mergeCell ref="W1007:W1008"/>
    <mergeCell ref="X1007:X1008"/>
    <mergeCell ref="Y1007:Y1008"/>
    <mergeCell ref="P1007:P1008"/>
    <mergeCell ref="Q1007:Q1008"/>
    <mergeCell ref="R1007:R1008"/>
    <mergeCell ref="S1007:S1008"/>
    <mergeCell ref="T1007:T1008"/>
    <mergeCell ref="AJ1011:AJ1012"/>
    <mergeCell ref="AK1011:AK1012"/>
    <mergeCell ref="AL1011:AL1012"/>
    <mergeCell ref="AM1011:AM1012"/>
    <mergeCell ref="AN1011:AN1012"/>
    <mergeCell ref="AE1011:AE1012"/>
    <mergeCell ref="AF1011:AF1012"/>
    <mergeCell ref="AG1011:AG1012"/>
    <mergeCell ref="AH1011:AH1012"/>
    <mergeCell ref="AI1011:AI1012"/>
    <mergeCell ref="Z1011:Z1012"/>
    <mergeCell ref="AA1011:AA1012"/>
    <mergeCell ref="AB1011:AB1012"/>
    <mergeCell ref="AC1011:AC1012"/>
    <mergeCell ref="AD1011:AD1012"/>
    <mergeCell ref="U1011:U1012"/>
    <mergeCell ref="V1011:V1012"/>
    <mergeCell ref="W1011:W1012"/>
    <mergeCell ref="X1011:X1012"/>
    <mergeCell ref="Y1011:Y1012"/>
    <mergeCell ref="P1011:P1012"/>
    <mergeCell ref="Q1011:Q1012"/>
    <mergeCell ref="R1011:R1012"/>
    <mergeCell ref="S1011:S1012"/>
    <mergeCell ref="T1011:T1012"/>
    <mergeCell ref="AL1009:AL1010"/>
    <mergeCell ref="AM1009:AM1010"/>
    <mergeCell ref="AN1009:AN1010"/>
    <mergeCell ref="AP1011:AP1012"/>
    <mergeCell ref="B1011:B1012"/>
    <mergeCell ref="D1011:D1012"/>
    <mergeCell ref="H1011:H1012"/>
    <mergeCell ref="I1011:I1012"/>
    <mergeCell ref="J1011:J1012"/>
    <mergeCell ref="K1011:K1012"/>
    <mergeCell ref="L1011:L1012"/>
    <mergeCell ref="M1011:M1012"/>
    <mergeCell ref="N1011:N1012"/>
    <mergeCell ref="O1011:O1012"/>
    <mergeCell ref="AG1009:AG1010"/>
    <mergeCell ref="AH1009:AH1010"/>
    <mergeCell ref="AI1009:AI1010"/>
    <mergeCell ref="AJ1009:AJ1010"/>
    <mergeCell ref="AK1009:AK1010"/>
    <mergeCell ref="AB1009:AB1010"/>
    <mergeCell ref="AC1009:AC1010"/>
    <mergeCell ref="AD1009:AD1010"/>
    <mergeCell ref="AE1009:AE1010"/>
    <mergeCell ref="AF1009:AF1010"/>
    <mergeCell ref="W1009:W1010"/>
    <mergeCell ref="X1009:X1010"/>
    <mergeCell ref="Y1009:Y1010"/>
    <mergeCell ref="Z1009:Z1010"/>
    <mergeCell ref="AA1009:AA1010"/>
    <mergeCell ref="R1009:R1010"/>
    <mergeCell ref="S1009:S1010"/>
    <mergeCell ref="T1009:T1010"/>
    <mergeCell ref="U1009:U1010"/>
    <mergeCell ref="V1009:V1010"/>
    <mergeCell ref="M1009:M1010"/>
    <mergeCell ref="N1009:N1010"/>
    <mergeCell ref="O1009:O1010"/>
    <mergeCell ref="P1009:P1010"/>
    <mergeCell ref="Q1009:Q1010"/>
    <mergeCell ref="AL1013:AL1014"/>
    <mergeCell ref="AM1013:AM1014"/>
    <mergeCell ref="AN1013:AN1014"/>
    <mergeCell ref="AP1015:AP1016"/>
    <mergeCell ref="B1015:B1016"/>
    <mergeCell ref="D1015:D1016"/>
    <mergeCell ref="H1015:H1016"/>
    <mergeCell ref="I1015:I1016"/>
    <mergeCell ref="J1015:J1016"/>
    <mergeCell ref="K1015:K1016"/>
    <mergeCell ref="L1015:L1016"/>
    <mergeCell ref="M1015:M1016"/>
    <mergeCell ref="N1015:N1016"/>
    <mergeCell ref="O1015:O1016"/>
    <mergeCell ref="AG1013:AG1014"/>
    <mergeCell ref="AH1013:AH1014"/>
    <mergeCell ref="AI1013:AI1014"/>
    <mergeCell ref="AJ1013:AJ1014"/>
    <mergeCell ref="AK1013:AK1014"/>
    <mergeCell ref="AB1013:AB1014"/>
    <mergeCell ref="AC1013:AC1014"/>
    <mergeCell ref="AD1013:AD1014"/>
    <mergeCell ref="AE1013:AE1014"/>
    <mergeCell ref="AF1013:AF1014"/>
    <mergeCell ref="W1013:W1014"/>
    <mergeCell ref="X1013:X1014"/>
    <mergeCell ref="Y1013:Y1014"/>
    <mergeCell ref="Z1013:Z1014"/>
    <mergeCell ref="AA1013:AA1014"/>
    <mergeCell ref="R1013:R1014"/>
    <mergeCell ref="S1013:S1014"/>
    <mergeCell ref="T1013:T1014"/>
    <mergeCell ref="U1013:U1014"/>
    <mergeCell ref="V1013:V1014"/>
    <mergeCell ref="M1013:M1014"/>
    <mergeCell ref="N1013:N1014"/>
    <mergeCell ref="O1013:O1014"/>
    <mergeCell ref="P1013:P1014"/>
    <mergeCell ref="Q1013:Q1014"/>
    <mergeCell ref="H1013:H1014"/>
    <mergeCell ref="I1013:I1014"/>
    <mergeCell ref="J1013:J1014"/>
    <mergeCell ref="K1013:K1014"/>
    <mergeCell ref="L1013:L1014"/>
    <mergeCell ref="AP1013:AP1014"/>
    <mergeCell ref="B1013:B1014"/>
    <mergeCell ref="D1013:D1014"/>
    <mergeCell ref="H1017:H1018"/>
    <mergeCell ref="I1017:I1018"/>
    <mergeCell ref="J1017:J1018"/>
    <mergeCell ref="K1017:K1018"/>
    <mergeCell ref="L1017:L1018"/>
    <mergeCell ref="AP1017:AP1018"/>
    <mergeCell ref="B1017:B1018"/>
    <mergeCell ref="D1017:D1018"/>
    <mergeCell ref="AJ1015:AJ1016"/>
    <mergeCell ref="AK1015:AK1016"/>
    <mergeCell ref="AL1015:AL1016"/>
    <mergeCell ref="AM1015:AM1016"/>
    <mergeCell ref="AN1015:AN1016"/>
    <mergeCell ref="AE1015:AE1016"/>
    <mergeCell ref="AF1015:AF1016"/>
    <mergeCell ref="AG1015:AG1016"/>
    <mergeCell ref="AH1015:AH1016"/>
    <mergeCell ref="AI1015:AI1016"/>
    <mergeCell ref="Z1015:Z1016"/>
    <mergeCell ref="AA1015:AA1016"/>
    <mergeCell ref="AB1015:AB1016"/>
    <mergeCell ref="AC1015:AC1016"/>
    <mergeCell ref="AD1015:AD1016"/>
    <mergeCell ref="U1015:U1016"/>
    <mergeCell ref="V1015:V1016"/>
    <mergeCell ref="W1015:W1016"/>
    <mergeCell ref="X1015:X1016"/>
    <mergeCell ref="Y1015:Y1016"/>
    <mergeCell ref="P1015:P1016"/>
    <mergeCell ref="Q1015:Q1016"/>
    <mergeCell ref="R1015:R1016"/>
    <mergeCell ref="S1015:S1016"/>
    <mergeCell ref="T1015:T1016"/>
    <mergeCell ref="AJ1019:AJ1020"/>
    <mergeCell ref="AK1019:AK1020"/>
    <mergeCell ref="AL1019:AL1020"/>
    <mergeCell ref="AM1019:AM1020"/>
    <mergeCell ref="AN1019:AN1020"/>
    <mergeCell ref="AE1019:AE1020"/>
    <mergeCell ref="AF1019:AF1020"/>
    <mergeCell ref="AG1019:AG1020"/>
    <mergeCell ref="AH1019:AH1020"/>
    <mergeCell ref="AI1019:AI1020"/>
    <mergeCell ref="Z1019:Z1020"/>
    <mergeCell ref="AA1019:AA1020"/>
    <mergeCell ref="AB1019:AB1020"/>
    <mergeCell ref="AC1019:AC1020"/>
    <mergeCell ref="AD1019:AD1020"/>
    <mergeCell ref="U1019:U1020"/>
    <mergeCell ref="V1019:V1020"/>
    <mergeCell ref="W1019:W1020"/>
    <mergeCell ref="X1019:X1020"/>
    <mergeCell ref="Y1019:Y1020"/>
    <mergeCell ref="P1019:P1020"/>
    <mergeCell ref="Q1019:Q1020"/>
    <mergeCell ref="R1019:R1020"/>
    <mergeCell ref="S1019:S1020"/>
    <mergeCell ref="T1019:T1020"/>
    <mergeCell ref="AL1017:AL1018"/>
    <mergeCell ref="AM1017:AM1018"/>
    <mergeCell ref="AN1017:AN1018"/>
    <mergeCell ref="AP1019:AP1020"/>
    <mergeCell ref="B1019:B1020"/>
    <mergeCell ref="D1019:D1020"/>
    <mergeCell ref="H1019:H1020"/>
    <mergeCell ref="I1019:I1020"/>
    <mergeCell ref="J1019:J1020"/>
    <mergeCell ref="K1019:K1020"/>
    <mergeCell ref="L1019:L1020"/>
    <mergeCell ref="M1019:M1020"/>
    <mergeCell ref="N1019:N1020"/>
    <mergeCell ref="O1019:O1020"/>
    <mergeCell ref="AG1017:AG1018"/>
    <mergeCell ref="AH1017:AH1018"/>
    <mergeCell ref="AI1017:AI1018"/>
    <mergeCell ref="AJ1017:AJ1018"/>
    <mergeCell ref="AK1017:AK1018"/>
    <mergeCell ref="AB1017:AB1018"/>
    <mergeCell ref="AC1017:AC1018"/>
    <mergeCell ref="AD1017:AD1018"/>
    <mergeCell ref="AE1017:AE1018"/>
    <mergeCell ref="AF1017:AF1018"/>
    <mergeCell ref="W1017:W1018"/>
    <mergeCell ref="X1017:X1018"/>
    <mergeCell ref="Y1017:Y1018"/>
    <mergeCell ref="Z1017:Z1018"/>
    <mergeCell ref="AA1017:AA1018"/>
    <mergeCell ref="R1017:R1018"/>
    <mergeCell ref="S1017:S1018"/>
    <mergeCell ref="T1017:T1018"/>
    <mergeCell ref="U1017:U1018"/>
    <mergeCell ref="V1017:V1018"/>
    <mergeCell ref="M1017:M1018"/>
    <mergeCell ref="N1017:N1018"/>
    <mergeCell ref="O1017:O1018"/>
    <mergeCell ref="P1017:P1018"/>
    <mergeCell ref="Q1017:Q1018"/>
    <mergeCell ref="AL1021:AL1022"/>
    <mergeCell ref="AM1021:AM1022"/>
    <mergeCell ref="AN1021:AN1022"/>
    <mergeCell ref="AP1023:AP1024"/>
    <mergeCell ref="B1023:B1024"/>
    <mergeCell ref="D1023:D1024"/>
    <mergeCell ref="H1023:H1024"/>
    <mergeCell ref="I1023:I1024"/>
    <mergeCell ref="J1023:J1024"/>
    <mergeCell ref="K1023:K1024"/>
    <mergeCell ref="L1023:L1024"/>
    <mergeCell ref="M1023:M1024"/>
    <mergeCell ref="N1023:N1024"/>
    <mergeCell ref="O1023:O1024"/>
    <mergeCell ref="AG1021:AG1022"/>
    <mergeCell ref="AH1021:AH1022"/>
    <mergeCell ref="AI1021:AI1022"/>
    <mergeCell ref="AJ1021:AJ1022"/>
    <mergeCell ref="AK1021:AK1022"/>
    <mergeCell ref="AB1021:AB1022"/>
    <mergeCell ref="AC1021:AC1022"/>
    <mergeCell ref="AD1021:AD1022"/>
    <mergeCell ref="AE1021:AE1022"/>
    <mergeCell ref="AF1021:AF1022"/>
    <mergeCell ref="W1021:W1022"/>
    <mergeCell ref="X1021:X1022"/>
    <mergeCell ref="Y1021:Y1022"/>
    <mergeCell ref="Z1021:Z1022"/>
    <mergeCell ref="AA1021:AA1022"/>
    <mergeCell ref="R1021:R1022"/>
    <mergeCell ref="S1021:S1022"/>
    <mergeCell ref="T1021:T1022"/>
    <mergeCell ref="U1021:U1022"/>
    <mergeCell ref="V1021:V1022"/>
    <mergeCell ref="M1021:M1022"/>
    <mergeCell ref="N1021:N1022"/>
    <mergeCell ref="O1021:O1022"/>
    <mergeCell ref="P1021:P1022"/>
    <mergeCell ref="Q1021:Q1022"/>
    <mergeCell ref="H1021:H1022"/>
    <mergeCell ref="I1021:I1022"/>
    <mergeCell ref="J1021:J1022"/>
    <mergeCell ref="K1021:K1022"/>
    <mergeCell ref="L1021:L1022"/>
    <mergeCell ref="AP1021:AP1022"/>
    <mergeCell ref="B1021:B1022"/>
    <mergeCell ref="D1021:D1022"/>
    <mergeCell ref="H1025:H1026"/>
    <mergeCell ref="I1025:I1026"/>
    <mergeCell ref="J1025:J1026"/>
    <mergeCell ref="K1025:K1026"/>
    <mergeCell ref="L1025:L1026"/>
    <mergeCell ref="AP1025:AP1026"/>
    <mergeCell ref="B1025:B1026"/>
    <mergeCell ref="D1025:D1026"/>
    <mergeCell ref="AJ1023:AJ1024"/>
    <mergeCell ref="AK1023:AK1024"/>
    <mergeCell ref="AL1023:AL1024"/>
    <mergeCell ref="AM1023:AM1024"/>
    <mergeCell ref="AN1023:AN1024"/>
    <mergeCell ref="AE1023:AE1024"/>
    <mergeCell ref="AF1023:AF1024"/>
    <mergeCell ref="AG1023:AG1024"/>
    <mergeCell ref="AH1023:AH1024"/>
    <mergeCell ref="AI1023:AI1024"/>
    <mergeCell ref="Z1023:Z1024"/>
    <mergeCell ref="AA1023:AA1024"/>
    <mergeCell ref="AB1023:AB1024"/>
    <mergeCell ref="AC1023:AC1024"/>
    <mergeCell ref="AD1023:AD1024"/>
    <mergeCell ref="U1023:U1024"/>
    <mergeCell ref="V1023:V1024"/>
    <mergeCell ref="W1023:W1024"/>
    <mergeCell ref="X1023:X1024"/>
    <mergeCell ref="Y1023:Y1024"/>
    <mergeCell ref="P1023:P1024"/>
    <mergeCell ref="Q1023:Q1024"/>
    <mergeCell ref="R1023:R1024"/>
    <mergeCell ref="S1023:S1024"/>
    <mergeCell ref="T1023:T1024"/>
    <mergeCell ref="AJ1027:AJ1028"/>
    <mergeCell ref="AK1027:AK1028"/>
    <mergeCell ref="AL1027:AL1028"/>
    <mergeCell ref="AM1027:AM1028"/>
    <mergeCell ref="AN1027:AN1028"/>
    <mergeCell ref="AE1027:AE1028"/>
    <mergeCell ref="AF1027:AF1028"/>
    <mergeCell ref="AG1027:AG1028"/>
    <mergeCell ref="AH1027:AH1028"/>
    <mergeCell ref="AI1027:AI1028"/>
    <mergeCell ref="Z1027:Z1028"/>
    <mergeCell ref="AA1027:AA1028"/>
    <mergeCell ref="AB1027:AB1028"/>
    <mergeCell ref="AC1027:AC1028"/>
    <mergeCell ref="AD1027:AD1028"/>
    <mergeCell ref="U1027:U1028"/>
    <mergeCell ref="V1027:V1028"/>
    <mergeCell ref="W1027:W1028"/>
    <mergeCell ref="X1027:X1028"/>
    <mergeCell ref="Y1027:Y1028"/>
    <mergeCell ref="P1027:P1028"/>
    <mergeCell ref="Q1027:Q1028"/>
    <mergeCell ref="R1027:R1028"/>
    <mergeCell ref="S1027:S1028"/>
    <mergeCell ref="T1027:T1028"/>
    <mergeCell ref="AL1025:AL1026"/>
    <mergeCell ref="AM1025:AM1026"/>
    <mergeCell ref="AN1025:AN1026"/>
    <mergeCell ref="AP1027:AP1028"/>
    <mergeCell ref="B1027:B1028"/>
    <mergeCell ref="D1027:D1028"/>
    <mergeCell ref="H1027:H1028"/>
    <mergeCell ref="I1027:I1028"/>
    <mergeCell ref="J1027:J1028"/>
    <mergeCell ref="K1027:K1028"/>
    <mergeCell ref="L1027:L1028"/>
    <mergeCell ref="M1027:M1028"/>
    <mergeCell ref="N1027:N1028"/>
    <mergeCell ref="O1027:O1028"/>
    <mergeCell ref="AG1025:AG1026"/>
    <mergeCell ref="AH1025:AH1026"/>
    <mergeCell ref="AI1025:AI1026"/>
    <mergeCell ref="AJ1025:AJ1026"/>
    <mergeCell ref="AK1025:AK1026"/>
    <mergeCell ref="AB1025:AB1026"/>
    <mergeCell ref="AC1025:AC1026"/>
    <mergeCell ref="AD1025:AD1026"/>
    <mergeCell ref="AE1025:AE1026"/>
    <mergeCell ref="AF1025:AF1026"/>
    <mergeCell ref="W1025:W1026"/>
    <mergeCell ref="X1025:X1026"/>
    <mergeCell ref="Y1025:Y1026"/>
    <mergeCell ref="Z1025:Z1026"/>
    <mergeCell ref="AA1025:AA1026"/>
    <mergeCell ref="R1025:R1026"/>
    <mergeCell ref="S1025:S1026"/>
    <mergeCell ref="T1025:T1026"/>
    <mergeCell ref="U1025:U1026"/>
    <mergeCell ref="V1025:V1026"/>
    <mergeCell ref="M1025:M1026"/>
    <mergeCell ref="N1025:N1026"/>
    <mergeCell ref="O1025:O1026"/>
    <mergeCell ref="P1025:P1026"/>
    <mergeCell ref="Q1025:Q1026"/>
    <mergeCell ref="AL1029:AL1030"/>
    <mergeCell ref="AM1029:AM1030"/>
    <mergeCell ref="AN1029:AN1030"/>
    <mergeCell ref="AP1031:AP1032"/>
    <mergeCell ref="B1031:B1032"/>
    <mergeCell ref="D1031:D1032"/>
    <mergeCell ref="H1031:H1032"/>
    <mergeCell ref="I1031:I1032"/>
    <mergeCell ref="J1031:J1032"/>
    <mergeCell ref="K1031:K1032"/>
    <mergeCell ref="L1031:L1032"/>
    <mergeCell ref="M1031:M1032"/>
    <mergeCell ref="N1031:N1032"/>
    <mergeCell ref="O1031:O1032"/>
    <mergeCell ref="AG1029:AG1030"/>
    <mergeCell ref="AH1029:AH1030"/>
    <mergeCell ref="AI1029:AI1030"/>
    <mergeCell ref="AJ1029:AJ1030"/>
    <mergeCell ref="AK1029:AK1030"/>
    <mergeCell ref="AB1029:AB1030"/>
    <mergeCell ref="AC1029:AC1030"/>
    <mergeCell ref="AD1029:AD1030"/>
    <mergeCell ref="AE1029:AE1030"/>
    <mergeCell ref="AF1029:AF1030"/>
    <mergeCell ref="W1029:W1030"/>
    <mergeCell ref="X1029:X1030"/>
    <mergeCell ref="Y1029:Y1030"/>
    <mergeCell ref="Z1029:Z1030"/>
    <mergeCell ref="AA1029:AA1030"/>
    <mergeCell ref="R1029:R1030"/>
    <mergeCell ref="S1029:S1030"/>
    <mergeCell ref="T1029:T1030"/>
    <mergeCell ref="U1029:U1030"/>
    <mergeCell ref="V1029:V1030"/>
    <mergeCell ref="M1029:M1030"/>
    <mergeCell ref="N1029:N1030"/>
    <mergeCell ref="O1029:O1030"/>
    <mergeCell ref="P1029:P1030"/>
    <mergeCell ref="Q1029:Q1030"/>
    <mergeCell ref="H1029:H1030"/>
    <mergeCell ref="I1029:I1030"/>
    <mergeCell ref="J1029:J1030"/>
    <mergeCell ref="K1029:K1030"/>
    <mergeCell ref="L1029:L1030"/>
    <mergeCell ref="AP1029:AP1030"/>
    <mergeCell ref="B1029:B1030"/>
    <mergeCell ref="D1029:D1030"/>
    <mergeCell ref="H1033:H1034"/>
    <mergeCell ref="I1033:I1034"/>
    <mergeCell ref="J1033:J1034"/>
    <mergeCell ref="K1033:K1034"/>
    <mergeCell ref="L1033:L1034"/>
    <mergeCell ref="AP1033:AP1034"/>
    <mergeCell ref="B1033:B1034"/>
    <mergeCell ref="D1033:D1034"/>
    <mergeCell ref="AJ1031:AJ1032"/>
    <mergeCell ref="AK1031:AK1032"/>
    <mergeCell ref="AL1031:AL1032"/>
    <mergeCell ref="AM1031:AM1032"/>
    <mergeCell ref="AN1031:AN1032"/>
    <mergeCell ref="AE1031:AE1032"/>
    <mergeCell ref="AF1031:AF1032"/>
    <mergeCell ref="AG1031:AG1032"/>
    <mergeCell ref="AH1031:AH1032"/>
    <mergeCell ref="AI1031:AI1032"/>
    <mergeCell ref="Z1031:Z1032"/>
    <mergeCell ref="AA1031:AA1032"/>
    <mergeCell ref="AB1031:AB1032"/>
    <mergeCell ref="AC1031:AC1032"/>
    <mergeCell ref="AD1031:AD1032"/>
    <mergeCell ref="U1031:U1032"/>
    <mergeCell ref="V1031:V1032"/>
    <mergeCell ref="W1031:W1032"/>
    <mergeCell ref="X1031:X1032"/>
    <mergeCell ref="Y1031:Y1032"/>
    <mergeCell ref="P1031:P1032"/>
    <mergeCell ref="Q1031:Q1032"/>
    <mergeCell ref="R1031:R1032"/>
    <mergeCell ref="S1031:S1032"/>
    <mergeCell ref="T1031:T1032"/>
    <mergeCell ref="AJ1035:AJ1036"/>
    <mergeCell ref="AK1035:AK1036"/>
    <mergeCell ref="AL1035:AL1036"/>
    <mergeCell ref="AM1035:AM1036"/>
    <mergeCell ref="AN1035:AN1036"/>
    <mergeCell ref="AE1035:AE1036"/>
    <mergeCell ref="AF1035:AF1036"/>
    <mergeCell ref="AG1035:AG1036"/>
    <mergeCell ref="AH1035:AH1036"/>
    <mergeCell ref="AI1035:AI1036"/>
    <mergeCell ref="Z1035:Z1036"/>
    <mergeCell ref="AA1035:AA1036"/>
    <mergeCell ref="AB1035:AB1036"/>
    <mergeCell ref="AC1035:AC1036"/>
    <mergeCell ref="AD1035:AD1036"/>
    <mergeCell ref="U1035:U1036"/>
    <mergeCell ref="V1035:V1036"/>
    <mergeCell ref="W1035:W1036"/>
    <mergeCell ref="X1035:X1036"/>
    <mergeCell ref="Y1035:Y1036"/>
    <mergeCell ref="P1035:P1036"/>
    <mergeCell ref="Q1035:Q1036"/>
    <mergeCell ref="R1035:R1036"/>
    <mergeCell ref="S1035:S1036"/>
    <mergeCell ref="T1035:T1036"/>
    <mergeCell ref="AL1033:AL1034"/>
    <mergeCell ref="AM1033:AM1034"/>
    <mergeCell ref="AN1033:AN1034"/>
    <mergeCell ref="AP1035:AP1036"/>
    <mergeCell ref="B1035:B1036"/>
    <mergeCell ref="D1035:D1036"/>
    <mergeCell ref="H1035:H1036"/>
    <mergeCell ref="I1035:I1036"/>
    <mergeCell ref="J1035:J1036"/>
    <mergeCell ref="K1035:K1036"/>
    <mergeCell ref="L1035:L1036"/>
    <mergeCell ref="M1035:M1036"/>
    <mergeCell ref="N1035:N1036"/>
    <mergeCell ref="O1035:O1036"/>
    <mergeCell ref="AG1033:AG1034"/>
    <mergeCell ref="AH1033:AH1034"/>
    <mergeCell ref="AI1033:AI1034"/>
    <mergeCell ref="AJ1033:AJ1034"/>
    <mergeCell ref="AK1033:AK1034"/>
    <mergeCell ref="AB1033:AB1034"/>
    <mergeCell ref="AC1033:AC1034"/>
    <mergeCell ref="AD1033:AD1034"/>
    <mergeCell ref="AE1033:AE1034"/>
    <mergeCell ref="AF1033:AF1034"/>
    <mergeCell ref="W1033:W1034"/>
    <mergeCell ref="X1033:X1034"/>
    <mergeCell ref="Y1033:Y1034"/>
    <mergeCell ref="Z1033:Z1034"/>
    <mergeCell ref="AA1033:AA1034"/>
    <mergeCell ref="R1033:R1034"/>
    <mergeCell ref="S1033:S1034"/>
    <mergeCell ref="T1033:T1034"/>
    <mergeCell ref="U1033:U1034"/>
    <mergeCell ref="V1033:V1034"/>
    <mergeCell ref="M1033:M1034"/>
    <mergeCell ref="N1033:N1034"/>
    <mergeCell ref="O1033:O1034"/>
    <mergeCell ref="P1033:P1034"/>
    <mergeCell ref="Q1033:Q1034"/>
    <mergeCell ref="AL1037:AL1038"/>
    <mergeCell ref="AM1037:AM1038"/>
    <mergeCell ref="AN1037:AN1038"/>
    <mergeCell ref="AP1039:AP1040"/>
    <mergeCell ref="B1039:B1040"/>
    <mergeCell ref="D1039:D1040"/>
    <mergeCell ref="H1039:H1040"/>
    <mergeCell ref="I1039:I1040"/>
    <mergeCell ref="J1039:J1040"/>
    <mergeCell ref="K1039:K1040"/>
    <mergeCell ref="L1039:L1040"/>
    <mergeCell ref="M1039:M1040"/>
    <mergeCell ref="N1039:N1040"/>
    <mergeCell ref="O1039:O1040"/>
    <mergeCell ref="AG1037:AG1038"/>
    <mergeCell ref="AH1037:AH1038"/>
    <mergeCell ref="AI1037:AI1038"/>
    <mergeCell ref="AJ1037:AJ1038"/>
    <mergeCell ref="AK1037:AK1038"/>
    <mergeCell ref="AB1037:AB1038"/>
    <mergeCell ref="AC1037:AC1038"/>
    <mergeCell ref="AD1037:AD1038"/>
    <mergeCell ref="AE1037:AE1038"/>
    <mergeCell ref="AF1037:AF1038"/>
    <mergeCell ref="W1037:W1038"/>
    <mergeCell ref="X1037:X1038"/>
    <mergeCell ref="Y1037:Y1038"/>
    <mergeCell ref="Z1037:Z1038"/>
    <mergeCell ref="AA1037:AA1038"/>
    <mergeCell ref="R1037:R1038"/>
    <mergeCell ref="S1037:S1038"/>
    <mergeCell ref="T1037:T1038"/>
    <mergeCell ref="U1037:U1038"/>
    <mergeCell ref="V1037:V1038"/>
    <mergeCell ref="M1037:M1038"/>
    <mergeCell ref="N1037:N1038"/>
    <mergeCell ref="O1037:O1038"/>
    <mergeCell ref="P1037:P1038"/>
    <mergeCell ref="Q1037:Q1038"/>
    <mergeCell ref="H1037:H1038"/>
    <mergeCell ref="I1037:I1038"/>
    <mergeCell ref="J1037:J1038"/>
    <mergeCell ref="K1037:K1038"/>
    <mergeCell ref="L1037:L1038"/>
    <mergeCell ref="AP1037:AP1038"/>
    <mergeCell ref="B1037:B1038"/>
    <mergeCell ref="D1037:D1038"/>
    <mergeCell ref="H1041:H1042"/>
    <mergeCell ref="I1041:I1042"/>
    <mergeCell ref="J1041:J1042"/>
    <mergeCell ref="K1041:K1042"/>
    <mergeCell ref="L1041:L1042"/>
    <mergeCell ref="AP1041:AP1042"/>
    <mergeCell ref="B1041:B1042"/>
    <mergeCell ref="D1041:D1042"/>
    <mergeCell ref="AJ1039:AJ1040"/>
    <mergeCell ref="AK1039:AK1040"/>
    <mergeCell ref="AL1039:AL1040"/>
    <mergeCell ref="AM1039:AM1040"/>
    <mergeCell ref="AN1039:AN1040"/>
    <mergeCell ref="AE1039:AE1040"/>
    <mergeCell ref="AF1039:AF1040"/>
    <mergeCell ref="AG1039:AG1040"/>
    <mergeCell ref="AH1039:AH1040"/>
    <mergeCell ref="AI1039:AI1040"/>
    <mergeCell ref="Z1039:Z1040"/>
    <mergeCell ref="AA1039:AA1040"/>
    <mergeCell ref="AB1039:AB1040"/>
    <mergeCell ref="AC1039:AC1040"/>
    <mergeCell ref="AD1039:AD1040"/>
    <mergeCell ref="U1039:U1040"/>
    <mergeCell ref="V1039:V1040"/>
    <mergeCell ref="W1039:W1040"/>
    <mergeCell ref="X1039:X1040"/>
    <mergeCell ref="Y1039:Y1040"/>
    <mergeCell ref="P1039:P1040"/>
    <mergeCell ref="Q1039:Q1040"/>
    <mergeCell ref="R1039:R1040"/>
    <mergeCell ref="S1039:S1040"/>
    <mergeCell ref="T1039:T1040"/>
    <mergeCell ref="AJ1043:AJ1044"/>
    <mergeCell ref="AK1043:AK1044"/>
    <mergeCell ref="AL1043:AL1044"/>
    <mergeCell ref="AM1043:AM1044"/>
    <mergeCell ref="AN1043:AN1044"/>
    <mergeCell ref="AE1043:AE1044"/>
    <mergeCell ref="AF1043:AF1044"/>
    <mergeCell ref="AG1043:AG1044"/>
    <mergeCell ref="AH1043:AH1044"/>
    <mergeCell ref="AI1043:AI1044"/>
    <mergeCell ref="Z1043:Z1044"/>
    <mergeCell ref="AA1043:AA1044"/>
    <mergeCell ref="AB1043:AB1044"/>
    <mergeCell ref="AC1043:AC1044"/>
    <mergeCell ref="AD1043:AD1044"/>
    <mergeCell ref="U1043:U1044"/>
    <mergeCell ref="V1043:V1044"/>
    <mergeCell ref="W1043:W1044"/>
    <mergeCell ref="X1043:X1044"/>
    <mergeCell ref="Y1043:Y1044"/>
    <mergeCell ref="P1043:P1044"/>
    <mergeCell ref="Q1043:Q1044"/>
    <mergeCell ref="R1043:R1044"/>
    <mergeCell ref="S1043:S1044"/>
    <mergeCell ref="T1043:T1044"/>
    <mergeCell ref="AL1041:AL1042"/>
    <mergeCell ref="AM1041:AM1042"/>
    <mergeCell ref="AN1041:AN1042"/>
    <mergeCell ref="AP1043:AP1044"/>
    <mergeCell ref="B1043:B1044"/>
    <mergeCell ref="D1043:D1044"/>
    <mergeCell ref="H1043:H1044"/>
    <mergeCell ref="I1043:I1044"/>
    <mergeCell ref="J1043:J1044"/>
    <mergeCell ref="K1043:K1044"/>
    <mergeCell ref="L1043:L1044"/>
    <mergeCell ref="M1043:M1044"/>
    <mergeCell ref="N1043:N1044"/>
    <mergeCell ref="O1043:O1044"/>
    <mergeCell ref="AG1041:AG1042"/>
    <mergeCell ref="AH1041:AH1042"/>
    <mergeCell ref="AI1041:AI1042"/>
    <mergeCell ref="AJ1041:AJ1042"/>
    <mergeCell ref="AK1041:AK1042"/>
    <mergeCell ref="AB1041:AB1042"/>
    <mergeCell ref="AC1041:AC1042"/>
    <mergeCell ref="AD1041:AD1042"/>
    <mergeCell ref="AE1041:AE1042"/>
    <mergeCell ref="AF1041:AF1042"/>
    <mergeCell ref="W1041:W1042"/>
    <mergeCell ref="X1041:X1042"/>
    <mergeCell ref="Y1041:Y1042"/>
    <mergeCell ref="Z1041:Z1042"/>
    <mergeCell ref="AA1041:AA1042"/>
    <mergeCell ref="R1041:R1042"/>
    <mergeCell ref="S1041:S1042"/>
    <mergeCell ref="T1041:T1042"/>
    <mergeCell ref="U1041:U1042"/>
    <mergeCell ref="V1041:V1042"/>
    <mergeCell ref="M1041:M1042"/>
    <mergeCell ref="N1041:N1042"/>
    <mergeCell ref="O1041:O1042"/>
    <mergeCell ref="P1041:P1042"/>
    <mergeCell ref="Q1041:Q1042"/>
    <mergeCell ref="AL1045:AL1046"/>
    <mergeCell ref="AM1045:AM1046"/>
    <mergeCell ref="AN1045:AN1046"/>
    <mergeCell ref="AP1047:AP1048"/>
    <mergeCell ref="B1047:B1048"/>
    <mergeCell ref="D1047:D1048"/>
    <mergeCell ref="H1047:H1048"/>
    <mergeCell ref="I1047:I1048"/>
    <mergeCell ref="J1047:J1048"/>
    <mergeCell ref="K1047:K1048"/>
    <mergeCell ref="L1047:L1048"/>
    <mergeCell ref="M1047:M1048"/>
    <mergeCell ref="N1047:N1048"/>
    <mergeCell ref="O1047:O1048"/>
    <mergeCell ref="AG1045:AG1046"/>
    <mergeCell ref="AH1045:AH1046"/>
    <mergeCell ref="AI1045:AI1046"/>
    <mergeCell ref="AJ1045:AJ1046"/>
    <mergeCell ref="AK1045:AK1046"/>
    <mergeCell ref="AB1045:AB1046"/>
    <mergeCell ref="AC1045:AC1046"/>
    <mergeCell ref="AD1045:AD1046"/>
    <mergeCell ref="AE1045:AE1046"/>
    <mergeCell ref="AF1045:AF1046"/>
    <mergeCell ref="W1045:W1046"/>
    <mergeCell ref="X1045:X1046"/>
    <mergeCell ref="Y1045:Y1046"/>
    <mergeCell ref="Z1045:Z1046"/>
    <mergeCell ref="AA1045:AA1046"/>
    <mergeCell ref="R1045:R1046"/>
    <mergeCell ref="S1045:S1046"/>
    <mergeCell ref="T1045:T1046"/>
    <mergeCell ref="U1045:U1046"/>
    <mergeCell ref="V1045:V1046"/>
    <mergeCell ref="M1045:M1046"/>
    <mergeCell ref="N1045:N1046"/>
    <mergeCell ref="O1045:O1046"/>
    <mergeCell ref="P1045:P1046"/>
    <mergeCell ref="Q1045:Q1046"/>
    <mergeCell ref="H1045:H1046"/>
    <mergeCell ref="I1045:I1046"/>
    <mergeCell ref="J1045:J1046"/>
    <mergeCell ref="K1045:K1046"/>
    <mergeCell ref="L1045:L1046"/>
    <mergeCell ref="AP1045:AP1046"/>
    <mergeCell ref="B1045:B1046"/>
    <mergeCell ref="D1045:D1046"/>
    <mergeCell ref="H1049:H1050"/>
    <mergeCell ref="I1049:I1050"/>
    <mergeCell ref="J1049:J1050"/>
    <mergeCell ref="K1049:K1050"/>
    <mergeCell ref="L1049:L1050"/>
    <mergeCell ref="AP1049:AP1050"/>
    <mergeCell ref="B1049:B1050"/>
    <mergeCell ref="D1049:D1050"/>
    <mergeCell ref="AJ1047:AJ1048"/>
    <mergeCell ref="AK1047:AK1048"/>
    <mergeCell ref="AL1047:AL1048"/>
    <mergeCell ref="AM1047:AM1048"/>
    <mergeCell ref="AN1047:AN1048"/>
    <mergeCell ref="AE1047:AE1048"/>
    <mergeCell ref="AF1047:AF1048"/>
    <mergeCell ref="AG1047:AG1048"/>
    <mergeCell ref="AH1047:AH1048"/>
    <mergeCell ref="AI1047:AI1048"/>
    <mergeCell ref="Z1047:Z1048"/>
    <mergeCell ref="AA1047:AA1048"/>
    <mergeCell ref="AB1047:AB1048"/>
    <mergeCell ref="AC1047:AC1048"/>
    <mergeCell ref="AD1047:AD1048"/>
    <mergeCell ref="U1047:U1048"/>
    <mergeCell ref="V1047:V1048"/>
    <mergeCell ref="W1047:W1048"/>
    <mergeCell ref="X1047:X1048"/>
    <mergeCell ref="Y1047:Y1048"/>
    <mergeCell ref="P1047:P1048"/>
    <mergeCell ref="Q1047:Q1048"/>
    <mergeCell ref="R1047:R1048"/>
    <mergeCell ref="S1047:S1048"/>
    <mergeCell ref="T1047:T1048"/>
    <mergeCell ref="AJ1051:AJ1052"/>
    <mergeCell ref="AK1051:AK1052"/>
    <mergeCell ref="AL1051:AL1052"/>
    <mergeCell ref="AM1051:AM1052"/>
    <mergeCell ref="AN1051:AN1052"/>
    <mergeCell ref="AE1051:AE1052"/>
    <mergeCell ref="AF1051:AF1052"/>
    <mergeCell ref="AG1051:AG1052"/>
    <mergeCell ref="AH1051:AH1052"/>
    <mergeCell ref="AI1051:AI1052"/>
    <mergeCell ref="Z1051:Z1052"/>
    <mergeCell ref="AA1051:AA1052"/>
    <mergeCell ref="AB1051:AB1052"/>
    <mergeCell ref="AC1051:AC1052"/>
    <mergeCell ref="AD1051:AD1052"/>
    <mergeCell ref="U1051:U1052"/>
    <mergeCell ref="V1051:V1052"/>
    <mergeCell ref="W1051:W1052"/>
    <mergeCell ref="X1051:X1052"/>
    <mergeCell ref="Y1051:Y1052"/>
    <mergeCell ref="P1051:P1052"/>
    <mergeCell ref="Q1051:Q1052"/>
    <mergeCell ref="R1051:R1052"/>
    <mergeCell ref="S1051:S1052"/>
    <mergeCell ref="T1051:T1052"/>
    <mergeCell ref="AL1049:AL1050"/>
    <mergeCell ref="AM1049:AM1050"/>
    <mergeCell ref="AN1049:AN1050"/>
    <mergeCell ref="AP1051:AP1052"/>
    <mergeCell ref="B1051:B1052"/>
    <mergeCell ref="D1051:D1052"/>
    <mergeCell ref="H1051:H1052"/>
    <mergeCell ref="I1051:I1052"/>
    <mergeCell ref="J1051:J1052"/>
    <mergeCell ref="K1051:K1052"/>
    <mergeCell ref="L1051:L1052"/>
    <mergeCell ref="M1051:M1052"/>
    <mergeCell ref="N1051:N1052"/>
    <mergeCell ref="O1051:O1052"/>
    <mergeCell ref="AG1049:AG1050"/>
    <mergeCell ref="AH1049:AH1050"/>
    <mergeCell ref="AI1049:AI1050"/>
    <mergeCell ref="AJ1049:AJ1050"/>
    <mergeCell ref="AK1049:AK1050"/>
    <mergeCell ref="AB1049:AB1050"/>
    <mergeCell ref="AC1049:AC1050"/>
    <mergeCell ref="AD1049:AD1050"/>
    <mergeCell ref="AE1049:AE1050"/>
    <mergeCell ref="AF1049:AF1050"/>
    <mergeCell ref="W1049:W1050"/>
    <mergeCell ref="X1049:X1050"/>
    <mergeCell ref="Y1049:Y1050"/>
    <mergeCell ref="Z1049:Z1050"/>
    <mergeCell ref="AA1049:AA1050"/>
    <mergeCell ref="R1049:R1050"/>
    <mergeCell ref="S1049:S1050"/>
    <mergeCell ref="T1049:T1050"/>
    <mergeCell ref="U1049:U1050"/>
    <mergeCell ref="V1049:V1050"/>
    <mergeCell ref="M1049:M1050"/>
    <mergeCell ref="N1049:N1050"/>
    <mergeCell ref="O1049:O1050"/>
    <mergeCell ref="P1049:P1050"/>
    <mergeCell ref="Q1049:Q1050"/>
    <mergeCell ref="AL1053:AL1054"/>
    <mergeCell ref="AM1053:AM1054"/>
    <mergeCell ref="AN1053:AN1054"/>
    <mergeCell ref="AP1055:AP1056"/>
    <mergeCell ref="B1055:B1056"/>
    <mergeCell ref="D1055:D1056"/>
    <mergeCell ref="H1055:H1056"/>
    <mergeCell ref="I1055:I1056"/>
    <mergeCell ref="J1055:J1056"/>
    <mergeCell ref="K1055:K1056"/>
    <mergeCell ref="L1055:L1056"/>
    <mergeCell ref="M1055:M1056"/>
    <mergeCell ref="N1055:N1056"/>
    <mergeCell ref="O1055:O1056"/>
    <mergeCell ref="AG1053:AG1054"/>
    <mergeCell ref="AH1053:AH1054"/>
    <mergeCell ref="AI1053:AI1054"/>
    <mergeCell ref="AJ1053:AJ1054"/>
    <mergeCell ref="AK1053:AK1054"/>
    <mergeCell ref="AB1053:AB1054"/>
    <mergeCell ref="AC1053:AC1054"/>
    <mergeCell ref="AD1053:AD1054"/>
    <mergeCell ref="AE1053:AE1054"/>
    <mergeCell ref="AF1053:AF1054"/>
    <mergeCell ref="W1053:W1054"/>
    <mergeCell ref="X1053:X1054"/>
    <mergeCell ref="Y1053:Y1054"/>
    <mergeCell ref="Z1053:Z1054"/>
    <mergeCell ref="AA1053:AA1054"/>
    <mergeCell ref="R1053:R1054"/>
    <mergeCell ref="S1053:S1054"/>
    <mergeCell ref="T1053:T1054"/>
    <mergeCell ref="U1053:U1054"/>
    <mergeCell ref="V1053:V1054"/>
    <mergeCell ref="M1053:M1054"/>
    <mergeCell ref="N1053:N1054"/>
    <mergeCell ref="O1053:O1054"/>
    <mergeCell ref="P1053:P1054"/>
    <mergeCell ref="Q1053:Q1054"/>
    <mergeCell ref="H1053:H1054"/>
    <mergeCell ref="I1053:I1054"/>
    <mergeCell ref="J1053:J1054"/>
    <mergeCell ref="K1053:K1054"/>
    <mergeCell ref="L1053:L1054"/>
    <mergeCell ref="AP1053:AP1054"/>
    <mergeCell ref="B1053:B1054"/>
    <mergeCell ref="D1053:D1054"/>
    <mergeCell ref="H1057:H1058"/>
    <mergeCell ref="I1057:I1058"/>
    <mergeCell ref="J1057:J1058"/>
    <mergeCell ref="K1057:K1058"/>
    <mergeCell ref="L1057:L1058"/>
    <mergeCell ref="AP1057:AP1058"/>
    <mergeCell ref="B1057:B1058"/>
    <mergeCell ref="D1057:D1058"/>
    <mergeCell ref="AJ1055:AJ1056"/>
    <mergeCell ref="AK1055:AK1056"/>
    <mergeCell ref="AL1055:AL1056"/>
    <mergeCell ref="AM1055:AM1056"/>
    <mergeCell ref="AN1055:AN1056"/>
    <mergeCell ref="AE1055:AE1056"/>
    <mergeCell ref="AF1055:AF1056"/>
    <mergeCell ref="AG1055:AG1056"/>
    <mergeCell ref="AH1055:AH1056"/>
    <mergeCell ref="AI1055:AI1056"/>
    <mergeCell ref="Z1055:Z1056"/>
    <mergeCell ref="AA1055:AA1056"/>
    <mergeCell ref="AB1055:AB1056"/>
    <mergeCell ref="AC1055:AC1056"/>
    <mergeCell ref="AD1055:AD1056"/>
    <mergeCell ref="U1055:U1056"/>
    <mergeCell ref="V1055:V1056"/>
    <mergeCell ref="W1055:W1056"/>
    <mergeCell ref="X1055:X1056"/>
    <mergeCell ref="Y1055:Y1056"/>
    <mergeCell ref="P1055:P1056"/>
    <mergeCell ref="Q1055:Q1056"/>
    <mergeCell ref="R1055:R1056"/>
    <mergeCell ref="S1055:S1056"/>
    <mergeCell ref="T1055:T1056"/>
    <mergeCell ref="AJ1059:AJ1060"/>
    <mergeCell ref="AK1059:AK1060"/>
    <mergeCell ref="AL1059:AL1060"/>
    <mergeCell ref="AM1059:AM1060"/>
    <mergeCell ref="AN1059:AN1060"/>
    <mergeCell ref="AE1059:AE1060"/>
    <mergeCell ref="AF1059:AF1060"/>
    <mergeCell ref="AG1059:AG1060"/>
    <mergeCell ref="AH1059:AH1060"/>
    <mergeCell ref="AI1059:AI1060"/>
    <mergeCell ref="Z1059:Z1060"/>
    <mergeCell ref="AA1059:AA1060"/>
    <mergeCell ref="AB1059:AB1060"/>
    <mergeCell ref="AC1059:AC1060"/>
    <mergeCell ref="AD1059:AD1060"/>
    <mergeCell ref="U1059:U1060"/>
    <mergeCell ref="V1059:V1060"/>
    <mergeCell ref="W1059:W1060"/>
    <mergeCell ref="X1059:X1060"/>
    <mergeCell ref="Y1059:Y1060"/>
    <mergeCell ref="P1059:P1060"/>
    <mergeCell ref="Q1059:Q1060"/>
    <mergeCell ref="R1059:R1060"/>
    <mergeCell ref="S1059:S1060"/>
    <mergeCell ref="T1059:T1060"/>
    <mergeCell ref="AL1057:AL1058"/>
    <mergeCell ref="AM1057:AM1058"/>
    <mergeCell ref="AN1057:AN1058"/>
    <mergeCell ref="AP1059:AP1060"/>
    <mergeCell ref="B1059:B1060"/>
    <mergeCell ref="D1059:D1060"/>
    <mergeCell ref="H1059:H1060"/>
    <mergeCell ref="I1059:I1060"/>
    <mergeCell ref="J1059:J1060"/>
    <mergeCell ref="K1059:K1060"/>
    <mergeCell ref="L1059:L1060"/>
    <mergeCell ref="M1059:M1060"/>
    <mergeCell ref="N1059:N1060"/>
    <mergeCell ref="O1059:O1060"/>
    <mergeCell ref="AG1057:AG1058"/>
    <mergeCell ref="AH1057:AH1058"/>
    <mergeCell ref="AI1057:AI1058"/>
    <mergeCell ref="AJ1057:AJ1058"/>
    <mergeCell ref="AK1057:AK1058"/>
    <mergeCell ref="AB1057:AB1058"/>
    <mergeCell ref="AC1057:AC1058"/>
    <mergeCell ref="AD1057:AD1058"/>
    <mergeCell ref="AE1057:AE1058"/>
    <mergeCell ref="AF1057:AF1058"/>
    <mergeCell ref="W1057:W1058"/>
    <mergeCell ref="X1057:X1058"/>
    <mergeCell ref="Y1057:Y1058"/>
    <mergeCell ref="Z1057:Z1058"/>
    <mergeCell ref="AA1057:AA1058"/>
    <mergeCell ref="R1057:R1058"/>
    <mergeCell ref="S1057:S1058"/>
    <mergeCell ref="T1057:T1058"/>
    <mergeCell ref="U1057:U1058"/>
    <mergeCell ref="V1057:V1058"/>
    <mergeCell ref="M1057:M1058"/>
    <mergeCell ref="N1057:N1058"/>
    <mergeCell ref="O1057:O1058"/>
    <mergeCell ref="P1057:P1058"/>
    <mergeCell ref="Q1057:Q1058"/>
    <mergeCell ref="AL1061:AL1062"/>
    <mergeCell ref="AM1061:AM1062"/>
    <mergeCell ref="AN1061:AN1062"/>
    <mergeCell ref="AP1063:AP1064"/>
    <mergeCell ref="B1063:B1064"/>
    <mergeCell ref="D1063:D1064"/>
    <mergeCell ref="H1063:H1064"/>
    <mergeCell ref="I1063:I1064"/>
    <mergeCell ref="J1063:J1064"/>
    <mergeCell ref="K1063:K1064"/>
    <mergeCell ref="L1063:L1064"/>
    <mergeCell ref="M1063:M1064"/>
    <mergeCell ref="N1063:N1064"/>
    <mergeCell ref="O1063:O1064"/>
    <mergeCell ref="AG1061:AG1062"/>
    <mergeCell ref="AH1061:AH1062"/>
    <mergeCell ref="AI1061:AI1062"/>
    <mergeCell ref="AJ1061:AJ1062"/>
    <mergeCell ref="AK1061:AK1062"/>
    <mergeCell ref="AB1061:AB1062"/>
    <mergeCell ref="AC1061:AC1062"/>
    <mergeCell ref="AD1061:AD1062"/>
    <mergeCell ref="AE1061:AE1062"/>
    <mergeCell ref="AF1061:AF1062"/>
    <mergeCell ref="W1061:W1062"/>
    <mergeCell ref="X1061:X1062"/>
    <mergeCell ref="Y1061:Y1062"/>
    <mergeCell ref="Z1061:Z1062"/>
    <mergeCell ref="AA1061:AA1062"/>
    <mergeCell ref="R1061:R1062"/>
    <mergeCell ref="S1061:S1062"/>
    <mergeCell ref="T1061:T1062"/>
    <mergeCell ref="U1061:U1062"/>
    <mergeCell ref="V1061:V1062"/>
    <mergeCell ref="M1061:M1062"/>
    <mergeCell ref="N1061:N1062"/>
    <mergeCell ref="O1061:O1062"/>
    <mergeCell ref="P1061:P1062"/>
    <mergeCell ref="Q1061:Q1062"/>
    <mergeCell ref="H1061:H1062"/>
    <mergeCell ref="I1061:I1062"/>
    <mergeCell ref="J1061:J1062"/>
    <mergeCell ref="K1061:K1062"/>
    <mergeCell ref="L1061:L1062"/>
    <mergeCell ref="AP1061:AP1062"/>
    <mergeCell ref="B1061:B1062"/>
    <mergeCell ref="D1061:D1062"/>
    <mergeCell ref="H1065:H1066"/>
    <mergeCell ref="I1065:I1066"/>
    <mergeCell ref="J1065:J1066"/>
    <mergeCell ref="K1065:K1066"/>
    <mergeCell ref="L1065:L1066"/>
    <mergeCell ref="AP1065:AP1066"/>
    <mergeCell ref="B1065:B1066"/>
    <mergeCell ref="D1065:D1066"/>
    <mergeCell ref="AJ1063:AJ1064"/>
    <mergeCell ref="AK1063:AK1064"/>
    <mergeCell ref="AL1063:AL1064"/>
    <mergeCell ref="AM1063:AM1064"/>
    <mergeCell ref="AN1063:AN1064"/>
    <mergeCell ref="AE1063:AE1064"/>
    <mergeCell ref="AF1063:AF1064"/>
    <mergeCell ref="AG1063:AG1064"/>
    <mergeCell ref="AH1063:AH1064"/>
    <mergeCell ref="AI1063:AI1064"/>
    <mergeCell ref="Z1063:Z1064"/>
    <mergeCell ref="AA1063:AA1064"/>
    <mergeCell ref="AB1063:AB1064"/>
    <mergeCell ref="AC1063:AC1064"/>
    <mergeCell ref="AD1063:AD1064"/>
    <mergeCell ref="U1063:U1064"/>
    <mergeCell ref="V1063:V1064"/>
    <mergeCell ref="W1063:W1064"/>
    <mergeCell ref="X1063:X1064"/>
    <mergeCell ref="Y1063:Y1064"/>
    <mergeCell ref="P1063:P1064"/>
    <mergeCell ref="Q1063:Q1064"/>
    <mergeCell ref="R1063:R1064"/>
    <mergeCell ref="S1063:S1064"/>
    <mergeCell ref="T1063:T1064"/>
    <mergeCell ref="AJ1067:AJ1068"/>
    <mergeCell ref="AK1067:AK1068"/>
    <mergeCell ref="AL1067:AL1068"/>
    <mergeCell ref="AM1067:AM1068"/>
    <mergeCell ref="AN1067:AN1068"/>
    <mergeCell ref="AE1067:AE1068"/>
    <mergeCell ref="AF1067:AF1068"/>
    <mergeCell ref="AG1067:AG1068"/>
    <mergeCell ref="AH1067:AH1068"/>
    <mergeCell ref="AI1067:AI1068"/>
    <mergeCell ref="Z1067:Z1068"/>
    <mergeCell ref="AA1067:AA1068"/>
    <mergeCell ref="AB1067:AB1068"/>
    <mergeCell ref="AC1067:AC1068"/>
    <mergeCell ref="AD1067:AD1068"/>
    <mergeCell ref="U1067:U1068"/>
    <mergeCell ref="V1067:V1068"/>
    <mergeCell ref="W1067:W1068"/>
    <mergeCell ref="X1067:X1068"/>
    <mergeCell ref="Y1067:Y1068"/>
    <mergeCell ref="P1067:P1068"/>
    <mergeCell ref="Q1067:Q1068"/>
    <mergeCell ref="R1067:R1068"/>
    <mergeCell ref="S1067:S1068"/>
    <mergeCell ref="T1067:T1068"/>
    <mergeCell ref="AL1065:AL1066"/>
    <mergeCell ref="AM1065:AM1066"/>
    <mergeCell ref="AN1065:AN1066"/>
    <mergeCell ref="AP1067:AP1068"/>
    <mergeCell ref="B1067:B1068"/>
    <mergeCell ref="D1067:D1068"/>
    <mergeCell ref="H1067:H1068"/>
    <mergeCell ref="I1067:I1068"/>
    <mergeCell ref="J1067:J1068"/>
    <mergeCell ref="K1067:K1068"/>
    <mergeCell ref="L1067:L1068"/>
    <mergeCell ref="M1067:M1068"/>
    <mergeCell ref="N1067:N1068"/>
    <mergeCell ref="O1067:O1068"/>
    <mergeCell ref="AG1065:AG1066"/>
    <mergeCell ref="AH1065:AH1066"/>
    <mergeCell ref="AI1065:AI1066"/>
    <mergeCell ref="AJ1065:AJ1066"/>
    <mergeCell ref="AK1065:AK1066"/>
    <mergeCell ref="AB1065:AB1066"/>
    <mergeCell ref="AC1065:AC1066"/>
    <mergeCell ref="AD1065:AD1066"/>
    <mergeCell ref="AE1065:AE1066"/>
    <mergeCell ref="AF1065:AF1066"/>
    <mergeCell ref="W1065:W1066"/>
    <mergeCell ref="X1065:X1066"/>
    <mergeCell ref="Y1065:Y1066"/>
    <mergeCell ref="Z1065:Z1066"/>
    <mergeCell ref="AA1065:AA1066"/>
    <mergeCell ref="R1065:R1066"/>
    <mergeCell ref="S1065:S1066"/>
    <mergeCell ref="T1065:T1066"/>
    <mergeCell ref="U1065:U1066"/>
    <mergeCell ref="V1065:V1066"/>
    <mergeCell ref="M1065:M1066"/>
    <mergeCell ref="N1065:N1066"/>
    <mergeCell ref="O1065:O1066"/>
    <mergeCell ref="P1065:P1066"/>
    <mergeCell ref="Q1065:Q1066"/>
    <mergeCell ref="AL1069:AL1070"/>
    <mergeCell ref="AM1069:AM1070"/>
    <mergeCell ref="AN1069:AN1070"/>
    <mergeCell ref="AP1071:AP1072"/>
    <mergeCell ref="B1071:B1072"/>
    <mergeCell ref="D1071:D1072"/>
    <mergeCell ref="H1071:H1072"/>
    <mergeCell ref="I1071:I1072"/>
    <mergeCell ref="J1071:J1072"/>
    <mergeCell ref="K1071:K1072"/>
    <mergeCell ref="L1071:L1072"/>
    <mergeCell ref="M1071:M1072"/>
    <mergeCell ref="N1071:N1072"/>
    <mergeCell ref="O1071:O1072"/>
    <mergeCell ref="AG1069:AG1070"/>
    <mergeCell ref="AH1069:AH1070"/>
    <mergeCell ref="AI1069:AI1070"/>
    <mergeCell ref="AJ1069:AJ1070"/>
    <mergeCell ref="AK1069:AK1070"/>
    <mergeCell ref="AB1069:AB1070"/>
    <mergeCell ref="AC1069:AC1070"/>
    <mergeCell ref="AD1069:AD1070"/>
    <mergeCell ref="AE1069:AE1070"/>
    <mergeCell ref="AF1069:AF1070"/>
    <mergeCell ref="W1069:W1070"/>
    <mergeCell ref="X1069:X1070"/>
    <mergeCell ref="Y1069:Y1070"/>
    <mergeCell ref="Z1069:Z1070"/>
    <mergeCell ref="AA1069:AA1070"/>
    <mergeCell ref="R1069:R1070"/>
    <mergeCell ref="S1069:S1070"/>
    <mergeCell ref="T1069:T1070"/>
    <mergeCell ref="U1069:U1070"/>
    <mergeCell ref="V1069:V1070"/>
    <mergeCell ref="M1069:M1070"/>
    <mergeCell ref="N1069:N1070"/>
    <mergeCell ref="O1069:O1070"/>
    <mergeCell ref="P1069:P1070"/>
    <mergeCell ref="Q1069:Q1070"/>
    <mergeCell ref="H1069:H1070"/>
    <mergeCell ref="I1069:I1070"/>
    <mergeCell ref="J1069:J1070"/>
    <mergeCell ref="K1069:K1070"/>
    <mergeCell ref="L1069:L1070"/>
    <mergeCell ref="AP1069:AP1070"/>
    <mergeCell ref="B1069:B1070"/>
    <mergeCell ref="D1069:D1070"/>
    <mergeCell ref="H1073:H1074"/>
    <mergeCell ref="I1073:I1074"/>
    <mergeCell ref="J1073:J1074"/>
    <mergeCell ref="K1073:K1074"/>
    <mergeCell ref="L1073:L1074"/>
    <mergeCell ref="AP1073:AP1074"/>
    <mergeCell ref="B1073:B1074"/>
    <mergeCell ref="D1073:D1074"/>
    <mergeCell ref="AJ1071:AJ1072"/>
    <mergeCell ref="AK1071:AK1072"/>
    <mergeCell ref="AL1071:AL1072"/>
    <mergeCell ref="AM1071:AM1072"/>
    <mergeCell ref="AN1071:AN1072"/>
    <mergeCell ref="AE1071:AE1072"/>
    <mergeCell ref="AF1071:AF1072"/>
    <mergeCell ref="AG1071:AG1072"/>
    <mergeCell ref="AH1071:AH1072"/>
    <mergeCell ref="AI1071:AI1072"/>
    <mergeCell ref="Z1071:Z1072"/>
    <mergeCell ref="AA1071:AA1072"/>
    <mergeCell ref="AB1071:AB1072"/>
    <mergeCell ref="AC1071:AC1072"/>
    <mergeCell ref="AD1071:AD1072"/>
    <mergeCell ref="U1071:U1072"/>
    <mergeCell ref="V1071:V1072"/>
    <mergeCell ref="W1071:W1072"/>
    <mergeCell ref="X1071:X1072"/>
    <mergeCell ref="Y1071:Y1072"/>
    <mergeCell ref="P1071:P1072"/>
    <mergeCell ref="Q1071:Q1072"/>
    <mergeCell ref="R1071:R1072"/>
    <mergeCell ref="S1071:S1072"/>
    <mergeCell ref="T1071:T1072"/>
    <mergeCell ref="AJ1075:AJ1076"/>
    <mergeCell ref="AK1075:AK1076"/>
    <mergeCell ref="AL1075:AL1076"/>
    <mergeCell ref="AM1075:AM1076"/>
    <mergeCell ref="AN1075:AN1076"/>
    <mergeCell ref="AE1075:AE1076"/>
    <mergeCell ref="AF1075:AF1076"/>
    <mergeCell ref="AG1075:AG1076"/>
    <mergeCell ref="AH1075:AH1076"/>
    <mergeCell ref="AI1075:AI1076"/>
    <mergeCell ref="Z1075:Z1076"/>
    <mergeCell ref="AA1075:AA1076"/>
    <mergeCell ref="AB1075:AB1076"/>
    <mergeCell ref="AC1075:AC1076"/>
    <mergeCell ref="AD1075:AD1076"/>
    <mergeCell ref="U1075:U1076"/>
    <mergeCell ref="V1075:V1076"/>
    <mergeCell ref="W1075:W1076"/>
    <mergeCell ref="X1075:X1076"/>
    <mergeCell ref="Y1075:Y1076"/>
    <mergeCell ref="P1075:P1076"/>
    <mergeCell ref="Q1075:Q1076"/>
    <mergeCell ref="R1075:R1076"/>
    <mergeCell ref="S1075:S1076"/>
    <mergeCell ref="T1075:T1076"/>
    <mergeCell ref="AL1073:AL1074"/>
    <mergeCell ref="AM1073:AM1074"/>
    <mergeCell ref="AN1073:AN1074"/>
    <mergeCell ref="AP1075:AP1076"/>
    <mergeCell ref="B1075:B1076"/>
    <mergeCell ref="D1075:D1076"/>
    <mergeCell ref="H1075:H1076"/>
    <mergeCell ref="I1075:I1076"/>
    <mergeCell ref="J1075:J1076"/>
    <mergeCell ref="K1075:K1076"/>
    <mergeCell ref="L1075:L1076"/>
    <mergeCell ref="M1075:M1076"/>
    <mergeCell ref="N1075:N1076"/>
    <mergeCell ref="O1075:O1076"/>
    <mergeCell ref="AG1073:AG1074"/>
    <mergeCell ref="AH1073:AH1074"/>
    <mergeCell ref="AI1073:AI1074"/>
    <mergeCell ref="AJ1073:AJ1074"/>
    <mergeCell ref="AK1073:AK1074"/>
    <mergeCell ref="AB1073:AB1074"/>
    <mergeCell ref="AC1073:AC1074"/>
    <mergeCell ref="AD1073:AD1074"/>
    <mergeCell ref="AE1073:AE1074"/>
    <mergeCell ref="AF1073:AF1074"/>
    <mergeCell ref="W1073:W1074"/>
    <mergeCell ref="X1073:X1074"/>
    <mergeCell ref="Y1073:Y1074"/>
    <mergeCell ref="Z1073:Z1074"/>
    <mergeCell ref="AA1073:AA1074"/>
    <mergeCell ref="R1073:R1074"/>
    <mergeCell ref="S1073:S1074"/>
    <mergeCell ref="T1073:T1074"/>
    <mergeCell ref="U1073:U1074"/>
    <mergeCell ref="V1073:V1074"/>
    <mergeCell ref="M1073:M1074"/>
    <mergeCell ref="N1073:N1074"/>
    <mergeCell ref="O1073:O1074"/>
    <mergeCell ref="P1073:P1074"/>
    <mergeCell ref="Q1073:Q1074"/>
    <mergeCell ref="AL1077:AL1078"/>
    <mergeCell ref="AM1077:AM1078"/>
    <mergeCell ref="AN1077:AN1078"/>
    <mergeCell ref="AP1079:AP1080"/>
    <mergeCell ref="B1079:B1080"/>
    <mergeCell ref="D1079:D1080"/>
    <mergeCell ref="H1079:H1080"/>
    <mergeCell ref="I1079:I1080"/>
    <mergeCell ref="J1079:J1080"/>
    <mergeCell ref="K1079:K1080"/>
    <mergeCell ref="L1079:L1080"/>
    <mergeCell ref="M1079:M1080"/>
    <mergeCell ref="N1079:N1080"/>
    <mergeCell ref="O1079:O1080"/>
    <mergeCell ref="AG1077:AG1078"/>
    <mergeCell ref="AH1077:AH1078"/>
    <mergeCell ref="AI1077:AI1078"/>
    <mergeCell ref="AJ1077:AJ1078"/>
    <mergeCell ref="AK1077:AK1078"/>
    <mergeCell ref="AB1077:AB1078"/>
    <mergeCell ref="AC1077:AC1078"/>
    <mergeCell ref="AD1077:AD1078"/>
    <mergeCell ref="AE1077:AE1078"/>
    <mergeCell ref="AF1077:AF1078"/>
    <mergeCell ref="W1077:W1078"/>
    <mergeCell ref="X1077:X1078"/>
    <mergeCell ref="Y1077:Y1078"/>
    <mergeCell ref="Z1077:Z1078"/>
    <mergeCell ref="AA1077:AA1078"/>
    <mergeCell ref="R1077:R1078"/>
    <mergeCell ref="S1077:S1078"/>
    <mergeCell ref="T1077:T1078"/>
    <mergeCell ref="U1077:U1078"/>
    <mergeCell ref="V1077:V1078"/>
    <mergeCell ref="M1077:M1078"/>
    <mergeCell ref="N1077:N1078"/>
    <mergeCell ref="O1077:O1078"/>
    <mergeCell ref="P1077:P1078"/>
    <mergeCell ref="Q1077:Q1078"/>
    <mergeCell ref="H1077:H1078"/>
    <mergeCell ref="I1077:I1078"/>
    <mergeCell ref="J1077:J1078"/>
    <mergeCell ref="K1077:K1078"/>
    <mergeCell ref="L1077:L1078"/>
    <mergeCell ref="AP1077:AP1078"/>
    <mergeCell ref="B1077:B1078"/>
    <mergeCell ref="D1077:D1078"/>
    <mergeCell ref="H1081:H1082"/>
    <mergeCell ref="I1081:I1082"/>
    <mergeCell ref="J1081:J1082"/>
    <mergeCell ref="K1081:K1082"/>
    <mergeCell ref="L1081:L1082"/>
    <mergeCell ref="AP1081:AP1082"/>
    <mergeCell ref="B1081:B1082"/>
    <mergeCell ref="D1081:D1082"/>
    <mergeCell ref="AJ1079:AJ1080"/>
    <mergeCell ref="AK1079:AK1080"/>
    <mergeCell ref="AL1079:AL1080"/>
    <mergeCell ref="AM1079:AM1080"/>
    <mergeCell ref="AN1079:AN1080"/>
    <mergeCell ref="AE1079:AE1080"/>
    <mergeCell ref="AF1079:AF1080"/>
    <mergeCell ref="AG1079:AG1080"/>
    <mergeCell ref="AH1079:AH1080"/>
    <mergeCell ref="AI1079:AI1080"/>
    <mergeCell ref="Z1079:Z1080"/>
    <mergeCell ref="AA1079:AA1080"/>
    <mergeCell ref="AB1079:AB1080"/>
    <mergeCell ref="AC1079:AC1080"/>
    <mergeCell ref="AD1079:AD1080"/>
    <mergeCell ref="U1079:U1080"/>
    <mergeCell ref="V1079:V1080"/>
    <mergeCell ref="W1079:W1080"/>
    <mergeCell ref="X1079:X1080"/>
    <mergeCell ref="Y1079:Y1080"/>
    <mergeCell ref="P1079:P1080"/>
    <mergeCell ref="Q1079:Q1080"/>
    <mergeCell ref="R1079:R1080"/>
    <mergeCell ref="S1079:S1080"/>
    <mergeCell ref="T1079:T1080"/>
    <mergeCell ref="AJ1083:AJ1084"/>
    <mergeCell ref="AK1083:AK1084"/>
    <mergeCell ref="AL1083:AL1084"/>
    <mergeCell ref="AM1083:AM1084"/>
    <mergeCell ref="AN1083:AN1084"/>
    <mergeCell ref="AE1083:AE1084"/>
    <mergeCell ref="AF1083:AF1084"/>
    <mergeCell ref="AG1083:AG1084"/>
    <mergeCell ref="AH1083:AH1084"/>
    <mergeCell ref="AI1083:AI1084"/>
    <mergeCell ref="Z1083:Z1084"/>
    <mergeCell ref="AA1083:AA1084"/>
    <mergeCell ref="AB1083:AB1084"/>
    <mergeCell ref="AC1083:AC1084"/>
    <mergeCell ref="AD1083:AD1084"/>
    <mergeCell ref="U1083:U1084"/>
    <mergeCell ref="V1083:V1084"/>
    <mergeCell ref="W1083:W1084"/>
    <mergeCell ref="X1083:X1084"/>
    <mergeCell ref="Y1083:Y1084"/>
    <mergeCell ref="P1083:P1084"/>
    <mergeCell ref="Q1083:Q1084"/>
    <mergeCell ref="R1083:R1084"/>
    <mergeCell ref="S1083:S1084"/>
    <mergeCell ref="T1083:T1084"/>
    <mergeCell ref="AL1081:AL1082"/>
    <mergeCell ref="AM1081:AM1082"/>
    <mergeCell ref="AN1081:AN1082"/>
    <mergeCell ref="AP1083:AP1084"/>
    <mergeCell ref="B1083:B1084"/>
    <mergeCell ref="D1083:D1084"/>
    <mergeCell ref="H1083:H1084"/>
    <mergeCell ref="I1083:I1084"/>
    <mergeCell ref="J1083:J1084"/>
    <mergeCell ref="K1083:K1084"/>
    <mergeCell ref="L1083:L1084"/>
    <mergeCell ref="M1083:M1084"/>
    <mergeCell ref="N1083:N1084"/>
    <mergeCell ref="O1083:O1084"/>
    <mergeCell ref="AG1081:AG1082"/>
    <mergeCell ref="AH1081:AH1082"/>
    <mergeCell ref="AI1081:AI1082"/>
    <mergeCell ref="AJ1081:AJ1082"/>
    <mergeCell ref="AK1081:AK1082"/>
    <mergeCell ref="AB1081:AB1082"/>
    <mergeCell ref="AC1081:AC1082"/>
    <mergeCell ref="AD1081:AD1082"/>
    <mergeCell ref="AE1081:AE1082"/>
    <mergeCell ref="AF1081:AF1082"/>
    <mergeCell ref="W1081:W1082"/>
    <mergeCell ref="X1081:X1082"/>
    <mergeCell ref="Y1081:Y1082"/>
    <mergeCell ref="Z1081:Z1082"/>
    <mergeCell ref="AA1081:AA1082"/>
    <mergeCell ref="R1081:R1082"/>
    <mergeCell ref="S1081:S1082"/>
    <mergeCell ref="T1081:T1082"/>
    <mergeCell ref="U1081:U1082"/>
    <mergeCell ref="V1081:V1082"/>
    <mergeCell ref="M1081:M1082"/>
    <mergeCell ref="N1081:N1082"/>
    <mergeCell ref="O1081:O1082"/>
    <mergeCell ref="P1081:P1082"/>
    <mergeCell ref="Q1081:Q1082"/>
    <mergeCell ref="AL1085:AL1086"/>
    <mergeCell ref="AM1085:AM1086"/>
    <mergeCell ref="AN1085:AN1086"/>
    <mergeCell ref="AP1087:AP1088"/>
    <mergeCell ref="B1087:B1088"/>
    <mergeCell ref="D1087:D1088"/>
    <mergeCell ref="H1087:H1088"/>
    <mergeCell ref="I1087:I1088"/>
    <mergeCell ref="J1087:J1088"/>
    <mergeCell ref="K1087:K1088"/>
    <mergeCell ref="L1087:L1088"/>
    <mergeCell ref="M1087:M1088"/>
    <mergeCell ref="N1087:N1088"/>
    <mergeCell ref="O1087:O1088"/>
    <mergeCell ref="AG1085:AG1086"/>
    <mergeCell ref="AH1085:AH1086"/>
    <mergeCell ref="AI1085:AI1086"/>
    <mergeCell ref="AJ1085:AJ1086"/>
    <mergeCell ref="AK1085:AK1086"/>
    <mergeCell ref="AB1085:AB1086"/>
    <mergeCell ref="AC1085:AC1086"/>
    <mergeCell ref="AD1085:AD1086"/>
    <mergeCell ref="AE1085:AE1086"/>
    <mergeCell ref="AF1085:AF1086"/>
    <mergeCell ref="W1085:W1086"/>
    <mergeCell ref="X1085:X1086"/>
    <mergeCell ref="Y1085:Y1086"/>
    <mergeCell ref="Z1085:Z1086"/>
    <mergeCell ref="AA1085:AA1086"/>
    <mergeCell ref="R1085:R1086"/>
    <mergeCell ref="S1085:S1086"/>
    <mergeCell ref="T1085:T1086"/>
    <mergeCell ref="U1085:U1086"/>
    <mergeCell ref="V1085:V1086"/>
    <mergeCell ref="M1085:M1086"/>
    <mergeCell ref="N1085:N1086"/>
    <mergeCell ref="O1085:O1086"/>
    <mergeCell ref="P1085:P1086"/>
    <mergeCell ref="Q1085:Q1086"/>
    <mergeCell ref="H1085:H1086"/>
    <mergeCell ref="I1085:I1086"/>
    <mergeCell ref="J1085:J1086"/>
    <mergeCell ref="K1085:K1086"/>
    <mergeCell ref="L1085:L1086"/>
    <mergeCell ref="AP1085:AP1086"/>
    <mergeCell ref="B1085:B1086"/>
    <mergeCell ref="D1085:D1086"/>
    <mergeCell ref="H1089:H1090"/>
    <mergeCell ref="I1089:I1090"/>
    <mergeCell ref="J1089:J1090"/>
    <mergeCell ref="K1089:K1090"/>
    <mergeCell ref="L1089:L1090"/>
    <mergeCell ref="AP1089:AP1090"/>
    <mergeCell ref="B1089:B1090"/>
    <mergeCell ref="D1089:D1090"/>
    <mergeCell ref="AJ1087:AJ1088"/>
    <mergeCell ref="AK1087:AK1088"/>
    <mergeCell ref="AL1087:AL1088"/>
    <mergeCell ref="AM1087:AM1088"/>
    <mergeCell ref="AN1087:AN1088"/>
    <mergeCell ref="AE1087:AE1088"/>
    <mergeCell ref="AF1087:AF1088"/>
    <mergeCell ref="AG1087:AG1088"/>
    <mergeCell ref="AH1087:AH1088"/>
    <mergeCell ref="AI1087:AI1088"/>
    <mergeCell ref="Z1087:Z1088"/>
    <mergeCell ref="AA1087:AA1088"/>
    <mergeCell ref="AB1087:AB1088"/>
    <mergeCell ref="AC1087:AC1088"/>
    <mergeCell ref="AD1087:AD1088"/>
    <mergeCell ref="U1087:U1088"/>
    <mergeCell ref="V1087:V1088"/>
    <mergeCell ref="W1087:W1088"/>
    <mergeCell ref="X1087:X1088"/>
    <mergeCell ref="Y1087:Y1088"/>
    <mergeCell ref="P1087:P1088"/>
    <mergeCell ref="Q1087:Q1088"/>
    <mergeCell ref="R1087:R1088"/>
    <mergeCell ref="S1087:S1088"/>
    <mergeCell ref="T1087:T1088"/>
    <mergeCell ref="AJ1091:AJ1092"/>
    <mergeCell ref="AK1091:AK1092"/>
    <mergeCell ref="AL1091:AL1092"/>
    <mergeCell ref="AM1091:AM1092"/>
    <mergeCell ref="AN1091:AN1092"/>
    <mergeCell ref="AE1091:AE1092"/>
    <mergeCell ref="AF1091:AF1092"/>
    <mergeCell ref="AG1091:AG1092"/>
    <mergeCell ref="AH1091:AH1092"/>
    <mergeCell ref="AI1091:AI1092"/>
    <mergeCell ref="Z1091:Z1092"/>
    <mergeCell ref="AA1091:AA1092"/>
    <mergeCell ref="AB1091:AB1092"/>
    <mergeCell ref="AC1091:AC1092"/>
    <mergeCell ref="AD1091:AD1092"/>
    <mergeCell ref="U1091:U1092"/>
    <mergeCell ref="V1091:V1092"/>
    <mergeCell ref="W1091:W1092"/>
    <mergeCell ref="X1091:X1092"/>
    <mergeCell ref="Y1091:Y1092"/>
    <mergeCell ref="P1091:P1092"/>
    <mergeCell ref="Q1091:Q1092"/>
    <mergeCell ref="R1091:R1092"/>
    <mergeCell ref="S1091:S1092"/>
    <mergeCell ref="T1091:T1092"/>
    <mergeCell ref="AL1089:AL1090"/>
    <mergeCell ref="AM1089:AM1090"/>
    <mergeCell ref="AN1089:AN1090"/>
    <mergeCell ref="AP1091:AP1092"/>
    <mergeCell ref="B1091:B1092"/>
    <mergeCell ref="D1091:D1092"/>
    <mergeCell ref="H1091:H1092"/>
    <mergeCell ref="I1091:I1092"/>
    <mergeCell ref="J1091:J1092"/>
    <mergeCell ref="K1091:K1092"/>
    <mergeCell ref="L1091:L1092"/>
    <mergeCell ref="M1091:M1092"/>
    <mergeCell ref="N1091:N1092"/>
    <mergeCell ref="O1091:O1092"/>
    <mergeCell ref="AG1089:AG1090"/>
    <mergeCell ref="AH1089:AH1090"/>
    <mergeCell ref="AI1089:AI1090"/>
    <mergeCell ref="AJ1089:AJ1090"/>
    <mergeCell ref="AK1089:AK1090"/>
    <mergeCell ref="AB1089:AB1090"/>
    <mergeCell ref="AC1089:AC1090"/>
    <mergeCell ref="AD1089:AD1090"/>
    <mergeCell ref="AE1089:AE1090"/>
    <mergeCell ref="AF1089:AF1090"/>
    <mergeCell ref="W1089:W1090"/>
    <mergeCell ref="X1089:X1090"/>
    <mergeCell ref="Y1089:Y1090"/>
    <mergeCell ref="Z1089:Z1090"/>
    <mergeCell ref="AA1089:AA1090"/>
    <mergeCell ref="R1089:R1090"/>
    <mergeCell ref="S1089:S1090"/>
    <mergeCell ref="T1089:T1090"/>
    <mergeCell ref="U1089:U1090"/>
    <mergeCell ref="V1089:V1090"/>
    <mergeCell ref="M1089:M1090"/>
    <mergeCell ref="N1089:N1090"/>
    <mergeCell ref="O1089:O1090"/>
    <mergeCell ref="P1089:P1090"/>
    <mergeCell ref="Q1089:Q1090"/>
    <mergeCell ref="AL1093:AL1094"/>
    <mergeCell ref="AM1093:AM1094"/>
    <mergeCell ref="AN1093:AN1094"/>
    <mergeCell ref="AP1095:AP1096"/>
    <mergeCell ref="B1095:B1096"/>
    <mergeCell ref="D1095:D1096"/>
    <mergeCell ref="H1095:H1096"/>
    <mergeCell ref="I1095:I1096"/>
    <mergeCell ref="J1095:J1096"/>
    <mergeCell ref="K1095:K1096"/>
    <mergeCell ref="L1095:L1096"/>
    <mergeCell ref="M1095:M1096"/>
    <mergeCell ref="N1095:N1096"/>
    <mergeCell ref="O1095:O1096"/>
    <mergeCell ref="AG1093:AG1094"/>
    <mergeCell ref="AH1093:AH1094"/>
    <mergeCell ref="AI1093:AI1094"/>
    <mergeCell ref="AJ1093:AJ1094"/>
    <mergeCell ref="AK1093:AK1094"/>
    <mergeCell ref="AB1093:AB1094"/>
    <mergeCell ref="AC1093:AC1094"/>
    <mergeCell ref="AD1093:AD1094"/>
    <mergeCell ref="AE1093:AE1094"/>
    <mergeCell ref="AF1093:AF1094"/>
    <mergeCell ref="W1093:W1094"/>
    <mergeCell ref="X1093:X1094"/>
    <mergeCell ref="Y1093:Y1094"/>
    <mergeCell ref="Z1093:Z1094"/>
    <mergeCell ref="AA1093:AA1094"/>
    <mergeCell ref="R1093:R1094"/>
    <mergeCell ref="S1093:S1094"/>
    <mergeCell ref="T1093:T1094"/>
    <mergeCell ref="U1093:U1094"/>
    <mergeCell ref="V1093:V1094"/>
    <mergeCell ref="M1093:M1094"/>
    <mergeCell ref="N1093:N1094"/>
    <mergeCell ref="O1093:O1094"/>
    <mergeCell ref="P1093:P1094"/>
    <mergeCell ref="Q1093:Q1094"/>
    <mergeCell ref="H1093:H1094"/>
    <mergeCell ref="I1093:I1094"/>
    <mergeCell ref="J1093:J1094"/>
    <mergeCell ref="K1093:K1094"/>
    <mergeCell ref="L1093:L1094"/>
    <mergeCell ref="AP1093:AP1094"/>
    <mergeCell ref="B1093:B1094"/>
    <mergeCell ref="D1093:D1094"/>
    <mergeCell ref="H1097:H1098"/>
    <mergeCell ref="I1097:I1098"/>
    <mergeCell ref="J1097:J1098"/>
    <mergeCell ref="K1097:K1098"/>
    <mergeCell ref="L1097:L1098"/>
    <mergeCell ref="AP1097:AP1098"/>
    <mergeCell ref="B1097:B1098"/>
    <mergeCell ref="D1097:D1098"/>
    <mergeCell ref="AJ1095:AJ1096"/>
    <mergeCell ref="AK1095:AK1096"/>
    <mergeCell ref="AL1095:AL1096"/>
    <mergeCell ref="AM1095:AM1096"/>
    <mergeCell ref="AN1095:AN1096"/>
    <mergeCell ref="AE1095:AE1096"/>
    <mergeCell ref="AF1095:AF1096"/>
    <mergeCell ref="AG1095:AG1096"/>
    <mergeCell ref="AH1095:AH1096"/>
    <mergeCell ref="AI1095:AI1096"/>
    <mergeCell ref="Z1095:Z1096"/>
    <mergeCell ref="AA1095:AA1096"/>
    <mergeCell ref="AB1095:AB1096"/>
    <mergeCell ref="AC1095:AC1096"/>
    <mergeCell ref="AD1095:AD1096"/>
    <mergeCell ref="U1095:U1096"/>
    <mergeCell ref="V1095:V1096"/>
    <mergeCell ref="W1095:W1096"/>
    <mergeCell ref="X1095:X1096"/>
    <mergeCell ref="Y1095:Y1096"/>
    <mergeCell ref="P1095:P1096"/>
    <mergeCell ref="Q1095:Q1096"/>
    <mergeCell ref="R1095:R1096"/>
    <mergeCell ref="S1095:S1096"/>
    <mergeCell ref="T1095:T1096"/>
    <mergeCell ref="AJ1099:AJ1100"/>
    <mergeCell ref="AK1099:AK1100"/>
    <mergeCell ref="AL1099:AL1100"/>
    <mergeCell ref="AM1099:AM1100"/>
    <mergeCell ref="AN1099:AN1100"/>
    <mergeCell ref="AE1099:AE1100"/>
    <mergeCell ref="AF1099:AF1100"/>
    <mergeCell ref="AG1099:AG1100"/>
    <mergeCell ref="AH1099:AH1100"/>
    <mergeCell ref="AI1099:AI1100"/>
    <mergeCell ref="Z1099:Z1100"/>
    <mergeCell ref="AA1099:AA1100"/>
    <mergeCell ref="AB1099:AB1100"/>
    <mergeCell ref="AC1099:AC1100"/>
    <mergeCell ref="AD1099:AD1100"/>
    <mergeCell ref="U1099:U1100"/>
    <mergeCell ref="V1099:V1100"/>
    <mergeCell ref="W1099:W1100"/>
    <mergeCell ref="X1099:X1100"/>
    <mergeCell ref="Y1099:Y1100"/>
    <mergeCell ref="P1099:P1100"/>
    <mergeCell ref="Q1099:Q1100"/>
    <mergeCell ref="R1099:R1100"/>
    <mergeCell ref="S1099:S1100"/>
    <mergeCell ref="T1099:T1100"/>
    <mergeCell ref="AL1097:AL1098"/>
    <mergeCell ref="AM1097:AM1098"/>
    <mergeCell ref="AN1097:AN1098"/>
    <mergeCell ref="AP1099:AP1100"/>
    <mergeCell ref="B1099:B1100"/>
    <mergeCell ref="D1099:D1100"/>
    <mergeCell ref="H1099:H1100"/>
    <mergeCell ref="I1099:I1100"/>
    <mergeCell ref="J1099:J1100"/>
    <mergeCell ref="K1099:K1100"/>
    <mergeCell ref="L1099:L1100"/>
    <mergeCell ref="M1099:M1100"/>
    <mergeCell ref="N1099:N1100"/>
    <mergeCell ref="O1099:O1100"/>
    <mergeCell ref="AG1097:AG1098"/>
    <mergeCell ref="AH1097:AH1098"/>
    <mergeCell ref="AI1097:AI1098"/>
    <mergeCell ref="AJ1097:AJ1098"/>
    <mergeCell ref="AK1097:AK1098"/>
    <mergeCell ref="AB1097:AB1098"/>
    <mergeCell ref="AC1097:AC1098"/>
    <mergeCell ref="AD1097:AD1098"/>
    <mergeCell ref="AE1097:AE1098"/>
    <mergeCell ref="AF1097:AF1098"/>
    <mergeCell ref="W1097:W1098"/>
    <mergeCell ref="X1097:X1098"/>
    <mergeCell ref="Y1097:Y1098"/>
    <mergeCell ref="Z1097:Z1098"/>
    <mergeCell ref="AA1097:AA1098"/>
    <mergeCell ref="R1097:R1098"/>
    <mergeCell ref="S1097:S1098"/>
    <mergeCell ref="T1097:T1098"/>
    <mergeCell ref="U1097:U1098"/>
    <mergeCell ref="V1097:V1098"/>
    <mergeCell ref="M1097:M1098"/>
    <mergeCell ref="N1097:N1098"/>
    <mergeCell ref="O1097:O1098"/>
    <mergeCell ref="P1097:P1098"/>
    <mergeCell ref="Q1097:Q1098"/>
    <mergeCell ref="AL1101:AL1102"/>
    <mergeCell ref="AM1101:AM1102"/>
    <mergeCell ref="AN1101:AN1102"/>
    <mergeCell ref="AP1103:AP1104"/>
    <mergeCell ref="B1103:B1104"/>
    <mergeCell ref="D1103:D1104"/>
    <mergeCell ref="H1103:H1104"/>
    <mergeCell ref="I1103:I1104"/>
    <mergeCell ref="J1103:J1104"/>
    <mergeCell ref="K1103:K1104"/>
    <mergeCell ref="L1103:L1104"/>
    <mergeCell ref="M1103:M1104"/>
    <mergeCell ref="N1103:N1104"/>
    <mergeCell ref="O1103:O1104"/>
    <mergeCell ref="AG1101:AG1102"/>
    <mergeCell ref="AH1101:AH1102"/>
    <mergeCell ref="AI1101:AI1102"/>
    <mergeCell ref="AJ1101:AJ1102"/>
    <mergeCell ref="AK1101:AK1102"/>
    <mergeCell ref="AB1101:AB1102"/>
    <mergeCell ref="AC1101:AC1102"/>
    <mergeCell ref="AD1101:AD1102"/>
    <mergeCell ref="AE1101:AE1102"/>
    <mergeCell ref="AF1101:AF1102"/>
    <mergeCell ref="W1101:W1102"/>
    <mergeCell ref="X1101:X1102"/>
    <mergeCell ref="Y1101:Y1102"/>
    <mergeCell ref="Z1101:Z1102"/>
    <mergeCell ref="AA1101:AA1102"/>
    <mergeCell ref="R1101:R1102"/>
    <mergeCell ref="S1101:S1102"/>
    <mergeCell ref="T1101:T1102"/>
    <mergeCell ref="U1101:U1102"/>
    <mergeCell ref="V1101:V1102"/>
    <mergeCell ref="M1101:M1102"/>
    <mergeCell ref="N1101:N1102"/>
    <mergeCell ref="O1101:O1102"/>
    <mergeCell ref="P1101:P1102"/>
    <mergeCell ref="Q1101:Q1102"/>
    <mergeCell ref="H1101:H1102"/>
    <mergeCell ref="I1101:I1102"/>
    <mergeCell ref="J1101:J1102"/>
    <mergeCell ref="K1101:K1102"/>
    <mergeCell ref="L1101:L1102"/>
    <mergeCell ref="AP1101:AP1102"/>
    <mergeCell ref="B1101:B1102"/>
    <mergeCell ref="D1101:D1102"/>
    <mergeCell ref="H1105:H1106"/>
    <mergeCell ref="I1105:I1106"/>
    <mergeCell ref="J1105:J1106"/>
    <mergeCell ref="K1105:K1106"/>
    <mergeCell ref="L1105:L1106"/>
    <mergeCell ref="AP1105:AP1106"/>
    <mergeCell ref="B1105:B1106"/>
    <mergeCell ref="D1105:D1106"/>
    <mergeCell ref="AJ1103:AJ1104"/>
    <mergeCell ref="AK1103:AK1104"/>
    <mergeCell ref="AL1103:AL1104"/>
    <mergeCell ref="AM1103:AM1104"/>
    <mergeCell ref="AN1103:AN1104"/>
    <mergeCell ref="AE1103:AE1104"/>
    <mergeCell ref="AF1103:AF1104"/>
    <mergeCell ref="AG1103:AG1104"/>
    <mergeCell ref="AH1103:AH1104"/>
    <mergeCell ref="AI1103:AI1104"/>
    <mergeCell ref="Z1103:Z1104"/>
    <mergeCell ref="AA1103:AA1104"/>
    <mergeCell ref="AB1103:AB1104"/>
    <mergeCell ref="AC1103:AC1104"/>
    <mergeCell ref="AD1103:AD1104"/>
    <mergeCell ref="U1103:U1104"/>
    <mergeCell ref="V1103:V1104"/>
    <mergeCell ref="W1103:W1104"/>
    <mergeCell ref="X1103:X1104"/>
    <mergeCell ref="Y1103:Y1104"/>
    <mergeCell ref="P1103:P1104"/>
    <mergeCell ref="Q1103:Q1104"/>
    <mergeCell ref="R1103:R1104"/>
    <mergeCell ref="S1103:S1104"/>
    <mergeCell ref="T1103:T1104"/>
    <mergeCell ref="AJ1107:AJ1108"/>
    <mergeCell ref="AK1107:AK1108"/>
    <mergeCell ref="AL1107:AL1108"/>
    <mergeCell ref="AM1107:AM1108"/>
    <mergeCell ref="AN1107:AN1108"/>
    <mergeCell ref="AE1107:AE1108"/>
    <mergeCell ref="AF1107:AF1108"/>
    <mergeCell ref="AG1107:AG1108"/>
    <mergeCell ref="AH1107:AH1108"/>
    <mergeCell ref="AI1107:AI1108"/>
    <mergeCell ref="Z1107:Z1108"/>
    <mergeCell ref="AA1107:AA1108"/>
    <mergeCell ref="AB1107:AB1108"/>
    <mergeCell ref="AC1107:AC1108"/>
    <mergeCell ref="AD1107:AD1108"/>
    <mergeCell ref="U1107:U1108"/>
    <mergeCell ref="V1107:V1108"/>
    <mergeCell ref="W1107:W1108"/>
    <mergeCell ref="X1107:X1108"/>
    <mergeCell ref="Y1107:Y1108"/>
    <mergeCell ref="P1107:P1108"/>
    <mergeCell ref="Q1107:Q1108"/>
    <mergeCell ref="R1107:R1108"/>
    <mergeCell ref="S1107:S1108"/>
    <mergeCell ref="T1107:T1108"/>
    <mergeCell ref="AL1105:AL1106"/>
    <mergeCell ref="AM1105:AM1106"/>
    <mergeCell ref="AN1105:AN1106"/>
    <mergeCell ref="AP1107:AP1108"/>
    <mergeCell ref="B1107:B1108"/>
    <mergeCell ref="D1107:D1108"/>
    <mergeCell ref="H1107:H1108"/>
    <mergeCell ref="I1107:I1108"/>
    <mergeCell ref="J1107:J1108"/>
    <mergeCell ref="K1107:K1108"/>
    <mergeCell ref="L1107:L1108"/>
    <mergeCell ref="M1107:M1108"/>
    <mergeCell ref="N1107:N1108"/>
    <mergeCell ref="O1107:O1108"/>
    <mergeCell ref="AG1105:AG1106"/>
    <mergeCell ref="AH1105:AH1106"/>
    <mergeCell ref="AI1105:AI1106"/>
    <mergeCell ref="AJ1105:AJ1106"/>
    <mergeCell ref="AK1105:AK1106"/>
    <mergeCell ref="AB1105:AB1106"/>
    <mergeCell ref="AC1105:AC1106"/>
    <mergeCell ref="AD1105:AD1106"/>
    <mergeCell ref="AE1105:AE1106"/>
    <mergeCell ref="AF1105:AF1106"/>
    <mergeCell ref="W1105:W1106"/>
    <mergeCell ref="X1105:X1106"/>
    <mergeCell ref="Y1105:Y1106"/>
    <mergeCell ref="Z1105:Z1106"/>
    <mergeCell ref="AA1105:AA1106"/>
    <mergeCell ref="R1105:R1106"/>
    <mergeCell ref="S1105:S1106"/>
    <mergeCell ref="T1105:T1106"/>
    <mergeCell ref="U1105:U1106"/>
    <mergeCell ref="V1105:V1106"/>
    <mergeCell ref="M1105:M1106"/>
    <mergeCell ref="N1105:N1106"/>
    <mergeCell ref="O1105:O1106"/>
    <mergeCell ref="P1105:P1106"/>
    <mergeCell ref="Q1105:Q1106"/>
    <mergeCell ref="AL1109:AL1110"/>
    <mergeCell ref="AM1109:AM1110"/>
    <mergeCell ref="AN1109:AN1110"/>
    <mergeCell ref="AP1111:AP1112"/>
    <mergeCell ref="B1111:B1112"/>
    <mergeCell ref="D1111:D1112"/>
    <mergeCell ref="H1111:H1112"/>
    <mergeCell ref="I1111:I1112"/>
    <mergeCell ref="J1111:J1112"/>
    <mergeCell ref="K1111:K1112"/>
    <mergeCell ref="L1111:L1112"/>
    <mergeCell ref="M1111:M1112"/>
    <mergeCell ref="N1111:N1112"/>
    <mergeCell ref="O1111:O1112"/>
    <mergeCell ref="AG1109:AG1110"/>
    <mergeCell ref="AH1109:AH1110"/>
    <mergeCell ref="AI1109:AI1110"/>
    <mergeCell ref="AJ1109:AJ1110"/>
    <mergeCell ref="AK1109:AK1110"/>
    <mergeCell ref="AB1109:AB1110"/>
    <mergeCell ref="AC1109:AC1110"/>
    <mergeCell ref="AD1109:AD1110"/>
    <mergeCell ref="AE1109:AE1110"/>
    <mergeCell ref="AF1109:AF1110"/>
    <mergeCell ref="W1109:W1110"/>
    <mergeCell ref="X1109:X1110"/>
    <mergeCell ref="Y1109:Y1110"/>
    <mergeCell ref="Z1109:Z1110"/>
    <mergeCell ref="AA1109:AA1110"/>
    <mergeCell ref="R1109:R1110"/>
    <mergeCell ref="S1109:S1110"/>
    <mergeCell ref="T1109:T1110"/>
    <mergeCell ref="U1109:U1110"/>
    <mergeCell ref="V1109:V1110"/>
    <mergeCell ref="M1109:M1110"/>
    <mergeCell ref="N1109:N1110"/>
    <mergeCell ref="O1109:O1110"/>
    <mergeCell ref="P1109:P1110"/>
    <mergeCell ref="Q1109:Q1110"/>
    <mergeCell ref="H1109:H1110"/>
    <mergeCell ref="I1109:I1110"/>
    <mergeCell ref="J1109:J1110"/>
    <mergeCell ref="K1109:K1110"/>
    <mergeCell ref="L1109:L1110"/>
    <mergeCell ref="AP1109:AP1110"/>
    <mergeCell ref="B1109:B1110"/>
    <mergeCell ref="D1109:D1110"/>
    <mergeCell ref="H1113:H1114"/>
    <mergeCell ref="I1113:I1114"/>
    <mergeCell ref="J1113:J1114"/>
    <mergeCell ref="K1113:K1114"/>
    <mergeCell ref="L1113:L1114"/>
    <mergeCell ref="AP1113:AP1114"/>
    <mergeCell ref="B1113:B1114"/>
    <mergeCell ref="D1113:D1114"/>
    <mergeCell ref="AJ1111:AJ1112"/>
    <mergeCell ref="AK1111:AK1112"/>
    <mergeCell ref="AL1111:AL1112"/>
    <mergeCell ref="AM1111:AM1112"/>
    <mergeCell ref="AN1111:AN1112"/>
    <mergeCell ref="AE1111:AE1112"/>
    <mergeCell ref="AF1111:AF1112"/>
    <mergeCell ref="AG1111:AG1112"/>
    <mergeCell ref="AH1111:AH1112"/>
    <mergeCell ref="AI1111:AI1112"/>
    <mergeCell ref="Z1111:Z1112"/>
    <mergeCell ref="AA1111:AA1112"/>
    <mergeCell ref="AB1111:AB1112"/>
    <mergeCell ref="AC1111:AC1112"/>
    <mergeCell ref="AD1111:AD1112"/>
    <mergeCell ref="U1111:U1112"/>
    <mergeCell ref="V1111:V1112"/>
    <mergeCell ref="W1111:W1112"/>
    <mergeCell ref="X1111:X1112"/>
    <mergeCell ref="Y1111:Y1112"/>
    <mergeCell ref="P1111:P1112"/>
    <mergeCell ref="Q1111:Q1112"/>
    <mergeCell ref="R1111:R1112"/>
    <mergeCell ref="S1111:S1112"/>
    <mergeCell ref="T1111:T1112"/>
    <mergeCell ref="AJ1115:AJ1116"/>
    <mergeCell ref="AK1115:AK1116"/>
    <mergeCell ref="AL1115:AL1116"/>
    <mergeCell ref="AM1115:AM1116"/>
    <mergeCell ref="AN1115:AN1116"/>
    <mergeCell ref="AE1115:AE1116"/>
    <mergeCell ref="AF1115:AF1116"/>
    <mergeCell ref="AG1115:AG1116"/>
    <mergeCell ref="AH1115:AH1116"/>
    <mergeCell ref="AI1115:AI1116"/>
    <mergeCell ref="Z1115:Z1116"/>
    <mergeCell ref="AA1115:AA1116"/>
    <mergeCell ref="AB1115:AB1116"/>
    <mergeCell ref="AC1115:AC1116"/>
    <mergeCell ref="AD1115:AD1116"/>
    <mergeCell ref="U1115:U1116"/>
    <mergeCell ref="V1115:V1116"/>
    <mergeCell ref="W1115:W1116"/>
    <mergeCell ref="X1115:X1116"/>
    <mergeCell ref="Y1115:Y1116"/>
    <mergeCell ref="P1115:P1116"/>
    <mergeCell ref="Q1115:Q1116"/>
    <mergeCell ref="R1115:R1116"/>
    <mergeCell ref="S1115:S1116"/>
    <mergeCell ref="T1115:T1116"/>
    <mergeCell ref="AL1113:AL1114"/>
    <mergeCell ref="AM1113:AM1114"/>
    <mergeCell ref="AN1113:AN1114"/>
    <mergeCell ref="AP1115:AP1116"/>
    <mergeCell ref="B1115:B1116"/>
    <mergeCell ref="D1115:D1116"/>
    <mergeCell ref="H1115:H1116"/>
    <mergeCell ref="I1115:I1116"/>
    <mergeCell ref="J1115:J1116"/>
    <mergeCell ref="K1115:K1116"/>
    <mergeCell ref="L1115:L1116"/>
    <mergeCell ref="M1115:M1116"/>
    <mergeCell ref="N1115:N1116"/>
    <mergeCell ref="O1115:O1116"/>
    <mergeCell ref="AG1113:AG1114"/>
    <mergeCell ref="AH1113:AH1114"/>
    <mergeCell ref="AI1113:AI1114"/>
    <mergeCell ref="AJ1113:AJ1114"/>
    <mergeCell ref="AK1113:AK1114"/>
    <mergeCell ref="AB1113:AB1114"/>
    <mergeCell ref="AC1113:AC1114"/>
    <mergeCell ref="AD1113:AD1114"/>
    <mergeCell ref="AE1113:AE1114"/>
    <mergeCell ref="AF1113:AF1114"/>
    <mergeCell ref="W1113:W1114"/>
    <mergeCell ref="X1113:X1114"/>
    <mergeCell ref="Y1113:Y1114"/>
    <mergeCell ref="Z1113:Z1114"/>
    <mergeCell ref="AA1113:AA1114"/>
    <mergeCell ref="R1113:R1114"/>
    <mergeCell ref="S1113:S1114"/>
    <mergeCell ref="T1113:T1114"/>
    <mergeCell ref="U1113:U1114"/>
    <mergeCell ref="V1113:V1114"/>
    <mergeCell ref="M1113:M1114"/>
    <mergeCell ref="N1113:N1114"/>
    <mergeCell ref="O1113:O1114"/>
    <mergeCell ref="P1113:P1114"/>
    <mergeCell ref="Q1113:Q1114"/>
    <mergeCell ref="AL1117:AL1118"/>
    <mergeCell ref="AM1117:AM1118"/>
    <mergeCell ref="AN1117:AN1118"/>
    <mergeCell ref="AP1119:AP1120"/>
    <mergeCell ref="B1119:B1120"/>
    <mergeCell ref="D1119:D1120"/>
    <mergeCell ref="H1119:H1120"/>
    <mergeCell ref="I1119:I1120"/>
    <mergeCell ref="J1119:J1120"/>
    <mergeCell ref="K1119:K1120"/>
    <mergeCell ref="L1119:L1120"/>
    <mergeCell ref="M1119:M1120"/>
    <mergeCell ref="N1119:N1120"/>
    <mergeCell ref="O1119:O1120"/>
    <mergeCell ref="AG1117:AG1118"/>
    <mergeCell ref="AH1117:AH1118"/>
    <mergeCell ref="AI1117:AI1118"/>
    <mergeCell ref="AJ1117:AJ1118"/>
    <mergeCell ref="AK1117:AK1118"/>
    <mergeCell ref="AB1117:AB1118"/>
    <mergeCell ref="AC1117:AC1118"/>
    <mergeCell ref="AD1117:AD1118"/>
    <mergeCell ref="AE1117:AE1118"/>
    <mergeCell ref="AF1117:AF1118"/>
    <mergeCell ref="W1117:W1118"/>
    <mergeCell ref="X1117:X1118"/>
    <mergeCell ref="Y1117:Y1118"/>
    <mergeCell ref="Z1117:Z1118"/>
    <mergeCell ref="AA1117:AA1118"/>
    <mergeCell ref="R1117:R1118"/>
    <mergeCell ref="S1117:S1118"/>
    <mergeCell ref="T1117:T1118"/>
    <mergeCell ref="U1117:U1118"/>
    <mergeCell ref="V1117:V1118"/>
    <mergeCell ref="M1117:M1118"/>
    <mergeCell ref="N1117:N1118"/>
    <mergeCell ref="O1117:O1118"/>
    <mergeCell ref="P1117:P1118"/>
    <mergeCell ref="Q1117:Q1118"/>
    <mergeCell ref="H1117:H1118"/>
    <mergeCell ref="I1117:I1118"/>
    <mergeCell ref="J1117:J1118"/>
    <mergeCell ref="K1117:K1118"/>
    <mergeCell ref="L1117:L1118"/>
    <mergeCell ref="AP1117:AP1118"/>
    <mergeCell ref="B1117:B1118"/>
    <mergeCell ref="D1117:D1118"/>
    <mergeCell ref="H1121:H1122"/>
    <mergeCell ref="I1121:I1122"/>
    <mergeCell ref="J1121:J1122"/>
    <mergeCell ref="K1121:K1122"/>
    <mergeCell ref="L1121:L1122"/>
    <mergeCell ref="AP1121:AP1122"/>
    <mergeCell ref="B1121:B1122"/>
    <mergeCell ref="D1121:D1122"/>
    <mergeCell ref="AJ1119:AJ1120"/>
    <mergeCell ref="AK1119:AK1120"/>
    <mergeCell ref="AL1119:AL1120"/>
    <mergeCell ref="AM1119:AM1120"/>
    <mergeCell ref="AN1119:AN1120"/>
    <mergeCell ref="AE1119:AE1120"/>
    <mergeCell ref="AF1119:AF1120"/>
    <mergeCell ref="AG1119:AG1120"/>
    <mergeCell ref="AH1119:AH1120"/>
    <mergeCell ref="AI1119:AI1120"/>
    <mergeCell ref="Z1119:Z1120"/>
    <mergeCell ref="AA1119:AA1120"/>
    <mergeCell ref="AB1119:AB1120"/>
    <mergeCell ref="AC1119:AC1120"/>
    <mergeCell ref="AD1119:AD1120"/>
    <mergeCell ref="U1119:U1120"/>
    <mergeCell ref="V1119:V1120"/>
    <mergeCell ref="W1119:W1120"/>
    <mergeCell ref="X1119:X1120"/>
    <mergeCell ref="Y1119:Y1120"/>
    <mergeCell ref="P1119:P1120"/>
    <mergeCell ref="Q1119:Q1120"/>
    <mergeCell ref="R1119:R1120"/>
    <mergeCell ref="S1119:S1120"/>
    <mergeCell ref="T1119:T1120"/>
    <mergeCell ref="AJ1123:AJ1124"/>
    <mergeCell ref="AK1123:AK1124"/>
    <mergeCell ref="AL1123:AL1124"/>
    <mergeCell ref="AM1123:AM1124"/>
    <mergeCell ref="AN1123:AN1124"/>
    <mergeCell ref="AE1123:AE1124"/>
    <mergeCell ref="AF1123:AF1124"/>
    <mergeCell ref="AG1123:AG1124"/>
    <mergeCell ref="AH1123:AH1124"/>
    <mergeCell ref="AI1123:AI1124"/>
    <mergeCell ref="Z1123:Z1124"/>
    <mergeCell ref="AA1123:AA1124"/>
    <mergeCell ref="AB1123:AB1124"/>
    <mergeCell ref="AC1123:AC1124"/>
    <mergeCell ref="AD1123:AD1124"/>
    <mergeCell ref="U1123:U1124"/>
    <mergeCell ref="V1123:V1124"/>
    <mergeCell ref="W1123:W1124"/>
    <mergeCell ref="X1123:X1124"/>
    <mergeCell ref="Y1123:Y1124"/>
    <mergeCell ref="P1123:P1124"/>
    <mergeCell ref="Q1123:Q1124"/>
    <mergeCell ref="R1123:R1124"/>
    <mergeCell ref="S1123:S1124"/>
    <mergeCell ref="T1123:T1124"/>
    <mergeCell ref="AL1121:AL1122"/>
    <mergeCell ref="AM1121:AM1122"/>
    <mergeCell ref="AN1121:AN1122"/>
    <mergeCell ref="AP1123:AP1124"/>
    <mergeCell ref="B1123:B1124"/>
    <mergeCell ref="D1123:D1124"/>
    <mergeCell ref="H1123:H1124"/>
    <mergeCell ref="I1123:I1124"/>
    <mergeCell ref="J1123:J1124"/>
    <mergeCell ref="K1123:K1124"/>
    <mergeCell ref="L1123:L1124"/>
    <mergeCell ref="M1123:M1124"/>
    <mergeCell ref="N1123:N1124"/>
    <mergeCell ref="O1123:O1124"/>
    <mergeCell ref="AG1121:AG1122"/>
    <mergeCell ref="AH1121:AH1122"/>
    <mergeCell ref="AI1121:AI1122"/>
    <mergeCell ref="AJ1121:AJ1122"/>
    <mergeCell ref="AK1121:AK1122"/>
    <mergeCell ref="AB1121:AB1122"/>
    <mergeCell ref="AC1121:AC1122"/>
    <mergeCell ref="AD1121:AD1122"/>
    <mergeCell ref="AE1121:AE1122"/>
    <mergeCell ref="AF1121:AF1122"/>
    <mergeCell ref="W1121:W1122"/>
    <mergeCell ref="X1121:X1122"/>
    <mergeCell ref="Y1121:Y1122"/>
    <mergeCell ref="Z1121:Z1122"/>
    <mergeCell ref="AA1121:AA1122"/>
    <mergeCell ref="R1121:R1122"/>
    <mergeCell ref="S1121:S1122"/>
    <mergeCell ref="T1121:T1122"/>
    <mergeCell ref="U1121:U1122"/>
    <mergeCell ref="V1121:V1122"/>
    <mergeCell ref="M1121:M1122"/>
    <mergeCell ref="N1121:N1122"/>
    <mergeCell ref="O1121:O1122"/>
    <mergeCell ref="P1121:P1122"/>
    <mergeCell ref="Q1121:Q1122"/>
    <mergeCell ref="AL1125:AL1126"/>
    <mergeCell ref="AM1125:AM1126"/>
    <mergeCell ref="AN1125:AN1126"/>
    <mergeCell ref="AP1127:AP1128"/>
    <mergeCell ref="B1127:B1128"/>
    <mergeCell ref="D1127:D1128"/>
    <mergeCell ref="H1127:H1128"/>
    <mergeCell ref="I1127:I1128"/>
    <mergeCell ref="J1127:J1128"/>
    <mergeCell ref="K1127:K1128"/>
    <mergeCell ref="L1127:L1128"/>
    <mergeCell ref="M1127:M1128"/>
    <mergeCell ref="N1127:N1128"/>
    <mergeCell ref="O1127:O1128"/>
    <mergeCell ref="AG1125:AG1126"/>
    <mergeCell ref="AH1125:AH1126"/>
    <mergeCell ref="AI1125:AI1126"/>
    <mergeCell ref="AJ1125:AJ1126"/>
    <mergeCell ref="AK1125:AK1126"/>
    <mergeCell ref="AB1125:AB1126"/>
    <mergeCell ref="AC1125:AC1126"/>
    <mergeCell ref="AD1125:AD1126"/>
    <mergeCell ref="AE1125:AE1126"/>
    <mergeCell ref="AF1125:AF1126"/>
    <mergeCell ref="W1125:W1126"/>
    <mergeCell ref="X1125:X1126"/>
    <mergeCell ref="Y1125:Y1126"/>
    <mergeCell ref="Z1125:Z1126"/>
    <mergeCell ref="AA1125:AA1126"/>
    <mergeCell ref="R1125:R1126"/>
    <mergeCell ref="S1125:S1126"/>
    <mergeCell ref="T1125:T1126"/>
    <mergeCell ref="U1125:U1126"/>
    <mergeCell ref="V1125:V1126"/>
    <mergeCell ref="M1125:M1126"/>
    <mergeCell ref="N1125:N1126"/>
    <mergeCell ref="O1125:O1126"/>
    <mergeCell ref="P1125:P1126"/>
    <mergeCell ref="Q1125:Q1126"/>
    <mergeCell ref="H1125:H1126"/>
    <mergeCell ref="I1125:I1126"/>
    <mergeCell ref="J1125:J1126"/>
    <mergeCell ref="K1125:K1126"/>
    <mergeCell ref="L1125:L1126"/>
    <mergeCell ref="AP1125:AP1126"/>
    <mergeCell ref="B1125:B1126"/>
    <mergeCell ref="D1125:D1126"/>
    <mergeCell ref="H1129:H1130"/>
    <mergeCell ref="I1129:I1130"/>
    <mergeCell ref="J1129:J1130"/>
    <mergeCell ref="K1129:K1130"/>
    <mergeCell ref="L1129:L1130"/>
    <mergeCell ref="AP1129:AP1130"/>
    <mergeCell ref="B1129:B1130"/>
    <mergeCell ref="D1129:D1130"/>
    <mergeCell ref="AJ1127:AJ1128"/>
    <mergeCell ref="AK1127:AK1128"/>
    <mergeCell ref="AL1127:AL1128"/>
    <mergeCell ref="AM1127:AM1128"/>
    <mergeCell ref="AN1127:AN1128"/>
    <mergeCell ref="AE1127:AE1128"/>
    <mergeCell ref="AF1127:AF1128"/>
    <mergeCell ref="AG1127:AG1128"/>
    <mergeCell ref="AH1127:AH1128"/>
    <mergeCell ref="AI1127:AI1128"/>
    <mergeCell ref="Z1127:Z1128"/>
    <mergeCell ref="AA1127:AA1128"/>
    <mergeCell ref="AB1127:AB1128"/>
    <mergeCell ref="AC1127:AC1128"/>
    <mergeCell ref="AD1127:AD1128"/>
    <mergeCell ref="U1127:U1128"/>
    <mergeCell ref="V1127:V1128"/>
    <mergeCell ref="W1127:W1128"/>
    <mergeCell ref="X1127:X1128"/>
    <mergeCell ref="Y1127:Y1128"/>
    <mergeCell ref="P1127:P1128"/>
    <mergeCell ref="Q1127:Q1128"/>
    <mergeCell ref="R1127:R1128"/>
    <mergeCell ref="S1127:S1128"/>
    <mergeCell ref="T1127:T1128"/>
    <mergeCell ref="AJ1131:AJ1132"/>
    <mergeCell ref="AK1131:AK1132"/>
    <mergeCell ref="AL1131:AL1132"/>
    <mergeCell ref="AM1131:AM1132"/>
    <mergeCell ref="AN1131:AN1132"/>
    <mergeCell ref="AE1131:AE1132"/>
    <mergeCell ref="AF1131:AF1132"/>
    <mergeCell ref="AG1131:AG1132"/>
    <mergeCell ref="AH1131:AH1132"/>
    <mergeCell ref="AI1131:AI1132"/>
    <mergeCell ref="Z1131:Z1132"/>
    <mergeCell ref="AA1131:AA1132"/>
    <mergeCell ref="AB1131:AB1132"/>
    <mergeCell ref="AC1131:AC1132"/>
    <mergeCell ref="AD1131:AD1132"/>
    <mergeCell ref="U1131:U1132"/>
    <mergeCell ref="V1131:V1132"/>
    <mergeCell ref="W1131:W1132"/>
    <mergeCell ref="X1131:X1132"/>
    <mergeCell ref="Y1131:Y1132"/>
    <mergeCell ref="P1131:P1132"/>
    <mergeCell ref="Q1131:Q1132"/>
    <mergeCell ref="R1131:R1132"/>
    <mergeCell ref="S1131:S1132"/>
    <mergeCell ref="T1131:T1132"/>
    <mergeCell ref="AL1129:AL1130"/>
    <mergeCell ref="AM1129:AM1130"/>
    <mergeCell ref="AN1129:AN1130"/>
    <mergeCell ref="AP1131:AP1132"/>
    <mergeCell ref="B1131:B1132"/>
    <mergeCell ref="D1131:D1132"/>
    <mergeCell ref="H1131:H1132"/>
    <mergeCell ref="I1131:I1132"/>
    <mergeCell ref="J1131:J1132"/>
    <mergeCell ref="K1131:K1132"/>
    <mergeCell ref="L1131:L1132"/>
    <mergeCell ref="M1131:M1132"/>
    <mergeCell ref="N1131:N1132"/>
    <mergeCell ref="O1131:O1132"/>
    <mergeCell ref="AG1129:AG1130"/>
    <mergeCell ref="AH1129:AH1130"/>
    <mergeCell ref="AI1129:AI1130"/>
    <mergeCell ref="AJ1129:AJ1130"/>
    <mergeCell ref="AK1129:AK1130"/>
    <mergeCell ref="AB1129:AB1130"/>
    <mergeCell ref="AC1129:AC1130"/>
    <mergeCell ref="AD1129:AD1130"/>
    <mergeCell ref="AE1129:AE1130"/>
    <mergeCell ref="AF1129:AF1130"/>
    <mergeCell ref="W1129:W1130"/>
    <mergeCell ref="X1129:X1130"/>
    <mergeCell ref="Y1129:Y1130"/>
    <mergeCell ref="Z1129:Z1130"/>
    <mergeCell ref="AA1129:AA1130"/>
    <mergeCell ref="R1129:R1130"/>
    <mergeCell ref="S1129:S1130"/>
    <mergeCell ref="T1129:T1130"/>
    <mergeCell ref="U1129:U1130"/>
    <mergeCell ref="V1129:V1130"/>
    <mergeCell ref="M1129:M1130"/>
    <mergeCell ref="N1129:N1130"/>
    <mergeCell ref="O1129:O1130"/>
    <mergeCell ref="P1129:P1130"/>
    <mergeCell ref="Q1129:Q1130"/>
    <mergeCell ref="AL1133:AL1134"/>
    <mergeCell ref="AM1133:AM1134"/>
    <mergeCell ref="AN1133:AN1134"/>
    <mergeCell ref="AP1135:AP1136"/>
    <mergeCell ref="B1135:B1136"/>
    <mergeCell ref="D1135:D1136"/>
    <mergeCell ref="H1135:H1136"/>
    <mergeCell ref="I1135:I1136"/>
    <mergeCell ref="J1135:J1136"/>
    <mergeCell ref="K1135:K1136"/>
    <mergeCell ref="L1135:L1136"/>
    <mergeCell ref="M1135:M1136"/>
    <mergeCell ref="N1135:N1136"/>
    <mergeCell ref="O1135:O1136"/>
    <mergeCell ref="AG1133:AG1134"/>
    <mergeCell ref="AH1133:AH1134"/>
    <mergeCell ref="AI1133:AI1134"/>
    <mergeCell ref="AJ1133:AJ1134"/>
    <mergeCell ref="AK1133:AK1134"/>
    <mergeCell ref="AB1133:AB1134"/>
    <mergeCell ref="AC1133:AC1134"/>
    <mergeCell ref="AD1133:AD1134"/>
    <mergeCell ref="AE1133:AE1134"/>
    <mergeCell ref="AF1133:AF1134"/>
    <mergeCell ref="W1133:W1134"/>
    <mergeCell ref="X1133:X1134"/>
    <mergeCell ref="Y1133:Y1134"/>
    <mergeCell ref="Z1133:Z1134"/>
    <mergeCell ref="AA1133:AA1134"/>
    <mergeCell ref="R1133:R1134"/>
    <mergeCell ref="S1133:S1134"/>
    <mergeCell ref="T1133:T1134"/>
    <mergeCell ref="U1133:U1134"/>
    <mergeCell ref="V1133:V1134"/>
    <mergeCell ref="M1133:M1134"/>
    <mergeCell ref="N1133:N1134"/>
    <mergeCell ref="O1133:O1134"/>
    <mergeCell ref="P1133:P1134"/>
    <mergeCell ref="Q1133:Q1134"/>
    <mergeCell ref="H1133:H1134"/>
    <mergeCell ref="I1133:I1134"/>
    <mergeCell ref="J1133:J1134"/>
    <mergeCell ref="K1133:K1134"/>
    <mergeCell ref="L1133:L1134"/>
    <mergeCell ref="AP1133:AP1134"/>
    <mergeCell ref="B1133:B1134"/>
    <mergeCell ref="D1133:D1134"/>
    <mergeCell ref="H1137:H1138"/>
    <mergeCell ref="I1137:I1138"/>
    <mergeCell ref="J1137:J1138"/>
    <mergeCell ref="K1137:K1138"/>
    <mergeCell ref="L1137:L1138"/>
    <mergeCell ref="AP1137:AP1138"/>
    <mergeCell ref="B1137:B1138"/>
    <mergeCell ref="D1137:D1138"/>
    <mergeCell ref="AJ1135:AJ1136"/>
    <mergeCell ref="AK1135:AK1136"/>
    <mergeCell ref="AL1135:AL1136"/>
    <mergeCell ref="AM1135:AM1136"/>
    <mergeCell ref="AN1135:AN1136"/>
    <mergeCell ref="AE1135:AE1136"/>
    <mergeCell ref="AF1135:AF1136"/>
    <mergeCell ref="AG1135:AG1136"/>
    <mergeCell ref="AH1135:AH1136"/>
    <mergeCell ref="AI1135:AI1136"/>
    <mergeCell ref="Z1135:Z1136"/>
    <mergeCell ref="AA1135:AA1136"/>
    <mergeCell ref="AB1135:AB1136"/>
    <mergeCell ref="AC1135:AC1136"/>
    <mergeCell ref="AD1135:AD1136"/>
    <mergeCell ref="U1135:U1136"/>
    <mergeCell ref="V1135:V1136"/>
    <mergeCell ref="W1135:W1136"/>
    <mergeCell ref="X1135:X1136"/>
    <mergeCell ref="Y1135:Y1136"/>
    <mergeCell ref="P1135:P1136"/>
    <mergeCell ref="Q1135:Q1136"/>
    <mergeCell ref="R1135:R1136"/>
    <mergeCell ref="S1135:S1136"/>
    <mergeCell ref="T1135:T1136"/>
    <mergeCell ref="AJ1139:AJ1140"/>
    <mergeCell ref="AK1139:AK1140"/>
    <mergeCell ref="AL1139:AL1140"/>
    <mergeCell ref="AM1139:AM1140"/>
    <mergeCell ref="AN1139:AN1140"/>
    <mergeCell ref="AE1139:AE1140"/>
    <mergeCell ref="AF1139:AF1140"/>
    <mergeCell ref="AG1139:AG1140"/>
    <mergeCell ref="AH1139:AH1140"/>
    <mergeCell ref="AI1139:AI1140"/>
    <mergeCell ref="Z1139:Z1140"/>
    <mergeCell ref="AA1139:AA1140"/>
    <mergeCell ref="AB1139:AB1140"/>
    <mergeCell ref="AC1139:AC1140"/>
    <mergeCell ref="AD1139:AD1140"/>
    <mergeCell ref="U1139:U1140"/>
    <mergeCell ref="V1139:V1140"/>
    <mergeCell ref="W1139:W1140"/>
    <mergeCell ref="X1139:X1140"/>
    <mergeCell ref="Y1139:Y1140"/>
    <mergeCell ref="P1139:P1140"/>
    <mergeCell ref="Q1139:Q1140"/>
    <mergeCell ref="R1139:R1140"/>
    <mergeCell ref="S1139:S1140"/>
    <mergeCell ref="T1139:T1140"/>
    <mergeCell ref="AL1137:AL1138"/>
    <mergeCell ref="AM1137:AM1138"/>
    <mergeCell ref="AN1137:AN1138"/>
    <mergeCell ref="AP1139:AP1140"/>
    <mergeCell ref="B1139:B1140"/>
    <mergeCell ref="D1139:D1140"/>
    <mergeCell ref="H1139:H1140"/>
    <mergeCell ref="I1139:I1140"/>
    <mergeCell ref="J1139:J1140"/>
    <mergeCell ref="K1139:K1140"/>
    <mergeCell ref="L1139:L1140"/>
    <mergeCell ref="M1139:M1140"/>
    <mergeCell ref="N1139:N1140"/>
    <mergeCell ref="O1139:O1140"/>
    <mergeCell ref="AG1137:AG1138"/>
    <mergeCell ref="AH1137:AH1138"/>
    <mergeCell ref="AI1137:AI1138"/>
    <mergeCell ref="AJ1137:AJ1138"/>
    <mergeCell ref="AK1137:AK1138"/>
    <mergeCell ref="AB1137:AB1138"/>
    <mergeCell ref="AC1137:AC1138"/>
    <mergeCell ref="AD1137:AD1138"/>
    <mergeCell ref="AE1137:AE1138"/>
    <mergeCell ref="AF1137:AF1138"/>
    <mergeCell ref="W1137:W1138"/>
    <mergeCell ref="X1137:X1138"/>
    <mergeCell ref="Y1137:Y1138"/>
    <mergeCell ref="Z1137:Z1138"/>
    <mergeCell ref="AA1137:AA1138"/>
    <mergeCell ref="R1137:R1138"/>
    <mergeCell ref="S1137:S1138"/>
    <mergeCell ref="T1137:T1138"/>
    <mergeCell ref="U1137:U1138"/>
    <mergeCell ref="V1137:V1138"/>
    <mergeCell ref="M1137:M1138"/>
    <mergeCell ref="N1137:N1138"/>
    <mergeCell ref="O1137:O1138"/>
    <mergeCell ref="P1137:P1138"/>
    <mergeCell ref="Q1137:Q1138"/>
    <mergeCell ref="AL1141:AL1142"/>
    <mergeCell ref="AM1141:AM1142"/>
    <mergeCell ref="AN1141:AN1142"/>
    <mergeCell ref="AP1143:AP1144"/>
    <mergeCell ref="B1143:B1144"/>
    <mergeCell ref="D1143:D1144"/>
    <mergeCell ref="H1143:H1144"/>
    <mergeCell ref="I1143:I1144"/>
    <mergeCell ref="J1143:J1144"/>
    <mergeCell ref="K1143:K1144"/>
    <mergeCell ref="L1143:L1144"/>
    <mergeCell ref="M1143:M1144"/>
    <mergeCell ref="N1143:N1144"/>
    <mergeCell ref="O1143:O1144"/>
    <mergeCell ref="AG1141:AG1142"/>
    <mergeCell ref="AH1141:AH1142"/>
    <mergeCell ref="AI1141:AI1142"/>
    <mergeCell ref="AJ1141:AJ1142"/>
    <mergeCell ref="AK1141:AK1142"/>
    <mergeCell ref="AB1141:AB1142"/>
    <mergeCell ref="AC1141:AC1142"/>
    <mergeCell ref="AD1141:AD1142"/>
    <mergeCell ref="AE1141:AE1142"/>
    <mergeCell ref="AF1141:AF1142"/>
    <mergeCell ref="W1141:W1142"/>
    <mergeCell ref="X1141:X1142"/>
    <mergeCell ref="Y1141:Y1142"/>
    <mergeCell ref="Z1141:Z1142"/>
    <mergeCell ref="AA1141:AA1142"/>
    <mergeCell ref="R1141:R1142"/>
    <mergeCell ref="S1141:S1142"/>
    <mergeCell ref="T1141:T1142"/>
    <mergeCell ref="U1141:U1142"/>
    <mergeCell ref="V1141:V1142"/>
    <mergeCell ref="M1141:M1142"/>
    <mergeCell ref="N1141:N1142"/>
    <mergeCell ref="O1141:O1142"/>
    <mergeCell ref="P1141:P1142"/>
    <mergeCell ref="Q1141:Q1142"/>
    <mergeCell ref="H1141:H1142"/>
    <mergeCell ref="I1141:I1142"/>
    <mergeCell ref="J1141:J1142"/>
    <mergeCell ref="K1141:K1142"/>
    <mergeCell ref="L1141:L1142"/>
    <mergeCell ref="AP1141:AP1142"/>
    <mergeCell ref="B1141:B1142"/>
    <mergeCell ref="D1141:D1142"/>
    <mergeCell ref="H1145:H1146"/>
    <mergeCell ref="I1145:I1146"/>
    <mergeCell ref="J1145:J1146"/>
    <mergeCell ref="K1145:K1146"/>
    <mergeCell ref="L1145:L1146"/>
    <mergeCell ref="AP1145:AP1146"/>
    <mergeCell ref="B1145:B1146"/>
    <mergeCell ref="D1145:D1146"/>
    <mergeCell ref="AJ1143:AJ1144"/>
    <mergeCell ref="AK1143:AK1144"/>
    <mergeCell ref="AL1143:AL1144"/>
    <mergeCell ref="AM1143:AM1144"/>
    <mergeCell ref="AN1143:AN1144"/>
    <mergeCell ref="AE1143:AE1144"/>
    <mergeCell ref="AF1143:AF1144"/>
    <mergeCell ref="AG1143:AG1144"/>
    <mergeCell ref="AH1143:AH1144"/>
    <mergeCell ref="AI1143:AI1144"/>
    <mergeCell ref="Z1143:Z1144"/>
    <mergeCell ref="AA1143:AA1144"/>
    <mergeCell ref="AB1143:AB1144"/>
    <mergeCell ref="AC1143:AC1144"/>
    <mergeCell ref="AD1143:AD1144"/>
    <mergeCell ref="U1143:U1144"/>
    <mergeCell ref="V1143:V1144"/>
    <mergeCell ref="W1143:W1144"/>
    <mergeCell ref="X1143:X1144"/>
    <mergeCell ref="Y1143:Y1144"/>
    <mergeCell ref="P1143:P1144"/>
    <mergeCell ref="Q1143:Q1144"/>
    <mergeCell ref="R1143:R1144"/>
    <mergeCell ref="S1143:S1144"/>
    <mergeCell ref="T1143:T1144"/>
    <mergeCell ref="AJ1147:AJ1148"/>
    <mergeCell ref="AK1147:AK1148"/>
    <mergeCell ref="AL1147:AL1148"/>
    <mergeCell ref="AM1147:AM1148"/>
    <mergeCell ref="AN1147:AN1148"/>
    <mergeCell ref="AE1147:AE1148"/>
    <mergeCell ref="AF1147:AF1148"/>
    <mergeCell ref="AG1147:AG1148"/>
    <mergeCell ref="AH1147:AH1148"/>
    <mergeCell ref="AI1147:AI1148"/>
    <mergeCell ref="Z1147:Z1148"/>
    <mergeCell ref="AA1147:AA1148"/>
    <mergeCell ref="AB1147:AB1148"/>
    <mergeCell ref="AC1147:AC1148"/>
    <mergeCell ref="AD1147:AD1148"/>
    <mergeCell ref="U1147:U1148"/>
    <mergeCell ref="V1147:V1148"/>
    <mergeCell ref="W1147:W1148"/>
    <mergeCell ref="X1147:X1148"/>
    <mergeCell ref="Y1147:Y1148"/>
    <mergeCell ref="P1147:P1148"/>
    <mergeCell ref="Q1147:Q1148"/>
    <mergeCell ref="R1147:R1148"/>
    <mergeCell ref="S1147:S1148"/>
    <mergeCell ref="T1147:T1148"/>
    <mergeCell ref="AL1145:AL1146"/>
    <mergeCell ref="AM1145:AM1146"/>
    <mergeCell ref="AN1145:AN1146"/>
    <mergeCell ref="AP1147:AP1148"/>
    <mergeCell ref="B1147:B1148"/>
    <mergeCell ref="D1147:D1148"/>
    <mergeCell ref="H1147:H1148"/>
    <mergeCell ref="I1147:I1148"/>
    <mergeCell ref="J1147:J1148"/>
    <mergeCell ref="K1147:K1148"/>
    <mergeCell ref="L1147:L1148"/>
    <mergeCell ref="M1147:M1148"/>
    <mergeCell ref="N1147:N1148"/>
    <mergeCell ref="O1147:O1148"/>
    <mergeCell ref="AG1145:AG1146"/>
    <mergeCell ref="AH1145:AH1146"/>
    <mergeCell ref="AI1145:AI1146"/>
    <mergeCell ref="AJ1145:AJ1146"/>
    <mergeCell ref="AK1145:AK1146"/>
    <mergeCell ref="AB1145:AB1146"/>
    <mergeCell ref="AC1145:AC1146"/>
    <mergeCell ref="AD1145:AD1146"/>
    <mergeCell ref="AE1145:AE1146"/>
    <mergeCell ref="AF1145:AF1146"/>
    <mergeCell ref="W1145:W1146"/>
    <mergeCell ref="X1145:X1146"/>
    <mergeCell ref="Y1145:Y1146"/>
    <mergeCell ref="Z1145:Z1146"/>
    <mergeCell ref="AA1145:AA1146"/>
    <mergeCell ref="R1145:R1146"/>
    <mergeCell ref="S1145:S1146"/>
    <mergeCell ref="T1145:T1146"/>
    <mergeCell ref="U1145:U1146"/>
    <mergeCell ref="V1145:V1146"/>
    <mergeCell ref="M1145:M1146"/>
    <mergeCell ref="N1145:N1146"/>
    <mergeCell ref="O1145:O1146"/>
    <mergeCell ref="P1145:P1146"/>
    <mergeCell ref="Q1145:Q1146"/>
    <mergeCell ref="AL1149:AL1150"/>
    <mergeCell ref="AM1149:AM1150"/>
    <mergeCell ref="AN1149:AN1150"/>
    <mergeCell ref="AP1151:AP1152"/>
    <mergeCell ref="B1151:B1152"/>
    <mergeCell ref="D1151:D1152"/>
    <mergeCell ref="H1151:H1152"/>
    <mergeCell ref="I1151:I1152"/>
    <mergeCell ref="J1151:J1152"/>
    <mergeCell ref="K1151:K1152"/>
    <mergeCell ref="L1151:L1152"/>
    <mergeCell ref="M1151:M1152"/>
    <mergeCell ref="N1151:N1152"/>
    <mergeCell ref="O1151:O1152"/>
    <mergeCell ref="AG1149:AG1150"/>
    <mergeCell ref="AH1149:AH1150"/>
    <mergeCell ref="AI1149:AI1150"/>
    <mergeCell ref="AJ1149:AJ1150"/>
    <mergeCell ref="AK1149:AK1150"/>
    <mergeCell ref="AB1149:AB1150"/>
    <mergeCell ref="AC1149:AC1150"/>
    <mergeCell ref="AD1149:AD1150"/>
    <mergeCell ref="AE1149:AE1150"/>
    <mergeCell ref="AF1149:AF1150"/>
    <mergeCell ref="W1149:W1150"/>
    <mergeCell ref="X1149:X1150"/>
    <mergeCell ref="Y1149:Y1150"/>
    <mergeCell ref="Z1149:Z1150"/>
    <mergeCell ref="AA1149:AA1150"/>
    <mergeCell ref="R1149:R1150"/>
    <mergeCell ref="S1149:S1150"/>
    <mergeCell ref="T1149:T1150"/>
    <mergeCell ref="U1149:U1150"/>
    <mergeCell ref="V1149:V1150"/>
    <mergeCell ref="M1149:M1150"/>
    <mergeCell ref="N1149:N1150"/>
    <mergeCell ref="O1149:O1150"/>
    <mergeCell ref="P1149:P1150"/>
    <mergeCell ref="Q1149:Q1150"/>
    <mergeCell ref="H1149:H1150"/>
    <mergeCell ref="I1149:I1150"/>
    <mergeCell ref="J1149:J1150"/>
    <mergeCell ref="K1149:K1150"/>
    <mergeCell ref="L1149:L1150"/>
    <mergeCell ref="AP1149:AP1150"/>
    <mergeCell ref="B1149:B1150"/>
    <mergeCell ref="D1149:D1150"/>
    <mergeCell ref="H1153:H1154"/>
    <mergeCell ref="I1153:I1154"/>
    <mergeCell ref="J1153:J1154"/>
    <mergeCell ref="K1153:K1154"/>
    <mergeCell ref="L1153:L1154"/>
    <mergeCell ref="AP1153:AP1154"/>
    <mergeCell ref="B1153:B1154"/>
    <mergeCell ref="D1153:D1154"/>
    <mergeCell ref="AJ1151:AJ1152"/>
    <mergeCell ref="AK1151:AK1152"/>
    <mergeCell ref="AL1151:AL1152"/>
    <mergeCell ref="AM1151:AM1152"/>
    <mergeCell ref="AN1151:AN1152"/>
    <mergeCell ref="AE1151:AE1152"/>
    <mergeCell ref="AF1151:AF1152"/>
    <mergeCell ref="AG1151:AG1152"/>
    <mergeCell ref="AH1151:AH1152"/>
    <mergeCell ref="AI1151:AI1152"/>
    <mergeCell ref="Z1151:Z1152"/>
    <mergeCell ref="AA1151:AA1152"/>
    <mergeCell ref="AB1151:AB1152"/>
    <mergeCell ref="AC1151:AC1152"/>
    <mergeCell ref="AD1151:AD1152"/>
    <mergeCell ref="U1151:U1152"/>
    <mergeCell ref="V1151:V1152"/>
    <mergeCell ref="W1151:W1152"/>
    <mergeCell ref="X1151:X1152"/>
    <mergeCell ref="Y1151:Y1152"/>
    <mergeCell ref="P1151:P1152"/>
    <mergeCell ref="Q1151:Q1152"/>
    <mergeCell ref="R1151:R1152"/>
    <mergeCell ref="S1151:S1152"/>
    <mergeCell ref="T1151:T1152"/>
    <mergeCell ref="AJ1155:AJ1156"/>
    <mergeCell ref="AK1155:AK1156"/>
    <mergeCell ref="AL1155:AL1156"/>
    <mergeCell ref="AM1155:AM1156"/>
    <mergeCell ref="AN1155:AN1156"/>
    <mergeCell ref="AE1155:AE1156"/>
    <mergeCell ref="AF1155:AF1156"/>
    <mergeCell ref="AG1155:AG1156"/>
    <mergeCell ref="AH1155:AH1156"/>
    <mergeCell ref="AI1155:AI1156"/>
    <mergeCell ref="Z1155:Z1156"/>
    <mergeCell ref="AA1155:AA1156"/>
    <mergeCell ref="AB1155:AB1156"/>
    <mergeCell ref="AC1155:AC1156"/>
    <mergeCell ref="AD1155:AD1156"/>
    <mergeCell ref="U1155:U1156"/>
    <mergeCell ref="V1155:V1156"/>
    <mergeCell ref="W1155:W1156"/>
    <mergeCell ref="X1155:X1156"/>
    <mergeCell ref="Y1155:Y1156"/>
    <mergeCell ref="P1155:P1156"/>
    <mergeCell ref="Q1155:Q1156"/>
    <mergeCell ref="R1155:R1156"/>
    <mergeCell ref="S1155:S1156"/>
    <mergeCell ref="T1155:T1156"/>
    <mergeCell ref="AL1153:AL1154"/>
    <mergeCell ref="AM1153:AM1154"/>
    <mergeCell ref="AN1153:AN1154"/>
    <mergeCell ref="AP1155:AP1156"/>
    <mergeCell ref="B1155:B1156"/>
    <mergeCell ref="D1155:D1156"/>
    <mergeCell ref="H1155:H1156"/>
    <mergeCell ref="I1155:I1156"/>
    <mergeCell ref="J1155:J1156"/>
    <mergeCell ref="K1155:K1156"/>
    <mergeCell ref="L1155:L1156"/>
    <mergeCell ref="M1155:M1156"/>
    <mergeCell ref="N1155:N1156"/>
    <mergeCell ref="O1155:O1156"/>
    <mergeCell ref="AG1153:AG1154"/>
    <mergeCell ref="AH1153:AH1154"/>
    <mergeCell ref="AI1153:AI1154"/>
    <mergeCell ref="AJ1153:AJ1154"/>
    <mergeCell ref="AK1153:AK1154"/>
    <mergeCell ref="AB1153:AB1154"/>
    <mergeCell ref="AC1153:AC1154"/>
    <mergeCell ref="AD1153:AD1154"/>
    <mergeCell ref="AE1153:AE1154"/>
    <mergeCell ref="AF1153:AF1154"/>
    <mergeCell ref="W1153:W1154"/>
    <mergeCell ref="X1153:X1154"/>
    <mergeCell ref="Y1153:Y1154"/>
    <mergeCell ref="Z1153:Z1154"/>
    <mergeCell ref="AA1153:AA1154"/>
    <mergeCell ref="R1153:R1154"/>
    <mergeCell ref="S1153:S1154"/>
    <mergeCell ref="T1153:T1154"/>
    <mergeCell ref="U1153:U1154"/>
    <mergeCell ref="V1153:V1154"/>
    <mergeCell ref="M1153:M1154"/>
    <mergeCell ref="N1153:N1154"/>
    <mergeCell ref="O1153:O1154"/>
    <mergeCell ref="P1153:P1154"/>
    <mergeCell ref="Q1153:Q1154"/>
    <mergeCell ref="AL1157:AL1158"/>
    <mergeCell ref="AM1157:AM1158"/>
    <mergeCell ref="AN1157:AN1158"/>
    <mergeCell ref="AP1159:AP1160"/>
    <mergeCell ref="B1159:B1160"/>
    <mergeCell ref="D1159:D1160"/>
    <mergeCell ref="H1159:H1160"/>
    <mergeCell ref="I1159:I1160"/>
    <mergeCell ref="J1159:J1160"/>
    <mergeCell ref="K1159:K1160"/>
    <mergeCell ref="L1159:L1160"/>
    <mergeCell ref="M1159:M1160"/>
    <mergeCell ref="N1159:N1160"/>
    <mergeCell ref="O1159:O1160"/>
    <mergeCell ref="AG1157:AG1158"/>
    <mergeCell ref="AH1157:AH1158"/>
    <mergeCell ref="AI1157:AI1158"/>
    <mergeCell ref="AJ1157:AJ1158"/>
    <mergeCell ref="AK1157:AK1158"/>
    <mergeCell ref="AB1157:AB1158"/>
    <mergeCell ref="AC1157:AC1158"/>
    <mergeCell ref="AD1157:AD1158"/>
    <mergeCell ref="AE1157:AE1158"/>
    <mergeCell ref="AF1157:AF1158"/>
    <mergeCell ref="W1157:W1158"/>
    <mergeCell ref="X1157:X1158"/>
    <mergeCell ref="Y1157:Y1158"/>
    <mergeCell ref="Z1157:Z1158"/>
    <mergeCell ref="AA1157:AA1158"/>
    <mergeCell ref="R1157:R1158"/>
    <mergeCell ref="S1157:S1158"/>
    <mergeCell ref="T1157:T1158"/>
    <mergeCell ref="U1157:U1158"/>
    <mergeCell ref="V1157:V1158"/>
    <mergeCell ref="M1157:M1158"/>
    <mergeCell ref="N1157:N1158"/>
    <mergeCell ref="O1157:O1158"/>
    <mergeCell ref="P1157:P1158"/>
    <mergeCell ref="Q1157:Q1158"/>
    <mergeCell ref="H1157:H1158"/>
    <mergeCell ref="I1157:I1158"/>
    <mergeCell ref="J1157:J1158"/>
    <mergeCell ref="K1157:K1158"/>
    <mergeCell ref="L1157:L1158"/>
    <mergeCell ref="AP1157:AP1158"/>
    <mergeCell ref="B1157:B1158"/>
    <mergeCell ref="D1157:D1158"/>
    <mergeCell ref="H1161:H1162"/>
    <mergeCell ref="I1161:I1162"/>
    <mergeCell ref="J1161:J1162"/>
    <mergeCell ref="K1161:K1162"/>
    <mergeCell ref="L1161:L1162"/>
    <mergeCell ref="AP1161:AP1162"/>
    <mergeCell ref="B1161:B1162"/>
    <mergeCell ref="D1161:D1162"/>
    <mergeCell ref="AJ1159:AJ1160"/>
    <mergeCell ref="AK1159:AK1160"/>
    <mergeCell ref="AL1159:AL1160"/>
    <mergeCell ref="AM1159:AM1160"/>
    <mergeCell ref="AN1159:AN1160"/>
    <mergeCell ref="AE1159:AE1160"/>
    <mergeCell ref="AF1159:AF1160"/>
    <mergeCell ref="AG1159:AG1160"/>
    <mergeCell ref="AH1159:AH1160"/>
    <mergeCell ref="AI1159:AI1160"/>
    <mergeCell ref="Z1159:Z1160"/>
    <mergeCell ref="AA1159:AA1160"/>
    <mergeCell ref="AB1159:AB1160"/>
    <mergeCell ref="AC1159:AC1160"/>
    <mergeCell ref="AD1159:AD1160"/>
    <mergeCell ref="U1159:U1160"/>
    <mergeCell ref="V1159:V1160"/>
    <mergeCell ref="W1159:W1160"/>
    <mergeCell ref="X1159:X1160"/>
    <mergeCell ref="Y1159:Y1160"/>
    <mergeCell ref="P1159:P1160"/>
    <mergeCell ref="Q1159:Q1160"/>
    <mergeCell ref="R1159:R1160"/>
    <mergeCell ref="S1159:S1160"/>
    <mergeCell ref="T1159:T1160"/>
    <mergeCell ref="AJ1163:AJ1164"/>
    <mergeCell ref="AK1163:AK1164"/>
    <mergeCell ref="AL1163:AL1164"/>
    <mergeCell ref="AM1163:AM1164"/>
    <mergeCell ref="AN1163:AN1164"/>
    <mergeCell ref="AE1163:AE1164"/>
    <mergeCell ref="AF1163:AF1164"/>
    <mergeCell ref="AG1163:AG1164"/>
    <mergeCell ref="AH1163:AH1164"/>
    <mergeCell ref="AI1163:AI1164"/>
    <mergeCell ref="Z1163:Z1164"/>
    <mergeCell ref="AA1163:AA1164"/>
    <mergeCell ref="AB1163:AB1164"/>
    <mergeCell ref="AC1163:AC1164"/>
    <mergeCell ref="AD1163:AD1164"/>
    <mergeCell ref="U1163:U1164"/>
    <mergeCell ref="V1163:V1164"/>
    <mergeCell ref="W1163:W1164"/>
    <mergeCell ref="X1163:X1164"/>
    <mergeCell ref="Y1163:Y1164"/>
    <mergeCell ref="P1163:P1164"/>
    <mergeCell ref="Q1163:Q1164"/>
    <mergeCell ref="R1163:R1164"/>
    <mergeCell ref="S1163:S1164"/>
    <mergeCell ref="T1163:T1164"/>
    <mergeCell ref="AL1161:AL1162"/>
    <mergeCell ref="AM1161:AM1162"/>
    <mergeCell ref="AN1161:AN1162"/>
    <mergeCell ref="AP1163:AP1164"/>
    <mergeCell ref="B1163:B1164"/>
    <mergeCell ref="D1163:D1164"/>
    <mergeCell ref="H1163:H1164"/>
    <mergeCell ref="I1163:I1164"/>
    <mergeCell ref="J1163:J1164"/>
    <mergeCell ref="K1163:K1164"/>
    <mergeCell ref="L1163:L1164"/>
    <mergeCell ref="M1163:M1164"/>
    <mergeCell ref="N1163:N1164"/>
    <mergeCell ref="O1163:O1164"/>
    <mergeCell ref="AG1161:AG1162"/>
    <mergeCell ref="AH1161:AH1162"/>
    <mergeCell ref="AI1161:AI1162"/>
    <mergeCell ref="AJ1161:AJ1162"/>
    <mergeCell ref="AK1161:AK1162"/>
    <mergeCell ref="AB1161:AB1162"/>
    <mergeCell ref="AC1161:AC1162"/>
    <mergeCell ref="AD1161:AD1162"/>
    <mergeCell ref="AE1161:AE1162"/>
    <mergeCell ref="AF1161:AF1162"/>
    <mergeCell ref="W1161:W1162"/>
    <mergeCell ref="X1161:X1162"/>
    <mergeCell ref="Y1161:Y1162"/>
    <mergeCell ref="Z1161:Z1162"/>
    <mergeCell ref="AA1161:AA1162"/>
    <mergeCell ref="R1161:R1162"/>
    <mergeCell ref="S1161:S1162"/>
    <mergeCell ref="T1161:T1162"/>
    <mergeCell ref="U1161:U1162"/>
    <mergeCell ref="V1161:V1162"/>
    <mergeCell ref="M1161:M1162"/>
    <mergeCell ref="N1161:N1162"/>
    <mergeCell ref="O1161:O1162"/>
    <mergeCell ref="P1161:P1162"/>
    <mergeCell ref="Q1161:Q1162"/>
    <mergeCell ref="AL1165:AL1166"/>
    <mergeCell ref="AM1165:AM1166"/>
    <mergeCell ref="AN1165:AN1166"/>
    <mergeCell ref="AP1167:AP1168"/>
    <mergeCell ref="B1167:B1168"/>
    <mergeCell ref="D1167:D1168"/>
    <mergeCell ref="H1167:H1168"/>
    <mergeCell ref="I1167:I1168"/>
    <mergeCell ref="J1167:J1168"/>
    <mergeCell ref="K1167:K1168"/>
    <mergeCell ref="L1167:L1168"/>
    <mergeCell ref="M1167:M1168"/>
    <mergeCell ref="N1167:N1168"/>
    <mergeCell ref="O1167:O1168"/>
    <mergeCell ref="AG1165:AG1166"/>
    <mergeCell ref="AH1165:AH1166"/>
    <mergeCell ref="AI1165:AI1166"/>
    <mergeCell ref="AJ1165:AJ1166"/>
    <mergeCell ref="AK1165:AK1166"/>
    <mergeCell ref="AB1165:AB1166"/>
    <mergeCell ref="AC1165:AC1166"/>
    <mergeCell ref="AD1165:AD1166"/>
    <mergeCell ref="AE1165:AE1166"/>
    <mergeCell ref="AF1165:AF1166"/>
    <mergeCell ref="W1165:W1166"/>
    <mergeCell ref="X1165:X1166"/>
    <mergeCell ref="Y1165:Y1166"/>
    <mergeCell ref="Z1165:Z1166"/>
    <mergeCell ref="AA1165:AA1166"/>
    <mergeCell ref="R1165:R1166"/>
    <mergeCell ref="S1165:S1166"/>
    <mergeCell ref="T1165:T1166"/>
    <mergeCell ref="U1165:U1166"/>
    <mergeCell ref="V1165:V1166"/>
    <mergeCell ref="M1165:M1166"/>
    <mergeCell ref="N1165:N1166"/>
    <mergeCell ref="O1165:O1166"/>
    <mergeCell ref="P1165:P1166"/>
    <mergeCell ref="Q1165:Q1166"/>
    <mergeCell ref="H1165:H1166"/>
    <mergeCell ref="I1165:I1166"/>
    <mergeCell ref="J1165:J1166"/>
    <mergeCell ref="K1165:K1166"/>
    <mergeCell ref="L1165:L1166"/>
    <mergeCell ref="AP1165:AP1166"/>
    <mergeCell ref="B1165:B1166"/>
    <mergeCell ref="D1165:D1166"/>
    <mergeCell ref="H1169:H1170"/>
    <mergeCell ref="I1169:I1170"/>
    <mergeCell ref="J1169:J1170"/>
    <mergeCell ref="K1169:K1170"/>
    <mergeCell ref="L1169:L1170"/>
    <mergeCell ref="AP1169:AP1170"/>
    <mergeCell ref="B1169:B1170"/>
    <mergeCell ref="D1169:D1170"/>
    <mergeCell ref="AJ1167:AJ1168"/>
    <mergeCell ref="AK1167:AK1168"/>
    <mergeCell ref="AL1167:AL1168"/>
    <mergeCell ref="AM1167:AM1168"/>
    <mergeCell ref="AN1167:AN1168"/>
    <mergeCell ref="AE1167:AE1168"/>
    <mergeCell ref="AF1167:AF1168"/>
    <mergeCell ref="AG1167:AG1168"/>
    <mergeCell ref="AH1167:AH1168"/>
    <mergeCell ref="AI1167:AI1168"/>
    <mergeCell ref="Z1167:Z1168"/>
    <mergeCell ref="AA1167:AA1168"/>
    <mergeCell ref="AB1167:AB1168"/>
    <mergeCell ref="AC1167:AC1168"/>
    <mergeCell ref="AD1167:AD1168"/>
    <mergeCell ref="U1167:U1168"/>
    <mergeCell ref="V1167:V1168"/>
    <mergeCell ref="W1167:W1168"/>
    <mergeCell ref="X1167:X1168"/>
    <mergeCell ref="Y1167:Y1168"/>
    <mergeCell ref="P1167:P1168"/>
    <mergeCell ref="Q1167:Q1168"/>
    <mergeCell ref="R1167:R1168"/>
    <mergeCell ref="S1167:S1168"/>
    <mergeCell ref="T1167:T1168"/>
    <mergeCell ref="AJ1171:AJ1172"/>
    <mergeCell ref="AK1171:AK1172"/>
    <mergeCell ref="AL1171:AL1172"/>
    <mergeCell ref="AM1171:AM1172"/>
    <mergeCell ref="AN1171:AN1172"/>
    <mergeCell ref="AE1171:AE1172"/>
    <mergeCell ref="AF1171:AF1172"/>
    <mergeCell ref="AG1171:AG1172"/>
    <mergeCell ref="AH1171:AH1172"/>
    <mergeCell ref="AI1171:AI1172"/>
    <mergeCell ref="Z1171:Z1172"/>
    <mergeCell ref="AA1171:AA1172"/>
    <mergeCell ref="AB1171:AB1172"/>
    <mergeCell ref="AC1171:AC1172"/>
    <mergeCell ref="AD1171:AD1172"/>
    <mergeCell ref="U1171:U1172"/>
    <mergeCell ref="V1171:V1172"/>
    <mergeCell ref="W1171:W1172"/>
    <mergeCell ref="X1171:X1172"/>
    <mergeCell ref="Y1171:Y1172"/>
    <mergeCell ref="P1171:P1172"/>
    <mergeCell ref="Q1171:Q1172"/>
    <mergeCell ref="R1171:R1172"/>
    <mergeCell ref="S1171:S1172"/>
    <mergeCell ref="T1171:T1172"/>
    <mergeCell ref="AL1169:AL1170"/>
    <mergeCell ref="AM1169:AM1170"/>
    <mergeCell ref="AN1169:AN1170"/>
    <mergeCell ref="AP1171:AP1172"/>
    <mergeCell ref="B1171:B1172"/>
    <mergeCell ref="D1171:D1172"/>
    <mergeCell ref="H1171:H1172"/>
    <mergeCell ref="I1171:I1172"/>
    <mergeCell ref="J1171:J1172"/>
    <mergeCell ref="K1171:K1172"/>
    <mergeCell ref="L1171:L1172"/>
    <mergeCell ref="M1171:M1172"/>
    <mergeCell ref="N1171:N1172"/>
    <mergeCell ref="O1171:O1172"/>
    <mergeCell ref="AG1169:AG1170"/>
    <mergeCell ref="AH1169:AH1170"/>
    <mergeCell ref="AI1169:AI1170"/>
    <mergeCell ref="AJ1169:AJ1170"/>
    <mergeCell ref="AK1169:AK1170"/>
    <mergeCell ref="AB1169:AB1170"/>
    <mergeCell ref="AC1169:AC1170"/>
    <mergeCell ref="AD1169:AD1170"/>
    <mergeCell ref="AE1169:AE1170"/>
    <mergeCell ref="AF1169:AF1170"/>
    <mergeCell ref="W1169:W1170"/>
    <mergeCell ref="X1169:X1170"/>
    <mergeCell ref="Y1169:Y1170"/>
    <mergeCell ref="Z1169:Z1170"/>
    <mergeCell ref="AA1169:AA1170"/>
    <mergeCell ref="R1169:R1170"/>
    <mergeCell ref="S1169:S1170"/>
    <mergeCell ref="T1169:T1170"/>
    <mergeCell ref="U1169:U1170"/>
    <mergeCell ref="V1169:V1170"/>
    <mergeCell ref="M1169:M1170"/>
    <mergeCell ref="N1169:N1170"/>
    <mergeCell ref="O1169:O1170"/>
    <mergeCell ref="P1169:P1170"/>
    <mergeCell ref="Q1169:Q1170"/>
    <mergeCell ref="AL1173:AL1174"/>
    <mergeCell ref="AM1173:AM1174"/>
    <mergeCell ref="AN1173:AN1174"/>
    <mergeCell ref="AP1175:AP1176"/>
    <mergeCell ref="B1175:B1176"/>
    <mergeCell ref="D1175:D1176"/>
    <mergeCell ref="H1175:H1176"/>
    <mergeCell ref="I1175:I1176"/>
    <mergeCell ref="J1175:J1176"/>
    <mergeCell ref="K1175:K1176"/>
    <mergeCell ref="L1175:L1176"/>
    <mergeCell ref="M1175:M1176"/>
    <mergeCell ref="N1175:N1176"/>
    <mergeCell ref="O1175:O1176"/>
    <mergeCell ref="AG1173:AG1174"/>
    <mergeCell ref="AH1173:AH1174"/>
    <mergeCell ref="AI1173:AI1174"/>
    <mergeCell ref="AJ1173:AJ1174"/>
    <mergeCell ref="AK1173:AK1174"/>
    <mergeCell ref="AB1173:AB1174"/>
    <mergeCell ref="AC1173:AC1174"/>
    <mergeCell ref="AD1173:AD1174"/>
    <mergeCell ref="AE1173:AE1174"/>
    <mergeCell ref="AF1173:AF1174"/>
    <mergeCell ref="W1173:W1174"/>
    <mergeCell ref="X1173:X1174"/>
    <mergeCell ref="Y1173:Y1174"/>
    <mergeCell ref="Z1173:Z1174"/>
    <mergeCell ref="AA1173:AA1174"/>
    <mergeCell ref="R1173:R1174"/>
    <mergeCell ref="S1173:S1174"/>
    <mergeCell ref="T1173:T1174"/>
    <mergeCell ref="U1173:U1174"/>
    <mergeCell ref="V1173:V1174"/>
    <mergeCell ref="M1173:M1174"/>
    <mergeCell ref="N1173:N1174"/>
    <mergeCell ref="O1173:O1174"/>
    <mergeCell ref="P1173:P1174"/>
    <mergeCell ref="Q1173:Q1174"/>
    <mergeCell ref="H1173:H1174"/>
    <mergeCell ref="I1173:I1174"/>
    <mergeCell ref="J1173:J1174"/>
    <mergeCell ref="K1173:K1174"/>
    <mergeCell ref="L1173:L1174"/>
    <mergeCell ref="AP1173:AP1174"/>
    <mergeCell ref="B1173:B1174"/>
    <mergeCell ref="D1173:D1174"/>
    <mergeCell ref="H1177:H1178"/>
    <mergeCell ref="I1177:I1178"/>
    <mergeCell ref="J1177:J1178"/>
    <mergeCell ref="K1177:K1178"/>
    <mergeCell ref="L1177:L1178"/>
    <mergeCell ref="AP1177:AP1178"/>
    <mergeCell ref="B1177:B1178"/>
    <mergeCell ref="D1177:D1178"/>
    <mergeCell ref="AJ1175:AJ1176"/>
    <mergeCell ref="AK1175:AK1176"/>
    <mergeCell ref="AL1175:AL1176"/>
    <mergeCell ref="AM1175:AM1176"/>
    <mergeCell ref="AN1175:AN1176"/>
    <mergeCell ref="AE1175:AE1176"/>
    <mergeCell ref="AF1175:AF1176"/>
    <mergeCell ref="AG1175:AG1176"/>
    <mergeCell ref="AH1175:AH1176"/>
    <mergeCell ref="AI1175:AI1176"/>
    <mergeCell ref="Z1175:Z1176"/>
    <mergeCell ref="AA1175:AA1176"/>
    <mergeCell ref="AB1175:AB1176"/>
    <mergeCell ref="AC1175:AC1176"/>
    <mergeCell ref="AD1175:AD1176"/>
    <mergeCell ref="U1175:U1176"/>
    <mergeCell ref="V1175:V1176"/>
    <mergeCell ref="W1175:W1176"/>
    <mergeCell ref="X1175:X1176"/>
    <mergeCell ref="Y1175:Y1176"/>
    <mergeCell ref="P1175:P1176"/>
    <mergeCell ref="Q1175:Q1176"/>
    <mergeCell ref="R1175:R1176"/>
    <mergeCell ref="S1175:S1176"/>
    <mergeCell ref="T1175:T1176"/>
    <mergeCell ref="AJ1179:AJ1180"/>
    <mergeCell ref="AK1179:AK1180"/>
    <mergeCell ref="AL1179:AL1180"/>
    <mergeCell ref="AM1179:AM1180"/>
    <mergeCell ref="AN1179:AN1180"/>
    <mergeCell ref="AE1179:AE1180"/>
    <mergeCell ref="AF1179:AF1180"/>
    <mergeCell ref="AG1179:AG1180"/>
    <mergeCell ref="AH1179:AH1180"/>
    <mergeCell ref="AI1179:AI1180"/>
    <mergeCell ref="Z1179:Z1180"/>
    <mergeCell ref="AA1179:AA1180"/>
    <mergeCell ref="AB1179:AB1180"/>
    <mergeCell ref="AC1179:AC1180"/>
    <mergeCell ref="AD1179:AD1180"/>
    <mergeCell ref="U1179:U1180"/>
    <mergeCell ref="V1179:V1180"/>
    <mergeCell ref="W1179:W1180"/>
    <mergeCell ref="X1179:X1180"/>
    <mergeCell ref="Y1179:Y1180"/>
    <mergeCell ref="P1179:P1180"/>
    <mergeCell ref="Q1179:Q1180"/>
    <mergeCell ref="R1179:R1180"/>
    <mergeCell ref="S1179:S1180"/>
    <mergeCell ref="T1179:T1180"/>
    <mergeCell ref="AL1177:AL1178"/>
    <mergeCell ref="AM1177:AM1178"/>
    <mergeCell ref="AN1177:AN1178"/>
    <mergeCell ref="AP1179:AP1180"/>
    <mergeCell ref="B1179:B1180"/>
    <mergeCell ref="D1179:D1180"/>
    <mergeCell ref="H1179:H1180"/>
    <mergeCell ref="I1179:I1180"/>
    <mergeCell ref="J1179:J1180"/>
    <mergeCell ref="K1179:K1180"/>
    <mergeCell ref="L1179:L1180"/>
    <mergeCell ref="M1179:M1180"/>
    <mergeCell ref="N1179:N1180"/>
    <mergeCell ref="O1179:O1180"/>
    <mergeCell ref="AG1177:AG1178"/>
    <mergeCell ref="AH1177:AH1178"/>
    <mergeCell ref="AI1177:AI1178"/>
    <mergeCell ref="AJ1177:AJ1178"/>
    <mergeCell ref="AK1177:AK1178"/>
    <mergeCell ref="AB1177:AB1178"/>
    <mergeCell ref="AC1177:AC1178"/>
    <mergeCell ref="AD1177:AD1178"/>
    <mergeCell ref="AE1177:AE1178"/>
    <mergeCell ref="AF1177:AF1178"/>
    <mergeCell ref="W1177:W1178"/>
    <mergeCell ref="X1177:X1178"/>
    <mergeCell ref="Y1177:Y1178"/>
    <mergeCell ref="Z1177:Z1178"/>
    <mergeCell ref="AA1177:AA1178"/>
    <mergeCell ref="R1177:R1178"/>
    <mergeCell ref="S1177:S1178"/>
    <mergeCell ref="T1177:T1178"/>
    <mergeCell ref="U1177:U1178"/>
    <mergeCell ref="V1177:V1178"/>
    <mergeCell ref="M1177:M1178"/>
    <mergeCell ref="N1177:N1178"/>
    <mergeCell ref="O1177:O1178"/>
    <mergeCell ref="P1177:P1178"/>
    <mergeCell ref="Q1177:Q1178"/>
    <mergeCell ref="AL1181:AL1182"/>
    <mergeCell ref="AM1181:AM1182"/>
    <mergeCell ref="AN1181:AN1182"/>
    <mergeCell ref="AP1183:AP1184"/>
    <mergeCell ref="B1183:B1184"/>
    <mergeCell ref="D1183:D1184"/>
    <mergeCell ref="H1183:H1184"/>
    <mergeCell ref="I1183:I1184"/>
    <mergeCell ref="J1183:J1184"/>
    <mergeCell ref="K1183:K1184"/>
    <mergeCell ref="L1183:L1184"/>
    <mergeCell ref="M1183:M1184"/>
    <mergeCell ref="N1183:N1184"/>
    <mergeCell ref="O1183:O1184"/>
    <mergeCell ref="AG1181:AG1182"/>
    <mergeCell ref="AH1181:AH1182"/>
    <mergeCell ref="AI1181:AI1182"/>
    <mergeCell ref="AJ1181:AJ1182"/>
    <mergeCell ref="AK1181:AK1182"/>
    <mergeCell ref="AB1181:AB1182"/>
    <mergeCell ref="AC1181:AC1182"/>
    <mergeCell ref="AD1181:AD1182"/>
    <mergeCell ref="AE1181:AE1182"/>
    <mergeCell ref="AF1181:AF1182"/>
    <mergeCell ref="W1181:W1182"/>
    <mergeCell ref="X1181:X1182"/>
    <mergeCell ref="Y1181:Y1182"/>
    <mergeCell ref="Z1181:Z1182"/>
    <mergeCell ref="AA1181:AA1182"/>
    <mergeCell ref="R1181:R1182"/>
    <mergeCell ref="S1181:S1182"/>
    <mergeCell ref="T1181:T1182"/>
    <mergeCell ref="U1181:U1182"/>
    <mergeCell ref="V1181:V1182"/>
    <mergeCell ref="M1181:M1182"/>
    <mergeCell ref="N1181:N1182"/>
    <mergeCell ref="O1181:O1182"/>
    <mergeCell ref="P1181:P1182"/>
    <mergeCell ref="Q1181:Q1182"/>
    <mergeCell ref="H1181:H1182"/>
    <mergeCell ref="I1181:I1182"/>
    <mergeCell ref="J1181:J1182"/>
    <mergeCell ref="K1181:K1182"/>
    <mergeCell ref="L1181:L1182"/>
    <mergeCell ref="AP1181:AP1182"/>
    <mergeCell ref="B1181:B1182"/>
    <mergeCell ref="D1181:D1182"/>
    <mergeCell ref="H1185:H1186"/>
    <mergeCell ref="I1185:I1186"/>
    <mergeCell ref="J1185:J1186"/>
    <mergeCell ref="K1185:K1186"/>
    <mergeCell ref="L1185:L1186"/>
    <mergeCell ref="AP1185:AP1186"/>
    <mergeCell ref="B1185:B1186"/>
    <mergeCell ref="D1185:D1186"/>
    <mergeCell ref="AJ1183:AJ1184"/>
    <mergeCell ref="AK1183:AK1184"/>
    <mergeCell ref="AL1183:AL1184"/>
    <mergeCell ref="AM1183:AM1184"/>
    <mergeCell ref="AN1183:AN1184"/>
    <mergeCell ref="AE1183:AE1184"/>
    <mergeCell ref="AF1183:AF1184"/>
    <mergeCell ref="AG1183:AG1184"/>
    <mergeCell ref="AH1183:AH1184"/>
    <mergeCell ref="AI1183:AI1184"/>
    <mergeCell ref="Z1183:Z1184"/>
    <mergeCell ref="AA1183:AA1184"/>
    <mergeCell ref="AB1183:AB1184"/>
    <mergeCell ref="AC1183:AC1184"/>
    <mergeCell ref="AD1183:AD1184"/>
    <mergeCell ref="U1183:U1184"/>
    <mergeCell ref="V1183:V1184"/>
    <mergeCell ref="W1183:W1184"/>
    <mergeCell ref="X1183:X1184"/>
    <mergeCell ref="Y1183:Y1184"/>
    <mergeCell ref="P1183:P1184"/>
    <mergeCell ref="Q1183:Q1184"/>
    <mergeCell ref="R1183:R1184"/>
    <mergeCell ref="S1183:S1184"/>
    <mergeCell ref="T1183:T1184"/>
    <mergeCell ref="AJ1187:AJ1188"/>
    <mergeCell ref="AK1187:AK1188"/>
    <mergeCell ref="AL1187:AL1188"/>
    <mergeCell ref="AM1187:AM1188"/>
    <mergeCell ref="AN1187:AN1188"/>
    <mergeCell ref="AE1187:AE1188"/>
    <mergeCell ref="AF1187:AF1188"/>
    <mergeCell ref="AG1187:AG1188"/>
    <mergeCell ref="AH1187:AH1188"/>
    <mergeCell ref="AI1187:AI1188"/>
    <mergeCell ref="Z1187:Z1188"/>
    <mergeCell ref="AA1187:AA1188"/>
    <mergeCell ref="AB1187:AB1188"/>
    <mergeCell ref="AC1187:AC1188"/>
    <mergeCell ref="AD1187:AD1188"/>
    <mergeCell ref="U1187:U1188"/>
    <mergeCell ref="V1187:V1188"/>
    <mergeCell ref="W1187:W1188"/>
    <mergeCell ref="X1187:X1188"/>
    <mergeCell ref="Y1187:Y1188"/>
    <mergeCell ref="P1187:P1188"/>
    <mergeCell ref="Q1187:Q1188"/>
    <mergeCell ref="R1187:R1188"/>
    <mergeCell ref="S1187:S1188"/>
    <mergeCell ref="T1187:T1188"/>
    <mergeCell ref="AL1185:AL1186"/>
    <mergeCell ref="AM1185:AM1186"/>
    <mergeCell ref="AN1185:AN1186"/>
    <mergeCell ref="AP1187:AP1188"/>
    <mergeCell ref="B1187:B1188"/>
    <mergeCell ref="D1187:D1188"/>
    <mergeCell ref="H1187:H1188"/>
    <mergeCell ref="I1187:I1188"/>
    <mergeCell ref="J1187:J1188"/>
    <mergeCell ref="K1187:K1188"/>
    <mergeCell ref="L1187:L1188"/>
    <mergeCell ref="M1187:M1188"/>
    <mergeCell ref="N1187:N1188"/>
    <mergeCell ref="O1187:O1188"/>
    <mergeCell ref="AG1185:AG1186"/>
    <mergeCell ref="AH1185:AH1186"/>
    <mergeCell ref="AI1185:AI1186"/>
    <mergeCell ref="AJ1185:AJ1186"/>
    <mergeCell ref="AK1185:AK1186"/>
    <mergeCell ref="AB1185:AB1186"/>
    <mergeCell ref="AC1185:AC1186"/>
    <mergeCell ref="AD1185:AD1186"/>
    <mergeCell ref="AE1185:AE1186"/>
    <mergeCell ref="AF1185:AF1186"/>
    <mergeCell ref="W1185:W1186"/>
    <mergeCell ref="X1185:X1186"/>
    <mergeCell ref="Y1185:Y1186"/>
    <mergeCell ref="Z1185:Z1186"/>
    <mergeCell ref="AA1185:AA1186"/>
    <mergeCell ref="R1185:R1186"/>
    <mergeCell ref="S1185:S1186"/>
    <mergeCell ref="T1185:T1186"/>
    <mergeCell ref="U1185:U1186"/>
    <mergeCell ref="V1185:V1186"/>
    <mergeCell ref="M1185:M1186"/>
    <mergeCell ref="N1185:N1186"/>
    <mergeCell ref="O1185:O1186"/>
    <mergeCell ref="P1185:P1186"/>
    <mergeCell ref="Q1185:Q1186"/>
    <mergeCell ref="AL1189:AL1190"/>
    <mergeCell ref="AM1189:AM1190"/>
    <mergeCell ref="AN1189:AN1190"/>
    <mergeCell ref="AP1191:AP1192"/>
    <mergeCell ref="B1191:B1192"/>
    <mergeCell ref="D1191:D1192"/>
    <mergeCell ref="H1191:H1192"/>
    <mergeCell ref="I1191:I1192"/>
    <mergeCell ref="J1191:J1192"/>
    <mergeCell ref="K1191:K1192"/>
    <mergeCell ref="L1191:L1192"/>
    <mergeCell ref="M1191:M1192"/>
    <mergeCell ref="N1191:N1192"/>
    <mergeCell ref="O1191:O1192"/>
    <mergeCell ref="AG1189:AG1190"/>
    <mergeCell ref="AH1189:AH1190"/>
    <mergeCell ref="AI1189:AI1190"/>
    <mergeCell ref="AJ1189:AJ1190"/>
    <mergeCell ref="AK1189:AK1190"/>
    <mergeCell ref="AB1189:AB1190"/>
    <mergeCell ref="AC1189:AC1190"/>
    <mergeCell ref="AD1189:AD1190"/>
    <mergeCell ref="AE1189:AE1190"/>
    <mergeCell ref="AF1189:AF1190"/>
    <mergeCell ref="W1189:W1190"/>
    <mergeCell ref="X1189:X1190"/>
    <mergeCell ref="Y1189:Y1190"/>
    <mergeCell ref="Z1189:Z1190"/>
    <mergeCell ref="AA1189:AA1190"/>
    <mergeCell ref="R1189:R1190"/>
    <mergeCell ref="S1189:S1190"/>
    <mergeCell ref="T1189:T1190"/>
    <mergeCell ref="U1189:U1190"/>
    <mergeCell ref="V1189:V1190"/>
    <mergeCell ref="M1189:M1190"/>
    <mergeCell ref="N1189:N1190"/>
    <mergeCell ref="O1189:O1190"/>
    <mergeCell ref="P1189:P1190"/>
    <mergeCell ref="Q1189:Q1190"/>
    <mergeCell ref="H1189:H1190"/>
    <mergeCell ref="I1189:I1190"/>
    <mergeCell ref="J1189:J1190"/>
    <mergeCell ref="K1189:K1190"/>
    <mergeCell ref="L1189:L1190"/>
    <mergeCell ref="AP1189:AP1190"/>
    <mergeCell ref="B1189:B1190"/>
    <mergeCell ref="D1189:D1190"/>
    <mergeCell ref="H1193:H1194"/>
    <mergeCell ref="I1193:I1194"/>
    <mergeCell ref="J1193:J1194"/>
    <mergeCell ref="K1193:K1194"/>
    <mergeCell ref="L1193:L1194"/>
    <mergeCell ref="AP1193:AP1194"/>
    <mergeCell ref="B1193:B1194"/>
    <mergeCell ref="D1193:D1194"/>
    <mergeCell ref="AJ1191:AJ1192"/>
    <mergeCell ref="AK1191:AK1192"/>
    <mergeCell ref="AL1191:AL1192"/>
    <mergeCell ref="AM1191:AM1192"/>
    <mergeCell ref="AN1191:AN1192"/>
    <mergeCell ref="AE1191:AE1192"/>
    <mergeCell ref="AF1191:AF1192"/>
    <mergeCell ref="AG1191:AG1192"/>
    <mergeCell ref="AH1191:AH1192"/>
    <mergeCell ref="AI1191:AI1192"/>
    <mergeCell ref="Z1191:Z1192"/>
    <mergeCell ref="AA1191:AA1192"/>
    <mergeCell ref="AB1191:AB1192"/>
    <mergeCell ref="AC1191:AC1192"/>
    <mergeCell ref="AD1191:AD1192"/>
    <mergeCell ref="U1191:U1192"/>
    <mergeCell ref="V1191:V1192"/>
    <mergeCell ref="W1191:W1192"/>
    <mergeCell ref="X1191:X1192"/>
    <mergeCell ref="Y1191:Y1192"/>
    <mergeCell ref="P1191:P1192"/>
    <mergeCell ref="Q1191:Q1192"/>
    <mergeCell ref="R1191:R1192"/>
    <mergeCell ref="S1191:S1192"/>
    <mergeCell ref="T1191:T1192"/>
    <mergeCell ref="AJ1195:AJ1196"/>
    <mergeCell ref="AK1195:AK1196"/>
    <mergeCell ref="AL1195:AL1196"/>
    <mergeCell ref="AM1195:AM1196"/>
    <mergeCell ref="AN1195:AN1196"/>
    <mergeCell ref="AE1195:AE1196"/>
    <mergeCell ref="AF1195:AF1196"/>
    <mergeCell ref="AG1195:AG1196"/>
    <mergeCell ref="AH1195:AH1196"/>
    <mergeCell ref="AI1195:AI1196"/>
    <mergeCell ref="Z1195:Z1196"/>
    <mergeCell ref="AA1195:AA1196"/>
    <mergeCell ref="AB1195:AB1196"/>
    <mergeCell ref="AC1195:AC1196"/>
    <mergeCell ref="AD1195:AD1196"/>
    <mergeCell ref="U1195:U1196"/>
    <mergeCell ref="V1195:V1196"/>
    <mergeCell ref="W1195:W1196"/>
    <mergeCell ref="X1195:X1196"/>
    <mergeCell ref="Y1195:Y1196"/>
    <mergeCell ref="P1195:P1196"/>
    <mergeCell ref="Q1195:Q1196"/>
    <mergeCell ref="R1195:R1196"/>
    <mergeCell ref="S1195:S1196"/>
    <mergeCell ref="T1195:T1196"/>
    <mergeCell ref="AL1193:AL1194"/>
    <mergeCell ref="AM1193:AM1194"/>
    <mergeCell ref="AN1193:AN1194"/>
    <mergeCell ref="AP1195:AP1196"/>
    <mergeCell ref="B1195:B1196"/>
    <mergeCell ref="D1195:D1196"/>
    <mergeCell ref="H1195:H1196"/>
    <mergeCell ref="I1195:I1196"/>
    <mergeCell ref="J1195:J1196"/>
    <mergeCell ref="K1195:K1196"/>
    <mergeCell ref="L1195:L1196"/>
    <mergeCell ref="M1195:M1196"/>
    <mergeCell ref="N1195:N1196"/>
    <mergeCell ref="O1195:O1196"/>
    <mergeCell ref="AG1193:AG1194"/>
    <mergeCell ref="AH1193:AH1194"/>
    <mergeCell ref="AI1193:AI1194"/>
    <mergeCell ref="AJ1193:AJ1194"/>
    <mergeCell ref="AK1193:AK1194"/>
    <mergeCell ref="AB1193:AB1194"/>
    <mergeCell ref="AC1193:AC1194"/>
    <mergeCell ref="AD1193:AD1194"/>
    <mergeCell ref="AE1193:AE1194"/>
    <mergeCell ref="AF1193:AF1194"/>
    <mergeCell ref="W1193:W1194"/>
    <mergeCell ref="X1193:X1194"/>
    <mergeCell ref="Y1193:Y1194"/>
    <mergeCell ref="Z1193:Z1194"/>
    <mergeCell ref="AA1193:AA1194"/>
    <mergeCell ref="R1193:R1194"/>
    <mergeCell ref="S1193:S1194"/>
    <mergeCell ref="T1193:T1194"/>
    <mergeCell ref="U1193:U1194"/>
    <mergeCell ref="V1193:V1194"/>
    <mergeCell ref="M1193:M1194"/>
    <mergeCell ref="N1193:N1194"/>
    <mergeCell ref="O1193:O1194"/>
    <mergeCell ref="P1193:P1194"/>
    <mergeCell ref="Q1193:Q1194"/>
    <mergeCell ref="AL1197:AL1198"/>
    <mergeCell ref="AM1197:AM1198"/>
    <mergeCell ref="AN1197:AN1198"/>
    <mergeCell ref="AP1199:AP1200"/>
    <mergeCell ref="B1199:B1200"/>
    <mergeCell ref="D1199:D1200"/>
    <mergeCell ref="H1199:H1200"/>
    <mergeCell ref="I1199:I1200"/>
    <mergeCell ref="J1199:J1200"/>
    <mergeCell ref="K1199:K1200"/>
    <mergeCell ref="L1199:L1200"/>
    <mergeCell ref="M1199:M1200"/>
    <mergeCell ref="N1199:N1200"/>
    <mergeCell ref="O1199:O1200"/>
    <mergeCell ref="AG1197:AG1198"/>
    <mergeCell ref="AH1197:AH1198"/>
    <mergeCell ref="AI1197:AI1198"/>
    <mergeCell ref="AJ1197:AJ1198"/>
    <mergeCell ref="AK1197:AK1198"/>
    <mergeCell ref="AB1197:AB1198"/>
    <mergeCell ref="AC1197:AC1198"/>
    <mergeCell ref="AD1197:AD1198"/>
    <mergeCell ref="AE1197:AE1198"/>
    <mergeCell ref="AF1197:AF1198"/>
    <mergeCell ref="W1197:W1198"/>
    <mergeCell ref="X1197:X1198"/>
    <mergeCell ref="Y1197:Y1198"/>
    <mergeCell ref="Z1197:Z1198"/>
    <mergeCell ref="AA1197:AA1198"/>
    <mergeCell ref="R1197:R1198"/>
    <mergeCell ref="S1197:S1198"/>
    <mergeCell ref="T1197:T1198"/>
    <mergeCell ref="U1197:U1198"/>
    <mergeCell ref="V1197:V1198"/>
    <mergeCell ref="M1197:M1198"/>
    <mergeCell ref="N1197:N1198"/>
    <mergeCell ref="O1197:O1198"/>
    <mergeCell ref="P1197:P1198"/>
    <mergeCell ref="Q1197:Q1198"/>
    <mergeCell ref="H1197:H1198"/>
    <mergeCell ref="I1197:I1198"/>
    <mergeCell ref="J1197:J1198"/>
    <mergeCell ref="K1197:K1198"/>
    <mergeCell ref="L1197:L1198"/>
    <mergeCell ref="AP1197:AP1198"/>
    <mergeCell ref="B1197:B1198"/>
    <mergeCell ref="D1197:D1198"/>
    <mergeCell ref="H1201:H1202"/>
    <mergeCell ref="I1201:I1202"/>
    <mergeCell ref="J1201:J1202"/>
    <mergeCell ref="K1201:K1202"/>
    <mergeCell ref="L1201:L1202"/>
    <mergeCell ref="AP1201:AP1202"/>
    <mergeCell ref="B1201:B1202"/>
    <mergeCell ref="D1201:D1202"/>
    <mergeCell ref="AJ1199:AJ1200"/>
    <mergeCell ref="AK1199:AK1200"/>
    <mergeCell ref="AL1199:AL1200"/>
    <mergeCell ref="AM1199:AM1200"/>
    <mergeCell ref="AN1199:AN1200"/>
    <mergeCell ref="AE1199:AE1200"/>
    <mergeCell ref="AF1199:AF1200"/>
    <mergeCell ref="AG1199:AG1200"/>
    <mergeCell ref="AH1199:AH1200"/>
    <mergeCell ref="AI1199:AI1200"/>
    <mergeCell ref="Z1199:Z1200"/>
    <mergeCell ref="AA1199:AA1200"/>
    <mergeCell ref="AB1199:AB1200"/>
    <mergeCell ref="AC1199:AC1200"/>
    <mergeCell ref="AD1199:AD1200"/>
    <mergeCell ref="U1199:U1200"/>
    <mergeCell ref="V1199:V1200"/>
    <mergeCell ref="W1199:W1200"/>
    <mergeCell ref="X1199:X1200"/>
    <mergeCell ref="Y1199:Y1200"/>
    <mergeCell ref="P1199:P1200"/>
    <mergeCell ref="Q1199:Q1200"/>
    <mergeCell ref="R1199:R1200"/>
    <mergeCell ref="S1199:S1200"/>
    <mergeCell ref="T1199:T1200"/>
    <mergeCell ref="AJ1203:AJ1204"/>
    <mergeCell ref="AK1203:AK1204"/>
    <mergeCell ref="AL1203:AL1204"/>
    <mergeCell ref="AM1203:AM1204"/>
    <mergeCell ref="AN1203:AN1204"/>
    <mergeCell ref="AE1203:AE1204"/>
    <mergeCell ref="AF1203:AF1204"/>
    <mergeCell ref="AG1203:AG1204"/>
    <mergeCell ref="AH1203:AH1204"/>
    <mergeCell ref="AI1203:AI1204"/>
    <mergeCell ref="Z1203:Z1204"/>
    <mergeCell ref="AA1203:AA1204"/>
    <mergeCell ref="AB1203:AB1204"/>
    <mergeCell ref="AC1203:AC1204"/>
    <mergeCell ref="AD1203:AD1204"/>
    <mergeCell ref="U1203:U1204"/>
    <mergeCell ref="V1203:V1204"/>
    <mergeCell ref="W1203:W1204"/>
    <mergeCell ref="X1203:X1204"/>
    <mergeCell ref="Y1203:Y1204"/>
    <mergeCell ref="P1203:P1204"/>
    <mergeCell ref="Q1203:Q1204"/>
    <mergeCell ref="R1203:R1204"/>
    <mergeCell ref="S1203:S1204"/>
    <mergeCell ref="T1203:T1204"/>
    <mergeCell ref="AL1201:AL1202"/>
    <mergeCell ref="AM1201:AM1202"/>
    <mergeCell ref="AN1201:AN1202"/>
    <mergeCell ref="AP1203:AP1204"/>
    <mergeCell ref="B1203:B1204"/>
    <mergeCell ref="D1203:D1204"/>
    <mergeCell ref="H1203:H1204"/>
    <mergeCell ref="I1203:I1204"/>
    <mergeCell ref="J1203:J1204"/>
    <mergeCell ref="K1203:K1204"/>
    <mergeCell ref="L1203:L1204"/>
    <mergeCell ref="M1203:M1204"/>
    <mergeCell ref="N1203:N1204"/>
    <mergeCell ref="O1203:O1204"/>
    <mergeCell ref="AG1201:AG1202"/>
    <mergeCell ref="AH1201:AH1202"/>
    <mergeCell ref="AI1201:AI1202"/>
    <mergeCell ref="AJ1201:AJ1202"/>
    <mergeCell ref="AK1201:AK1202"/>
    <mergeCell ref="AB1201:AB1202"/>
    <mergeCell ref="AC1201:AC1202"/>
    <mergeCell ref="AD1201:AD1202"/>
    <mergeCell ref="AE1201:AE1202"/>
    <mergeCell ref="AF1201:AF1202"/>
    <mergeCell ref="W1201:W1202"/>
    <mergeCell ref="X1201:X1202"/>
    <mergeCell ref="Y1201:Y1202"/>
    <mergeCell ref="Z1201:Z1202"/>
    <mergeCell ref="AA1201:AA1202"/>
    <mergeCell ref="R1201:R1202"/>
    <mergeCell ref="S1201:S1202"/>
    <mergeCell ref="T1201:T1202"/>
    <mergeCell ref="U1201:U1202"/>
    <mergeCell ref="V1201:V1202"/>
    <mergeCell ref="M1201:M1202"/>
    <mergeCell ref="N1201:N1202"/>
    <mergeCell ref="O1201:O1202"/>
    <mergeCell ref="P1201:P1202"/>
    <mergeCell ref="Q1201:Q1202"/>
    <mergeCell ref="AL1205:AL1206"/>
    <mergeCell ref="AM1205:AM1206"/>
    <mergeCell ref="AN1205:AN1206"/>
    <mergeCell ref="AP1207:AP1208"/>
    <mergeCell ref="B1207:B1208"/>
    <mergeCell ref="D1207:D1208"/>
    <mergeCell ref="H1207:H1208"/>
    <mergeCell ref="I1207:I1208"/>
    <mergeCell ref="J1207:J1208"/>
    <mergeCell ref="K1207:K1208"/>
    <mergeCell ref="L1207:L1208"/>
    <mergeCell ref="M1207:M1208"/>
    <mergeCell ref="N1207:N1208"/>
    <mergeCell ref="O1207:O1208"/>
    <mergeCell ref="AG1205:AG1206"/>
    <mergeCell ref="AH1205:AH1206"/>
    <mergeCell ref="AI1205:AI1206"/>
    <mergeCell ref="AJ1205:AJ1206"/>
    <mergeCell ref="AK1205:AK1206"/>
    <mergeCell ref="AB1205:AB1206"/>
    <mergeCell ref="AC1205:AC1206"/>
    <mergeCell ref="AD1205:AD1206"/>
    <mergeCell ref="AE1205:AE1206"/>
    <mergeCell ref="AF1205:AF1206"/>
    <mergeCell ref="W1205:W1206"/>
    <mergeCell ref="X1205:X1206"/>
    <mergeCell ref="Y1205:Y1206"/>
    <mergeCell ref="Z1205:Z1206"/>
    <mergeCell ref="AA1205:AA1206"/>
    <mergeCell ref="R1205:R1206"/>
    <mergeCell ref="S1205:S1206"/>
    <mergeCell ref="T1205:T1206"/>
    <mergeCell ref="U1205:U1206"/>
    <mergeCell ref="V1205:V1206"/>
    <mergeCell ref="M1205:M1206"/>
    <mergeCell ref="N1205:N1206"/>
    <mergeCell ref="O1205:O1206"/>
    <mergeCell ref="P1205:P1206"/>
    <mergeCell ref="Q1205:Q1206"/>
    <mergeCell ref="H1205:H1206"/>
    <mergeCell ref="I1205:I1206"/>
    <mergeCell ref="J1205:J1206"/>
    <mergeCell ref="K1205:K1206"/>
    <mergeCell ref="L1205:L1206"/>
    <mergeCell ref="AP1205:AP1206"/>
    <mergeCell ref="B1205:B1206"/>
    <mergeCell ref="D1205:D1206"/>
    <mergeCell ref="H1209:H1210"/>
    <mergeCell ref="I1209:I1210"/>
    <mergeCell ref="J1209:J1210"/>
    <mergeCell ref="K1209:K1210"/>
    <mergeCell ref="L1209:L1210"/>
    <mergeCell ref="AP1209:AP1210"/>
    <mergeCell ref="B1209:B1210"/>
    <mergeCell ref="D1209:D1210"/>
    <mergeCell ref="AJ1207:AJ1208"/>
    <mergeCell ref="AK1207:AK1208"/>
    <mergeCell ref="AL1207:AL1208"/>
    <mergeCell ref="AM1207:AM1208"/>
    <mergeCell ref="AN1207:AN1208"/>
    <mergeCell ref="AE1207:AE1208"/>
    <mergeCell ref="AF1207:AF1208"/>
    <mergeCell ref="AG1207:AG1208"/>
    <mergeCell ref="AH1207:AH1208"/>
    <mergeCell ref="AI1207:AI1208"/>
    <mergeCell ref="Z1207:Z1208"/>
    <mergeCell ref="AA1207:AA1208"/>
    <mergeCell ref="AB1207:AB1208"/>
    <mergeCell ref="AC1207:AC1208"/>
    <mergeCell ref="AD1207:AD1208"/>
    <mergeCell ref="U1207:U1208"/>
    <mergeCell ref="V1207:V1208"/>
    <mergeCell ref="W1207:W1208"/>
    <mergeCell ref="X1207:X1208"/>
    <mergeCell ref="Y1207:Y1208"/>
    <mergeCell ref="P1207:P1208"/>
    <mergeCell ref="Q1207:Q1208"/>
    <mergeCell ref="R1207:R1208"/>
    <mergeCell ref="S1207:S1208"/>
    <mergeCell ref="T1207:T1208"/>
    <mergeCell ref="AJ1211:AJ1212"/>
    <mergeCell ref="AK1211:AK1212"/>
    <mergeCell ref="AL1211:AL1212"/>
    <mergeCell ref="AM1211:AM1212"/>
    <mergeCell ref="AN1211:AN1212"/>
    <mergeCell ref="AE1211:AE1212"/>
    <mergeCell ref="AF1211:AF1212"/>
    <mergeCell ref="AG1211:AG1212"/>
    <mergeCell ref="AH1211:AH1212"/>
    <mergeCell ref="AI1211:AI1212"/>
    <mergeCell ref="Z1211:Z1212"/>
    <mergeCell ref="AA1211:AA1212"/>
    <mergeCell ref="AB1211:AB1212"/>
    <mergeCell ref="AC1211:AC1212"/>
    <mergeCell ref="AD1211:AD1212"/>
    <mergeCell ref="U1211:U1212"/>
    <mergeCell ref="V1211:V1212"/>
    <mergeCell ref="W1211:W1212"/>
    <mergeCell ref="X1211:X1212"/>
    <mergeCell ref="Y1211:Y1212"/>
    <mergeCell ref="P1211:P1212"/>
    <mergeCell ref="Q1211:Q1212"/>
    <mergeCell ref="R1211:R1212"/>
    <mergeCell ref="S1211:S1212"/>
    <mergeCell ref="T1211:T1212"/>
    <mergeCell ref="AL1209:AL1210"/>
    <mergeCell ref="AM1209:AM1210"/>
    <mergeCell ref="AN1209:AN1210"/>
    <mergeCell ref="AP1211:AP1212"/>
    <mergeCell ref="B1211:B1212"/>
    <mergeCell ref="D1211:D1212"/>
    <mergeCell ref="H1211:H1212"/>
    <mergeCell ref="I1211:I1212"/>
    <mergeCell ref="J1211:J1212"/>
    <mergeCell ref="K1211:K1212"/>
    <mergeCell ref="L1211:L1212"/>
    <mergeCell ref="M1211:M1212"/>
    <mergeCell ref="N1211:N1212"/>
    <mergeCell ref="O1211:O1212"/>
    <mergeCell ref="AG1209:AG1210"/>
    <mergeCell ref="AH1209:AH1210"/>
    <mergeCell ref="AI1209:AI1210"/>
    <mergeCell ref="AJ1209:AJ1210"/>
    <mergeCell ref="AK1209:AK1210"/>
    <mergeCell ref="AB1209:AB1210"/>
    <mergeCell ref="AC1209:AC1210"/>
    <mergeCell ref="AD1209:AD1210"/>
    <mergeCell ref="AE1209:AE1210"/>
    <mergeCell ref="AF1209:AF1210"/>
    <mergeCell ref="W1209:W1210"/>
    <mergeCell ref="X1209:X1210"/>
    <mergeCell ref="Y1209:Y1210"/>
    <mergeCell ref="Z1209:Z1210"/>
    <mergeCell ref="AA1209:AA1210"/>
    <mergeCell ref="R1209:R1210"/>
    <mergeCell ref="S1209:S1210"/>
    <mergeCell ref="T1209:T1210"/>
    <mergeCell ref="U1209:U1210"/>
    <mergeCell ref="V1209:V1210"/>
    <mergeCell ref="M1209:M1210"/>
    <mergeCell ref="N1209:N1210"/>
    <mergeCell ref="O1209:O1210"/>
    <mergeCell ref="P1209:P1210"/>
    <mergeCell ref="Q1209:Q1210"/>
    <mergeCell ref="AL1213:AL1214"/>
    <mergeCell ref="AM1213:AM1214"/>
    <mergeCell ref="AN1213:AN1214"/>
    <mergeCell ref="AP1215:AP1216"/>
    <mergeCell ref="B1215:B1216"/>
    <mergeCell ref="D1215:D1216"/>
    <mergeCell ref="H1215:H1216"/>
    <mergeCell ref="I1215:I1216"/>
    <mergeCell ref="J1215:J1216"/>
    <mergeCell ref="K1215:K1216"/>
    <mergeCell ref="L1215:L1216"/>
    <mergeCell ref="M1215:M1216"/>
    <mergeCell ref="N1215:N1216"/>
    <mergeCell ref="O1215:O1216"/>
    <mergeCell ref="AG1213:AG1214"/>
    <mergeCell ref="AH1213:AH1214"/>
    <mergeCell ref="AI1213:AI1214"/>
    <mergeCell ref="AJ1213:AJ1214"/>
    <mergeCell ref="AK1213:AK1214"/>
    <mergeCell ref="AB1213:AB1214"/>
    <mergeCell ref="AC1213:AC1214"/>
    <mergeCell ref="AD1213:AD1214"/>
    <mergeCell ref="AE1213:AE1214"/>
    <mergeCell ref="AF1213:AF1214"/>
    <mergeCell ref="W1213:W1214"/>
    <mergeCell ref="X1213:X1214"/>
    <mergeCell ref="Y1213:Y1214"/>
    <mergeCell ref="Z1213:Z1214"/>
    <mergeCell ref="AA1213:AA1214"/>
    <mergeCell ref="R1213:R1214"/>
    <mergeCell ref="S1213:S1214"/>
    <mergeCell ref="T1213:T1214"/>
    <mergeCell ref="U1213:U1214"/>
    <mergeCell ref="V1213:V1214"/>
    <mergeCell ref="M1213:M1214"/>
    <mergeCell ref="N1213:N1214"/>
    <mergeCell ref="O1213:O1214"/>
    <mergeCell ref="P1213:P1214"/>
    <mergeCell ref="Q1213:Q1214"/>
    <mergeCell ref="H1213:H1214"/>
    <mergeCell ref="I1213:I1214"/>
    <mergeCell ref="J1213:J1214"/>
    <mergeCell ref="K1213:K1214"/>
    <mergeCell ref="L1213:L1214"/>
    <mergeCell ref="AP1213:AP1214"/>
    <mergeCell ref="B1213:B1214"/>
    <mergeCell ref="D1213:D1214"/>
    <mergeCell ref="H1217:H1218"/>
    <mergeCell ref="I1217:I1218"/>
    <mergeCell ref="J1217:J1218"/>
    <mergeCell ref="K1217:K1218"/>
    <mergeCell ref="L1217:L1218"/>
    <mergeCell ref="AP1217:AP1218"/>
    <mergeCell ref="B1217:B1218"/>
    <mergeCell ref="D1217:D1218"/>
    <mergeCell ref="AJ1215:AJ1216"/>
    <mergeCell ref="AK1215:AK1216"/>
    <mergeCell ref="AL1215:AL1216"/>
    <mergeCell ref="AM1215:AM1216"/>
    <mergeCell ref="AN1215:AN1216"/>
    <mergeCell ref="AE1215:AE1216"/>
    <mergeCell ref="AF1215:AF1216"/>
    <mergeCell ref="AG1215:AG1216"/>
    <mergeCell ref="AH1215:AH1216"/>
    <mergeCell ref="AI1215:AI1216"/>
    <mergeCell ref="Z1215:Z1216"/>
    <mergeCell ref="AA1215:AA1216"/>
    <mergeCell ref="AB1215:AB1216"/>
    <mergeCell ref="AC1215:AC1216"/>
    <mergeCell ref="AD1215:AD1216"/>
    <mergeCell ref="U1215:U1216"/>
    <mergeCell ref="V1215:V1216"/>
    <mergeCell ref="W1215:W1216"/>
    <mergeCell ref="X1215:X1216"/>
    <mergeCell ref="Y1215:Y1216"/>
    <mergeCell ref="P1215:P1216"/>
    <mergeCell ref="Q1215:Q1216"/>
    <mergeCell ref="R1215:R1216"/>
    <mergeCell ref="S1215:S1216"/>
    <mergeCell ref="T1215:T1216"/>
    <mergeCell ref="AJ1219:AJ1220"/>
    <mergeCell ref="AK1219:AK1220"/>
    <mergeCell ref="AL1219:AL1220"/>
    <mergeCell ref="AM1219:AM1220"/>
    <mergeCell ref="AN1219:AN1220"/>
    <mergeCell ref="AE1219:AE1220"/>
    <mergeCell ref="AF1219:AF1220"/>
    <mergeCell ref="AG1219:AG1220"/>
    <mergeCell ref="AH1219:AH1220"/>
    <mergeCell ref="AI1219:AI1220"/>
    <mergeCell ref="Z1219:Z1220"/>
    <mergeCell ref="AA1219:AA1220"/>
    <mergeCell ref="AB1219:AB1220"/>
    <mergeCell ref="AC1219:AC1220"/>
    <mergeCell ref="AD1219:AD1220"/>
    <mergeCell ref="U1219:U1220"/>
    <mergeCell ref="V1219:V1220"/>
    <mergeCell ref="W1219:W1220"/>
    <mergeCell ref="X1219:X1220"/>
    <mergeCell ref="Y1219:Y1220"/>
    <mergeCell ref="P1219:P1220"/>
    <mergeCell ref="Q1219:Q1220"/>
    <mergeCell ref="R1219:R1220"/>
    <mergeCell ref="S1219:S1220"/>
    <mergeCell ref="T1219:T1220"/>
    <mergeCell ref="AL1217:AL1218"/>
    <mergeCell ref="AM1217:AM1218"/>
    <mergeCell ref="AN1217:AN1218"/>
    <mergeCell ref="AP1219:AP1220"/>
    <mergeCell ref="B1219:B1220"/>
    <mergeCell ref="D1219:D1220"/>
    <mergeCell ref="H1219:H1220"/>
    <mergeCell ref="I1219:I1220"/>
    <mergeCell ref="J1219:J1220"/>
    <mergeCell ref="K1219:K1220"/>
    <mergeCell ref="L1219:L1220"/>
    <mergeCell ref="M1219:M1220"/>
    <mergeCell ref="N1219:N1220"/>
    <mergeCell ref="O1219:O1220"/>
    <mergeCell ref="AG1217:AG1218"/>
    <mergeCell ref="AH1217:AH1218"/>
    <mergeCell ref="AI1217:AI1218"/>
    <mergeCell ref="AJ1217:AJ1218"/>
    <mergeCell ref="AK1217:AK1218"/>
    <mergeCell ref="AB1217:AB1218"/>
    <mergeCell ref="AC1217:AC1218"/>
    <mergeCell ref="AD1217:AD1218"/>
    <mergeCell ref="AE1217:AE1218"/>
    <mergeCell ref="AF1217:AF1218"/>
    <mergeCell ref="W1217:W1218"/>
    <mergeCell ref="X1217:X1218"/>
    <mergeCell ref="Y1217:Y1218"/>
    <mergeCell ref="Z1217:Z1218"/>
    <mergeCell ref="AA1217:AA1218"/>
    <mergeCell ref="R1217:R1218"/>
    <mergeCell ref="S1217:S1218"/>
    <mergeCell ref="T1217:T1218"/>
    <mergeCell ref="U1217:U1218"/>
    <mergeCell ref="V1217:V1218"/>
    <mergeCell ref="M1217:M1218"/>
    <mergeCell ref="N1217:N1218"/>
    <mergeCell ref="O1217:O1218"/>
    <mergeCell ref="P1217:P1218"/>
    <mergeCell ref="Q1217:Q1218"/>
    <mergeCell ref="AL1221:AL1222"/>
    <mergeCell ref="AM1221:AM1222"/>
    <mergeCell ref="AN1221:AN1222"/>
    <mergeCell ref="AP1223:AP1224"/>
    <mergeCell ref="B1223:B1224"/>
    <mergeCell ref="D1223:D1224"/>
    <mergeCell ref="H1223:H1224"/>
    <mergeCell ref="I1223:I1224"/>
    <mergeCell ref="J1223:J1224"/>
    <mergeCell ref="K1223:K1224"/>
    <mergeCell ref="L1223:L1224"/>
    <mergeCell ref="M1223:M1224"/>
    <mergeCell ref="N1223:N1224"/>
    <mergeCell ref="O1223:O1224"/>
    <mergeCell ref="AG1221:AG1222"/>
    <mergeCell ref="AH1221:AH1222"/>
    <mergeCell ref="AI1221:AI1222"/>
    <mergeCell ref="AJ1221:AJ1222"/>
    <mergeCell ref="AK1221:AK1222"/>
    <mergeCell ref="AB1221:AB1222"/>
    <mergeCell ref="AC1221:AC1222"/>
    <mergeCell ref="AD1221:AD1222"/>
    <mergeCell ref="AE1221:AE1222"/>
    <mergeCell ref="AF1221:AF1222"/>
    <mergeCell ref="W1221:W1222"/>
    <mergeCell ref="X1221:X1222"/>
    <mergeCell ref="Y1221:Y1222"/>
    <mergeCell ref="Z1221:Z1222"/>
    <mergeCell ref="AA1221:AA1222"/>
    <mergeCell ref="R1221:R1222"/>
    <mergeCell ref="S1221:S1222"/>
    <mergeCell ref="T1221:T1222"/>
    <mergeCell ref="U1221:U1222"/>
    <mergeCell ref="V1221:V1222"/>
    <mergeCell ref="M1221:M1222"/>
    <mergeCell ref="N1221:N1222"/>
    <mergeCell ref="O1221:O1222"/>
    <mergeCell ref="P1221:P1222"/>
    <mergeCell ref="Q1221:Q1222"/>
    <mergeCell ref="H1221:H1222"/>
    <mergeCell ref="I1221:I1222"/>
    <mergeCell ref="J1221:J1222"/>
    <mergeCell ref="K1221:K1222"/>
    <mergeCell ref="L1221:L1222"/>
    <mergeCell ref="AP1221:AP1222"/>
    <mergeCell ref="B1221:B1222"/>
    <mergeCell ref="D1221:D1222"/>
    <mergeCell ref="H1225:H1226"/>
    <mergeCell ref="I1225:I1226"/>
    <mergeCell ref="J1225:J1226"/>
    <mergeCell ref="K1225:K1226"/>
    <mergeCell ref="L1225:L1226"/>
    <mergeCell ref="AP1225:AP1226"/>
    <mergeCell ref="B1225:B1226"/>
    <mergeCell ref="D1225:D1226"/>
    <mergeCell ref="AJ1223:AJ1224"/>
    <mergeCell ref="AK1223:AK1224"/>
    <mergeCell ref="AL1223:AL1224"/>
    <mergeCell ref="AM1223:AM1224"/>
    <mergeCell ref="AN1223:AN1224"/>
    <mergeCell ref="AE1223:AE1224"/>
    <mergeCell ref="AF1223:AF1224"/>
    <mergeCell ref="AG1223:AG1224"/>
    <mergeCell ref="AH1223:AH1224"/>
    <mergeCell ref="AI1223:AI1224"/>
    <mergeCell ref="Z1223:Z1224"/>
    <mergeCell ref="AA1223:AA1224"/>
    <mergeCell ref="AB1223:AB1224"/>
    <mergeCell ref="AC1223:AC1224"/>
    <mergeCell ref="AD1223:AD1224"/>
    <mergeCell ref="U1223:U1224"/>
    <mergeCell ref="V1223:V1224"/>
    <mergeCell ref="W1223:W1224"/>
    <mergeCell ref="X1223:X1224"/>
    <mergeCell ref="Y1223:Y1224"/>
    <mergeCell ref="P1223:P1224"/>
    <mergeCell ref="Q1223:Q1224"/>
    <mergeCell ref="R1223:R1224"/>
    <mergeCell ref="S1223:S1224"/>
    <mergeCell ref="T1223:T1224"/>
    <mergeCell ref="AJ1227:AJ1228"/>
    <mergeCell ref="AK1227:AK1228"/>
    <mergeCell ref="AL1227:AL1228"/>
    <mergeCell ref="AM1227:AM1228"/>
    <mergeCell ref="AN1227:AN1228"/>
    <mergeCell ref="AE1227:AE1228"/>
    <mergeCell ref="AF1227:AF1228"/>
    <mergeCell ref="AG1227:AG1228"/>
    <mergeCell ref="AH1227:AH1228"/>
    <mergeCell ref="AI1227:AI1228"/>
    <mergeCell ref="Z1227:Z1228"/>
    <mergeCell ref="AA1227:AA1228"/>
    <mergeCell ref="AB1227:AB1228"/>
    <mergeCell ref="AC1227:AC1228"/>
    <mergeCell ref="AD1227:AD1228"/>
    <mergeCell ref="U1227:U1228"/>
    <mergeCell ref="V1227:V1228"/>
    <mergeCell ref="W1227:W1228"/>
    <mergeCell ref="X1227:X1228"/>
    <mergeCell ref="Y1227:Y1228"/>
    <mergeCell ref="P1227:P1228"/>
    <mergeCell ref="Q1227:Q1228"/>
    <mergeCell ref="R1227:R1228"/>
    <mergeCell ref="S1227:S1228"/>
    <mergeCell ref="T1227:T1228"/>
    <mergeCell ref="AL1225:AL1226"/>
    <mergeCell ref="AM1225:AM1226"/>
    <mergeCell ref="AN1225:AN1226"/>
    <mergeCell ref="AP1227:AP1228"/>
    <mergeCell ref="B1227:B1228"/>
    <mergeCell ref="D1227:D1228"/>
    <mergeCell ref="H1227:H1228"/>
    <mergeCell ref="I1227:I1228"/>
    <mergeCell ref="J1227:J1228"/>
    <mergeCell ref="K1227:K1228"/>
    <mergeCell ref="L1227:L1228"/>
    <mergeCell ref="M1227:M1228"/>
    <mergeCell ref="N1227:N1228"/>
    <mergeCell ref="O1227:O1228"/>
    <mergeCell ref="AG1225:AG1226"/>
    <mergeCell ref="AH1225:AH1226"/>
    <mergeCell ref="AI1225:AI1226"/>
    <mergeCell ref="AJ1225:AJ1226"/>
    <mergeCell ref="AK1225:AK1226"/>
    <mergeCell ref="AB1225:AB1226"/>
    <mergeCell ref="AC1225:AC1226"/>
    <mergeCell ref="AD1225:AD1226"/>
    <mergeCell ref="AE1225:AE1226"/>
    <mergeCell ref="AF1225:AF1226"/>
    <mergeCell ref="W1225:W1226"/>
    <mergeCell ref="X1225:X1226"/>
    <mergeCell ref="Y1225:Y1226"/>
    <mergeCell ref="Z1225:Z1226"/>
    <mergeCell ref="AA1225:AA1226"/>
    <mergeCell ref="R1225:R1226"/>
    <mergeCell ref="S1225:S1226"/>
    <mergeCell ref="T1225:T1226"/>
    <mergeCell ref="U1225:U1226"/>
    <mergeCell ref="V1225:V1226"/>
    <mergeCell ref="M1225:M1226"/>
    <mergeCell ref="N1225:N1226"/>
    <mergeCell ref="O1225:O1226"/>
    <mergeCell ref="P1225:P1226"/>
    <mergeCell ref="Q1225:Q1226"/>
    <mergeCell ref="AL1229:AL1230"/>
    <mergeCell ref="AM1229:AM1230"/>
    <mergeCell ref="AN1229:AN1230"/>
    <mergeCell ref="AP1231:AP1232"/>
    <mergeCell ref="B1231:B1232"/>
    <mergeCell ref="D1231:D1232"/>
    <mergeCell ref="H1231:H1232"/>
    <mergeCell ref="I1231:I1232"/>
    <mergeCell ref="J1231:J1232"/>
    <mergeCell ref="K1231:K1232"/>
    <mergeCell ref="L1231:L1232"/>
    <mergeCell ref="M1231:M1232"/>
    <mergeCell ref="N1231:N1232"/>
    <mergeCell ref="O1231:O1232"/>
    <mergeCell ref="AG1229:AG1230"/>
    <mergeCell ref="AH1229:AH1230"/>
    <mergeCell ref="AI1229:AI1230"/>
    <mergeCell ref="AJ1229:AJ1230"/>
    <mergeCell ref="AK1229:AK1230"/>
    <mergeCell ref="AB1229:AB1230"/>
    <mergeCell ref="AC1229:AC1230"/>
    <mergeCell ref="AD1229:AD1230"/>
    <mergeCell ref="AE1229:AE1230"/>
    <mergeCell ref="AF1229:AF1230"/>
    <mergeCell ref="W1229:W1230"/>
    <mergeCell ref="X1229:X1230"/>
    <mergeCell ref="Y1229:Y1230"/>
    <mergeCell ref="Z1229:Z1230"/>
    <mergeCell ref="AA1229:AA1230"/>
    <mergeCell ref="R1229:R1230"/>
    <mergeCell ref="S1229:S1230"/>
    <mergeCell ref="T1229:T1230"/>
    <mergeCell ref="U1229:U1230"/>
    <mergeCell ref="V1229:V1230"/>
    <mergeCell ref="M1229:M1230"/>
    <mergeCell ref="N1229:N1230"/>
    <mergeCell ref="O1229:O1230"/>
    <mergeCell ref="P1229:P1230"/>
    <mergeCell ref="Q1229:Q1230"/>
    <mergeCell ref="H1229:H1230"/>
    <mergeCell ref="I1229:I1230"/>
    <mergeCell ref="J1229:J1230"/>
    <mergeCell ref="K1229:K1230"/>
    <mergeCell ref="L1229:L1230"/>
    <mergeCell ref="AP1229:AP1230"/>
    <mergeCell ref="B1229:B1230"/>
    <mergeCell ref="D1229:D1230"/>
    <mergeCell ref="H1233:H1234"/>
    <mergeCell ref="I1233:I1234"/>
    <mergeCell ref="J1233:J1234"/>
    <mergeCell ref="K1233:K1234"/>
    <mergeCell ref="L1233:L1234"/>
    <mergeCell ref="AP1233:AP1234"/>
    <mergeCell ref="B1233:B1234"/>
    <mergeCell ref="D1233:D1234"/>
    <mergeCell ref="AJ1231:AJ1232"/>
    <mergeCell ref="AK1231:AK1232"/>
    <mergeCell ref="AL1231:AL1232"/>
    <mergeCell ref="AM1231:AM1232"/>
    <mergeCell ref="AN1231:AN1232"/>
    <mergeCell ref="AE1231:AE1232"/>
    <mergeCell ref="AF1231:AF1232"/>
    <mergeCell ref="AG1231:AG1232"/>
    <mergeCell ref="AH1231:AH1232"/>
    <mergeCell ref="AI1231:AI1232"/>
    <mergeCell ref="Z1231:Z1232"/>
    <mergeCell ref="AA1231:AA1232"/>
    <mergeCell ref="AB1231:AB1232"/>
    <mergeCell ref="AC1231:AC1232"/>
    <mergeCell ref="AD1231:AD1232"/>
    <mergeCell ref="U1231:U1232"/>
    <mergeCell ref="V1231:V1232"/>
    <mergeCell ref="W1231:W1232"/>
    <mergeCell ref="X1231:X1232"/>
    <mergeCell ref="Y1231:Y1232"/>
    <mergeCell ref="P1231:P1232"/>
    <mergeCell ref="Q1231:Q1232"/>
    <mergeCell ref="R1231:R1232"/>
    <mergeCell ref="S1231:S1232"/>
    <mergeCell ref="T1231:T1232"/>
    <mergeCell ref="AJ1235:AJ1236"/>
    <mergeCell ref="AK1235:AK1236"/>
    <mergeCell ref="AL1235:AL1236"/>
    <mergeCell ref="AM1235:AM1236"/>
    <mergeCell ref="AN1235:AN1236"/>
    <mergeCell ref="AE1235:AE1236"/>
    <mergeCell ref="AF1235:AF1236"/>
    <mergeCell ref="AG1235:AG1236"/>
    <mergeCell ref="AH1235:AH1236"/>
    <mergeCell ref="AI1235:AI1236"/>
    <mergeCell ref="Z1235:Z1236"/>
    <mergeCell ref="AA1235:AA1236"/>
    <mergeCell ref="AB1235:AB1236"/>
    <mergeCell ref="AC1235:AC1236"/>
    <mergeCell ref="AD1235:AD1236"/>
    <mergeCell ref="U1235:U1236"/>
    <mergeCell ref="V1235:V1236"/>
    <mergeCell ref="W1235:W1236"/>
    <mergeCell ref="X1235:X1236"/>
    <mergeCell ref="Y1235:Y1236"/>
    <mergeCell ref="P1235:P1236"/>
    <mergeCell ref="Q1235:Q1236"/>
    <mergeCell ref="R1235:R1236"/>
    <mergeCell ref="S1235:S1236"/>
    <mergeCell ref="T1235:T1236"/>
    <mergeCell ref="AL1233:AL1234"/>
    <mergeCell ref="AM1233:AM1234"/>
    <mergeCell ref="AN1233:AN1234"/>
    <mergeCell ref="AP1235:AP1236"/>
    <mergeCell ref="B1235:B1236"/>
    <mergeCell ref="D1235:D1236"/>
    <mergeCell ref="H1235:H1236"/>
    <mergeCell ref="I1235:I1236"/>
    <mergeCell ref="J1235:J1236"/>
    <mergeCell ref="K1235:K1236"/>
    <mergeCell ref="L1235:L1236"/>
    <mergeCell ref="M1235:M1236"/>
    <mergeCell ref="N1235:N1236"/>
    <mergeCell ref="O1235:O1236"/>
    <mergeCell ref="AG1233:AG1234"/>
    <mergeCell ref="AH1233:AH1234"/>
    <mergeCell ref="AI1233:AI1234"/>
    <mergeCell ref="AJ1233:AJ1234"/>
    <mergeCell ref="AK1233:AK1234"/>
    <mergeCell ref="AB1233:AB1234"/>
    <mergeCell ref="AC1233:AC1234"/>
    <mergeCell ref="AD1233:AD1234"/>
    <mergeCell ref="AE1233:AE1234"/>
    <mergeCell ref="AF1233:AF1234"/>
    <mergeCell ref="W1233:W1234"/>
    <mergeCell ref="X1233:X1234"/>
    <mergeCell ref="Y1233:Y1234"/>
    <mergeCell ref="Z1233:Z1234"/>
    <mergeCell ref="AA1233:AA1234"/>
    <mergeCell ref="R1233:R1234"/>
    <mergeCell ref="S1233:S1234"/>
    <mergeCell ref="T1233:T1234"/>
    <mergeCell ref="U1233:U1234"/>
    <mergeCell ref="V1233:V1234"/>
    <mergeCell ref="M1233:M1234"/>
    <mergeCell ref="N1233:N1234"/>
    <mergeCell ref="O1233:O1234"/>
    <mergeCell ref="P1233:P1234"/>
    <mergeCell ref="Q1233:Q1234"/>
    <mergeCell ref="AL1237:AL1238"/>
    <mergeCell ref="AM1237:AM1238"/>
    <mergeCell ref="AN1237:AN1238"/>
    <mergeCell ref="AP1239:AP1240"/>
    <mergeCell ref="B1239:B1240"/>
    <mergeCell ref="D1239:D1240"/>
    <mergeCell ref="H1239:H1240"/>
    <mergeCell ref="I1239:I1240"/>
    <mergeCell ref="J1239:J1240"/>
    <mergeCell ref="K1239:K1240"/>
    <mergeCell ref="L1239:L1240"/>
    <mergeCell ref="M1239:M1240"/>
    <mergeCell ref="N1239:N1240"/>
    <mergeCell ref="O1239:O1240"/>
    <mergeCell ref="AG1237:AG1238"/>
    <mergeCell ref="AH1237:AH1238"/>
    <mergeCell ref="AI1237:AI1238"/>
    <mergeCell ref="AJ1237:AJ1238"/>
    <mergeCell ref="AK1237:AK1238"/>
    <mergeCell ref="AB1237:AB1238"/>
    <mergeCell ref="AC1237:AC1238"/>
    <mergeCell ref="AD1237:AD1238"/>
    <mergeCell ref="AE1237:AE1238"/>
    <mergeCell ref="AF1237:AF1238"/>
    <mergeCell ref="W1237:W1238"/>
    <mergeCell ref="X1237:X1238"/>
    <mergeCell ref="Y1237:Y1238"/>
    <mergeCell ref="Z1237:Z1238"/>
    <mergeCell ref="AA1237:AA1238"/>
    <mergeCell ref="R1237:R1238"/>
    <mergeCell ref="S1237:S1238"/>
    <mergeCell ref="T1237:T1238"/>
    <mergeCell ref="U1237:U1238"/>
    <mergeCell ref="V1237:V1238"/>
    <mergeCell ref="M1237:M1238"/>
    <mergeCell ref="N1237:N1238"/>
    <mergeCell ref="O1237:O1238"/>
    <mergeCell ref="P1237:P1238"/>
    <mergeCell ref="Q1237:Q1238"/>
    <mergeCell ref="H1237:H1238"/>
    <mergeCell ref="I1237:I1238"/>
    <mergeCell ref="J1237:J1238"/>
    <mergeCell ref="K1237:K1238"/>
    <mergeCell ref="L1237:L1238"/>
    <mergeCell ref="AP1237:AP1238"/>
    <mergeCell ref="B1237:B1238"/>
    <mergeCell ref="D1237:D1238"/>
    <mergeCell ref="H1241:H1242"/>
    <mergeCell ref="I1241:I1242"/>
    <mergeCell ref="J1241:J1242"/>
    <mergeCell ref="K1241:K1242"/>
    <mergeCell ref="L1241:L1242"/>
    <mergeCell ref="AP1241:AP1242"/>
    <mergeCell ref="B1241:B1242"/>
    <mergeCell ref="D1241:D1242"/>
    <mergeCell ref="AJ1239:AJ1240"/>
    <mergeCell ref="AK1239:AK1240"/>
    <mergeCell ref="AL1239:AL1240"/>
    <mergeCell ref="AM1239:AM1240"/>
    <mergeCell ref="AN1239:AN1240"/>
    <mergeCell ref="AE1239:AE1240"/>
    <mergeCell ref="AF1239:AF1240"/>
    <mergeCell ref="AG1239:AG1240"/>
    <mergeCell ref="AH1239:AH1240"/>
    <mergeCell ref="AI1239:AI1240"/>
    <mergeCell ref="Z1239:Z1240"/>
    <mergeCell ref="AA1239:AA1240"/>
    <mergeCell ref="AB1239:AB1240"/>
    <mergeCell ref="AC1239:AC1240"/>
    <mergeCell ref="AD1239:AD1240"/>
    <mergeCell ref="U1239:U1240"/>
    <mergeCell ref="V1239:V1240"/>
    <mergeCell ref="W1239:W1240"/>
    <mergeCell ref="X1239:X1240"/>
    <mergeCell ref="Y1239:Y1240"/>
    <mergeCell ref="P1239:P1240"/>
    <mergeCell ref="Q1239:Q1240"/>
    <mergeCell ref="R1239:R1240"/>
    <mergeCell ref="S1239:S1240"/>
    <mergeCell ref="T1239:T1240"/>
    <mergeCell ref="AJ1243:AJ1244"/>
    <mergeCell ref="AK1243:AK1244"/>
    <mergeCell ref="AL1243:AL1244"/>
    <mergeCell ref="AM1243:AM1244"/>
    <mergeCell ref="AN1243:AN1244"/>
    <mergeCell ref="AE1243:AE1244"/>
    <mergeCell ref="AF1243:AF1244"/>
    <mergeCell ref="AG1243:AG1244"/>
    <mergeCell ref="AH1243:AH1244"/>
    <mergeCell ref="AI1243:AI1244"/>
    <mergeCell ref="Z1243:Z1244"/>
    <mergeCell ref="AA1243:AA1244"/>
    <mergeCell ref="AB1243:AB1244"/>
    <mergeCell ref="AC1243:AC1244"/>
    <mergeCell ref="AD1243:AD1244"/>
    <mergeCell ref="U1243:U1244"/>
    <mergeCell ref="V1243:V1244"/>
    <mergeCell ref="W1243:W1244"/>
    <mergeCell ref="X1243:X1244"/>
    <mergeCell ref="Y1243:Y1244"/>
    <mergeCell ref="P1243:P1244"/>
    <mergeCell ref="Q1243:Q1244"/>
    <mergeCell ref="R1243:R1244"/>
    <mergeCell ref="S1243:S1244"/>
    <mergeCell ref="T1243:T1244"/>
    <mergeCell ref="AL1241:AL1242"/>
    <mergeCell ref="AM1241:AM1242"/>
    <mergeCell ref="AN1241:AN1242"/>
    <mergeCell ref="AP1243:AP1244"/>
    <mergeCell ref="B1243:B1244"/>
    <mergeCell ref="D1243:D1244"/>
    <mergeCell ref="H1243:H1244"/>
    <mergeCell ref="I1243:I1244"/>
    <mergeCell ref="J1243:J1244"/>
    <mergeCell ref="K1243:K1244"/>
    <mergeCell ref="L1243:L1244"/>
    <mergeCell ref="M1243:M1244"/>
    <mergeCell ref="N1243:N1244"/>
    <mergeCell ref="O1243:O1244"/>
    <mergeCell ref="AG1241:AG1242"/>
    <mergeCell ref="AH1241:AH1242"/>
    <mergeCell ref="AI1241:AI1242"/>
    <mergeCell ref="AJ1241:AJ1242"/>
    <mergeCell ref="AK1241:AK1242"/>
    <mergeCell ref="AB1241:AB1242"/>
    <mergeCell ref="AC1241:AC1242"/>
    <mergeCell ref="AD1241:AD1242"/>
    <mergeCell ref="AE1241:AE1242"/>
    <mergeCell ref="AF1241:AF1242"/>
    <mergeCell ref="W1241:W1242"/>
    <mergeCell ref="X1241:X1242"/>
    <mergeCell ref="Y1241:Y1242"/>
    <mergeCell ref="Z1241:Z1242"/>
    <mergeCell ref="AA1241:AA1242"/>
    <mergeCell ref="R1241:R1242"/>
    <mergeCell ref="S1241:S1242"/>
    <mergeCell ref="T1241:T1242"/>
    <mergeCell ref="U1241:U1242"/>
    <mergeCell ref="V1241:V1242"/>
    <mergeCell ref="M1241:M1242"/>
    <mergeCell ref="N1241:N1242"/>
    <mergeCell ref="O1241:O1242"/>
    <mergeCell ref="P1241:P1242"/>
    <mergeCell ref="Q1241:Q1242"/>
    <mergeCell ref="AL1245:AL1246"/>
    <mergeCell ref="AM1245:AM1246"/>
    <mergeCell ref="AN1245:AN1246"/>
    <mergeCell ref="AP1247:AP1248"/>
    <mergeCell ref="B1247:B1248"/>
    <mergeCell ref="D1247:D1248"/>
    <mergeCell ref="H1247:H1248"/>
    <mergeCell ref="I1247:I1248"/>
    <mergeCell ref="J1247:J1248"/>
    <mergeCell ref="K1247:K1248"/>
    <mergeCell ref="L1247:L1248"/>
    <mergeCell ref="M1247:M1248"/>
    <mergeCell ref="N1247:N1248"/>
    <mergeCell ref="O1247:O1248"/>
    <mergeCell ref="AG1245:AG1246"/>
    <mergeCell ref="AH1245:AH1246"/>
    <mergeCell ref="AI1245:AI1246"/>
    <mergeCell ref="AJ1245:AJ1246"/>
    <mergeCell ref="AK1245:AK1246"/>
    <mergeCell ref="AB1245:AB1246"/>
    <mergeCell ref="AC1245:AC1246"/>
    <mergeCell ref="AD1245:AD1246"/>
    <mergeCell ref="AE1245:AE1246"/>
    <mergeCell ref="AF1245:AF1246"/>
    <mergeCell ref="W1245:W1246"/>
    <mergeCell ref="X1245:X1246"/>
    <mergeCell ref="Y1245:Y1246"/>
    <mergeCell ref="Z1245:Z1246"/>
    <mergeCell ref="AA1245:AA1246"/>
    <mergeCell ref="R1245:R1246"/>
    <mergeCell ref="S1245:S1246"/>
    <mergeCell ref="T1245:T1246"/>
    <mergeCell ref="U1245:U1246"/>
    <mergeCell ref="V1245:V1246"/>
    <mergeCell ref="M1245:M1246"/>
    <mergeCell ref="N1245:N1246"/>
    <mergeCell ref="O1245:O1246"/>
    <mergeCell ref="P1245:P1246"/>
    <mergeCell ref="Q1245:Q1246"/>
    <mergeCell ref="H1245:H1246"/>
    <mergeCell ref="I1245:I1246"/>
    <mergeCell ref="J1245:J1246"/>
    <mergeCell ref="K1245:K1246"/>
    <mergeCell ref="L1245:L1246"/>
    <mergeCell ref="AP1245:AP1246"/>
    <mergeCell ref="B1245:B1246"/>
    <mergeCell ref="D1245:D1246"/>
    <mergeCell ref="H1249:H1250"/>
    <mergeCell ref="I1249:I1250"/>
    <mergeCell ref="J1249:J1250"/>
    <mergeCell ref="K1249:K1250"/>
    <mergeCell ref="L1249:L1250"/>
    <mergeCell ref="AP1249:AP1250"/>
    <mergeCell ref="B1249:B1250"/>
    <mergeCell ref="D1249:D1250"/>
    <mergeCell ref="AJ1247:AJ1248"/>
    <mergeCell ref="AK1247:AK1248"/>
    <mergeCell ref="AL1247:AL1248"/>
    <mergeCell ref="AM1247:AM1248"/>
    <mergeCell ref="AN1247:AN1248"/>
    <mergeCell ref="AE1247:AE1248"/>
    <mergeCell ref="AF1247:AF1248"/>
    <mergeCell ref="AG1247:AG1248"/>
    <mergeCell ref="AH1247:AH1248"/>
    <mergeCell ref="AI1247:AI1248"/>
    <mergeCell ref="Z1247:Z1248"/>
    <mergeCell ref="AA1247:AA1248"/>
    <mergeCell ref="AB1247:AB1248"/>
    <mergeCell ref="AC1247:AC1248"/>
    <mergeCell ref="AD1247:AD1248"/>
    <mergeCell ref="U1247:U1248"/>
    <mergeCell ref="V1247:V1248"/>
    <mergeCell ref="W1247:W1248"/>
    <mergeCell ref="X1247:X1248"/>
    <mergeCell ref="Y1247:Y1248"/>
    <mergeCell ref="P1247:P1248"/>
    <mergeCell ref="Q1247:Q1248"/>
    <mergeCell ref="R1247:R1248"/>
    <mergeCell ref="S1247:S1248"/>
    <mergeCell ref="T1247:T1248"/>
    <mergeCell ref="AJ1251:AJ1252"/>
    <mergeCell ref="AK1251:AK1252"/>
    <mergeCell ref="AL1251:AL1252"/>
    <mergeCell ref="AM1251:AM1252"/>
    <mergeCell ref="AN1251:AN1252"/>
    <mergeCell ref="AE1251:AE1252"/>
    <mergeCell ref="AF1251:AF1252"/>
    <mergeCell ref="AG1251:AG1252"/>
    <mergeCell ref="AH1251:AH1252"/>
    <mergeCell ref="AI1251:AI1252"/>
    <mergeCell ref="Z1251:Z1252"/>
    <mergeCell ref="AA1251:AA1252"/>
    <mergeCell ref="AB1251:AB1252"/>
    <mergeCell ref="AC1251:AC1252"/>
    <mergeCell ref="AD1251:AD1252"/>
    <mergeCell ref="U1251:U1252"/>
    <mergeCell ref="V1251:V1252"/>
    <mergeCell ref="W1251:W1252"/>
    <mergeCell ref="X1251:X1252"/>
    <mergeCell ref="Y1251:Y1252"/>
    <mergeCell ref="P1251:P1252"/>
    <mergeCell ref="Q1251:Q1252"/>
    <mergeCell ref="R1251:R1252"/>
    <mergeCell ref="S1251:S1252"/>
    <mergeCell ref="T1251:T1252"/>
    <mergeCell ref="AL1249:AL1250"/>
    <mergeCell ref="AM1249:AM1250"/>
    <mergeCell ref="AN1249:AN1250"/>
    <mergeCell ref="AP1251:AP1252"/>
    <mergeCell ref="B1251:B1252"/>
    <mergeCell ref="D1251:D1252"/>
    <mergeCell ref="H1251:H1252"/>
    <mergeCell ref="I1251:I1252"/>
    <mergeCell ref="J1251:J1252"/>
    <mergeCell ref="K1251:K1252"/>
    <mergeCell ref="L1251:L1252"/>
    <mergeCell ref="M1251:M1252"/>
    <mergeCell ref="N1251:N1252"/>
    <mergeCell ref="O1251:O1252"/>
    <mergeCell ref="AG1249:AG1250"/>
    <mergeCell ref="AH1249:AH1250"/>
    <mergeCell ref="AI1249:AI1250"/>
    <mergeCell ref="AJ1249:AJ1250"/>
    <mergeCell ref="AK1249:AK1250"/>
    <mergeCell ref="AB1249:AB1250"/>
    <mergeCell ref="AC1249:AC1250"/>
    <mergeCell ref="AD1249:AD1250"/>
    <mergeCell ref="AE1249:AE1250"/>
    <mergeCell ref="AF1249:AF1250"/>
    <mergeCell ref="W1249:W1250"/>
    <mergeCell ref="X1249:X1250"/>
    <mergeCell ref="Y1249:Y1250"/>
    <mergeCell ref="Z1249:Z1250"/>
    <mergeCell ref="AA1249:AA1250"/>
    <mergeCell ref="R1249:R1250"/>
    <mergeCell ref="S1249:S1250"/>
    <mergeCell ref="T1249:T1250"/>
    <mergeCell ref="U1249:U1250"/>
    <mergeCell ref="V1249:V1250"/>
    <mergeCell ref="M1249:M1250"/>
    <mergeCell ref="N1249:N1250"/>
    <mergeCell ref="O1249:O1250"/>
    <mergeCell ref="P1249:P1250"/>
    <mergeCell ref="Q1249:Q1250"/>
    <mergeCell ref="AL1253:AL1254"/>
    <mergeCell ref="AM1253:AM1254"/>
    <mergeCell ref="AN1253:AN1254"/>
    <mergeCell ref="AP1255:AP1256"/>
    <mergeCell ref="B1255:B1256"/>
    <mergeCell ref="D1255:D1256"/>
    <mergeCell ref="H1255:H1256"/>
    <mergeCell ref="I1255:I1256"/>
    <mergeCell ref="J1255:J1256"/>
    <mergeCell ref="K1255:K1256"/>
    <mergeCell ref="L1255:L1256"/>
    <mergeCell ref="M1255:M1256"/>
    <mergeCell ref="N1255:N1256"/>
    <mergeCell ref="O1255:O1256"/>
    <mergeCell ref="AG1253:AG1254"/>
    <mergeCell ref="AH1253:AH1254"/>
    <mergeCell ref="AI1253:AI1254"/>
    <mergeCell ref="AJ1253:AJ1254"/>
    <mergeCell ref="AK1253:AK1254"/>
    <mergeCell ref="AB1253:AB1254"/>
    <mergeCell ref="AC1253:AC1254"/>
    <mergeCell ref="AD1253:AD1254"/>
    <mergeCell ref="AE1253:AE1254"/>
    <mergeCell ref="AF1253:AF1254"/>
    <mergeCell ref="W1253:W1254"/>
    <mergeCell ref="X1253:X1254"/>
    <mergeCell ref="Y1253:Y1254"/>
    <mergeCell ref="Z1253:Z1254"/>
    <mergeCell ref="AA1253:AA1254"/>
    <mergeCell ref="R1253:R1254"/>
    <mergeCell ref="S1253:S1254"/>
    <mergeCell ref="T1253:T1254"/>
    <mergeCell ref="U1253:U1254"/>
    <mergeCell ref="V1253:V1254"/>
    <mergeCell ref="M1253:M1254"/>
    <mergeCell ref="N1253:N1254"/>
    <mergeCell ref="O1253:O1254"/>
    <mergeCell ref="P1253:P1254"/>
    <mergeCell ref="Q1253:Q1254"/>
    <mergeCell ref="H1253:H1254"/>
    <mergeCell ref="I1253:I1254"/>
    <mergeCell ref="J1253:J1254"/>
    <mergeCell ref="K1253:K1254"/>
    <mergeCell ref="L1253:L1254"/>
    <mergeCell ref="AP1253:AP1254"/>
    <mergeCell ref="B1253:B1254"/>
    <mergeCell ref="D1253:D1254"/>
    <mergeCell ref="H1257:H1258"/>
    <mergeCell ref="I1257:I1258"/>
    <mergeCell ref="J1257:J1258"/>
    <mergeCell ref="K1257:K1258"/>
    <mergeCell ref="L1257:L1258"/>
    <mergeCell ref="AP1257:AP1258"/>
    <mergeCell ref="B1257:B1258"/>
    <mergeCell ref="D1257:D1258"/>
    <mergeCell ref="AJ1255:AJ1256"/>
    <mergeCell ref="AK1255:AK1256"/>
    <mergeCell ref="AL1255:AL1256"/>
    <mergeCell ref="AM1255:AM1256"/>
    <mergeCell ref="AN1255:AN1256"/>
    <mergeCell ref="AE1255:AE1256"/>
    <mergeCell ref="AF1255:AF1256"/>
    <mergeCell ref="AG1255:AG1256"/>
    <mergeCell ref="AH1255:AH1256"/>
    <mergeCell ref="AI1255:AI1256"/>
    <mergeCell ref="Z1255:Z1256"/>
    <mergeCell ref="AA1255:AA1256"/>
    <mergeCell ref="AB1255:AB1256"/>
    <mergeCell ref="AC1255:AC1256"/>
    <mergeCell ref="AD1255:AD1256"/>
    <mergeCell ref="U1255:U1256"/>
    <mergeCell ref="V1255:V1256"/>
    <mergeCell ref="W1255:W1256"/>
    <mergeCell ref="X1255:X1256"/>
    <mergeCell ref="Y1255:Y1256"/>
    <mergeCell ref="P1255:P1256"/>
    <mergeCell ref="Q1255:Q1256"/>
    <mergeCell ref="R1255:R1256"/>
    <mergeCell ref="S1255:S1256"/>
    <mergeCell ref="T1255:T1256"/>
    <mergeCell ref="AJ1259:AJ1260"/>
    <mergeCell ref="AK1259:AK1260"/>
    <mergeCell ref="AL1259:AL1260"/>
    <mergeCell ref="AM1259:AM1260"/>
    <mergeCell ref="AN1259:AN1260"/>
    <mergeCell ref="AE1259:AE1260"/>
    <mergeCell ref="AF1259:AF1260"/>
    <mergeCell ref="AG1259:AG1260"/>
    <mergeCell ref="AH1259:AH1260"/>
    <mergeCell ref="AI1259:AI1260"/>
    <mergeCell ref="Z1259:Z1260"/>
    <mergeCell ref="AA1259:AA1260"/>
    <mergeCell ref="AB1259:AB1260"/>
    <mergeCell ref="AC1259:AC1260"/>
    <mergeCell ref="AD1259:AD1260"/>
    <mergeCell ref="U1259:U1260"/>
    <mergeCell ref="V1259:V1260"/>
    <mergeCell ref="W1259:W1260"/>
    <mergeCell ref="X1259:X1260"/>
    <mergeCell ref="Y1259:Y1260"/>
    <mergeCell ref="P1259:P1260"/>
    <mergeCell ref="Q1259:Q1260"/>
    <mergeCell ref="R1259:R1260"/>
    <mergeCell ref="S1259:S1260"/>
    <mergeCell ref="T1259:T1260"/>
    <mergeCell ref="AL1257:AL1258"/>
    <mergeCell ref="AM1257:AM1258"/>
    <mergeCell ref="AN1257:AN1258"/>
    <mergeCell ref="AP1259:AP1260"/>
    <mergeCell ref="B1259:B1260"/>
    <mergeCell ref="D1259:D1260"/>
    <mergeCell ref="H1259:H1260"/>
    <mergeCell ref="I1259:I1260"/>
    <mergeCell ref="J1259:J1260"/>
    <mergeCell ref="K1259:K1260"/>
    <mergeCell ref="L1259:L1260"/>
    <mergeCell ref="M1259:M1260"/>
    <mergeCell ref="N1259:N1260"/>
    <mergeCell ref="O1259:O1260"/>
    <mergeCell ref="AG1257:AG1258"/>
    <mergeCell ref="AH1257:AH1258"/>
    <mergeCell ref="AI1257:AI1258"/>
    <mergeCell ref="AJ1257:AJ1258"/>
    <mergeCell ref="AK1257:AK1258"/>
    <mergeCell ref="AB1257:AB1258"/>
    <mergeCell ref="AC1257:AC1258"/>
    <mergeCell ref="AD1257:AD1258"/>
    <mergeCell ref="AE1257:AE1258"/>
    <mergeCell ref="AF1257:AF1258"/>
    <mergeCell ref="W1257:W1258"/>
    <mergeCell ref="X1257:X1258"/>
    <mergeCell ref="Y1257:Y1258"/>
    <mergeCell ref="Z1257:Z1258"/>
    <mergeCell ref="AA1257:AA1258"/>
    <mergeCell ref="R1257:R1258"/>
    <mergeCell ref="S1257:S1258"/>
    <mergeCell ref="T1257:T1258"/>
    <mergeCell ref="U1257:U1258"/>
    <mergeCell ref="V1257:V1258"/>
    <mergeCell ref="M1257:M1258"/>
    <mergeCell ref="N1257:N1258"/>
    <mergeCell ref="O1257:O1258"/>
    <mergeCell ref="P1257:P1258"/>
    <mergeCell ref="Q1257:Q1258"/>
    <mergeCell ref="AL1261:AL1262"/>
    <mergeCell ref="AM1261:AM1262"/>
    <mergeCell ref="AN1261:AN1262"/>
    <mergeCell ref="AP1263:AP1264"/>
    <mergeCell ref="B1263:B1264"/>
    <mergeCell ref="D1263:D1264"/>
    <mergeCell ref="H1263:H1264"/>
    <mergeCell ref="I1263:I1264"/>
    <mergeCell ref="J1263:J1264"/>
    <mergeCell ref="K1263:K1264"/>
    <mergeCell ref="L1263:L1264"/>
    <mergeCell ref="M1263:M1264"/>
    <mergeCell ref="N1263:N1264"/>
    <mergeCell ref="O1263:O1264"/>
    <mergeCell ref="AG1261:AG1262"/>
    <mergeCell ref="AH1261:AH1262"/>
    <mergeCell ref="AI1261:AI1262"/>
    <mergeCell ref="AJ1261:AJ1262"/>
    <mergeCell ref="AK1261:AK1262"/>
    <mergeCell ref="AB1261:AB1262"/>
    <mergeCell ref="AC1261:AC1262"/>
    <mergeCell ref="AD1261:AD1262"/>
    <mergeCell ref="AE1261:AE1262"/>
    <mergeCell ref="AF1261:AF1262"/>
    <mergeCell ref="W1261:W1262"/>
    <mergeCell ref="X1261:X1262"/>
    <mergeCell ref="Y1261:Y1262"/>
    <mergeCell ref="Z1261:Z1262"/>
    <mergeCell ref="AA1261:AA1262"/>
    <mergeCell ref="R1261:R1262"/>
    <mergeCell ref="S1261:S1262"/>
    <mergeCell ref="T1261:T1262"/>
    <mergeCell ref="U1261:U1262"/>
    <mergeCell ref="V1261:V1262"/>
    <mergeCell ref="M1261:M1262"/>
    <mergeCell ref="N1261:N1262"/>
    <mergeCell ref="O1261:O1262"/>
    <mergeCell ref="P1261:P1262"/>
    <mergeCell ref="Q1261:Q1262"/>
    <mergeCell ref="H1261:H1262"/>
    <mergeCell ref="I1261:I1262"/>
    <mergeCell ref="J1261:J1262"/>
    <mergeCell ref="K1261:K1262"/>
    <mergeCell ref="L1261:L1262"/>
    <mergeCell ref="AP1261:AP1262"/>
    <mergeCell ref="B1261:B1262"/>
    <mergeCell ref="D1261:D1262"/>
    <mergeCell ref="H1265:H1266"/>
    <mergeCell ref="I1265:I1266"/>
    <mergeCell ref="J1265:J1266"/>
    <mergeCell ref="K1265:K1266"/>
    <mergeCell ref="L1265:L1266"/>
    <mergeCell ref="AP1265:AP1266"/>
    <mergeCell ref="B1265:B1266"/>
    <mergeCell ref="D1265:D1266"/>
    <mergeCell ref="AJ1263:AJ1264"/>
    <mergeCell ref="AK1263:AK1264"/>
    <mergeCell ref="AL1263:AL1264"/>
    <mergeCell ref="AM1263:AM1264"/>
    <mergeCell ref="AN1263:AN1264"/>
    <mergeCell ref="AE1263:AE1264"/>
    <mergeCell ref="AF1263:AF1264"/>
    <mergeCell ref="AG1263:AG1264"/>
    <mergeCell ref="AH1263:AH1264"/>
    <mergeCell ref="AI1263:AI1264"/>
    <mergeCell ref="Z1263:Z1264"/>
    <mergeCell ref="AA1263:AA1264"/>
    <mergeCell ref="AB1263:AB1264"/>
    <mergeCell ref="AC1263:AC1264"/>
    <mergeCell ref="AD1263:AD1264"/>
    <mergeCell ref="U1263:U1264"/>
    <mergeCell ref="V1263:V1264"/>
    <mergeCell ref="W1263:W1264"/>
    <mergeCell ref="X1263:X1264"/>
    <mergeCell ref="Y1263:Y1264"/>
    <mergeCell ref="P1263:P1264"/>
    <mergeCell ref="Q1263:Q1264"/>
    <mergeCell ref="R1263:R1264"/>
    <mergeCell ref="S1263:S1264"/>
    <mergeCell ref="T1263:T1264"/>
    <mergeCell ref="AJ1267:AJ1268"/>
    <mergeCell ref="AK1267:AK1268"/>
    <mergeCell ref="AL1267:AL1268"/>
    <mergeCell ref="AM1267:AM1268"/>
    <mergeCell ref="AN1267:AN1268"/>
    <mergeCell ref="AE1267:AE1268"/>
    <mergeCell ref="AF1267:AF1268"/>
    <mergeCell ref="AG1267:AG1268"/>
    <mergeCell ref="AH1267:AH1268"/>
    <mergeCell ref="AI1267:AI1268"/>
    <mergeCell ref="Z1267:Z1268"/>
    <mergeCell ref="AA1267:AA1268"/>
    <mergeCell ref="AB1267:AB1268"/>
    <mergeCell ref="AC1267:AC1268"/>
    <mergeCell ref="AD1267:AD1268"/>
    <mergeCell ref="U1267:U1268"/>
    <mergeCell ref="V1267:V1268"/>
    <mergeCell ref="W1267:W1268"/>
    <mergeCell ref="X1267:X1268"/>
    <mergeCell ref="Y1267:Y1268"/>
    <mergeCell ref="P1267:P1268"/>
    <mergeCell ref="Q1267:Q1268"/>
    <mergeCell ref="R1267:R1268"/>
    <mergeCell ref="S1267:S1268"/>
    <mergeCell ref="T1267:T1268"/>
    <mergeCell ref="AL1265:AL1266"/>
    <mergeCell ref="AM1265:AM1266"/>
    <mergeCell ref="AN1265:AN1266"/>
    <mergeCell ref="AP1267:AP1268"/>
    <mergeCell ref="B1267:B1268"/>
    <mergeCell ref="D1267:D1268"/>
    <mergeCell ref="H1267:H1268"/>
    <mergeCell ref="I1267:I1268"/>
    <mergeCell ref="J1267:J1268"/>
    <mergeCell ref="K1267:K1268"/>
    <mergeCell ref="L1267:L1268"/>
    <mergeCell ref="M1267:M1268"/>
    <mergeCell ref="N1267:N1268"/>
    <mergeCell ref="O1267:O1268"/>
    <mergeCell ref="AG1265:AG1266"/>
    <mergeCell ref="AH1265:AH1266"/>
    <mergeCell ref="AI1265:AI1266"/>
    <mergeCell ref="AJ1265:AJ1266"/>
    <mergeCell ref="AK1265:AK1266"/>
    <mergeCell ref="AB1265:AB1266"/>
    <mergeCell ref="AC1265:AC1266"/>
    <mergeCell ref="AD1265:AD1266"/>
    <mergeCell ref="AE1265:AE1266"/>
    <mergeCell ref="AF1265:AF1266"/>
    <mergeCell ref="W1265:W1266"/>
    <mergeCell ref="X1265:X1266"/>
    <mergeCell ref="Y1265:Y1266"/>
    <mergeCell ref="Z1265:Z1266"/>
    <mergeCell ref="AA1265:AA1266"/>
    <mergeCell ref="R1265:R1266"/>
    <mergeCell ref="S1265:S1266"/>
    <mergeCell ref="T1265:T1266"/>
    <mergeCell ref="U1265:U1266"/>
    <mergeCell ref="V1265:V1266"/>
    <mergeCell ref="M1265:M1266"/>
    <mergeCell ref="N1265:N1266"/>
    <mergeCell ref="O1265:O1266"/>
    <mergeCell ref="P1265:P1266"/>
    <mergeCell ref="Q1265:Q1266"/>
    <mergeCell ref="AL1269:AL1270"/>
    <mergeCell ref="AM1269:AM1270"/>
    <mergeCell ref="AN1269:AN1270"/>
    <mergeCell ref="AP1271:AP1272"/>
    <mergeCell ref="B1271:B1272"/>
    <mergeCell ref="D1271:D1272"/>
    <mergeCell ref="H1271:H1272"/>
    <mergeCell ref="I1271:I1272"/>
    <mergeCell ref="J1271:J1272"/>
    <mergeCell ref="K1271:K1272"/>
    <mergeCell ref="L1271:L1272"/>
    <mergeCell ref="M1271:M1272"/>
    <mergeCell ref="N1271:N1272"/>
    <mergeCell ref="O1271:O1272"/>
    <mergeCell ref="AG1269:AG1270"/>
    <mergeCell ref="AH1269:AH1270"/>
    <mergeCell ref="AI1269:AI1270"/>
    <mergeCell ref="AJ1269:AJ1270"/>
    <mergeCell ref="AK1269:AK1270"/>
    <mergeCell ref="AB1269:AB1270"/>
    <mergeCell ref="AC1269:AC1270"/>
    <mergeCell ref="AD1269:AD1270"/>
    <mergeCell ref="AE1269:AE1270"/>
    <mergeCell ref="AF1269:AF1270"/>
    <mergeCell ref="W1269:W1270"/>
    <mergeCell ref="X1269:X1270"/>
    <mergeCell ref="Y1269:Y1270"/>
    <mergeCell ref="Z1269:Z1270"/>
    <mergeCell ref="AA1269:AA1270"/>
    <mergeCell ref="R1269:R1270"/>
    <mergeCell ref="S1269:S1270"/>
    <mergeCell ref="T1269:T1270"/>
    <mergeCell ref="U1269:U1270"/>
    <mergeCell ref="V1269:V1270"/>
    <mergeCell ref="M1269:M1270"/>
    <mergeCell ref="N1269:N1270"/>
    <mergeCell ref="O1269:O1270"/>
    <mergeCell ref="P1269:P1270"/>
    <mergeCell ref="Q1269:Q1270"/>
    <mergeCell ref="H1269:H1270"/>
    <mergeCell ref="I1269:I1270"/>
    <mergeCell ref="J1269:J1270"/>
    <mergeCell ref="K1269:K1270"/>
    <mergeCell ref="L1269:L1270"/>
    <mergeCell ref="AP1269:AP1270"/>
    <mergeCell ref="B1269:B1270"/>
    <mergeCell ref="D1269:D1270"/>
    <mergeCell ref="O1273:O1274"/>
    <mergeCell ref="P1273:P1274"/>
    <mergeCell ref="Q1273:Q1274"/>
    <mergeCell ref="H1273:H1274"/>
    <mergeCell ref="I1273:I1274"/>
    <mergeCell ref="J1273:J1274"/>
    <mergeCell ref="K1273:K1274"/>
    <mergeCell ref="L1273:L1274"/>
    <mergeCell ref="AP1273:AP1274"/>
    <mergeCell ref="B1273:B1274"/>
    <mergeCell ref="D1273:D1274"/>
    <mergeCell ref="AJ1271:AJ1272"/>
    <mergeCell ref="AK1271:AK1272"/>
    <mergeCell ref="AL1271:AL1272"/>
    <mergeCell ref="AM1271:AM1272"/>
    <mergeCell ref="AN1271:AN1272"/>
    <mergeCell ref="AE1271:AE1272"/>
    <mergeCell ref="AF1271:AF1272"/>
    <mergeCell ref="AG1271:AG1272"/>
    <mergeCell ref="AH1271:AH1272"/>
    <mergeCell ref="AI1271:AI1272"/>
    <mergeCell ref="Z1271:Z1272"/>
    <mergeCell ref="AA1271:AA1272"/>
    <mergeCell ref="AB1271:AB1272"/>
    <mergeCell ref="AC1271:AC1272"/>
    <mergeCell ref="AD1271:AD1272"/>
    <mergeCell ref="U1271:U1272"/>
    <mergeCell ref="V1271:V1272"/>
    <mergeCell ref="W1271:W1272"/>
    <mergeCell ref="X1271:X1272"/>
    <mergeCell ref="Y1271:Y1272"/>
    <mergeCell ref="P1271:P1272"/>
    <mergeCell ref="Q1271:Q1272"/>
    <mergeCell ref="R1271:R1272"/>
    <mergeCell ref="S1271:S1272"/>
    <mergeCell ref="T1271:T1272"/>
    <mergeCell ref="AP1277:AP1278"/>
    <mergeCell ref="B1277:B1278"/>
    <mergeCell ref="D1277:D1278"/>
    <mergeCell ref="AJ1275:AJ1276"/>
    <mergeCell ref="AK1275:AK1276"/>
    <mergeCell ref="AL1275:AL1276"/>
    <mergeCell ref="AM1275:AM1276"/>
    <mergeCell ref="AN1275:AN1276"/>
    <mergeCell ref="AE1275:AE1276"/>
    <mergeCell ref="AF1275:AF1276"/>
    <mergeCell ref="AG1275:AG1276"/>
    <mergeCell ref="AH1275:AH1276"/>
    <mergeCell ref="AI1275:AI1276"/>
    <mergeCell ref="Z1275:Z1276"/>
    <mergeCell ref="AA1275:AA1276"/>
    <mergeCell ref="AB1275:AB1276"/>
    <mergeCell ref="AC1275:AC1276"/>
    <mergeCell ref="AD1275:AD1276"/>
    <mergeCell ref="U1275:U1276"/>
    <mergeCell ref="V1275:V1276"/>
    <mergeCell ref="W1275:W1276"/>
    <mergeCell ref="X1275:X1276"/>
    <mergeCell ref="Y1275:Y1276"/>
    <mergeCell ref="P1275:P1276"/>
    <mergeCell ref="Q1275:Q1276"/>
    <mergeCell ref="R1275:R1276"/>
    <mergeCell ref="S1275:S1276"/>
    <mergeCell ref="T1275:T1276"/>
    <mergeCell ref="AL1273:AL1274"/>
    <mergeCell ref="AM1273:AM1274"/>
    <mergeCell ref="AN1273:AN1274"/>
    <mergeCell ref="AP1275:AP1276"/>
    <mergeCell ref="B1275:B1276"/>
    <mergeCell ref="D1275:D1276"/>
    <mergeCell ref="H1275:H1276"/>
    <mergeCell ref="I1275:I1276"/>
    <mergeCell ref="J1275:J1276"/>
    <mergeCell ref="K1275:K1276"/>
    <mergeCell ref="L1275:L1276"/>
    <mergeCell ref="M1275:M1276"/>
    <mergeCell ref="N1275:N1276"/>
    <mergeCell ref="O1275:O1276"/>
    <mergeCell ref="AG1273:AG1274"/>
    <mergeCell ref="AH1273:AH1274"/>
    <mergeCell ref="AI1273:AI1274"/>
    <mergeCell ref="AJ1273:AJ1274"/>
    <mergeCell ref="AK1273:AK1274"/>
    <mergeCell ref="AB1273:AB1274"/>
    <mergeCell ref="AC1273:AC1274"/>
    <mergeCell ref="AD1273:AD1274"/>
    <mergeCell ref="AE1273:AE1274"/>
    <mergeCell ref="AF1273:AF1274"/>
    <mergeCell ref="W1273:W1274"/>
    <mergeCell ref="X1273:X1274"/>
    <mergeCell ref="Y1273:Y1274"/>
    <mergeCell ref="Z1273:Z1274"/>
    <mergeCell ref="AA1273:AA1274"/>
    <mergeCell ref="R1273:R1274"/>
    <mergeCell ref="S1273:S1274"/>
    <mergeCell ref="T1273:T1274"/>
    <mergeCell ref="U1273:U1274"/>
    <mergeCell ref="V1273:V1274"/>
    <mergeCell ref="M1273:M1274"/>
    <mergeCell ref="N1273:N1274"/>
    <mergeCell ref="AL1277:AL1278"/>
    <mergeCell ref="AM1277:AM1278"/>
    <mergeCell ref="AN1277:AN1278"/>
    <mergeCell ref="A1279:A1280"/>
    <mergeCell ref="B1279:B1280"/>
    <mergeCell ref="D1279:D1280"/>
    <mergeCell ref="H1279:H1280"/>
    <mergeCell ref="I1279:I1280"/>
    <mergeCell ref="J1279:J1280"/>
    <mergeCell ref="K1279:K1280"/>
    <mergeCell ref="L1279:L1280"/>
    <mergeCell ref="M1279:M1280"/>
    <mergeCell ref="N1279:N1280"/>
    <mergeCell ref="O1279:O1280"/>
    <mergeCell ref="AG1277:AG1278"/>
    <mergeCell ref="AH1277:AH1278"/>
    <mergeCell ref="AI1277:AI1278"/>
    <mergeCell ref="AJ1277:AJ1278"/>
    <mergeCell ref="AK1277:AK1278"/>
    <mergeCell ref="AB1277:AB1278"/>
    <mergeCell ref="AC1277:AC1278"/>
    <mergeCell ref="AD1277:AD1278"/>
    <mergeCell ref="AE1277:AE1278"/>
    <mergeCell ref="AF1277:AF1278"/>
    <mergeCell ref="W1277:W1278"/>
    <mergeCell ref="X1277:X1278"/>
    <mergeCell ref="Y1277:Y1278"/>
    <mergeCell ref="Z1277:Z1278"/>
    <mergeCell ref="AA1277:AA1278"/>
    <mergeCell ref="R1277:R1278"/>
    <mergeCell ref="S1277:S1278"/>
    <mergeCell ref="T1277:T1278"/>
    <mergeCell ref="U1277:U1278"/>
    <mergeCell ref="V1277:V1278"/>
    <mergeCell ref="M1277:M1278"/>
    <mergeCell ref="N1277:N1278"/>
    <mergeCell ref="O1277:O1278"/>
    <mergeCell ref="P1277:P1278"/>
    <mergeCell ref="Q1277:Q1278"/>
    <mergeCell ref="H1277:H1278"/>
    <mergeCell ref="I1277:I1278"/>
    <mergeCell ref="J1277:J1278"/>
    <mergeCell ref="K1277:K1278"/>
    <mergeCell ref="L1277:L1278"/>
    <mergeCell ref="H1281:H1282"/>
    <mergeCell ref="I1281:I1282"/>
    <mergeCell ref="J1281:J1282"/>
    <mergeCell ref="K1281:K1282"/>
    <mergeCell ref="L1281:L1282"/>
    <mergeCell ref="A1281:A1282"/>
    <mergeCell ref="B1281:B1282"/>
    <mergeCell ref="D1281:D1282"/>
    <mergeCell ref="AJ1279:AJ1280"/>
    <mergeCell ref="AK1279:AK1280"/>
    <mergeCell ref="AL1279:AL1280"/>
    <mergeCell ref="AM1279:AM1280"/>
    <mergeCell ref="AN1279:AN1280"/>
    <mergeCell ref="AE1279:AE1280"/>
    <mergeCell ref="AF1279:AF1280"/>
    <mergeCell ref="AG1279:AG1280"/>
    <mergeCell ref="AH1279:AH1280"/>
    <mergeCell ref="AI1279:AI1280"/>
    <mergeCell ref="Z1279:Z1280"/>
    <mergeCell ref="AA1279:AA1280"/>
    <mergeCell ref="AB1279:AB1280"/>
    <mergeCell ref="AC1279:AC1280"/>
    <mergeCell ref="AD1279:AD1280"/>
    <mergeCell ref="U1279:U1280"/>
    <mergeCell ref="V1279:V1280"/>
    <mergeCell ref="W1279:W1280"/>
    <mergeCell ref="X1279:X1280"/>
    <mergeCell ref="Y1279:Y1280"/>
    <mergeCell ref="P1279:P1280"/>
    <mergeCell ref="Q1279:Q1280"/>
    <mergeCell ref="R1279:R1280"/>
    <mergeCell ref="S1279:S1280"/>
    <mergeCell ref="T1279:T1280"/>
    <mergeCell ref="AJ1283:AJ1284"/>
    <mergeCell ref="AK1283:AK1284"/>
    <mergeCell ref="AL1283:AL1284"/>
    <mergeCell ref="AM1283:AM1284"/>
    <mergeCell ref="AN1283:AN1284"/>
    <mergeCell ref="AE1283:AE1284"/>
    <mergeCell ref="AF1283:AF1284"/>
    <mergeCell ref="AG1283:AG1284"/>
    <mergeCell ref="AH1283:AH1284"/>
    <mergeCell ref="AI1283:AI1284"/>
    <mergeCell ref="Z1283:Z1284"/>
    <mergeCell ref="AA1283:AA1284"/>
    <mergeCell ref="AB1283:AB1284"/>
    <mergeCell ref="AC1283:AC1284"/>
    <mergeCell ref="AD1283:AD1284"/>
    <mergeCell ref="U1283:U1284"/>
    <mergeCell ref="V1283:V1284"/>
    <mergeCell ref="W1283:W1284"/>
    <mergeCell ref="X1283:X1284"/>
    <mergeCell ref="Y1283:Y1284"/>
    <mergeCell ref="P1283:P1284"/>
    <mergeCell ref="Q1283:Q1284"/>
    <mergeCell ref="R1283:R1284"/>
    <mergeCell ref="S1283:S1284"/>
    <mergeCell ref="T1283:T1284"/>
    <mergeCell ref="AL1281:AL1282"/>
    <mergeCell ref="AM1281:AM1282"/>
    <mergeCell ref="AN1281:AN1282"/>
    <mergeCell ref="A1283:A1284"/>
    <mergeCell ref="B1283:B1284"/>
    <mergeCell ref="D1283:D1284"/>
    <mergeCell ref="H1283:H1284"/>
    <mergeCell ref="I1283:I1284"/>
    <mergeCell ref="J1283:J1284"/>
    <mergeCell ref="K1283:K1284"/>
    <mergeCell ref="L1283:L1284"/>
    <mergeCell ref="M1283:M1284"/>
    <mergeCell ref="N1283:N1284"/>
    <mergeCell ref="O1283:O1284"/>
    <mergeCell ref="AG1281:AG1282"/>
    <mergeCell ref="AH1281:AH1282"/>
    <mergeCell ref="AI1281:AI1282"/>
    <mergeCell ref="AJ1281:AJ1282"/>
    <mergeCell ref="AK1281:AK1282"/>
    <mergeCell ref="AB1281:AB1282"/>
    <mergeCell ref="AC1281:AC1282"/>
    <mergeCell ref="AD1281:AD1282"/>
    <mergeCell ref="AE1281:AE1282"/>
    <mergeCell ref="AF1281:AF1282"/>
    <mergeCell ref="W1281:W1282"/>
    <mergeCell ref="X1281:X1282"/>
    <mergeCell ref="Y1281:Y1282"/>
    <mergeCell ref="Z1281:Z1282"/>
    <mergeCell ref="AA1281:AA1282"/>
    <mergeCell ref="R1281:R1282"/>
    <mergeCell ref="S1281:S1282"/>
    <mergeCell ref="T1281:T1282"/>
    <mergeCell ref="U1281:U1282"/>
    <mergeCell ref="V1281:V1282"/>
    <mergeCell ref="M1281:M1282"/>
    <mergeCell ref="N1281:N1282"/>
    <mergeCell ref="O1281:O1282"/>
    <mergeCell ref="P1281:P1282"/>
    <mergeCell ref="Q1281:Q1282"/>
    <mergeCell ref="AL1285:AL1286"/>
    <mergeCell ref="AM1285:AM1286"/>
    <mergeCell ref="AN1285:AN1286"/>
    <mergeCell ref="A1287:A1288"/>
    <mergeCell ref="B1287:B1288"/>
    <mergeCell ref="D1287:D1288"/>
    <mergeCell ref="H1287:H1288"/>
    <mergeCell ref="I1287:I1288"/>
    <mergeCell ref="J1287:J1288"/>
    <mergeCell ref="K1287:K1288"/>
    <mergeCell ref="L1287:L1288"/>
    <mergeCell ref="M1287:M1288"/>
    <mergeCell ref="N1287:N1288"/>
    <mergeCell ref="O1287:O1288"/>
    <mergeCell ref="AG1285:AG1286"/>
    <mergeCell ref="AH1285:AH1286"/>
    <mergeCell ref="AI1285:AI1286"/>
    <mergeCell ref="AJ1285:AJ1286"/>
    <mergeCell ref="AK1285:AK1286"/>
    <mergeCell ref="AB1285:AB1286"/>
    <mergeCell ref="AC1285:AC1286"/>
    <mergeCell ref="AD1285:AD1286"/>
    <mergeCell ref="AE1285:AE1286"/>
    <mergeCell ref="AF1285:AF1286"/>
    <mergeCell ref="W1285:W1286"/>
    <mergeCell ref="X1285:X1286"/>
    <mergeCell ref="Y1285:Y1286"/>
    <mergeCell ref="Z1285:Z1286"/>
    <mergeCell ref="AA1285:AA1286"/>
    <mergeCell ref="R1285:R1286"/>
    <mergeCell ref="S1285:S1286"/>
    <mergeCell ref="T1285:T1286"/>
    <mergeCell ref="U1285:U1286"/>
    <mergeCell ref="V1285:V1286"/>
    <mergeCell ref="M1285:M1286"/>
    <mergeCell ref="N1285:N1286"/>
    <mergeCell ref="O1285:O1286"/>
    <mergeCell ref="P1285:P1286"/>
    <mergeCell ref="Q1285:Q1286"/>
    <mergeCell ref="H1285:H1286"/>
    <mergeCell ref="I1285:I1286"/>
    <mergeCell ref="J1285:J1286"/>
    <mergeCell ref="K1285:K1286"/>
    <mergeCell ref="L1285:L1286"/>
    <mergeCell ref="A1285:A1286"/>
    <mergeCell ref="B1285:B1286"/>
    <mergeCell ref="D1285:D1286"/>
    <mergeCell ref="H1289:H1290"/>
    <mergeCell ref="I1289:I1290"/>
    <mergeCell ref="J1289:J1290"/>
    <mergeCell ref="K1289:K1290"/>
    <mergeCell ref="L1289:L1290"/>
    <mergeCell ref="A1289:A1290"/>
    <mergeCell ref="B1289:B1290"/>
    <mergeCell ref="D1289:D1290"/>
    <mergeCell ref="AJ1287:AJ1288"/>
    <mergeCell ref="AK1287:AK1288"/>
    <mergeCell ref="AL1287:AL1288"/>
    <mergeCell ref="AM1287:AM1288"/>
    <mergeCell ref="AN1287:AN1288"/>
    <mergeCell ref="AE1287:AE1288"/>
    <mergeCell ref="AF1287:AF1288"/>
    <mergeCell ref="AG1287:AG1288"/>
    <mergeCell ref="AH1287:AH1288"/>
    <mergeCell ref="AI1287:AI1288"/>
    <mergeCell ref="Z1287:Z1288"/>
    <mergeCell ref="AA1287:AA1288"/>
    <mergeCell ref="AB1287:AB1288"/>
    <mergeCell ref="AC1287:AC1288"/>
    <mergeCell ref="AD1287:AD1288"/>
    <mergeCell ref="U1287:U1288"/>
    <mergeCell ref="V1287:V1288"/>
    <mergeCell ref="W1287:W1288"/>
    <mergeCell ref="X1287:X1288"/>
    <mergeCell ref="Y1287:Y1288"/>
    <mergeCell ref="P1287:P1288"/>
    <mergeCell ref="Q1287:Q1288"/>
    <mergeCell ref="R1287:R1288"/>
    <mergeCell ref="S1287:S1288"/>
    <mergeCell ref="T1287:T1288"/>
    <mergeCell ref="AJ1291:AJ1292"/>
    <mergeCell ref="AK1291:AK1292"/>
    <mergeCell ref="AL1291:AL1292"/>
    <mergeCell ref="AM1291:AM1292"/>
    <mergeCell ref="AN1291:AN1292"/>
    <mergeCell ref="AE1291:AE1292"/>
    <mergeCell ref="AF1291:AF1292"/>
    <mergeCell ref="AG1291:AG1292"/>
    <mergeCell ref="AH1291:AH1292"/>
    <mergeCell ref="AI1291:AI1292"/>
    <mergeCell ref="Z1291:Z1292"/>
    <mergeCell ref="AA1291:AA1292"/>
    <mergeCell ref="AB1291:AB1292"/>
    <mergeCell ref="AC1291:AC1292"/>
    <mergeCell ref="AD1291:AD1292"/>
    <mergeCell ref="U1291:U1292"/>
    <mergeCell ref="V1291:V1292"/>
    <mergeCell ref="W1291:W1292"/>
    <mergeCell ref="X1291:X1292"/>
    <mergeCell ref="Y1291:Y1292"/>
    <mergeCell ref="P1291:P1292"/>
    <mergeCell ref="Q1291:Q1292"/>
    <mergeCell ref="R1291:R1292"/>
    <mergeCell ref="S1291:S1292"/>
    <mergeCell ref="T1291:T1292"/>
    <mergeCell ref="AL1289:AL1290"/>
    <mergeCell ref="AM1289:AM1290"/>
    <mergeCell ref="AN1289:AN1290"/>
    <mergeCell ref="A1291:A1292"/>
    <mergeCell ref="B1291:B1292"/>
    <mergeCell ref="D1291:D1292"/>
    <mergeCell ref="H1291:H1292"/>
    <mergeCell ref="I1291:I1292"/>
    <mergeCell ref="J1291:J1292"/>
    <mergeCell ref="K1291:K1292"/>
    <mergeCell ref="L1291:L1292"/>
    <mergeCell ref="M1291:M1292"/>
    <mergeCell ref="N1291:N1292"/>
    <mergeCell ref="O1291:O1292"/>
    <mergeCell ref="AG1289:AG1290"/>
    <mergeCell ref="AH1289:AH1290"/>
    <mergeCell ref="AI1289:AI1290"/>
    <mergeCell ref="AJ1289:AJ1290"/>
    <mergeCell ref="AK1289:AK1290"/>
    <mergeCell ref="AB1289:AB1290"/>
    <mergeCell ref="AC1289:AC1290"/>
    <mergeCell ref="AD1289:AD1290"/>
    <mergeCell ref="AE1289:AE1290"/>
    <mergeCell ref="AF1289:AF1290"/>
    <mergeCell ref="W1289:W1290"/>
    <mergeCell ref="X1289:X1290"/>
    <mergeCell ref="Y1289:Y1290"/>
    <mergeCell ref="Z1289:Z1290"/>
    <mergeCell ref="AA1289:AA1290"/>
    <mergeCell ref="R1289:R1290"/>
    <mergeCell ref="S1289:S1290"/>
    <mergeCell ref="T1289:T1290"/>
    <mergeCell ref="U1289:U1290"/>
    <mergeCell ref="V1289:V1290"/>
    <mergeCell ref="M1289:M1290"/>
    <mergeCell ref="N1289:N1290"/>
    <mergeCell ref="O1289:O1290"/>
    <mergeCell ref="P1289:P1290"/>
    <mergeCell ref="Q1289:Q1290"/>
    <mergeCell ref="AL1293:AL1294"/>
    <mergeCell ref="AM1293:AM1294"/>
    <mergeCell ref="AN1293:AN1294"/>
    <mergeCell ref="A1295:A1296"/>
    <mergeCell ref="B1295:B1296"/>
    <mergeCell ref="D1295:D1296"/>
    <mergeCell ref="H1295:H1296"/>
    <mergeCell ref="I1295:I1296"/>
    <mergeCell ref="J1295:J1296"/>
    <mergeCell ref="K1295:K1296"/>
    <mergeCell ref="L1295:L1296"/>
    <mergeCell ref="M1295:M1296"/>
    <mergeCell ref="N1295:N1296"/>
    <mergeCell ref="O1295:O1296"/>
    <mergeCell ref="AG1293:AG1294"/>
    <mergeCell ref="AH1293:AH1294"/>
    <mergeCell ref="AI1293:AI1294"/>
    <mergeCell ref="AJ1293:AJ1294"/>
    <mergeCell ref="AK1293:AK1294"/>
    <mergeCell ref="AB1293:AB1294"/>
    <mergeCell ref="AC1293:AC1294"/>
    <mergeCell ref="AD1293:AD1294"/>
    <mergeCell ref="AE1293:AE1294"/>
    <mergeCell ref="AF1293:AF1294"/>
    <mergeCell ref="W1293:W1294"/>
    <mergeCell ref="X1293:X1294"/>
    <mergeCell ref="Y1293:Y1294"/>
    <mergeCell ref="Z1293:Z1294"/>
    <mergeCell ref="AA1293:AA1294"/>
    <mergeCell ref="R1293:R1294"/>
    <mergeCell ref="S1293:S1294"/>
    <mergeCell ref="T1293:T1294"/>
    <mergeCell ref="U1293:U1294"/>
    <mergeCell ref="V1293:V1294"/>
    <mergeCell ref="M1293:M1294"/>
    <mergeCell ref="N1293:N1294"/>
    <mergeCell ref="O1293:O1294"/>
    <mergeCell ref="P1293:P1294"/>
    <mergeCell ref="Q1293:Q1294"/>
    <mergeCell ref="H1293:H1294"/>
    <mergeCell ref="I1293:I1294"/>
    <mergeCell ref="J1293:J1294"/>
    <mergeCell ref="K1293:K1294"/>
    <mergeCell ref="L1293:L1294"/>
    <mergeCell ref="A1293:A1294"/>
    <mergeCell ref="B1293:B1294"/>
    <mergeCell ref="D1293:D1294"/>
    <mergeCell ref="H1297:H1298"/>
    <mergeCell ref="I1297:I1298"/>
    <mergeCell ref="J1297:J1298"/>
    <mergeCell ref="K1297:K1298"/>
    <mergeCell ref="L1297:L1298"/>
    <mergeCell ref="A1297:A1298"/>
    <mergeCell ref="B1297:B1298"/>
    <mergeCell ref="D1297:D1298"/>
    <mergeCell ref="AJ1295:AJ1296"/>
    <mergeCell ref="AK1295:AK1296"/>
    <mergeCell ref="AL1295:AL1296"/>
    <mergeCell ref="AM1295:AM1296"/>
    <mergeCell ref="AN1295:AN1296"/>
    <mergeCell ref="AE1295:AE1296"/>
    <mergeCell ref="AF1295:AF1296"/>
    <mergeCell ref="AG1295:AG1296"/>
    <mergeCell ref="AH1295:AH1296"/>
    <mergeCell ref="AI1295:AI1296"/>
    <mergeCell ref="Z1295:Z1296"/>
    <mergeCell ref="AA1295:AA1296"/>
    <mergeCell ref="AB1295:AB1296"/>
    <mergeCell ref="AC1295:AC1296"/>
    <mergeCell ref="AD1295:AD1296"/>
    <mergeCell ref="U1295:U1296"/>
    <mergeCell ref="V1295:V1296"/>
    <mergeCell ref="W1295:W1296"/>
    <mergeCell ref="X1295:X1296"/>
    <mergeCell ref="Y1295:Y1296"/>
    <mergeCell ref="P1295:P1296"/>
    <mergeCell ref="Q1295:Q1296"/>
    <mergeCell ref="R1295:R1296"/>
    <mergeCell ref="S1295:S1296"/>
    <mergeCell ref="T1295:T1296"/>
    <mergeCell ref="AJ1299:AJ1300"/>
    <mergeCell ref="AK1299:AK1300"/>
    <mergeCell ref="AL1299:AL1300"/>
    <mergeCell ref="AM1299:AM1300"/>
    <mergeCell ref="AN1299:AN1300"/>
    <mergeCell ref="AE1299:AE1300"/>
    <mergeCell ref="AF1299:AF1300"/>
    <mergeCell ref="AG1299:AG1300"/>
    <mergeCell ref="AH1299:AH1300"/>
    <mergeCell ref="AI1299:AI1300"/>
    <mergeCell ref="Z1299:Z1300"/>
    <mergeCell ref="AA1299:AA1300"/>
    <mergeCell ref="AB1299:AB1300"/>
    <mergeCell ref="AC1299:AC1300"/>
    <mergeCell ref="AD1299:AD1300"/>
    <mergeCell ref="U1299:U1300"/>
    <mergeCell ref="V1299:V1300"/>
    <mergeCell ref="W1299:W1300"/>
    <mergeCell ref="X1299:X1300"/>
    <mergeCell ref="Y1299:Y1300"/>
    <mergeCell ref="P1299:P1300"/>
    <mergeCell ref="Q1299:Q1300"/>
    <mergeCell ref="R1299:R1300"/>
    <mergeCell ref="S1299:S1300"/>
    <mergeCell ref="T1299:T1300"/>
    <mergeCell ref="AL1297:AL1298"/>
    <mergeCell ref="AM1297:AM1298"/>
    <mergeCell ref="AN1297:AN1298"/>
    <mergeCell ref="A1299:A1300"/>
    <mergeCell ref="B1299:B1300"/>
    <mergeCell ref="D1299:D1300"/>
    <mergeCell ref="H1299:H1300"/>
    <mergeCell ref="I1299:I1300"/>
    <mergeCell ref="J1299:J1300"/>
    <mergeCell ref="K1299:K1300"/>
    <mergeCell ref="L1299:L1300"/>
    <mergeCell ref="M1299:M1300"/>
    <mergeCell ref="N1299:N1300"/>
    <mergeCell ref="O1299:O1300"/>
    <mergeCell ref="AG1297:AG1298"/>
    <mergeCell ref="AH1297:AH1298"/>
    <mergeCell ref="AI1297:AI1298"/>
    <mergeCell ref="AJ1297:AJ1298"/>
    <mergeCell ref="AK1297:AK1298"/>
    <mergeCell ref="AB1297:AB1298"/>
    <mergeCell ref="AC1297:AC1298"/>
    <mergeCell ref="AD1297:AD1298"/>
    <mergeCell ref="AE1297:AE1298"/>
    <mergeCell ref="AF1297:AF1298"/>
    <mergeCell ref="W1297:W1298"/>
    <mergeCell ref="X1297:X1298"/>
    <mergeCell ref="Y1297:Y1298"/>
    <mergeCell ref="Z1297:Z1298"/>
    <mergeCell ref="AA1297:AA1298"/>
    <mergeCell ref="R1297:R1298"/>
    <mergeCell ref="S1297:S1298"/>
    <mergeCell ref="T1297:T1298"/>
    <mergeCell ref="U1297:U1298"/>
    <mergeCell ref="V1297:V1298"/>
    <mergeCell ref="M1297:M1298"/>
    <mergeCell ref="N1297:N1298"/>
    <mergeCell ref="O1297:O1298"/>
    <mergeCell ref="P1297:P1298"/>
    <mergeCell ref="Q1297:Q1298"/>
    <mergeCell ref="AL1301:AL1302"/>
    <mergeCell ref="AM1301:AM1302"/>
    <mergeCell ref="AN1301:AN1302"/>
    <mergeCell ref="A1303:A1304"/>
    <mergeCell ref="B1303:B1304"/>
    <mergeCell ref="D1303:D1304"/>
    <mergeCell ref="H1303:H1304"/>
    <mergeCell ref="I1303:I1304"/>
    <mergeCell ref="J1303:J1304"/>
    <mergeCell ref="K1303:K1304"/>
    <mergeCell ref="L1303:L1304"/>
    <mergeCell ref="M1303:M1304"/>
    <mergeCell ref="N1303:N1304"/>
    <mergeCell ref="O1303:O1304"/>
    <mergeCell ref="AG1301:AG1302"/>
    <mergeCell ref="AH1301:AH1302"/>
    <mergeCell ref="AI1301:AI1302"/>
    <mergeCell ref="AJ1301:AJ1302"/>
    <mergeCell ref="AK1301:AK1302"/>
    <mergeCell ref="AB1301:AB1302"/>
    <mergeCell ref="AC1301:AC1302"/>
    <mergeCell ref="AD1301:AD1302"/>
    <mergeCell ref="AE1301:AE1302"/>
    <mergeCell ref="AF1301:AF1302"/>
    <mergeCell ref="W1301:W1302"/>
    <mergeCell ref="X1301:X1302"/>
    <mergeCell ref="Y1301:Y1302"/>
    <mergeCell ref="Z1301:Z1302"/>
    <mergeCell ref="AA1301:AA1302"/>
    <mergeCell ref="R1301:R1302"/>
    <mergeCell ref="S1301:S1302"/>
    <mergeCell ref="T1301:T1302"/>
    <mergeCell ref="U1301:U1302"/>
    <mergeCell ref="V1301:V1302"/>
    <mergeCell ref="M1301:M1302"/>
    <mergeCell ref="N1301:N1302"/>
    <mergeCell ref="O1301:O1302"/>
    <mergeCell ref="P1301:P1302"/>
    <mergeCell ref="Q1301:Q1302"/>
    <mergeCell ref="H1301:H1302"/>
    <mergeCell ref="I1301:I1302"/>
    <mergeCell ref="J1301:J1302"/>
    <mergeCell ref="K1301:K1302"/>
    <mergeCell ref="L1301:L1302"/>
    <mergeCell ref="A1301:A1302"/>
    <mergeCell ref="B1301:B1302"/>
    <mergeCell ref="D1301:D1302"/>
    <mergeCell ref="H1305:H1306"/>
    <mergeCell ref="I1305:I1306"/>
    <mergeCell ref="J1305:J1306"/>
    <mergeCell ref="K1305:K1306"/>
    <mergeCell ref="L1305:L1306"/>
    <mergeCell ref="A1305:A1306"/>
    <mergeCell ref="B1305:B1306"/>
    <mergeCell ref="D1305:D1306"/>
    <mergeCell ref="AJ1303:AJ1304"/>
    <mergeCell ref="AK1303:AK1304"/>
    <mergeCell ref="AL1303:AL1304"/>
    <mergeCell ref="AM1303:AM1304"/>
    <mergeCell ref="AN1303:AN1304"/>
    <mergeCell ref="AE1303:AE1304"/>
    <mergeCell ref="AF1303:AF1304"/>
    <mergeCell ref="AG1303:AG1304"/>
    <mergeCell ref="AH1303:AH1304"/>
    <mergeCell ref="AI1303:AI1304"/>
    <mergeCell ref="Z1303:Z1304"/>
    <mergeCell ref="AA1303:AA1304"/>
    <mergeCell ref="AB1303:AB1304"/>
    <mergeCell ref="AC1303:AC1304"/>
    <mergeCell ref="AD1303:AD1304"/>
    <mergeCell ref="U1303:U1304"/>
    <mergeCell ref="V1303:V1304"/>
    <mergeCell ref="W1303:W1304"/>
    <mergeCell ref="X1303:X1304"/>
    <mergeCell ref="Y1303:Y1304"/>
    <mergeCell ref="P1303:P1304"/>
    <mergeCell ref="Q1303:Q1304"/>
    <mergeCell ref="R1303:R1304"/>
    <mergeCell ref="S1303:S1304"/>
    <mergeCell ref="T1303:T1304"/>
    <mergeCell ref="AJ1307:AJ1308"/>
    <mergeCell ref="AK1307:AK1308"/>
    <mergeCell ref="AL1307:AL1308"/>
    <mergeCell ref="AM1307:AM1308"/>
    <mergeCell ref="AN1307:AN1308"/>
    <mergeCell ref="AE1307:AE1308"/>
    <mergeCell ref="AF1307:AF1308"/>
    <mergeCell ref="AG1307:AG1308"/>
    <mergeCell ref="AH1307:AH1308"/>
    <mergeCell ref="AI1307:AI1308"/>
    <mergeCell ref="Z1307:Z1308"/>
    <mergeCell ref="AA1307:AA1308"/>
    <mergeCell ref="AB1307:AB1308"/>
    <mergeCell ref="AC1307:AC1308"/>
    <mergeCell ref="AD1307:AD1308"/>
    <mergeCell ref="U1307:U1308"/>
    <mergeCell ref="V1307:V1308"/>
    <mergeCell ref="W1307:W1308"/>
    <mergeCell ref="X1307:X1308"/>
    <mergeCell ref="Y1307:Y1308"/>
    <mergeCell ref="P1307:P1308"/>
    <mergeCell ref="Q1307:Q1308"/>
    <mergeCell ref="R1307:R1308"/>
    <mergeCell ref="S1307:S1308"/>
    <mergeCell ref="T1307:T1308"/>
    <mergeCell ref="AL1305:AL1306"/>
    <mergeCell ref="AM1305:AM1306"/>
    <mergeCell ref="AN1305:AN1306"/>
    <mergeCell ref="A1307:A1308"/>
    <mergeCell ref="B1307:B1308"/>
    <mergeCell ref="D1307:D1308"/>
    <mergeCell ref="H1307:H1308"/>
    <mergeCell ref="I1307:I1308"/>
    <mergeCell ref="J1307:J1308"/>
    <mergeCell ref="K1307:K1308"/>
    <mergeCell ref="L1307:L1308"/>
    <mergeCell ref="M1307:M1308"/>
    <mergeCell ref="N1307:N1308"/>
    <mergeCell ref="O1307:O1308"/>
    <mergeCell ref="AG1305:AG1306"/>
    <mergeCell ref="AH1305:AH1306"/>
    <mergeCell ref="AI1305:AI1306"/>
    <mergeCell ref="AJ1305:AJ1306"/>
    <mergeCell ref="AK1305:AK1306"/>
    <mergeCell ref="AB1305:AB1306"/>
    <mergeCell ref="AC1305:AC1306"/>
    <mergeCell ref="AD1305:AD1306"/>
    <mergeCell ref="AE1305:AE1306"/>
    <mergeCell ref="AF1305:AF1306"/>
    <mergeCell ref="W1305:W1306"/>
    <mergeCell ref="X1305:X1306"/>
    <mergeCell ref="Y1305:Y1306"/>
    <mergeCell ref="Z1305:Z1306"/>
    <mergeCell ref="AA1305:AA1306"/>
    <mergeCell ref="R1305:R1306"/>
    <mergeCell ref="S1305:S1306"/>
    <mergeCell ref="T1305:T1306"/>
    <mergeCell ref="U1305:U1306"/>
    <mergeCell ref="V1305:V1306"/>
    <mergeCell ref="M1305:M1306"/>
    <mergeCell ref="N1305:N1306"/>
    <mergeCell ref="O1305:O1306"/>
    <mergeCell ref="P1305:P1306"/>
    <mergeCell ref="Q1305:Q1306"/>
    <mergeCell ref="AL1309:AL1310"/>
    <mergeCell ref="AM1309:AM1310"/>
    <mergeCell ref="AN1309:AN1310"/>
    <mergeCell ref="A1311:A1312"/>
    <mergeCell ref="B1311:B1312"/>
    <mergeCell ref="D1311:D1312"/>
    <mergeCell ref="H1311:H1312"/>
    <mergeCell ref="I1311:I1312"/>
    <mergeCell ref="J1311:J1312"/>
    <mergeCell ref="K1311:K1312"/>
    <mergeCell ref="L1311:L1312"/>
    <mergeCell ref="M1311:M1312"/>
    <mergeCell ref="N1311:N1312"/>
    <mergeCell ref="O1311:O1312"/>
    <mergeCell ref="AG1309:AG1310"/>
    <mergeCell ref="AH1309:AH1310"/>
    <mergeCell ref="AI1309:AI1310"/>
    <mergeCell ref="AJ1309:AJ1310"/>
    <mergeCell ref="AK1309:AK1310"/>
    <mergeCell ref="AB1309:AB1310"/>
    <mergeCell ref="AC1309:AC1310"/>
    <mergeCell ref="AD1309:AD1310"/>
    <mergeCell ref="AE1309:AE1310"/>
    <mergeCell ref="AF1309:AF1310"/>
    <mergeCell ref="W1309:W1310"/>
    <mergeCell ref="X1309:X1310"/>
    <mergeCell ref="Y1309:Y1310"/>
    <mergeCell ref="Z1309:Z1310"/>
    <mergeCell ref="AA1309:AA1310"/>
    <mergeCell ref="R1309:R1310"/>
    <mergeCell ref="S1309:S1310"/>
    <mergeCell ref="T1309:T1310"/>
    <mergeCell ref="U1309:U1310"/>
    <mergeCell ref="V1309:V1310"/>
    <mergeCell ref="M1309:M1310"/>
    <mergeCell ref="N1309:N1310"/>
    <mergeCell ref="O1309:O1310"/>
    <mergeCell ref="P1309:P1310"/>
    <mergeCell ref="Q1309:Q1310"/>
    <mergeCell ref="H1309:H1310"/>
    <mergeCell ref="I1309:I1310"/>
    <mergeCell ref="J1309:J1310"/>
    <mergeCell ref="K1309:K1310"/>
    <mergeCell ref="L1309:L1310"/>
    <mergeCell ref="A1309:A1310"/>
    <mergeCell ref="B1309:B1310"/>
    <mergeCell ref="D1309:D1310"/>
    <mergeCell ref="H1313:H1314"/>
    <mergeCell ref="I1313:I1314"/>
    <mergeCell ref="J1313:J1314"/>
    <mergeCell ref="K1313:K1314"/>
    <mergeCell ref="L1313:L1314"/>
    <mergeCell ref="A1313:A1314"/>
    <mergeCell ref="B1313:B1314"/>
    <mergeCell ref="D1313:D1314"/>
    <mergeCell ref="AJ1311:AJ1312"/>
    <mergeCell ref="AK1311:AK1312"/>
    <mergeCell ref="AL1311:AL1312"/>
    <mergeCell ref="AM1311:AM1312"/>
    <mergeCell ref="AN1311:AN1312"/>
    <mergeCell ref="AE1311:AE1312"/>
    <mergeCell ref="AF1311:AF1312"/>
    <mergeCell ref="AG1311:AG1312"/>
    <mergeCell ref="AH1311:AH1312"/>
    <mergeCell ref="AI1311:AI1312"/>
    <mergeCell ref="Z1311:Z1312"/>
    <mergeCell ref="AA1311:AA1312"/>
    <mergeCell ref="AB1311:AB1312"/>
    <mergeCell ref="AC1311:AC1312"/>
    <mergeCell ref="AD1311:AD1312"/>
    <mergeCell ref="U1311:U1312"/>
    <mergeCell ref="V1311:V1312"/>
    <mergeCell ref="W1311:W1312"/>
    <mergeCell ref="X1311:X1312"/>
    <mergeCell ref="Y1311:Y1312"/>
    <mergeCell ref="P1311:P1312"/>
    <mergeCell ref="Q1311:Q1312"/>
    <mergeCell ref="R1311:R1312"/>
    <mergeCell ref="S1311:S1312"/>
    <mergeCell ref="T1311:T1312"/>
    <mergeCell ref="AJ1315:AJ1316"/>
    <mergeCell ref="AK1315:AK1316"/>
    <mergeCell ref="AL1315:AL1316"/>
    <mergeCell ref="AM1315:AM1316"/>
    <mergeCell ref="AN1315:AN1316"/>
    <mergeCell ref="AE1315:AE1316"/>
    <mergeCell ref="AF1315:AF1316"/>
    <mergeCell ref="AG1315:AG1316"/>
    <mergeCell ref="AH1315:AH1316"/>
    <mergeCell ref="AI1315:AI1316"/>
    <mergeCell ref="Z1315:Z1316"/>
    <mergeCell ref="AA1315:AA1316"/>
    <mergeCell ref="AB1315:AB1316"/>
    <mergeCell ref="AC1315:AC1316"/>
    <mergeCell ref="AD1315:AD1316"/>
    <mergeCell ref="U1315:U1316"/>
    <mergeCell ref="V1315:V1316"/>
    <mergeCell ref="W1315:W1316"/>
    <mergeCell ref="X1315:X1316"/>
    <mergeCell ref="Y1315:Y1316"/>
    <mergeCell ref="P1315:P1316"/>
    <mergeCell ref="Q1315:Q1316"/>
    <mergeCell ref="R1315:R1316"/>
    <mergeCell ref="S1315:S1316"/>
    <mergeCell ref="T1315:T1316"/>
    <mergeCell ref="AL1313:AL1314"/>
    <mergeCell ref="AM1313:AM1314"/>
    <mergeCell ref="AN1313:AN1314"/>
    <mergeCell ref="A1315:A1316"/>
    <mergeCell ref="B1315:B1316"/>
    <mergeCell ref="D1315:D1316"/>
    <mergeCell ref="H1315:H1316"/>
    <mergeCell ref="I1315:I1316"/>
    <mergeCell ref="J1315:J1316"/>
    <mergeCell ref="K1315:K1316"/>
    <mergeCell ref="L1315:L1316"/>
    <mergeCell ref="M1315:M1316"/>
    <mergeCell ref="N1315:N1316"/>
    <mergeCell ref="O1315:O1316"/>
    <mergeCell ref="AG1313:AG1314"/>
    <mergeCell ref="AH1313:AH1314"/>
    <mergeCell ref="AI1313:AI1314"/>
    <mergeCell ref="AJ1313:AJ1314"/>
    <mergeCell ref="AK1313:AK1314"/>
    <mergeCell ref="AB1313:AB1314"/>
    <mergeCell ref="AC1313:AC1314"/>
    <mergeCell ref="AD1313:AD1314"/>
    <mergeCell ref="AE1313:AE1314"/>
    <mergeCell ref="AF1313:AF1314"/>
    <mergeCell ref="W1313:W1314"/>
    <mergeCell ref="X1313:X1314"/>
    <mergeCell ref="Y1313:Y1314"/>
    <mergeCell ref="Z1313:Z1314"/>
    <mergeCell ref="AA1313:AA1314"/>
    <mergeCell ref="R1313:R1314"/>
    <mergeCell ref="S1313:S1314"/>
    <mergeCell ref="T1313:T1314"/>
    <mergeCell ref="U1313:U1314"/>
    <mergeCell ref="V1313:V1314"/>
    <mergeCell ref="M1313:M1314"/>
    <mergeCell ref="N1313:N1314"/>
    <mergeCell ref="O1313:O1314"/>
    <mergeCell ref="P1313:P1314"/>
    <mergeCell ref="Q1313:Q1314"/>
    <mergeCell ref="AL1317:AL1318"/>
    <mergeCell ref="AM1317:AM1318"/>
    <mergeCell ref="AN1317:AN1318"/>
    <mergeCell ref="A1319:A1320"/>
    <mergeCell ref="B1319:B1320"/>
    <mergeCell ref="D1319:D1320"/>
    <mergeCell ref="H1319:H1320"/>
    <mergeCell ref="I1319:I1320"/>
    <mergeCell ref="J1319:J1320"/>
    <mergeCell ref="K1319:K1320"/>
    <mergeCell ref="L1319:L1320"/>
    <mergeCell ref="M1319:M1320"/>
    <mergeCell ref="N1319:N1320"/>
    <mergeCell ref="O1319:O1320"/>
    <mergeCell ref="AG1317:AG1318"/>
    <mergeCell ref="AH1317:AH1318"/>
    <mergeCell ref="AI1317:AI1318"/>
    <mergeCell ref="AJ1317:AJ1318"/>
    <mergeCell ref="AK1317:AK1318"/>
    <mergeCell ref="AB1317:AB1318"/>
    <mergeCell ref="AC1317:AC1318"/>
    <mergeCell ref="AD1317:AD1318"/>
    <mergeCell ref="AE1317:AE1318"/>
    <mergeCell ref="AF1317:AF1318"/>
    <mergeCell ref="W1317:W1318"/>
    <mergeCell ref="X1317:X1318"/>
    <mergeCell ref="Y1317:Y1318"/>
    <mergeCell ref="Z1317:Z1318"/>
    <mergeCell ref="AA1317:AA1318"/>
    <mergeCell ref="R1317:R1318"/>
    <mergeCell ref="S1317:S1318"/>
    <mergeCell ref="T1317:T1318"/>
    <mergeCell ref="U1317:U1318"/>
    <mergeCell ref="V1317:V1318"/>
    <mergeCell ref="M1317:M1318"/>
    <mergeCell ref="N1317:N1318"/>
    <mergeCell ref="O1317:O1318"/>
    <mergeCell ref="P1317:P1318"/>
    <mergeCell ref="Q1317:Q1318"/>
    <mergeCell ref="H1317:H1318"/>
    <mergeCell ref="I1317:I1318"/>
    <mergeCell ref="J1317:J1318"/>
    <mergeCell ref="K1317:K1318"/>
    <mergeCell ref="L1317:L1318"/>
    <mergeCell ref="A1317:A1318"/>
    <mergeCell ref="B1317:B1318"/>
    <mergeCell ref="D1317:D1318"/>
    <mergeCell ref="H1321:H1322"/>
    <mergeCell ref="I1321:I1322"/>
    <mergeCell ref="J1321:J1322"/>
    <mergeCell ref="K1321:K1322"/>
    <mergeCell ref="L1321:L1322"/>
    <mergeCell ref="A1321:A1322"/>
    <mergeCell ref="B1321:B1322"/>
    <mergeCell ref="D1321:D1322"/>
    <mergeCell ref="AJ1319:AJ1320"/>
    <mergeCell ref="AK1319:AK1320"/>
    <mergeCell ref="AL1319:AL1320"/>
    <mergeCell ref="AM1319:AM1320"/>
    <mergeCell ref="AN1319:AN1320"/>
    <mergeCell ref="AE1319:AE1320"/>
    <mergeCell ref="AF1319:AF1320"/>
    <mergeCell ref="AG1319:AG1320"/>
    <mergeCell ref="AH1319:AH1320"/>
    <mergeCell ref="AI1319:AI1320"/>
    <mergeCell ref="Z1319:Z1320"/>
    <mergeCell ref="AA1319:AA1320"/>
    <mergeCell ref="AB1319:AB1320"/>
    <mergeCell ref="AC1319:AC1320"/>
    <mergeCell ref="AD1319:AD1320"/>
    <mergeCell ref="U1319:U1320"/>
    <mergeCell ref="V1319:V1320"/>
    <mergeCell ref="W1319:W1320"/>
    <mergeCell ref="X1319:X1320"/>
    <mergeCell ref="Y1319:Y1320"/>
    <mergeCell ref="P1319:P1320"/>
    <mergeCell ref="Q1319:Q1320"/>
    <mergeCell ref="R1319:R1320"/>
    <mergeCell ref="S1319:S1320"/>
    <mergeCell ref="T1319:T1320"/>
    <mergeCell ref="AJ1323:AJ1324"/>
    <mergeCell ref="AK1323:AK1324"/>
    <mergeCell ref="AL1323:AL1324"/>
    <mergeCell ref="AM1323:AM1324"/>
    <mergeCell ref="AN1323:AN1324"/>
    <mergeCell ref="AE1323:AE1324"/>
    <mergeCell ref="AF1323:AF1324"/>
    <mergeCell ref="AG1323:AG1324"/>
    <mergeCell ref="AH1323:AH1324"/>
    <mergeCell ref="AI1323:AI1324"/>
    <mergeCell ref="Z1323:Z1324"/>
    <mergeCell ref="AA1323:AA1324"/>
    <mergeCell ref="AB1323:AB1324"/>
    <mergeCell ref="AC1323:AC1324"/>
    <mergeCell ref="AD1323:AD1324"/>
    <mergeCell ref="U1323:U1324"/>
    <mergeCell ref="V1323:V1324"/>
    <mergeCell ref="W1323:W1324"/>
    <mergeCell ref="X1323:X1324"/>
    <mergeCell ref="Y1323:Y1324"/>
    <mergeCell ref="P1323:P1324"/>
    <mergeCell ref="Q1323:Q1324"/>
    <mergeCell ref="R1323:R1324"/>
    <mergeCell ref="S1323:S1324"/>
    <mergeCell ref="T1323:T1324"/>
    <mergeCell ref="AL1321:AL1322"/>
    <mergeCell ref="AM1321:AM1322"/>
    <mergeCell ref="AN1321:AN1322"/>
    <mergeCell ref="A1323:A1324"/>
    <mergeCell ref="B1323:B1324"/>
    <mergeCell ref="D1323:D1324"/>
    <mergeCell ref="H1323:H1324"/>
    <mergeCell ref="I1323:I1324"/>
    <mergeCell ref="J1323:J1324"/>
    <mergeCell ref="K1323:K1324"/>
    <mergeCell ref="L1323:L1324"/>
    <mergeCell ref="M1323:M1324"/>
    <mergeCell ref="N1323:N1324"/>
    <mergeCell ref="O1323:O1324"/>
    <mergeCell ref="AG1321:AG1322"/>
    <mergeCell ref="AH1321:AH1322"/>
    <mergeCell ref="AI1321:AI1322"/>
    <mergeCell ref="AJ1321:AJ1322"/>
    <mergeCell ref="AK1321:AK1322"/>
    <mergeCell ref="AB1321:AB1322"/>
    <mergeCell ref="AC1321:AC1322"/>
    <mergeCell ref="AD1321:AD1322"/>
    <mergeCell ref="AE1321:AE1322"/>
    <mergeCell ref="AF1321:AF1322"/>
    <mergeCell ref="W1321:W1322"/>
    <mergeCell ref="X1321:X1322"/>
    <mergeCell ref="Y1321:Y1322"/>
    <mergeCell ref="Z1321:Z1322"/>
    <mergeCell ref="AA1321:AA1322"/>
    <mergeCell ref="R1321:R1322"/>
    <mergeCell ref="S1321:S1322"/>
    <mergeCell ref="T1321:T1322"/>
    <mergeCell ref="U1321:U1322"/>
    <mergeCell ref="V1321:V1322"/>
    <mergeCell ref="M1321:M1322"/>
    <mergeCell ref="N1321:N1322"/>
    <mergeCell ref="O1321:O1322"/>
    <mergeCell ref="P1321:P1322"/>
    <mergeCell ref="Q1321:Q1322"/>
    <mergeCell ref="AL1325:AL1326"/>
    <mergeCell ref="AM1325:AM1326"/>
    <mergeCell ref="AN1325:AN1326"/>
    <mergeCell ref="A1327:A1328"/>
    <mergeCell ref="B1327:B1328"/>
    <mergeCell ref="D1327:D1328"/>
    <mergeCell ref="H1327:H1328"/>
    <mergeCell ref="I1327:I1328"/>
    <mergeCell ref="J1327:J1328"/>
    <mergeCell ref="K1327:K1328"/>
    <mergeCell ref="L1327:L1328"/>
    <mergeCell ref="M1327:M1328"/>
    <mergeCell ref="N1327:N1328"/>
    <mergeCell ref="O1327:O1328"/>
    <mergeCell ref="AG1325:AG1326"/>
    <mergeCell ref="AH1325:AH1326"/>
    <mergeCell ref="AI1325:AI1326"/>
    <mergeCell ref="AJ1325:AJ1326"/>
    <mergeCell ref="AK1325:AK1326"/>
    <mergeCell ref="AB1325:AB1326"/>
    <mergeCell ref="AC1325:AC1326"/>
    <mergeCell ref="AD1325:AD1326"/>
    <mergeCell ref="AE1325:AE1326"/>
    <mergeCell ref="AF1325:AF1326"/>
    <mergeCell ref="W1325:W1326"/>
    <mergeCell ref="X1325:X1326"/>
    <mergeCell ref="Y1325:Y1326"/>
    <mergeCell ref="Z1325:Z1326"/>
    <mergeCell ref="AA1325:AA1326"/>
    <mergeCell ref="R1325:R1326"/>
    <mergeCell ref="S1325:S1326"/>
    <mergeCell ref="T1325:T1326"/>
    <mergeCell ref="U1325:U1326"/>
    <mergeCell ref="V1325:V1326"/>
    <mergeCell ref="M1325:M1326"/>
    <mergeCell ref="N1325:N1326"/>
    <mergeCell ref="O1325:O1326"/>
    <mergeCell ref="P1325:P1326"/>
    <mergeCell ref="Q1325:Q1326"/>
    <mergeCell ref="H1325:H1326"/>
    <mergeCell ref="I1325:I1326"/>
    <mergeCell ref="J1325:J1326"/>
    <mergeCell ref="K1325:K1326"/>
    <mergeCell ref="L1325:L1326"/>
    <mergeCell ref="A1325:A1326"/>
    <mergeCell ref="B1325:B1326"/>
    <mergeCell ref="D1325:D1326"/>
    <mergeCell ref="H1329:H1330"/>
    <mergeCell ref="I1329:I1330"/>
    <mergeCell ref="J1329:J1330"/>
    <mergeCell ref="K1329:K1330"/>
    <mergeCell ref="L1329:L1330"/>
    <mergeCell ref="A1329:A1330"/>
    <mergeCell ref="B1329:B1330"/>
    <mergeCell ref="D1329:D1330"/>
    <mergeCell ref="AJ1327:AJ1328"/>
    <mergeCell ref="AK1327:AK1328"/>
    <mergeCell ref="AL1327:AL1328"/>
    <mergeCell ref="AM1327:AM1328"/>
    <mergeCell ref="AN1327:AN1328"/>
    <mergeCell ref="AE1327:AE1328"/>
    <mergeCell ref="AF1327:AF1328"/>
    <mergeCell ref="AG1327:AG1328"/>
    <mergeCell ref="AH1327:AH1328"/>
    <mergeCell ref="AI1327:AI1328"/>
    <mergeCell ref="Z1327:Z1328"/>
    <mergeCell ref="AA1327:AA1328"/>
    <mergeCell ref="AB1327:AB1328"/>
    <mergeCell ref="AC1327:AC1328"/>
    <mergeCell ref="AD1327:AD1328"/>
    <mergeCell ref="U1327:U1328"/>
    <mergeCell ref="V1327:V1328"/>
    <mergeCell ref="W1327:W1328"/>
    <mergeCell ref="X1327:X1328"/>
    <mergeCell ref="Y1327:Y1328"/>
    <mergeCell ref="P1327:P1328"/>
    <mergeCell ref="Q1327:Q1328"/>
    <mergeCell ref="R1327:R1328"/>
    <mergeCell ref="S1327:S1328"/>
    <mergeCell ref="T1327:T1328"/>
    <mergeCell ref="AJ1331:AJ1332"/>
    <mergeCell ref="AK1331:AK1332"/>
    <mergeCell ref="AL1331:AL1332"/>
    <mergeCell ref="AM1331:AM1332"/>
    <mergeCell ref="AN1331:AN1332"/>
    <mergeCell ref="AE1331:AE1332"/>
    <mergeCell ref="AF1331:AF1332"/>
    <mergeCell ref="AG1331:AG1332"/>
    <mergeCell ref="AH1331:AH1332"/>
    <mergeCell ref="AI1331:AI1332"/>
    <mergeCell ref="Z1331:Z1332"/>
    <mergeCell ref="AA1331:AA1332"/>
    <mergeCell ref="AB1331:AB1332"/>
    <mergeCell ref="AC1331:AC1332"/>
    <mergeCell ref="AD1331:AD1332"/>
    <mergeCell ref="U1331:U1332"/>
    <mergeCell ref="V1331:V1332"/>
    <mergeCell ref="W1331:W1332"/>
    <mergeCell ref="X1331:X1332"/>
    <mergeCell ref="Y1331:Y1332"/>
    <mergeCell ref="P1331:P1332"/>
    <mergeCell ref="Q1331:Q1332"/>
    <mergeCell ref="R1331:R1332"/>
    <mergeCell ref="S1331:S1332"/>
    <mergeCell ref="T1331:T1332"/>
    <mergeCell ref="AL1329:AL1330"/>
    <mergeCell ref="AM1329:AM1330"/>
    <mergeCell ref="AN1329:AN1330"/>
    <mergeCell ref="A1331:A1332"/>
    <mergeCell ref="B1331:B1332"/>
    <mergeCell ref="D1331:D1332"/>
    <mergeCell ref="H1331:H1332"/>
    <mergeCell ref="I1331:I1332"/>
    <mergeCell ref="J1331:J1332"/>
    <mergeCell ref="K1331:K1332"/>
    <mergeCell ref="L1331:L1332"/>
    <mergeCell ref="M1331:M1332"/>
    <mergeCell ref="N1331:N1332"/>
    <mergeCell ref="O1331:O1332"/>
    <mergeCell ref="AG1329:AG1330"/>
    <mergeCell ref="AH1329:AH1330"/>
    <mergeCell ref="AI1329:AI1330"/>
    <mergeCell ref="AJ1329:AJ1330"/>
    <mergeCell ref="AK1329:AK1330"/>
    <mergeCell ref="AB1329:AB1330"/>
    <mergeCell ref="AC1329:AC1330"/>
    <mergeCell ref="AD1329:AD1330"/>
    <mergeCell ref="AE1329:AE1330"/>
    <mergeCell ref="AF1329:AF1330"/>
    <mergeCell ref="W1329:W1330"/>
    <mergeCell ref="X1329:X1330"/>
    <mergeCell ref="Y1329:Y1330"/>
    <mergeCell ref="Z1329:Z1330"/>
    <mergeCell ref="AA1329:AA1330"/>
    <mergeCell ref="R1329:R1330"/>
    <mergeCell ref="S1329:S1330"/>
    <mergeCell ref="T1329:T1330"/>
    <mergeCell ref="U1329:U1330"/>
    <mergeCell ref="V1329:V1330"/>
    <mergeCell ref="M1329:M1330"/>
    <mergeCell ref="N1329:N1330"/>
    <mergeCell ref="O1329:O1330"/>
    <mergeCell ref="P1329:P1330"/>
    <mergeCell ref="Q1329:Q1330"/>
    <mergeCell ref="AL1333:AL1334"/>
    <mergeCell ref="AM1333:AM1334"/>
    <mergeCell ref="AN1333:AN1334"/>
    <mergeCell ref="A1335:A1336"/>
    <mergeCell ref="B1335:B1336"/>
    <mergeCell ref="D1335:D1336"/>
    <mergeCell ref="H1335:H1336"/>
    <mergeCell ref="I1335:I1336"/>
    <mergeCell ref="J1335:J1336"/>
    <mergeCell ref="K1335:K1336"/>
    <mergeCell ref="L1335:L1336"/>
    <mergeCell ref="M1335:M1336"/>
    <mergeCell ref="N1335:N1336"/>
    <mergeCell ref="O1335:O1336"/>
    <mergeCell ref="AG1333:AG1334"/>
    <mergeCell ref="AH1333:AH1334"/>
    <mergeCell ref="AI1333:AI1334"/>
    <mergeCell ref="AJ1333:AJ1334"/>
    <mergeCell ref="AK1333:AK1334"/>
    <mergeCell ref="AB1333:AB1334"/>
    <mergeCell ref="AC1333:AC1334"/>
    <mergeCell ref="AD1333:AD1334"/>
    <mergeCell ref="AE1333:AE1334"/>
    <mergeCell ref="AF1333:AF1334"/>
    <mergeCell ref="W1333:W1334"/>
    <mergeCell ref="X1333:X1334"/>
    <mergeCell ref="Y1333:Y1334"/>
    <mergeCell ref="Z1333:Z1334"/>
    <mergeCell ref="AA1333:AA1334"/>
    <mergeCell ref="R1333:R1334"/>
    <mergeCell ref="S1333:S1334"/>
    <mergeCell ref="T1333:T1334"/>
    <mergeCell ref="U1333:U1334"/>
    <mergeCell ref="V1333:V1334"/>
    <mergeCell ref="M1333:M1334"/>
    <mergeCell ref="N1333:N1334"/>
    <mergeCell ref="O1333:O1334"/>
    <mergeCell ref="P1333:P1334"/>
    <mergeCell ref="Q1333:Q1334"/>
    <mergeCell ref="H1333:H1334"/>
    <mergeCell ref="I1333:I1334"/>
    <mergeCell ref="J1333:J1334"/>
    <mergeCell ref="K1333:K1334"/>
    <mergeCell ref="L1333:L1334"/>
    <mergeCell ref="A1333:A1334"/>
    <mergeCell ref="B1333:B1334"/>
    <mergeCell ref="D1333:D1334"/>
    <mergeCell ref="H1337:H1338"/>
    <mergeCell ref="I1337:I1338"/>
    <mergeCell ref="J1337:J1338"/>
    <mergeCell ref="K1337:K1338"/>
    <mergeCell ref="L1337:L1338"/>
    <mergeCell ref="A1337:A1338"/>
    <mergeCell ref="B1337:B1338"/>
    <mergeCell ref="D1337:D1338"/>
    <mergeCell ref="AJ1335:AJ1336"/>
    <mergeCell ref="AK1335:AK1336"/>
    <mergeCell ref="AL1335:AL1336"/>
    <mergeCell ref="AM1335:AM1336"/>
    <mergeCell ref="AN1335:AN1336"/>
    <mergeCell ref="AE1335:AE1336"/>
    <mergeCell ref="AF1335:AF1336"/>
    <mergeCell ref="AG1335:AG1336"/>
    <mergeCell ref="AH1335:AH1336"/>
    <mergeCell ref="AI1335:AI1336"/>
    <mergeCell ref="Z1335:Z1336"/>
    <mergeCell ref="AA1335:AA1336"/>
    <mergeCell ref="AB1335:AB1336"/>
    <mergeCell ref="AC1335:AC1336"/>
    <mergeCell ref="AD1335:AD1336"/>
    <mergeCell ref="U1335:U1336"/>
    <mergeCell ref="V1335:V1336"/>
    <mergeCell ref="W1335:W1336"/>
    <mergeCell ref="X1335:X1336"/>
    <mergeCell ref="Y1335:Y1336"/>
    <mergeCell ref="P1335:P1336"/>
    <mergeCell ref="Q1335:Q1336"/>
    <mergeCell ref="R1335:R1336"/>
    <mergeCell ref="S1335:S1336"/>
    <mergeCell ref="T1335:T1336"/>
    <mergeCell ref="AJ1339:AJ1340"/>
    <mergeCell ref="AK1339:AK1340"/>
    <mergeCell ref="AL1339:AL1340"/>
    <mergeCell ref="AM1339:AM1340"/>
    <mergeCell ref="AN1339:AN1340"/>
    <mergeCell ref="AE1339:AE1340"/>
    <mergeCell ref="AF1339:AF1340"/>
    <mergeCell ref="AG1339:AG1340"/>
    <mergeCell ref="AH1339:AH1340"/>
    <mergeCell ref="AI1339:AI1340"/>
    <mergeCell ref="Z1339:Z1340"/>
    <mergeCell ref="AA1339:AA1340"/>
    <mergeCell ref="AB1339:AB1340"/>
    <mergeCell ref="AC1339:AC1340"/>
    <mergeCell ref="AD1339:AD1340"/>
    <mergeCell ref="U1339:U1340"/>
    <mergeCell ref="V1339:V1340"/>
    <mergeCell ref="W1339:W1340"/>
    <mergeCell ref="X1339:X1340"/>
    <mergeCell ref="Y1339:Y1340"/>
    <mergeCell ref="P1339:P1340"/>
    <mergeCell ref="Q1339:Q1340"/>
    <mergeCell ref="R1339:R1340"/>
    <mergeCell ref="S1339:S1340"/>
    <mergeCell ref="T1339:T1340"/>
    <mergeCell ref="AL1337:AL1338"/>
    <mergeCell ref="AM1337:AM1338"/>
    <mergeCell ref="AN1337:AN1338"/>
    <mergeCell ref="A1339:A1340"/>
    <mergeCell ref="B1339:B1340"/>
    <mergeCell ref="D1339:D1340"/>
    <mergeCell ref="H1339:H1340"/>
    <mergeCell ref="I1339:I1340"/>
    <mergeCell ref="J1339:J1340"/>
    <mergeCell ref="K1339:K1340"/>
    <mergeCell ref="L1339:L1340"/>
    <mergeCell ref="M1339:M1340"/>
    <mergeCell ref="N1339:N1340"/>
    <mergeCell ref="O1339:O1340"/>
    <mergeCell ref="AG1337:AG1338"/>
    <mergeCell ref="AH1337:AH1338"/>
    <mergeCell ref="AI1337:AI1338"/>
    <mergeCell ref="AJ1337:AJ1338"/>
    <mergeCell ref="AK1337:AK1338"/>
    <mergeCell ref="AB1337:AB1338"/>
    <mergeCell ref="AC1337:AC1338"/>
    <mergeCell ref="AD1337:AD1338"/>
    <mergeCell ref="AE1337:AE1338"/>
    <mergeCell ref="AF1337:AF1338"/>
    <mergeCell ref="W1337:W1338"/>
    <mergeCell ref="X1337:X1338"/>
    <mergeCell ref="Y1337:Y1338"/>
    <mergeCell ref="Z1337:Z1338"/>
    <mergeCell ref="AA1337:AA1338"/>
    <mergeCell ref="R1337:R1338"/>
    <mergeCell ref="S1337:S1338"/>
    <mergeCell ref="T1337:T1338"/>
    <mergeCell ref="U1337:U1338"/>
    <mergeCell ref="V1337:V1338"/>
    <mergeCell ref="M1337:M1338"/>
    <mergeCell ref="N1337:N1338"/>
    <mergeCell ref="O1337:O1338"/>
    <mergeCell ref="P1337:P1338"/>
    <mergeCell ref="Q1337:Q1338"/>
    <mergeCell ref="AL1341:AL1342"/>
    <mergeCell ref="AM1341:AM1342"/>
    <mergeCell ref="AN1341:AN1342"/>
    <mergeCell ref="A1343:A1344"/>
    <mergeCell ref="B1343:B1344"/>
    <mergeCell ref="D1343:D1344"/>
    <mergeCell ref="H1343:H1344"/>
    <mergeCell ref="I1343:I1344"/>
    <mergeCell ref="J1343:J1344"/>
    <mergeCell ref="K1343:K1344"/>
    <mergeCell ref="L1343:L1344"/>
    <mergeCell ref="M1343:M1344"/>
    <mergeCell ref="N1343:N1344"/>
    <mergeCell ref="O1343:O1344"/>
    <mergeCell ref="AG1341:AG1342"/>
    <mergeCell ref="AH1341:AH1342"/>
    <mergeCell ref="AI1341:AI1342"/>
    <mergeCell ref="AJ1341:AJ1342"/>
    <mergeCell ref="AK1341:AK1342"/>
    <mergeCell ref="AB1341:AB1342"/>
    <mergeCell ref="AC1341:AC1342"/>
    <mergeCell ref="AD1341:AD1342"/>
    <mergeCell ref="AE1341:AE1342"/>
    <mergeCell ref="AF1341:AF1342"/>
    <mergeCell ref="W1341:W1342"/>
    <mergeCell ref="X1341:X1342"/>
    <mergeCell ref="Y1341:Y1342"/>
    <mergeCell ref="Z1341:Z1342"/>
    <mergeCell ref="AA1341:AA1342"/>
    <mergeCell ref="R1341:R1342"/>
    <mergeCell ref="S1341:S1342"/>
    <mergeCell ref="T1341:T1342"/>
    <mergeCell ref="U1341:U1342"/>
    <mergeCell ref="V1341:V1342"/>
    <mergeCell ref="M1341:M1342"/>
    <mergeCell ref="N1341:N1342"/>
    <mergeCell ref="O1341:O1342"/>
    <mergeCell ref="P1341:P1342"/>
    <mergeCell ref="Q1341:Q1342"/>
    <mergeCell ref="H1341:H1342"/>
    <mergeCell ref="I1341:I1342"/>
    <mergeCell ref="J1341:J1342"/>
    <mergeCell ref="K1341:K1342"/>
    <mergeCell ref="L1341:L1342"/>
    <mergeCell ref="A1341:A1342"/>
    <mergeCell ref="B1341:B1342"/>
    <mergeCell ref="D1341:D1342"/>
    <mergeCell ref="H1345:H1346"/>
    <mergeCell ref="I1345:I1346"/>
    <mergeCell ref="J1345:J1346"/>
    <mergeCell ref="K1345:K1346"/>
    <mergeCell ref="L1345:L1346"/>
    <mergeCell ref="A1345:A1346"/>
    <mergeCell ref="B1345:B1346"/>
    <mergeCell ref="D1345:D1346"/>
    <mergeCell ref="AJ1343:AJ1344"/>
    <mergeCell ref="AK1343:AK1344"/>
    <mergeCell ref="AL1343:AL1344"/>
    <mergeCell ref="AM1343:AM1344"/>
    <mergeCell ref="AN1343:AN1344"/>
    <mergeCell ref="AE1343:AE1344"/>
    <mergeCell ref="AF1343:AF1344"/>
    <mergeCell ref="AG1343:AG1344"/>
    <mergeCell ref="AH1343:AH1344"/>
    <mergeCell ref="AI1343:AI1344"/>
    <mergeCell ref="Z1343:Z1344"/>
    <mergeCell ref="AA1343:AA1344"/>
    <mergeCell ref="AB1343:AB1344"/>
    <mergeCell ref="AC1343:AC1344"/>
    <mergeCell ref="AD1343:AD1344"/>
    <mergeCell ref="U1343:U1344"/>
    <mergeCell ref="V1343:V1344"/>
    <mergeCell ref="W1343:W1344"/>
    <mergeCell ref="X1343:X1344"/>
    <mergeCell ref="Y1343:Y1344"/>
    <mergeCell ref="P1343:P1344"/>
    <mergeCell ref="Q1343:Q1344"/>
    <mergeCell ref="R1343:R1344"/>
    <mergeCell ref="S1343:S1344"/>
    <mergeCell ref="T1343:T1344"/>
    <mergeCell ref="AJ1347:AJ1348"/>
    <mergeCell ref="AK1347:AK1348"/>
    <mergeCell ref="AL1347:AL1348"/>
    <mergeCell ref="AM1347:AM1348"/>
    <mergeCell ref="AN1347:AN1348"/>
    <mergeCell ref="AE1347:AE1348"/>
    <mergeCell ref="AF1347:AF1348"/>
    <mergeCell ref="AG1347:AG1348"/>
    <mergeCell ref="AH1347:AH1348"/>
    <mergeCell ref="AI1347:AI1348"/>
    <mergeCell ref="Z1347:Z1348"/>
    <mergeCell ref="AA1347:AA1348"/>
    <mergeCell ref="AB1347:AB1348"/>
    <mergeCell ref="AC1347:AC1348"/>
    <mergeCell ref="AD1347:AD1348"/>
    <mergeCell ref="U1347:U1348"/>
    <mergeCell ref="V1347:V1348"/>
    <mergeCell ref="W1347:W1348"/>
    <mergeCell ref="X1347:X1348"/>
    <mergeCell ref="Y1347:Y1348"/>
    <mergeCell ref="P1347:P1348"/>
    <mergeCell ref="Q1347:Q1348"/>
    <mergeCell ref="R1347:R1348"/>
    <mergeCell ref="S1347:S1348"/>
    <mergeCell ref="T1347:T1348"/>
    <mergeCell ref="AL1345:AL1346"/>
    <mergeCell ref="AM1345:AM1346"/>
    <mergeCell ref="AN1345:AN1346"/>
    <mergeCell ref="A1347:A1348"/>
    <mergeCell ref="B1347:B1348"/>
    <mergeCell ref="D1347:D1348"/>
    <mergeCell ref="H1347:H1348"/>
    <mergeCell ref="I1347:I1348"/>
    <mergeCell ref="J1347:J1348"/>
    <mergeCell ref="K1347:K1348"/>
    <mergeCell ref="L1347:L1348"/>
    <mergeCell ref="M1347:M1348"/>
    <mergeCell ref="N1347:N1348"/>
    <mergeCell ref="O1347:O1348"/>
    <mergeCell ref="AG1345:AG1346"/>
    <mergeCell ref="AH1345:AH1346"/>
    <mergeCell ref="AI1345:AI1346"/>
    <mergeCell ref="AJ1345:AJ1346"/>
    <mergeCell ref="AK1345:AK1346"/>
    <mergeCell ref="AB1345:AB1346"/>
    <mergeCell ref="AC1345:AC1346"/>
    <mergeCell ref="AD1345:AD1346"/>
    <mergeCell ref="AE1345:AE1346"/>
    <mergeCell ref="AF1345:AF1346"/>
    <mergeCell ref="W1345:W1346"/>
    <mergeCell ref="X1345:X1346"/>
    <mergeCell ref="Y1345:Y1346"/>
    <mergeCell ref="Z1345:Z1346"/>
    <mergeCell ref="AA1345:AA1346"/>
    <mergeCell ref="R1345:R1346"/>
    <mergeCell ref="S1345:S1346"/>
    <mergeCell ref="T1345:T1346"/>
    <mergeCell ref="U1345:U1346"/>
    <mergeCell ref="V1345:V1346"/>
    <mergeCell ref="M1345:M1346"/>
    <mergeCell ref="N1345:N1346"/>
    <mergeCell ref="O1345:O1346"/>
    <mergeCell ref="P1345:P1346"/>
    <mergeCell ref="Q1345:Q1346"/>
    <mergeCell ref="AL1349:AL1350"/>
    <mergeCell ref="AM1349:AM1350"/>
    <mergeCell ref="AN1349:AN1350"/>
    <mergeCell ref="A1351:A1352"/>
    <mergeCell ref="B1351:B1352"/>
    <mergeCell ref="D1351:D1352"/>
    <mergeCell ref="H1351:H1352"/>
    <mergeCell ref="I1351:I1352"/>
    <mergeCell ref="J1351:J1352"/>
    <mergeCell ref="K1351:K1352"/>
    <mergeCell ref="L1351:L1352"/>
    <mergeCell ref="M1351:M1352"/>
    <mergeCell ref="N1351:N1352"/>
    <mergeCell ref="O1351:O1352"/>
    <mergeCell ref="AG1349:AG1350"/>
    <mergeCell ref="AH1349:AH1350"/>
    <mergeCell ref="AI1349:AI1350"/>
    <mergeCell ref="AJ1349:AJ1350"/>
    <mergeCell ref="AK1349:AK1350"/>
    <mergeCell ref="AB1349:AB1350"/>
    <mergeCell ref="AC1349:AC1350"/>
    <mergeCell ref="AD1349:AD1350"/>
    <mergeCell ref="AE1349:AE1350"/>
    <mergeCell ref="AF1349:AF1350"/>
    <mergeCell ref="W1349:W1350"/>
    <mergeCell ref="X1349:X1350"/>
    <mergeCell ref="Y1349:Y1350"/>
    <mergeCell ref="Z1349:Z1350"/>
    <mergeCell ref="AA1349:AA1350"/>
    <mergeCell ref="R1349:R1350"/>
    <mergeCell ref="S1349:S1350"/>
    <mergeCell ref="T1349:T1350"/>
    <mergeCell ref="U1349:U1350"/>
    <mergeCell ref="V1349:V1350"/>
    <mergeCell ref="M1349:M1350"/>
    <mergeCell ref="N1349:N1350"/>
    <mergeCell ref="O1349:O1350"/>
    <mergeCell ref="P1349:P1350"/>
    <mergeCell ref="Q1349:Q1350"/>
    <mergeCell ref="H1349:H1350"/>
    <mergeCell ref="I1349:I1350"/>
    <mergeCell ref="J1349:J1350"/>
    <mergeCell ref="K1349:K1350"/>
    <mergeCell ref="L1349:L1350"/>
    <mergeCell ref="A1349:A1350"/>
    <mergeCell ref="B1349:B1350"/>
    <mergeCell ref="D1349:D1350"/>
    <mergeCell ref="H1353:H1354"/>
    <mergeCell ref="I1353:I1354"/>
    <mergeCell ref="J1353:J1354"/>
    <mergeCell ref="K1353:K1354"/>
    <mergeCell ref="L1353:L1354"/>
    <mergeCell ref="A1353:A1354"/>
    <mergeCell ref="B1353:B1354"/>
    <mergeCell ref="D1353:D1354"/>
    <mergeCell ref="AJ1351:AJ1352"/>
    <mergeCell ref="AK1351:AK1352"/>
    <mergeCell ref="AL1351:AL1352"/>
    <mergeCell ref="AM1351:AM1352"/>
    <mergeCell ref="AN1351:AN1352"/>
    <mergeCell ref="AE1351:AE1352"/>
    <mergeCell ref="AF1351:AF1352"/>
    <mergeCell ref="AG1351:AG1352"/>
    <mergeCell ref="AH1351:AH1352"/>
    <mergeCell ref="AI1351:AI1352"/>
    <mergeCell ref="Z1351:Z1352"/>
    <mergeCell ref="AA1351:AA1352"/>
    <mergeCell ref="AB1351:AB1352"/>
    <mergeCell ref="AC1351:AC1352"/>
    <mergeCell ref="AD1351:AD1352"/>
    <mergeCell ref="U1351:U1352"/>
    <mergeCell ref="V1351:V1352"/>
    <mergeCell ref="W1351:W1352"/>
    <mergeCell ref="X1351:X1352"/>
    <mergeCell ref="Y1351:Y1352"/>
    <mergeCell ref="P1351:P1352"/>
    <mergeCell ref="Q1351:Q1352"/>
    <mergeCell ref="R1351:R1352"/>
    <mergeCell ref="S1351:S1352"/>
    <mergeCell ref="T1351:T1352"/>
    <mergeCell ref="AJ1355:AJ1356"/>
    <mergeCell ref="AK1355:AK1356"/>
    <mergeCell ref="AL1355:AL1356"/>
    <mergeCell ref="AM1355:AM1356"/>
    <mergeCell ref="AN1355:AN1356"/>
    <mergeCell ref="AE1355:AE1356"/>
    <mergeCell ref="AF1355:AF1356"/>
    <mergeCell ref="AG1355:AG1356"/>
    <mergeCell ref="AH1355:AH1356"/>
    <mergeCell ref="AI1355:AI1356"/>
    <mergeCell ref="Z1355:Z1356"/>
    <mergeCell ref="AA1355:AA1356"/>
    <mergeCell ref="AB1355:AB1356"/>
    <mergeCell ref="AC1355:AC1356"/>
    <mergeCell ref="AD1355:AD1356"/>
    <mergeCell ref="U1355:U1356"/>
    <mergeCell ref="V1355:V1356"/>
    <mergeCell ref="W1355:W1356"/>
    <mergeCell ref="X1355:X1356"/>
    <mergeCell ref="Y1355:Y1356"/>
    <mergeCell ref="P1355:P1356"/>
    <mergeCell ref="Q1355:Q1356"/>
    <mergeCell ref="R1355:R1356"/>
    <mergeCell ref="S1355:S1356"/>
    <mergeCell ref="T1355:T1356"/>
    <mergeCell ref="AL1353:AL1354"/>
    <mergeCell ref="AM1353:AM1354"/>
    <mergeCell ref="AN1353:AN1354"/>
    <mergeCell ref="A1355:A1356"/>
    <mergeCell ref="B1355:B1356"/>
    <mergeCell ref="D1355:D1356"/>
    <mergeCell ref="H1355:H1356"/>
    <mergeCell ref="I1355:I1356"/>
    <mergeCell ref="J1355:J1356"/>
    <mergeCell ref="K1355:K1356"/>
    <mergeCell ref="L1355:L1356"/>
    <mergeCell ref="M1355:M1356"/>
    <mergeCell ref="N1355:N1356"/>
    <mergeCell ref="O1355:O1356"/>
    <mergeCell ref="AG1353:AG1354"/>
    <mergeCell ref="AH1353:AH1354"/>
    <mergeCell ref="AI1353:AI1354"/>
    <mergeCell ref="AJ1353:AJ1354"/>
    <mergeCell ref="AK1353:AK1354"/>
    <mergeCell ref="AB1353:AB1354"/>
    <mergeCell ref="AC1353:AC1354"/>
    <mergeCell ref="AD1353:AD1354"/>
    <mergeCell ref="AE1353:AE1354"/>
    <mergeCell ref="AF1353:AF1354"/>
    <mergeCell ref="W1353:W1354"/>
    <mergeCell ref="X1353:X1354"/>
    <mergeCell ref="Y1353:Y1354"/>
    <mergeCell ref="Z1353:Z1354"/>
    <mergeCell ref="AA1353:AA1354"/>
    <mergeCell ref="R1353:R1354"/>
    <mergeCell ref="S1353:S1354"/>
    <mergeCell ref="T1353:T1354"/>
    <mergeCell ref="U1353:U1354"/>
    <mergeCell ref="V1353:V1354"/>
    <mergeCell ref="M1353:M1354"/>
    <mergeCell ref="N1353:N1354"/>
    <mergeCell ref="O1353:O1354"/>
    <mergeCell ref="P1353:P1354"/>
    <mergeCell ref="Q1353:Q1354"/>
    <mergeCell ref="AL1357:AL1358"/>
    <mergeCell ref="AM1357:AM1358"/>
    <mergeCell ref="AN1357:AN1358"/>
    <mergeCell ref="A1359:A1360"/>
    <mergeCell ref="B1359:B1360"/>
    <mergeCell ref="D1359:D1360"/>
    <mergeCell ref="H1359:H1360"/>
    <mergeCell ref="I1359:I1360"/>
    <mergeCell ref="J1359:J1360"/>
    <mergeCell ref="K1359:K1360"/>
    <mergeCell ref="L1359:L1360"/>
    <mergeCell ref="M1359:M1360"/>
    <mergeCell ref="N1359:N1360"/>
    <mergeCell ref="O1359:O1360"/>
    <mergeCell ref="AG1357:AG1358"/>
    <mergeCell ref="AH1357:AH1358"/>
    <mergeCell ref="AI1357:AI1358"/>
    <mergeCell ref="AJ1357:AJ1358"/>
    <mergeCell ref="AK1357:AK1358"/>
    <mergeCell ref="AB1357:AB1358"/>
    <mergeCell ref="AC1357:AC1358"/>
    <mergeCell ref="AD1357:AD1358"/>
    <mergeCell ref="AE1357:AE1358"/>
    <mergeCell ref="AF1357:AF1358"/>
    <mergeCell ref="W1357:W1358"/>
    <mergeCell ref="X1357:X1358"/>
    <mergeCell ref="Y1357:Y1358"/>
    <mergeCell ref="Z1357:Z1358"/>
    <mergeCell ref="AA1357:AA1358"/>
    <mergeCell ref="R1357:R1358"/>
    <mergeCell ref="S1357:S1358"/>
    <mergeCell ref="T1357:T1358"/>
    <mergeCell ref="U1357:U1358"/>
    <mergeCell ref="V1357:V1358"/>
    <mergeCell ref="M1357:M1358"/>
    <mergeCell ref="N1357:N1358"/>
    <mergeCell ref="O1357:O1358"/>
    <mergeCell ref="P1357:P1358"/>
    <mergeCell ref="Q1357:Q1358"/>
    <mergeCell ref="H1357:H1358"/>
    <mergeCell ref="I1357:I1358"/>
    <mergeCell ref="J1357:J1358"/>
    <mergeCell ref="K1357:K1358"/>
    <mergeCell ref="L1357:L1358"/>
    <mergeCell ref="A1357:A1358"/>
    <mergeCell ref="B1357:B1358"/>
    <mergeCell ref="D1357:D1358"/>
    <mergeCell ref="H1361:H1362"/>
    <mergeCell ref="I1361:I1362"/>
    <mergeCell ref="J1361:J1362"/>
    <mergeCell ref="K1361:K1362"/>
    <mergeCell ref="L1361:L1362"/>
    <mergeCell ref="A1361:A1362"/>
    <mergeCell ref="B1361:B1362"/>
    <mergeCell ref="D1361:D1362"/>
    <mergeCell ref="AJ1359:AJ1360"/>
    <mergeCell ref="AK1359:AK1360"/>
    <mergeCell ref="AL1359:AL1360"/>
    <mergeCell ref="AM1359:AM1360"/>
    <mergeCell ref="AN1359:AN1360"/>
    <mergeCell ref="AE1359:AE1360"/>
    <mergeCell ref="AF1359:AF1360"/>
    <mergeCell ref="AG1359:AG1360"/>
    <mergeCell ref="AH1359:AH1360"/>
    <mergeCell ref="AI1359:AI1360"/>
    <mergeCell ref="Z1359:Z1360"/>
    <mergeCell ref="AA1359:AA1360"/>
    <mergeCell ref="AB1359:AB1360"/>
    <mergeCell ref="AC1359:AC1360"/>
    <mergeCell ref="AD1359:AD1360"/>
    <mergeCell ref="U1359:U1360"/>
    <mergeCell ref="V1359:V1360"/>
    <mergeCell ref="W1359:W1360"/>
    <mergeCell ref="X1359:X1360"/>
    <mergeCell ref="Y1359:Y1360"/>
    <mergeCell ref="P1359:P1360"/>
    <mergeCell ref="Q1359:Q1360"/>
    <mergeCell ref="R1359:R1360"/>
    <mergeCell ref="S1359:S1360"/>
    <mergeCell ref="T1359:T1360"/>
    <mergeCell ref="AJ1363:AJ1364"/>
    <mergeCell ref="AK1363:AK1364"/>
    <mergeCell ref="AL1363:AL1364"/>
    <mergeCell ref="AM1363:AM1364"/>
    <mergeCell ref="AN1363:AN1364"/>
    <mergeCell ref="AE1363:AE1364"/>
    <mergeCell ref="AF1363:AF1364"/>
    <mergeCell ref="AG1363:AG1364"/>
    <mergeCell ref="AH1363:AH1364"/>
    <mergeCell ref="AI1363:AI1364"/>
    <mergeCell ref="Z1363:Z1364"/>
    <mergeCell ref="AA1363:AA1364"/>
    <mergeCell ref="AB1363:AB1364"/>
    <mergeCell ref="AC1363:AC1364"/>
    <mergeCell ref="AD1363:AD1364"/>
    <mergeCell ref="U1363:U1364"/>
    <mergeCell ref="V1363:V1364"/>
    <mergeCell ref="W1363:W1364"/>
    <mergeCell ref="X1363:X1364"/>
    <mergeCell ref="Y1363:Y1364"/>
    <mergeCell ref="P1363:P1364"/>
    <mergeCell ref="Q1363:Q1364"/>
    <mergeCell ref="R1363:R1364"/>
    <mergeCell ref="S1363:S1364"/>
    <mergeCell ref="T1363:T1364"/>
    <mergeCell ref="AL1361:AL1362"/>
    <mergeCell ref="AM1361:AM1362"/>
    <mergeCell ref="AN1361:AN1362"/>
    <mergeCell ref="A1363:A1364"/>
    <mergeCell ref="B1363:B1364"/>
    <mergeCell ref="D1363:D1364"/>
    <mergeCell ref="H1363:H1364"/>
    <mergeCell ref="I1363:I1364"/>
    <mergeCell ref="J1363:J1364"/>
    <mergeCell ref="K1363:K1364"/>
    <mergeCell ref="L1363:L1364"/>
    <mergeCell ref="M1363:M1364"/>
    <mergeCell ref="N1363:N1364"/>
    <mergeCell ref="O1363:O1364"/>
    <mergeCell ref="AG1361:AG1362"/>
    <mergeCell ref="AH1361:AH1362"/>
    <mergeCell ref="AI1361:AI1362"/>
    <mergeCell ref="AJ1361:AJ1362"/>
    <mergeCell ref="AK1361:AK1362"/>
    <mergeCell ref="AB1361:AB1362"/>
    <mergeCell ref="AC1361:AC1362"/>
    <mergeCell ref="AD1361:AD1362"/>
    <mergeCell ref="AE1361:AE1362"/>
    <mergeCell ref="AF1361:AF1362"/>
    <mergeCell ref="W1361:W1362"/>
    <mergeCell ref="X1361:X1362"/>
    <mergeCell ref="Y1361:Y1362"/>
    <mergeCell ref="Z1361:Z1362"/>
    <mergeCell ref="AA1361:AA1362"/>
    <mergeCell ref="R1361:R1362"/>
    <mergeCell ref="S1361:S1362"/>
    <mergeCell ref="T1361:T1362"/>
    <mergeCell ref="U1361:U1362"/>
    <mergeCell ref="V1361:V1362"/>
    <mergeCell ref="M1361:M1362"/>
    <mergeCell ref="N1361:N1362"/>
    <mergeCell ref="O1361:O1362"/>
    <mergeCell ref="P1361:P1362"/>
    <mergeCell ref="Q1361:Q1362"/>
    <mergeCell ref="AL1365:AL1366"/>
    <mergeCell ref="AM1365:AM1366"/>
    <mergeCell ref="AN1365:AN1366"/>
    <mergeCell ref="A1367:A1368"/>
    <mergeCell ref="B1367:B1368"/>
    <mergeCell ref="D1367:D1368"/>
    <mergeCell ref="H1367:H1368"/>
    <mergeCell ref="I1367:I1368"/>
    <mergeCell ref="J1367:J1368"/>
    <mergeCell ref="K1367:K1368"/>
    <mergeCell ref="L1367:L1368"/>
    <mergeCell ref="M1367:M1368"/>
    <mergeCell ref="N1367:N1368"/>
    <mergeCell ref="O1367:O1368"/>
    <mergeCell ref="AG1365:AG1366"/>
    <mergeCell ref="AH1365:AH1366"/>
    <mergeCell ref="AI1365:AI1366"/>
    <mergeCell ref="AJ1365:AJ1366"/>
    <mergeCell ref="AK1365:AK1366"/>
    <mergeCell ref="AB1365:AB1366"/>
    <mergeCell ref="AC1365:AC1366"/>
    <mergeCell ref="AD1365:AD1366"/>
    <mergeCell ref="AE1365:AE1366"/>
    <mergeCell ref="AF1365:AF1366"/>
    <mergeCell ref="W1365:W1366"/>
    <mergeCell ref="X1365:X1366"/>
    <mergeCell ref="Y1365:Y1366"/>
    <mergeCell ref="Z1365:Z1366"/>
    <mergeCell ref="AA1365:AA1366"/>
    <mergeCell ref="R1365:R1366"/>
    <mergeCell ref="S1365:S1366"/>
    <mergeCell ref="T1365:T1366"/>
    <mergeCell ref="U1365:U1366"/>
    <mergeCell ref="V1365:V1366"/>
    <mergeCell ref="M1365:M1366"/>
    <mergeCell ref="N1365:N1366"/>
    <mergeCell ref="O1365:O1366"/>
    <mergeCell ref="P1365:P1366"/>
    <mergeCell ref="Q1365:Q1366"/>
    <mergeCell ref="H1365:H1366"/>
    <mergeCell ref="I1365:I1366"/>
    <mergeCell ref="J1365:J1366"/>
    <mergeCell ref="K1365:K1366"/>
    <mergeCell ref="L1365:L1366"/>
    <mergeCell ref="A1365:A1366"/>
    <mergeCell ref="B1365:B1366"/>
    <mergeCell ref="D1365:D1366"/>
    <mergeCell ref="H1369:H1370"/>
    <mergeCell ref="I1369:I1370"/>
    <mergeCell ref="J1369:J1370"/>
    <mergeCell ref="K1369:K1370"/>
    <mergeCell ref="L1369:L1370"/>
    <mergeCell ref="A1369:A1370"/>
    <mergeCell ref="B1369:B1370"/>
    <mergeCell ref="D1369:D1370"/>
    <mergeCell ref="AJ1367:AJ1368"/>
    <mergeCell ref="AK1367:AK1368"/>
    <mergeCell ref="AL1367:AL1368"/>
    <mergeCell ref="AM1367:AM1368"/>
    <mergeCell ref="AN1367:AN1368"/>
    <mergeCell ref="AE1367:AE1368"/>
    <mergeCell ref="AF1367:AF1368"/>
    <mergeCell ref="AG1367:AG1368"/>
    <mergeCell ref="AH1367:AH1368"/>
    <mergeCell ref="AI1367:AI1368"/>
    <mergeCell ref="Z1367:Z1368"/>
    <mergeCell ref="AA1367:AA1368"/>
    <mergeCell ref="AB1367:AB1368"/>
    <mergeCell ref="AC1367:AC1368"/>
    <mergeCell ref="AD1367:AD1368"/>
    <mergeCell ref="U1367:U1368"/>
    <mergeCell ref="V1367:V1368"/>
    <mergeCell ref="W1367:W1368"/>
    <mergeCell ref="X1367:X1368"/>
    <mergeCell ref="Y1367:Y1368"/>
    <mergeCell ref="P1367:P1368"/>
    <mergeCell ref="Q1367:Q1368"/>
    <mergeCell ref="R1367:R1368"/>
    <mergeCell ref="S1367:S1368"/>
    <mergeCell ref="T1367:T1368"/>
    <mergeCell ref="AJ1371:AJ1372"/>
    <mergeCell ref="AK1371:AK1372"/>
    <mergeCell ref="AL1371:AL1372"/>
    <mergeCell ref="AM1371:AM1372"/>
    <mergeCell ref="AN1371:AN1372"/>
    <mergeCell ref="AE1371:AE1372"/>
    <mergeCell ref="AF1371:AF1372"/>
    <mergeCell ref="AG1371:AG1372"/>
    <mergeCell ref="AH1371:AH1372"/>
    <mergeCell ref="AI1371:AI1372"/>
    <mergeCell ref="Z1371:Z1372"/>
    <mergeCell ref="AA1371:AA1372"/>
    <mergeCell ref="AB1371:AB1372"/>
    <mergeCell ref="AC1371:AC1372"/>
    <mergeCell ref="AD1371:AD1372"/>
    <mergeCell ref="U1371:U1372"/>
    <mergeCell ref="V1371:V1372"/>
    <mergeCell ref="W1371:W1372"/>
    <mergeCell ref="X1371:X1372"/>
    <mergeCell ref="Y1371:Y1372"/>
    <mergeCell ref="P1371:P1372"/>
    <mergeCell ref="Q1371:Q1372"/>
    <mergeCell ref="R1371:R1372"/>
    <mergeCell ref="S1371:S1372"/>
    <mergeCell ref="T1371:T1372"/>
    <mergeCell ref="AL1369:AL1370"/>
    <mergeCell ref="AM1369:AM1370"/>
    <mergeCell ref="AN1369:AN1370"/>
    <mergeCell ref="A1371:A1372"/>
    <mergeCell ref="B1371:B1372"/>
    <mergeCell ref="D1371:D1372"/>
    <mergeCell ref="H1371:H1372"/>
    <mergeCell ref="I1371:I1372"/>
    <mergeCell ref="J1371:J1372"/>
    <mergeCell ref="K1371:K1372"/>
    <mergeCell ref="L1371:L1372"/>
    <mergeCell ref="M1371:M1372"/>
    <mergeCell ref="N1371:N1372"/>
    <mergeCell ref="O1371:O1372"/>
    <mergeCell ref="AG1369:AG1370"/>
    <mergeCell ref="AH1369:AH1370"/>
    <mergeCell ref="AI1369:AI1370"/>
    <mergeCell ref="AJ1369:AJ1370"/>
    <mergeCell ref="AK1369:AK1370"/>
    <mergeCell ref="AB1369:AB1370"/>
    <mergeCell ref="AC1369:AC1370"/>
    <mergeCell ref="AD1369:AD1370"/>
    <mergeCell ref="AE1369:AE1370"/>
    <mergeCell ref="AF1369:AF1370"/>
    <mergeCell ref="W1369:W1370"/>
    <mergeCell ref="X1369:X1370"/>
    <mergeCell ref="Y1369:Y1370"/>
    <mergeCell ref="Z1369:Z1370"/>
    <mergeCell ref="AA1369:AA1370"/>
    <mergeCell ref="R1369:R1370"/>
    <mergeCell ref="S1369:S1370"/>
    <mergeCell ref="T1369:T1370"/>
    <mergeCell ref="U1369:U1370"/>
    <mergeCell ref="V1369:V1370"/>
    <mergeCell ref="M1369:M1370"/>
    <mergeCell ref="N1369:N1370"/>
    <mergeCell ref="O1369:O1370"/>
    <mergeCell ref="P1369:P1370"/>
    <mergeCell ref="Q1369:Q1370"/>
    <mergeCell ref="AL1373:AL1374"/>
    <mergeCell ref="AM1373:AM1374"/>
    <mergeCell ref="AN1373:AN1374"/>
    <mergeCell ref="A1375:A1376"/>
    <mergeCell ref="B1375:B1376"/>
    <mergeCell ref="D1375:D1376"/>
    <mergeCell ref="H1375:H1376"/>
    <mergeCell ref="I1375:I1376"/>
    <mergeCell ref="J1375:J1376"/>
    <mergeCell ref="K1375:K1376"/>
    <mergeCell ref="L1375:L1376"/>
    <mergeCell ref="M1375:M1376"/>
    <mergeCell ref="N1375:N1376"/>
    <mergeCell ref="O1375:O1376"/>
    <mergeCell ref="AG1373:AG1374"/>
    <mergeCell ref="AH1373:AH1374"/>
    <mergeCell ref="AI1373:AI1374"/>
    <mergeCell ref="AJ1373:AJ1374"/>
    <mergeCell ref="AK1373:AK1374"/>
    <mergeCell ref="AB1373:AB1374"/>
    <mergeCell ref="AC1373:AC1374"/>
    <mergeCell ref="AD1373:AD1374"/>
    <mergeCell ref="AE1373:AE1374"/>
    <mergeCell ref="AF1373:AF1374"/>
    <mergeCell ref="W1373:W1374"/>
    <mergeCell ref="X1373:X1374"/>
    <mergeCell ref="Y1373:Y1374"/>
    <mergeCell ref="Z1373:Z1374"/>
    <mergeCell ref="AA1373:AA1374"/>
    <mergeCell ref="R1373:R1374"/>
    <mergeCell ref="S1373:S1374"/>
    <mergeCell ref="T1373:T1374"/>
    <mergeCell ref="U1373:U1374"/>
    <mergeCell ref="V1373:V1374"/>
    <mergeCell ref="M1373:M1374"/>
    <mergeCell ref="N1373:N1374"/>
    <mergeCell ref="O1373:O1374"/>
    <mergeCell ref="P1373:P1374"/>
    <mergeCell ref="Q1373:Q1374"/>
    <mergeCell ref="H1373:H1374"/>
    <mergeCell ref="I1373:I1374"/>
    <mergeCell ref="J1373:J1374"/>
    <mergeCell ref="K1373:K1374"/>
    <mergeCell ref="L1373:L1374"/>
    <mergeCell ref="A1373:A1374"/>
    <mergeCell ref="B1373:B1374"/>
    <mergeCell ref="D1373:D1374"/>
    <mergeCell ref="H1377:H1378"/>
    <mergeCell ref="I1377:I1378"/>
    <mergeCell ref="J1377:J1378"/>
    <mergeCell ref="K1377:K1378"/>
    <mergeCell ref="L1377:L1378"/>
    <mergeCell ref="A1377:A1378"/>
    <mergeCell ref="B1377:B1378"/>
    <mergeCell ref="D1377:D1378"/>
    <mergeCell ref="AJ1375:AJ1376"/>
    <mergeCell ref="AK1375:AK1376"/>
    <mergeCell ref="AL1375:AL1376"/>
    <mergeCell ref="AM1375:AM1376"/>
    <mergeCell ref="AN1375:AN1376"/>
    <mergeCell ref="AE1375:AE1376"/>
    <mergeCell ref="AF1375:AF1376"/>
    <mergeCell ref="AG1375:AG1376"/>
    <mergeCell ref="AH1375:AH1376"/>
    <mergeCell ref="AI1375:AI1376"/>
    <mergeCell ref="Z1375:Z1376"/>
    <mergeCell ref="AA1375:AA1376"/>
    <mergeCell ref="AB1375:AB1376"/>
    <mergeCell ref="AC1375:AC1376"/>
    <mergeCell ref="AD1375:AD1376"/>
    <mergeCell ref="U1375:U1376"/>
    <mergeCell ref="V1375:V1376"/>
    <mergeCell ref="W1375:W1376"/>
    <mergeCell ref="X1375:X1376"/>
    <mergeCell ref="Y1375:Y1376"/>
    <mergeCell ref="P1375:P1376"/>
    <mergeCell ref="Q1375:Q1376"/>
    <mergeCell ref="R1375:R1376"/>
    <mergeCell ref="S1375:S1376"/>
    <mergeCell ref="T1375:T1376"/>
    <mergeCell ref="AJ1379:AJ1380"/>
    <mergeCell ref="AK1379:AK1380"/>
    <mergeCell ref="AL1379:AL1380"/>
    <mergeCell ref="AM1379:AM1380"/>
    <mergeCell ref="AN1379:AN1380"/>
    <mergeCell ref="AE1379:AE1380"/>
    <mergeCell ref="AF1379:AF1380"/>
    <mergeCell ref="AG1379:AG1380"/>
    <mergeCell ref="AH1379:AH1380"/>
    <mergeCell ref="AI1379:AI1380"/>
    <mergeCell ref="Z1379:Z1380"/>
    <mergeCell ref="AA1379:AA1380"/>
    <mergeCell ref="AB1379:AB1380"/>
    <mergeCell ref="AC1379:AC1380"/>
    <mergeCell ref="AD1379:AD1380"/>
    <mergeCell ref="U1379:U1380"/>
    <mergeCell ref="V1379:V1380"/>
    <mergeCell ref="W1379:W1380"/>
    <mergeCell ref="X1379:X1380"/>
    <mergeCell ref="Y1379:Y1380"/>
    <mergeCell ref="P1379:P1380"/>
    <mergeCell ref="Q1379:Q1380"/>
    <mergeCell ref="R1379:R1380"/>
    <mergeCell ref="S1379:S1380"/>
    <mergeCell ref="T1379:T1380"/>
    <mergeCell ref="AL1377:AL1378"/>
    <mergeCell ref="AM1377:AM1378"/>
    <mergeCell ref="AN1377:AN1378"/>
    <mergeCell ref="A1379:A1380"/>
    <mergeCell ref="B1379:B1380"/>
    <mergeCell ref="D1379:D1380"/>
    <mergeCell ref="H1379:H1380"/>
    <mergeCell ref="I1379:I1380"/>
    <mergeCell ref="J1379:J1380"/>
    <mergeCell ref="K1379:K1380"/>
    <mergeCell ref="L1379:L1380"/>
    <mergeCell ref="M1379:M1380"/>
    <mergeCell ref="N1379:N1380"/>
    <mergeCell ref="O1379:O1380"/>
    <mergeCell ref="AG1377:AG1378"/>
    <mergeCell ref="AH1377:AH1378"/>
    <mergeCell ref="AI1377:AI1378"/>
    <mergeCell ref="AJ1377:AJ1378"/>
    <mergeCell ref="AK1377:AK1378"/>
    <mergeCell ref="AB1377:AB1378"/>
    <mergeCell ref="AC1377:AC1378"/>
    <mergeCell ref="AD1377:AD1378"/>
    <mergeCell ref="AE1377:AE1378"/>
    <mergeCell ref="AF1377:AF1378"/>
    <mergeCell ref="W1377:W1378"/>
    <mergeCell ref="X1377:X1378"/>
    <mergeCell ref="Y1377:Y1378"/>
    <mergeCell ref="Z1377:Z1378"/>
    <mergeCell ref="AA1377:AA1378"/>
    <mergeCell ref="R1377:R1378"/>
    <mergeCell ref="S1377:S1378"/>
    <mergeCell ref="T1377:T1378"/>
    <mergeCell ref="U1377:U1378"/>
    <mergeCell ref="V1377:V1378"/>
    <mergeCell ref="M1377:M1378"/>
    <mergeCell ref="N1377:N1378"/>
    <mergeCell ref="O1377:O1378"/>
    <mergeCell ref="P1377:P1378"/>
    <mergeCell ref="Q1377:Q1378"/>
    <mergeCell ref="AL1381:AL1382"/>
    <mergeCell ref="AM1381:AM1382"/>
    <mergeCell ref="AN1381:AN1382"/>
    <mergeCell ref="A1383:A1384"/>
    <mergeCell ref="B1383:B1384"/>
    <mergeCell ref="D1383:D1384"/>
    <mergeCell ref="H1383:H1384"/>
    <mergeCell ref="I1383:I1384"/>
    <mergeCell ref="J1383:J1384"/>
    <mergeCell ref="K1383:K1384"/>
    <mergeCell ref="L1383:L1384"/>
    <mergeCell ref="M1383:M1384"/>
    <mergeCell ref="N1383:N1384"/>
    <mergeCell ref="O1383:O1384"/>
    <mergeCell ref="AG1381:AG1382"/>
    <mergeCell ref="AH1381:AH1382"/>
    <mergeCell ref="AI1381:AI1382"/>
    <mergeCell ref="AJ1381:AJ1382"/>
    <mergeCell ref="AK1381:AK1382"/>
    <mergeCell ref="AB1381:AB1382"/>
    <mergeCell ref="AC1381:AC1382"/>
    <mergeCell ref="AD1381:AD1382"/>
    <mergeCell ref="AE1381:AE1382"/>
    <mergeCell ref="AF1381:AF1382"/>
    <mergeCell ref="W1381:W1382"/>
    <mergeCell ref="X1381:X1382"/>
    <mergeCell ref="Y1381:Y1382"/>
    <mergeCell ref="Z1381:Z1382"/>
    <mergeCell ref="AA1381:AA1382"/>
    <mergeCell ref="R1381:R1382"/>
    <mergeCell ref="S1381:S1382"/>
    <mergeCell ref="T1381:T1382"/>
    <mergeCell ref="U1381:U1382"/>
    <mergeCell ref="V1381:V1382"/>
    <mergeCell ref="M1381:M1382"/>
    <mergeCell ref="N1381:N1382"/>
    <mergeCell ref="O1381:O1382"/>
    <mergeCell ref="P1381:P1382"/>
    <mergeCell ref="Q1381:Q1382"/>
    <mergeCell ref="H1381:H1382"/>
    <mergeCell ref="I1381:I1382"/>
    <mergeCell ref="J1381:J1382"/>
    <mergeCell ref="K1381:K1382"/>
    <mergeCell ref="L1381:L1382"/>
    <mergeCell ref="A1381:A1382"/>
    <mergeCell ref="B1381:B1382"/>
    <mergeCell ref="D1381:D1382"/>
    <mergeCell ref="H1385:H1386"/>
    <mergeCell ref="I1385:I1386"/>
    <mergeCell ref="J1385:J1386"/>
    <mergeCell ref="K1385:K1386"/>
    <mergeCell ref="L1385:L1386"/>
    <mergeCell ref="A1385:A1386"/>
    <mergeCell ref="B1385:B1386"/>
    <mergeCell ref="D1385:D1386"/>
    <mergeCell ref="AJ1383:AJ1384"/>
    <mergeCell ref="AK1383:AK1384"/>
    <mergeCell ref="AL1383:AL1384"/>
    <mergeCell ref="AM1383:AM1384"/>
    <mergeCell ref="AN1383:AN1384"/>
    <mergeCell ref="AE1383:AE1384"/>
    <mergeCell ref="AF1383:AF1384"/>
    <mergeCell ref="AG1383:AG1384"/>
    <mergeCell ref="AH1383:AH1384"/>
    <mergeCell ref="AI1383:AI1384"/>
    <mergeCell ref="Z1383:Z1384"/>
    <mergeCell ref="AA1383:AA1384"/>
    <mergeCell ref="AB1383:AB1384"/>
    <mergeCell ref="AC1383:AC1384"/>
    <mergeCell ref="AD1383:AD1384"/>
    <mergeCell ref="U1383:U1384"/>
    <mergeCell ref="V1383:V1384"/>
    <mergeCell ref="W1383:W1384"/>
    <mergeCell ref="X1383:X1384"/>
    <mergeCell ref="Y1383:Y1384"/>
    <mergeCell ref="P1383:P1384"/>
    <mergeCell ref="Q1383:Q1384"/>
    <mergeCell ref="R1383:R1384"/>
    <mergeCell ref="S1383:S1384"/>
    <mergeCell ref="T1383:T1384"/>
    <mergeCell ref="AJ1387:AJ1388"/>
    <mergeCell ref="AK1387:AK1388"/>
    <mergeCell ref="AL1387:AL1388"/>
    <mergeCell ref="AM1387:AM1388"/>
    <mergeCell ref="AN1387:AN1388"/>
    <mergeCell ref="AE1387:AE1388"/>
    <mergeCell ref="AF1387:AF1388"/>
    <mergeCell ref="AG1387:AG1388"/>
    <mergeCell ref="AH1387:AH1388"/>
    <mergeCell ref="AI1387:AI1388"/>
    <mergeCell ref="Z1387:Z1388"/>
    <mergeCell ref="AA1387:AA1388"/>
    <mergeCell ref="AB1387:AB1388"/>
    <mergeCell ref="AC1387:AC1388"/>
    <mergeCell ref="AD1387:AD1388"/>
    <mergeCell ref="U1387:U1388"/>
    <mergeCell ref="V1387:V1388"/>
    <mergeCell ref="W1387:W1388"/>
    <mergeCell ref="X1387:X1388"/>
    <mergeCell ref="Y1387:Y1388"/>
    <mergeCell ref="P1387:P1388"/>
    <mergeCell ref="Q1387:Q1388"/>
    <mergeCell ref="R1387:R1388"/>
    <mergeCell ref="S1387:S1388"/>
    <mergeCell ref="T1387:T1388"/>
    <mergeCell ref="AL1385:AL1386"/>
    <mergeCell ref="AM1385:AM1386"/>
    <mergeCell ref="AN1385:AN1386"/>
    <mergeCell ref="A1387:A1388"/>
    <mergeCell ref="B1387:B1388"/>
    <mergeCell ref="D1387:D1388"/>
    <mergeCell ref="H1387:H1388"/>
    <mergeCell ref="I1387:I1388"/>
    <mergeCell ref="J1387:J1388"/>
    <mergeCell ref="K1387:K1388"/>
    <mergeCell ref="L1387:L1388"/>
    <mergeCell ref="M1387:M1388"/>
    <mergeCell ref="N1387:N1388"/>
    <mergeCell ref="O1387:O1388"/>
    <mergeCell ref="AG1385:AG1386"/>
    <mergeCell ref="AH1385:AH1386"/>
    <mergeCell ref="AI1385:AI1386"/>
    <mergeCell ref="AJ1385:AJ1386"/>
    <mergeCell ref="AK1385:AK1386"/>
    <mergeCell ref="AB1385:AB1386"/>
    <mergeCell ref="AC1385:AC1386"/>
    <mergeCell ref="AD1385:AD1386"/>
    <mergeCell ref="AE1385:AE1386"/>
    <mergeCell ref="AF1385:AF1386"/>
    <mergeCell ref="W1385:W1386"/>
    <mergeCell ref="X1385:X1386"/>
    <mergeCell ref="Y1385:Y1386"/>
    <mergeCell ref="Z1385:Z1386"/>
    <mergeCell ref="AA1385:AA1386"/>
    <mergeCell ref="R1385:R1386"/>
    <mergeCell ref="S1385:S1386"/>
    <mergeCell ref="T1385:T1386"/>
    <mergeCell ref="U1385:U1386"/>
    <mergeCell ref="V1385:V1386"/>
    <mergeCell ref="M1385:M1386"/>
    <mergeCell ref="N1385:N1386"/>
    <mergeCell ref="O1385:O1386"/>
    <mergeCell ref="P1385:P1386"/>
    <mergeCell ref="Q1385:Q1386"/>
    <mergeCell ref="AL1389:AL1390"/>
    <mergeCell ref="AM1389:AM1390"/>
    <mergeCell ref="AN1389:AN1390"/>
    <mergeCell ref="A1391:A1392"/>
    <mergeCell ref="B1391:B1392"/>
    <mergeCell ref="D1391:D1392"/>
    <mergeCell ref="H1391:H1392"/>
    <mergeCell ref="I1391:I1392"/>
    <mergeCell ref="J1391:J1392"/>
    <mergeCell ref="K1391:K1392"/>
    <mergeCell ref="L1391:L1392"/>
    <mergeCell ref="M1391:M1392"/>
    <mergeCell ref="N1391:N1392"/>
    <mergeCell ref="O1391:O1392"/>
    <mergeCell ref="AG1389:AG1390"/>
    <mergeCell ref="AH1389:AH1390"/>
    <mergeCell ref="AI1389:AI1390"/>
    <mergeCell ref="AJ1389:AJ1390"/>
    <mergeCell ref="AK1389:AK1390"/>
    <mergeCell ref="AB1389:AB1390"/>
    <mergeCell ref="AC1389:AC1390"/>
    <mergeCell ref="AD1389:AD1390"/>
    <mergeCell ref="AE1389:AE1390"/>
    <mergeCell ref="AF1389:AF1390"/>
    <mergeCell ref="W1389:W1390"/>
    <mergeCell ref="X1389:X1390"/>
    <mergeCell ref="Y1389:Y1390"/>
    <mergeCell ref="Z1389:Z1390"/>
    <mergeCell ref="AA1389:AA1390"/>
    <mergeCell ref="R1389:R1390"/>
    <mergeCell ref="S1389:S1390"/>
    <mergeCell ref="T1389:T1390"/>
    <mergeCell ref="U1389:U1390"/>
    <mergeCell ref="V1389:V1390"/>
    <mergeCell ref="M1389:M1390"/>
    <mergeCell ref="N1389:N1390"/>
    <mergeCell ref="O1389:O1390"/>
    <mergeCell ref="P1389:P1390"/>
    <mergeCell ref="Q1389:Q1390"/>
    <mergeCell ref="H1389:H1390"/>
    <mergeCell ref="I1389:I1390"/>
    <mergeCell ref="J1389:J1390"/>
    <mergeCell ref="K1389:K1390"/>
    <mergeCell ref="L1389:L1390"/>
    <mergeCell ref="A1389:A1390"/>
    <mergeCell ref="B1389:B1390"/>
    <mergeCell ref="D1389:D1390"/>
    <mergeCell ref="H1393:H1394"/>
    <mergeCell ref="I1393:I1394"/>
    <mergeCell ref="J1393:J1394"/>
    <mergeCell ref="K1393:K1394"/>
    <mergeCell ref="L1393:L1394"/>
    <mergeCell ref="A1393:A1394"/>
    <mergeCell ref="B1393:B1394"/>
    <mergeCell ref="D1393:D1394"/>
    <mergeCell ref="AJ1391:AJ1392"/>
    <mergeCell ref="AK1391:AK1392"/>
    <mergeCell ref="AL1391:AL1392"/>
    <mergeCell ref="AM1391:AM1392"/>
    <mergeCell ref="AN1391:AN1392"/>
    <mergeCell ref="AE1391:AE1392"/>
    <mergeCell ref="AF1391:AF1392"/>
    <mergeCell ref="AG1391:AG1392"/>
    <mergeCell ref="AH1391:AH1392"/>
    <mergeCell ref="AI1391:AI1392"/>
    <mergeCell ref="Z1391:Z1392"/>
    <mergeCell ref="AA1391:AA1392"/>
    <mergeCell ref="AB1391:AB1392"/>
    <mergeCell ref="AC1391:AC1392"/>
    <mergeCell ref="AD1391:AD1392"/>
    <mergeCell ref="U1391:U1392"/>
    <mergeCell ref="V1391:V1392"/>
    <mergeCell ref="W1391:W1392"/>
    <mergeCell ref="X1391:X1392"/>
    <mergeCell ref="Y1391:Y1392"/>
    <mergeCell ref="P1391:P1392"/>
    <mergeCell ref="Q1391:Q1392"/>
    <mergeCell ref="R1391:R1392"/>
    <mergeCell ref="S1391:S1392"/>
    <mergeCell ref="T1391:T1392"/>
    <mergeCell ref="AJ1395:AJ1396"/>
    <mergeCell ref="AK1395:AK1396"/>
    <mergeCell ref="AL1395:AL1396"/>
    <mergeCell ref="AM1395:AM1396"/>
    <mergeCell ref="AN1395:AN1396"/>
    <mergeCell ref="AE1395:AE1396"/>
    <mergeCell ref="AF1395:AF1396"/>
    <mergeCell ref="AG1395:AG1396"/>
    <mergeCell ref="AH1395:AH1396"/>
    <mergeCell ref="AI1395:AI1396"/>
    <mergeCell ref="Z1395:Z1396"/>
    <mergeCell ref="AA1395:AA1396"/>
    <mergeCell ref="AB1395:AB1396"/>
    <mergeCell ref="AC1395:AC1396"/>
    <mergeCell ref="AD1395:AD1396"/>
    <mergeCell ref="U1395:U1396"/>
    <mergeCell ref="V1395:V1396"/>
    <mergeCell ref="W1395:W1396"/>
    <mergeCell ref="X1395:X1396"/>
    <mergeCell ref="Y1395:Y1396"/>
    <mergeCell ref="P1395:P1396"/>
    <mergeCell ref="Q1395:Q1396"/>
    <mergeCell ref="R1395:R1396"/>
    <mergeCell ref="S1395:S1396"/>
    <mergeCell ref="T1395:T1396"/>
    <mergeCell ref="AL1393:AL1394"/>
    <mergeCell ref="AM1393:AM1394"/>
    <mergeCell ref="AN1393:AN1394"/>
    <mergeCell ref="A1395:A1396"/>
    <mergeCell ref="B1395:B1396"/>
    <mergeCell ref="D1395:D1396"/>
    <mergeCell ref="H1395:H1396"/>
    <mergeCell ref="I1395:I1396"/>
    <mergeCell ref="J1395:J1396"/>
    <mergeCell ref="K1395:K1396"/>
    <mergeCell ref="L1395:L1396"/>
    <mergeCell ref="M1395:M1396"/>
    <mergeCell ref="N1395:N1396"/>
    <mergeCell ref="O1395:O1396"/>
    <mergeCell ref="AG1393:AG1394"/>
    <mergeCell ref="AH1393:AH1394"/>
    <mergeCell ref="AI1393:AI1394"/>
    <mergeCell ref="AJ1393:AJ1394"/>
    <mergeCell ref="AK1393:AK1394"/>
    <mergeCell ref="AB1393:AB1394"/>
    <mergeCell ref="AC1393:AC1394"/>
    <mergeCell ref="AD1393:AD1394"/>
    <mergeCell ref="AE1393:AE1394"/>
    <mergeCell ref="AF1393:AF1394"/>
    <mergeCell ref="W1393:W1394"/>
    <mergeCell ref="X1393:X1394"/>
    <mergeCell ref="Y1393:Y1394"/>
    <mergeCell ref="Z1393:Z1394"/>
    <mergeCell ref="AA1393:AA1394"/>
    <mergeCell ref="R1393:R1394"/>
    <mergeCell ref="S1393:S1394"/>
    <mergeCell ref="T1393:T1394"/>
    <mergeCell ref="U1393:U1394"/>
    <mergeCell ref="V1393:V1394"/>
    <mergeCell ref="M1393:M1394"/>
    <mergeCell ref="N1393:N1394"/>
    <mergeCell ref="O1393:O1394"/>
    <mergeCell ref="P1393:P1394"/>
    <mergeCell ref="Q1393:Q1394"/>
    <mergeCell ref="AL1397:AL1398"/>
    <mergeCell ref="AM1397:AM1398"/>
    <mergeCell ref="AN1397:AN1398"/>
    <mergeCell ref="A1399:A1400"/>
    <mergeCell ref="B1399:B1400"/>
    <mergeCell ref="D1399:D1400"/>
    <mergeCell ref="H1399:H1400"/>
    <mergeCell ref="I1399:I1400"/>
    <mergeCell ref="J1399:J1400"/>
    <mergeCell ref="K1399:K1400"/>
    <mergeCell ref="L1399:L1400"/>
    <mergeCell ref="M1399:M1400"/>
    <mergeCell ref="N1399:N1400"/>
    <mergeCell ref="O1399:O1400"/>
    <mergeCell ref="AG1397:AG1398"/>
    <mergeCell ref="AH1397:AH1398"/>
    <mergeCell ref="AI1397:AI1398"/>
    <mergeCell ref="AJ1397:AJ1398"/>
    <mergeCell ref="AK1397:AK1398"/>
    <mergeCell ref="AB1397:AB1398"/>
    <mergeCell ref="AC1397:AC1398"/>
    <mergeCell ref="AD1397:AD1398"/>
    <mergeCell ref="AE1397:AE1398"/>
    <mergeCell ref="AF1397:AF1398"/>
    <mergeCell ref="W1397:W1398"/>
    <mergeCell ref="X1397:X1398"/>
    <mergeCell ref="Y1397:Y1398"/>
    <mergeCell ref="Z1397:Z1398"/>
    <mergeCell ref="AA1397:AA1398"/>
    <mergeCell ref="R1397:R1398"/>
    <mergeCell ref="S1397:S1398"/>
    <mergeCell ref="T1397:T1398"/>
    <mergeCell ref="U1397:U1398"/>
    <mergeCell ref="V1397:V1398"/>
    <mergeCell ref="M1397:M1398"/>
    <mergeCell ref="N1397:N1398"/>
    <mergeCell ref="O1397:O1398"/>
    <mergeCell ref="P1397:P1398"/>
    <mergeCell ref="Q1397:Q1398"/>
    <mergeCell ref="H1397:H1398"/>
    <mergeCell ref="I1397:I1398"/>
    <mergeCell ref="J1397:J1398"/>
    <mergeCell ref="K1397:K1398"/>
    <mergeCell ref="L1397:L1398"/>
    <mergeCell ref="A1397:A1398"/>
    <mergeCell ref="B1397:B1398"/>
    <mergeCell ref="D1397:D1398"/>
    <mergeCell ref="H1401:H1402"/>
    <mergeCell ref="I1401:I1402"/>
    <mergeCell ref="J1401:J1402"/>
    <mergeCell ref="K1401:K1402"/>
    <mergeCell ref="L1401:L1402"/>
    <mergeCell ref="A1401:A1402"/>
    <mergeCell ref="B1401:B1402"/>
    <mergeCell ref="D1401:D1402"/>
    <mergeCell ref="AJ1399:AJ1400"/>
    <mergeCell ref="AK1399:AK1400"/>
    <mergeCell ref="AL1399:AL1400"/>
    <mergeCell ref="AM1399:AM1400"/>
    <mergeCell ref="AN1399:AN1400"/>
    <mergeCell ref="AE1399:AE1400"/>
    <mergeCell ref="AF1399:AF1400"/>
    <mergeCell ref="AG1399:AG1400"/>
    <mergeCell ref="AH1399:AH1400"/>
    <mergeCell ref="AI1399:AI1400"/>
    <mergeCell ref="Z1399:Z1400"/>
    <mergeCell ref="AA1399:AA1400"/>
    <mergeCell ref="AB1399:AB1400"/>
    <mergeCell ref="AC1399:AC1400"/>
    <mergeCell ref="AD1399:AD1400"/>
    <mergeCell ref="U1399:U1400"/>
    <mergeCell ref="V1399:V1400"/>
    <mergeCell ref="W1399:W1400"/>
    <mergeCell ref="X1399:X1400"/>
    <mergeCell ref="Y1399:Y1400"/>
    <mergeCell ref="P1399:P1400"/>
    <mergeCell ref="Q1399:Q1400"/>
    <mergeCell ref="R1399:R1400"/>
    <mergeCell ref="S1399:S1400"/>
    <mergeCell ref="T1399:T1400"/>
    <mergeCell ref="AJ1403:AJ1404"/>
    <mergeCell ref="AK1403:AK1404"/>
    <mergeCell ref="AL1403:AL1404"/>
    <mergeCell ref="AM1403:AM1404"/>
    <mergeCell ref="AN1403:AN1404"/>
    <mergeCell ref="AE1403:AE1404"/>
    <mergeCell ref="AF1403:AF1404"/>
    <mergeCell ref="AG1403:AG1404"/>
    <mergeCell ref="AH1403:AH1404"/>
    <mergeCell ref="AI1403:AI1404"/>
    <mergeCell ref="Z1403:Z1404"/>
    <mergeCell ref="AA1403:AA1404"/>
    <mergeCell ref="AB1403:AB1404"/>
    <mergeCell ref="AC1403:AC1404"/>
    <mergeCell ref="AD1403:AD1404"/>
    <mergeCell ref="U1403:U1404"/>
    <mergeCell ref="V1403:V1404"/>
    <mergeCell ref="W1403:W1404"/>
    <mergeCell ref="X1403:X1404"/>
    <mergeCell ref="Y1403:Y1404"/>
    <mergeCell ref="P1403:P1404"/>
    <mergeCell ref="Q1403:Q1404"/>
    <mergeCell ref="R1403:R1404"/>
    <mergeCell ref="S1403:S1404"/>
    <mergeCell ref="T1403:T1404"/>
    <mergeCell ref="AL1401:AL1402"/>
    <mergeCell ref="AM1401:AM1402"/>
    <mergeCell ref="AN1401:AN1402"/>
    <mergeCell ref="A1403:A1404"/>
    <mergeCell ref="B1403:B1404"/>
    <mergeCell ref="D1403:D1404"/>
    <mergeCell ref="H1403:H1404"/>
    <mergeCell ref="I1403:I1404"/>
    <mergeCell ref="J1403:J1404"/>
    <mergeCell ref="K1403:K1404"/>
    <mergeCell ref="L1403:L1404"/>
    <mergeCell ref="M1403:M1404"/>
    <mergeCell ref="N1403:N1404"/>
    <mergeCell ref="O1403:O1404"/>
    <mergeCell ref="AG1401:AG1402"/>
    <mergeCell ref="AH1401:AH1402"/>
    <mergeCell ref="AI1401:AI1402"/>
    <mergeCell ref="AJ1401:AJ1402"/>
    <mergeCell ref="AK1401:AK1402"/>
    <mergeCell ref="AB1401:AB1402"/>
    <mergeCell ref="AC1401:AC1402"/>
    <mergeCell ref="AD1401:AD1402"/>
    <mergeCell ref="AE1401:AE1402"/>
    <mergeCell ref="AF1401:AF1402"/>
    <mergeCell ref="W1401:W1402"/>
    <mergeCell ref="X1401:X1402"/>
    <mergeCell ref="Y1401:Y1402"/>
    <mergeCell ref="Z1401:Z1402"/>
    <mergeCell ref="AA1401:AA1402"/>
    <mergeCell ref="R1401:R1402"/>
    <mergeCell ref="S1401:S1402"/>
    <mergeCell ref="T1401:T1402"/>
    <mergeCell ref="U1401:U1402"/>
    <mergeCell ref="V1401:V1402"/>
    <mergeCell ref="M1401:M1402"/>
    <mergeCell ref="N1401:N1402"/>
    <mergeCell ref="O1401:O1402"/>
    <mergeCell ref="P1401:P1402"/>
    <mergeCell ref="Q1401:Q1402"/>
    <mergeCell ref="AL1405:AL1406"/>
    <mergeCell ref="AM1405:AM1406"/>
    <mergeCell ref="AN1405:AN1406"/>
    <mergeCell ref="A1407:A1408"/>
    <mergeCell ref="B1407:B1408"/>
    <mergeCell ref="D1407:D1408"/>
    <mergeCell ref="H1407:H1408"/>
    <mergeCell ref="I1407:I1408"/>
    <mergeCell ref="J1407:J1408"/>
    <mergeCell ref="K1407:K1408"/>
    <mergeCell ref="L1407:L1408"/>
    <mergeCell ref="M1407:M1408"/>
    <mergeCell ref="N1407:N1408"/>
    <mergeCell ref="O1407:O1408"/>
    <mergeCell ref="AG1405:AG1406"/>
    <mergeCell ref="AH1405:AH1406"/>
    <mergeCell ref="AI1405:AI1406"/>
    <mergeCell ref="AJ1405:AJ1406"/>
    <mergeCell ref="AK1405:AK1406"/>
    <mergeCell ref="AB1405:AB1406"/>
    <mergeCell ref="AC1405:AC1406"/>
    <mergeCell ref="AD1405:AD1406"/>
    <mergeCell ref="AE1405:AE1406"/>
    <mergeCell ref="AF1405:AF1406"/>
    <mergeCell ref="W1405:W1406"/>
    <mergeCell ref="X1405:X1406"/>
    <mergeCell ref="Y1405:Y1406"/>
    <mergeCell ref="Z1405:Z1406"/>
    <mergeCell ref="AA1405:AA1406"/>
    <mergeCell ref="R1405:R1406"/>
    <mergeCell ref="S1405:S1406"/>
    <mergeCell ref="T1405:T1406"/>
    <mergeCell ref="U1405:U1406"/>
    <mergeCell ref="V1405:V1406"/>
    <mergeCell ref="M1405:M1406"/>
    <mergeCell ref="N1405:N1406"/>
    <mergeCell ref="O1405:O1406"/>
    <mergeCell ref="P1405:P1406"/>
    <mergeCell ref="Q1405:Q1406"/>
    <mergeCell ref="H1405:H1406"/>
    <mergeCell ref="I1405:I1406"/>
    <mergeCell ref="J1405:J1406"/>
    <mergeCell ref="K1405:K1406"/>
    <mergeCell ref="L1405:L1406"/>
    <mergeCell ref="A1405:A1406"/>
    <mergeCell ref="B1405:B1406"/>
    <mergeCell ref="D1405:D1406"/>
    <mergeCell ref="H1409:H1410"/>
    <mergeCell ref="I1409:I1410"/>
    <mergeCell ref="J1409:J1410"/>
    <mergeCell ref="K1409:K1410"/>
    <mergeCell ref="L1409:L1410"/>
    <mergeCell ref="A1409:A1410"/>
    <mergeCell ref="B1409:B1410"/>
    <mergeCell ref="D1409:D1410"/>
    <mergeCell ref="AJ1407:AJ1408"/>
    <mergeCell ref="AK1407:AK1408"/>
    <mergeCell ref="AL1407:AL1408"/>
    <mergeCell ref="AM1407:AM1408"/>
    <mergeCell ref="AN1407:AN1408"/>
    <mergeCell ref="AE1407:AE1408"/>
    <mergeCell ref="AF1407:AF1408"/>
    <mergeCell ref="AG1407:AG1408"/>
    <mergeCell ref="AH1407:AH1408"/>
    <mergeCell ref="AI1407:AI1408"/>
    <mergeCell ref="Z1407:Z1408"/>
    <mergeCell ref="AA1407:AA1408"/>
    <mergeCell ref="AB1407:AB1408"/>
    <mergeCell ref="AC1407:AC1408"/>
    <mergeCell ref="AD1407:AD1408"/>
    <mergeCell ref="U1407:U1408"/>
    <mergeCell ref="V1407:V1408"/>
    <mergeCell ref="W1407:W1408"/>
    <mergeCell ref="X1407:X1408"/>
    <mergeCell ref="Y1407:Y1408"/>
    <mergeCell ref="P1407:P1408"/>
    <mergeCell ref="Q1407:Q1408"/>
    <mergeCell ref="R1407:R1408"/>
    <mergeCell ref="S1407:S1408"/>
    <mergeCell ref="T1407:T1408"/>
    <mergeCell ref="AJ1411:AJ1412"/>
    <mergeCell ref="AK1411:AK1412"/>
    <mergeCell ref="AL1411:AL1412"/>
    <mergeCell ref="AM1411:AM1412"/>
    <mergeCell ref="AN1411:AN1412"/>
    <mergeCell ref="AE1411:AE1412"/>
    <mergeCell ref="AF1411:AF1412"/>
    <mergeCell ref="AG1411:AG1412"/>
    <mergeCell ref="AH1411:AH1412"/>
    <mergeCell ref="AI1411:AI1412"/>
    <mergeCell ref="Z1411:Z1412"/>
    <mergeCell ref="AA1411:AA1412"/>
    <mergeCell ref="AB1411:AB1412"/>
    <mergeCell ref="AC1411:AC1412"/>
    <mergeCell ref="AD1411:AD1412"/>
    <mergeCell ref="U1411:U1412"/>
    <mergeCell ref="V1411:V1412"/>
    <mergeCell ref="W1411:W1412"/>
    <mergeCell ref="X1411:X1412"/>
    <mergeCell ref="Y1411:Y1412"/>
    <mergeCell ref="P1411:P1412"/>
    <mergeCell ref="Q1411:Q1412"/>
    <mergeCell ref="R1411:R1412"/>
    <mergeCell ref="S1411:S1412"/>
    <mergeCell ref="T1411:T1412"/>
    <mergeCell ref="AL1409:AL1410"/>
    <mergeCell ref="AM1409:AM1410"/>
    <mergeCell ref="AN1409:AN1410"/>
    <mergeCell ref="A1411:A1412"/>
    <mergeCell ref="B1411:B1412"/>
    <mergeCell ref="D1411:D1412"/>
    <mergeCell ref="H1411:H1412"/>
    <mergeCell ref="I1411:I1412"/>
    <mergeCell ref="J1411:J1412"/>
    <mergeCell ref="K1411:K1412"/>
    <mergeCell ref="L1411:L1412"/>
    <mergeCell ref="M1411:M1412"/>
    <mergeCell ref="N1411:N1412"/>
    <mergeCell ref="O1411:O1412"/>
    <mergeCell ref="AG1409:AG1410"/>
    <mergeCell ref="AH1409:AH1410"/>
    <mergeCell ref="AI1409:AI1410"/>
    <mergeCell ref="AJ1409:AJ1410"/>
    <mergeCell ref="AK1409:AK1410"/>
    <mergeCell ref="AB1409:AB1410"/>
    <mergeCell ref="AC1409:AC1410"/>
    <mergeCell ref="AD1409:AD1410"/>
    <mergeCell ref="AE1409:AE1410"/>
    <mergeCell ref="AF1409:AF1410"/>
    <mergeCell ref="W1409:W1410"/>
    <mergeCell ref="X1409:X1410"/>
    <mergeCell ref="Y1409:Y1410"/>
    <mergeCell ref="Z1409:Z1410"/>
    <mergeCell ref="AA1409:AA1410"/>
    <mergeCell ref="R1409:R1410"/>
    <mergeCell ref="S1409:S1410"/>
    <mergeCell ref="T1409:T1410"/>
    <mergeCell ref="U1409:U1410"/>
    <mergeCell ref="V1409:V1410"/>
    <mergeCell ref="M1409:M1410"/>
    <mergeCell ref="N1409:N1410"/>
    <mergeCell ref="O1409:O1410"/>
    <mergeCell ref="P1409:P1410"/>
    <mergeCell ref="Q1409:Q1410"/>
    <mergeCell ref="AL1413:AL1414"/>
    <mergeCell ref="AM1413:AM1414"/>
    <mergeCell ref="AN1413:AN1414"/>
    <mergeCell ref="A1415:A1416"/>
    <mergeCell ref="B1415:B1416"/>
    <mergeCell ref="D1415:D1416"/>
    <mergeCell ref="H1415:H1416"/>
    <mergeCell ref="I1415:I1416"/>
    <mergeCell ref="J1415:J1416"/>
    <mergeCell ref="K1415:K1416"/>
    <mergeCell ref="L1415:L1416"/>
    <mergeCell ref="M1415:M1416"/>
    <mergeCell ref="N1415:N1416"/>
    <mergeCell ref="O1415:O1416"/>
    <mergeCell ref="AG1413:AG1414"/>
    <mergeCell ref="AH1413:AH1414"/>
    <mergeCell ref="AI1413:AI1414"/>
    <mergeCell ref="AJ1413:AJ1414"/>
    <mergeCell ref="AK1413:AK1414"/>
    <mergeCell ref="AB1413:AB1414"/>
    <mergeCell ref="AC1413:AC1414"/>
    <mergeCell ref="AD1413:AD1414"/>
    <mergeCell ref="AE1413:AE1414"/>
    <mergeCell ref="AF1413:AF1414"/>
    <mergeCell ref="W1413:W1414"/>
    <mergeCell ref="X1413:X1414"/>
    <mergeCell ref="Y1413:Y1414"/>
    <mergeCell ref="Z1413:Z1414"/>
    <mergeCell ref="AA1413:AA1414"/>
    <mergeCell ref="R1413:R1414"/>
    <mergeCell ref="S1413:S1414"/>
    <mergeCell ref="T1413:T1414"/>
    <mergeCell ref="U1413:U1414"/>
    <mergeCell ref="V1413:V1414"/>
    <mergeCell ref="M1413:M1414"/>
    <mergeCell ref="N1413:N1414"/>
    <mergeCell ref="O1413:O1414"/>
    <mergeCell ref="P1413:P1414"/>
    <mergeCell ref="Q1413:Q1414"/>
    <mergeCell ref="H1413:H1414"/>
    <mergeCell ref="I1413:I1414"/>
    <mergeCell ref="J1413:J1414"/>
    <mergeCell ref="K1413:K1414"/>
    <mergeCell ref="L1413:L1414"/>
    <mergeCell ref="A1413:A1414"/>
    <mergeCell ref="B1413:B1414"/>
    <mergeCell ref="D1413:D1414"/>
    <mergeCell ref="H1417:H1418"/>
    <mergeCell ref="I1417:I1418"/>
    <mergeCell ref="J1417:J1418"/>
    <mergeCell ref="K1417:K1418"/>
    <mergeCell ref="L1417:L1418"/>
    <mergeCell ref="A1417:A1418"/>
    <mergeCell ref="B1417:B1418"/>
    <mergeCell ref="D1417:D1418"/>
    <mergeCell ref="AJ1415:AJ1416"/>
    <mergeCell ref="AK1415:AK1416"/>
    <mergeCell ref="AL1415:AL1416"/>
    <mergeCell ref="AM1415:AM1416"/>
    <mergeCell ref="AN1415:AN1416"/>
    <mergeCell ref="AE1415:AE1416"/>
    <mergeCell ref="AF1415:AF1416"/>
    <mergeCell ref="AG1415:AG1416"/>
    <mergeCell ref="AH1415:AH1416"/>
    <mergeCell ref="AI1415:AI1416"/>
    <mergeCell ref="Z1415:Z1416"/>
    <mergeCell ref="AA1415:AA1416"/>
    <mergeCell ref="AB1415:AB1416"/>
    <mergeCell ref="AC1415:AC1416"/>
    <mergeCell ref="AD1415:AD1416"/>
    <mergeCell ref="U1415:U1416"/>
    <mergeCell ref="V1415:V1416"/>
    <mergeCell ref="W1415:W1416"/>
    <mergeCell ref="X1415:X1416"/>
    <mergeCell ref="Y1415:Y1416"/>
    <mergeCell ref="P1415:P1416"/>
    <mergeCell ref="Q1415:Q1416"/>
    <mergeCell ref="R1415:R1416"/>
    <mergeCell ref="S1415:S1416"/>
    <mergeCell ref="T1415:T1416"/>
    <mergeCell ref="AJ1419:AJ1420"/>
    <mergeCell ref="AK1419:AK1420"/>
    <mergeCell ref="AL1419:AL1420"/>
    <mergeCell ref="AM1419:AM1420"/>
    <mergeCell ref="AN1419:AN1420"/>
    <mergeCell ref="AE1419:AE1420"/>
    <mergeCell ref="AF1419:AF1420"/>
    <mergeCell ref="AG1419:AG1420"/>
    <mergeCell ref="AH1419:AH1420"/>
    <mergeCell ref="AI1419:AI1420"/>
    <mergeCell ref="Z1419:Z1420"/>
    <mergeCell ref="AA1419:AA1420"/>
    <mergeCell ref="AB1419:AB1420"/>
    <mergeCell ref="AC1419:AC1420"/>
    <mergeCell ref="AD1419:AD1420"/>
    <mergeCell ref="U1419:U1420"/>
    <mergeCell ref="V1419:V1420"/>
    <mergeCell ref="W1419:W1420"/>
    <mergeCell ref="X1419:X1420"/>
    <mergeCell ref="Y1419:Y1420"/>
    <mergeCell ref="P1419:P1420"/>
    <mergeCell ref="Q1419:Q1420"/>
    <mergeCell ref="R1419:R1420"/>
    <mergeCell ref="S1419:S1420"/>
    <mergeCell ref="T1419:T1420"/>
    <mergeCell ref="AL1417:AL1418"/>
    <mergeCell ref="AM1417:AM1418"/>
    <mergeCell ref="AN1417:AN1418"/>
    <mergeCell ref="A1419:A1420"/>
    <mergeCell ref="B1419:B1420"/>
    <mergeCell ref="D1419:D1420"/>
    <mergeCell ref="H1419:H1420"/>
    <mergeCell ref="I1419:I1420"/>
    <mergeCell ref="J1419:J1420"/>
    <mergeCell ref="K1419:K1420"/>
    <mergeCell ref="L1419:L1420"/>
    <mergeCell ref="M1419:M1420"/>
    <mergeCell ref="N1419:N1420"/>
    <mergeCell ref="O1419:O1420"/>
    <mergeCell ref="AG1417:AG1418"/>
    <mergeCell ref="AH1417:AH1418"/>
    <mergeCell ref="AI1417:AI1418"/>
    <mergeCell ref="AJ1417:AJ1418"/>
    <mergeCell ref="AK1417:AK1418"/>
    <mergeCell ref="AB1417:AB1418"/>
    <mergeCell ref="AC1417:AC1418"/>
    <mergeCell ref="AD1417:AD1418"/>
    <mergeCell ref="AE1417:AE1418"/>
    <mergeCell ref="AF1417:AF1418"/>
    <mergeCell ref="W1417:W1418"/>
    <mergeCell ref="X1417:X1418"/>
    <mergeCell ref="Y1417:Y1418"/>
    <mergeCell ref="Z1417:Z1418"/>
    <mergeCell ref="AA1417:AA1418"/>
    <mergeCell ref="R1417:R1418"/>
    <mergeCell ref="S1417:S1418"/>
    <mergeCell ref="T1417:T1418"/>
    <mergeCell ref="U1417:U1418"/>
    <mergeCell ref="V1417:V1418"/>
    <mergeCell ref="M1417:M1418"/>
    <mergeCell ref="N1417:N1418"/>
    <mergeCell ref="O1417:O1418"/>
    <mergeCell ref="P1417:P1418"/>
    <mergeCell ref="Q1417:Q1418"/>
    <mergeCell ref="AL1421:AL1422"/>
    <mergeCell ref="AM1421:AM1422"/>
    <mergeCell ref="AN1421:AN1422"/>
    <mergeCell ref="A1423:A1424"/>
    <mergeCell ref="B1423:B1424"/>
    <mergeCell ref="D1423:D1424"/>
    <mergeCell ref="H1423:H1424"/>
    <mergeCell ref="I1423:I1424"/>
    <mergeCell ref="J1423:J1424"/>
    <mergeCell ref="K1423:K1424"/>
    <mergeCell ref="L1423:L1424"/>
    <mergeCell ref="M1423:M1424"/>
    <mergeCell ref="N1423:N1424"/>
    <mergeCell ref="O1423:O1424"/>
    <mergeCell ref="AG1421:AG1422"/>
    <mergeCell ref="AH1421:AH1422"/>
    <mergeCell ref="AI1421:AI1422"/>
    <mergeCell ref="AJ1421:AJ1422"/>
    <mergeCell ref="AK1421:AK1422"/>
    <mergeCell ref="AB1421:AB1422"/>
    <mergeCell ref="AC1421:AC1422"/>
    <mergeCell ref="AD1421:AD1422"/>
    <mergeCell ref="AE1421:AE1422"/>
    <mergeCell ref="AF1421:AF1422"/>
    <mergeCell ref="W1421:W1422"/>
    <mergeCell ref="X1421:X1422"/>
    <mergeCell ref="Y1421:Y1422"/>
    <mergeCell ref="Z1421:Z1422"/>
    <mergeCell ref="AA1421:AA1422"/>
    <mergeCell ref="R1421:R1422"/>
    <mergeCell ref="S1421:S1422"/>
    <mergeCell ref="T1421:T1422"/>
    <mergeCell ref="U1421:U1422"/>
    <mergeCell ref="V1421:V1422"/>
    <mergeCell ref="M1421:M1422"/>
    <mergeCell ref="N1421:N1422"/>
    <mergeCell ref="O1421:O1422"/>
    <mergeCell ref="P1421:P1422"/>
    <mergeCell ref="Q1421:Q1422"/>
    <mergeCell ref="H1421:H1422"/>
    <mergeCell ref="I1421:I1422"/>
    <mergeCell ref="J1421:J1422"/>
    <mergeCell ref="K1421:K1422"/>
    <mergeCell ref="L1421:L1422"/>
    <mergeCell ref="A1421:A1422"/>
    <mergeCell ref="B1421:B1422"/>
    <mergeCell ref="D1421:D1422"/>
    <mergeCell ref="H1425:H1426"/>
    <mergeCell ref="I1425:I1426"/>
    <mergeCell ref="J1425:J1426"/>
    <mergeCell ref="K1425:K1426"/>
    <mergeCell ref="L1425:L1426"/>
    <mergeCell ref="A1425:A1426"/>
    <mergeCell ref="B1425:B1426"/>
    <mergeCell ref="D1425:D1426"/>
    <mergeCell ref="AJ1423:AJ1424"/>
    <mergeCell ref="AK1423:AK1424"/>
    <mergeCell ref="AL1423:AL1424"/>
    <mergeCell ref="AM1423:AM1424"/>
    <mergeCell ref="AN1423:AN1424"/>
    <mergeCell ref="AE1423:AE1424"/>
    <mergeCell ref="AF1423:AF1424"/>
    <mergeCell ref="AG1423:AG1424"/>
    <mergeCell ref="AH1423:AH1424"/>
    <mergeCell ref="AI1423:AI1424"/>
    <mergeCell ref="Z1423:Z1424"/>
    <mergeCell ref="AA1423:AA1424"/>
    <mergeCell ref="AB1423:AB1424"/>
    <mergeCell ref="AC1423:AC1424"/>
    <mergeCell ref="AD1423:AD1424"/>
    <mergeCell ref="U1423:U1424"/>
    <mergeCell ref="V1423:V1424"/>
    <mergeCell ref="W1423:W1424"/>
    <mergeCell ref="X1423:X1424"/>
    <mergeCell ref="Y1423:Y1424"/>
    <mergeCell ref="P1423:P1424"/>
    <mergeCell ref="Q1423:Q1424"/>
    <mergeCell ref="R1423:R1424"/>
    <mergeCell ref="S1423:S1424"/>
    <mergeCell ref="T1423:T1424"/>
    <mergeCell ref="AJ1427:AJ1428"/>
    <mergeCell ref="AK1427:AK1428"/>
    <mergeCell ref="AL1427:AL1428"/>
    <mergeCell ref="AM1427:AM1428"/>
    <mergeCell ref="AN1427:AN1428"/>
    <mergeCell ref="AE1427:AE1428"/>
    <mergeCell ref="AF1427:AF1428"/>
    <mergeCell ref="AG1427:AG1428"/>
    <mergeCell ref="AH1427:AH1428"/>
    <mergeCell ref="AI1427:AI1428"/>
    <mergeCell ref="Z1427:Z1428"/>
    <mergeCell ref="AA1427:AA1428"/>
    <mergeCell ref="AB1427:AB1428"/>
    <mergeCell ref="AC1427:AC1428"/>
    <mergeCell ref="AD1427:AD1428"/>
    <mergeCell ref="U1427:U1428"/>
    <mergeCell ref="V1427:V1428"/>
    <mergeCell ref="W1427:W1428"/>
    <mergeCell ref="X1427:X1428"/>
    <mergeCell ref="Y1427:Y1428"/>
    <mergeCell ref="P1427:P1428"/>
    <mergeCell ref="Q1427:Q1428"/>
    <mergeCell ref="R1427:R1428"/>
    <mergeCell ref="S1427:S1428"/>
    <mergeCell ref="T1427:T1428"/>
    <mergeCell ref="AL1425:AL1426"/>
    <mergeCell ref="AM1425:AM1426"/>
    <mergeCell ref="AN1425:AN1426"/>
    <mergeCell ref="A1427:A1428"/>
    <mergeCell ref="B1427:B1428"/>
    <mergeCell ref="D1427:D1428"/>
    <mergeCell ref="H1427:H1428"/>
    <mergeCell ref="I1427:I1428"/>
    <mergeCell ref="J1427:J1428"/>
    <mergeCell ref="K1427:K1428"/>
    <mergeCell ref="L1427:L1428"/>
    <mergeCell ref="M1427:M1428"/>
    <mergeCell ref="N1427:N1428"/>
    <mergeCell ref="O1427:O1428"/>
    <mergeCell ref="AG1425:AG1426"/>
    <mergeCell ref="AH1425:AH1426"/>
    <mergeCell ref="AI1425:AI1426"/>
    <mergeCell ref="AJ1425:AJ1426"/>
    <mergeCell ref="AK1425:AK1426"/>
    <mergeCell ref="AB1425:AB1426"/>
    <mergeCell ref="AC1425:AC1426"/>
    <mergeCell ref="AD1425:AD1426"/>
    <mergeCell ref="AE1425:AE1426"/>
    <mergeCell ref="AF1425:AF1426"/>
    <mergeCell ref="W1425:W1426"/>
    <mergeCell ref="X1425:X1426"/>
    <mergeCell ref="Y1425:Y1426"/>
    <mergeCell ref="Z1425:Z1426"/>
    <mergeCell ref="AA1425:AA1426"/>
    <mergeCell ref="R1425:R1426"/>
    <mergeCell ref="S1425:S1426"/>
    <mergeCell ref="T1425:T1426"/>
    <mergeCell ref="U1425:U1426"/>
    <mergeCell ref="V1425:V1426"/>
    <mergeCell ref="M1425:M1426"/>
    <mergeCell ref="N1425:N1426"/>
    <mergeCell ref="O1425:O1426"/>
    <mergeCell ref="P1425:P1426"/>
    <mergeCell ref="Q1425:Q1426"/>
    <mergeCell ref="AL1429:AL1430"/>
    <mergeCell ref="AM1429:AM1430"/>
    <mergeCell ref="AN1429:AN1430"/>
    <mergeCell ref="A1431:A1432"/>
    <mergeCell ref="B1431:B1432"/>
    <mergeCell ref="D1431:D1432"/>
    <mergeCell ref="H1431:H1432"/>
    <mergeCell ref="I1431:I1432"/>
    <mergeCell ref="J1431:J1432"/>
    <mergeCell ref="K1431:K1432"/>
    <mergeCell ref="L1431:L1432"/>
    <mergeCell ref="M1431:M1432"/>
    <mergeCell ref="N1431:N1432"/>
    <mergeCell ref="O1431:O1432"/>
    <mergeCell ref="AG1429:AG1430"/>
    <mergeCell ref="AH1429:AH1430"/>
    <mergeCell ref="AI1429:AI1430"/>
    <mergeCell ref="AJ1429:AJ1430"/>
    <mergeCell ref="AK1429:AK1430"/>
    <mergeCell ref="AB1429:AB1430"/>
    <mergeCell ref="AC1429:AC1430"/>
    <mergeCell ref="AD1429:AD1430"/>
    <mergeCell ref="AE1429:AE1430"/>
    <mergeCell ref="AF1429:AF1430"/>
    <mergeCell ref="W1429:W1430"/>
    <mergeCell ref="X1429:X1430"/>
    <mergeCell ref="Y1429:Y1430"/>
    <mergeCell ref="Z1429:Z1430"/>
    <mergeCell ref="AA1429:AA1430"/>
    <mergeCell ref="R1429:R1430"/>
    <mergeCell ref="S1429:S1430"/>
    <mergeCell ref="T1429:T1430"/>
    <mergeCell ref="U1429:U1430"/>
    <mergeCell ref="V1429:V1430"/>
    <mergeCell ref="M1429:M1430"/>
    <mergeCell ref="N1429:N1430"/>
    <mergeCell ref="O1429:O1430"/>
    <mergeCell ref="P1429:P1430"/>
    <mergeCell ref="Q1429:Q1430"/>
    <mergeCell ref="H1429:H1430"/>
    <mergeCell ref="I1429:I1430"/>
    <mergeCell ref="J1429:J1430"/>
    <mergeCell ref="K1429:K1430"/>
    <mergeCell ref="L1429:L1430"/>
    <mergeCell ref="A1429:A1430"/>
    <mergeCell ref="B1429:B1430"/>
    <mergeCell ref="D1429:D1430"/>
    <mergeCell ref="H1433:H1434"/>
    <mergeCell ref="I1433:I1434"/>
    <mergeCell ref="J1433:J1434"/>
    <mergeCell ref="K1433:K1434"/>
    <mergeCell ref="L1433:L1434"/>
    <mergeCell ref="A1433:A1434"/>
    <mergeCell ref="B1433:B1434"/>
    <mergeCell ref="D1433:D1434"/>
    <mergeCell ref="AJ1431:AJ1432"/>
    <mergeCell ref="AK1431:AK1432"/>
    <mergeCell ref="AL1431:AL1432"/>
    <mergeCell ref="AM1431:AM1432"/>
    <mergeCell ref="AN1431:AN1432"/>
    <mergeCell ref="AE1431:AE1432"/>
    <mergeCell ref="AF1431:AF1432"/>
    <mergeCell ref="AG1431:AG1432"/>
    <mergeCell ref="AH1431:AH1432"/>
    <mergeCell ref="AI1431:AI1432"/>
    <mergeCell ref="Z1431:Z1432"/>
    <mergeCell ref="AA1431:AA1432"/>
    <mergeCell ref="AB1431:AB1432"/>
    <mergeCell ref="AC1431:AC1432"/>
    <mergeCell ref="AD1431:AD1432"/>
    <mergeCell ref="U1431:U1432"/>
    <mergeCell ref="V1431:V1432"/>
    <mergeCell ref="W1431:W1432"/>
    <mergeCell ref="X1431:X1432"/>
    <mergeCell ref="Y1431:Y1432"/>
    <mergeCell ref="P1431:P1432"/>
    <mergeCell ref="Q1431:Q1432"/>
    <mergeCell ref="R1431:R1432"/>
    <mergeCell ref="S1431:S1432"/>
    <mergeCell ref="T1431:T1432"/>
    <mergeCell ref="AJ1435:AJ1436"/>
    <mergeCell ref="AK1435:AK1436"/>
    <mergeCell ref="AL1435:AL1436"/>
    <mergeCell ref="AM1435:AM1436"/>
    <mergeCell ref="AN1435:AN1436"/>
    <mergeCell ref="AE1435:AE1436"/>
    <mergeCell ref="AF1435:AF1436"/>
    <mergeCell ref="AG1435:AG1436"/>
    <mergeCell ref="AH1435:AH1436"/>
    <mergeCell ref="AI1435:AI1436"/>
    <mergeCell ref="Z1435:Z1436"/>
    <mergeCell ref="AA1435:AA1436"/>
    <mergeCell ref="AB1435:AB1436"/>
    <mergeCell ref="AC1435:AC1436"/>
    <mergeCell ref="AD1435:AD1436"/>
    <mergeCell ref="U1435:U1436"/>
    <mergeCell ref="V1435:V1436"/>
    <mergeCell ref="W1435:W1436"/>
    <mergeCell ref="X1435:X1436"/>
    <mergeCell ref="Y1435:Y1436"/>
    <mergeCell ref="P1435:P1436"/>
    <mergeCell ref="Q1435:Q1436"/>
    <mergeCell ref="R1435:R1436"/>
    <mergeCell ref="S1435:S1436"/>
    <mergeCell ref="T1435:T1436"/>
    <mergeCell ref="AL1433:AL1434"/>
    <mergeCell ref="AM1433:AM1434"/>
    <mergeCell ref="AN1433:AN1434"/>
    <mergeCell ref="A1435:A1436"/>
    <mergeCell ref="B1435:B1436"/>
    <mergeCell ref="D1435:D1436"/>
    <mergeCell ref="H1435:H1436"/>
    <mergeCell ref="I1435:I1436"/>
    <mergeCell ref="J1435:J1436"/>
    <mergeCell ref="K1435:K1436"/>
    <mergeCell ref="L1435:L1436"/>
    <mergeCell ref="M1435:M1436"/>
    <mergeCell ref="N1435:N1436"/>
    <mergeCell ref="O1435:O1436"/>
    <mergeCell ref="AG1433:AG1434"/>
    <mergeCell ref="AH1433:AH1434"/>
    <mergeCell ref="AI1433:AI1434"/>
    <mergeCell ref="AJ1433:AJ1434"/>
    <mergeCell ref="AK1433:AK1434"/>
    <mergeCell ref="AB1433:AB1434"/>
    <mergeCell ref="AC1433:AC1434"/>
    <mergeCell ref="AD1433:AD1434"/>
    <mergeCell ref="AE1433:AE1434"/>
    <mergeCell ref="AF1433:AF1434"/>
    <mergeCell ref="W1433:W1434"/>
    <mergeCell ref="X1433:X1434"/>
    <mergeCell ref="Y1433:Y1434"/>
    <mergeCell ref="Z1433:Z1434"/>
    <mergeCell ref="AA1433:AA1434"/>
    <mergeCell ref="R1433:R1434"/>
    <mergeCell ref="S1433:S1434"/>
    <mergeCell ref="T1433:T1434"/>
    <mergeCell ref="U1433:U1434"/>
    <mergeCell ref="V1433:V1434"/>
    <mergeCell ref="M1433:M1434"/>
    <mergeCell ref="N1433:N1434"/>
    <mergeCell ref="O1433:O1434"/>
    <mergeCell ref="P1433:P1434"/>
    <mergeCell ref="Q1433:Q1434"/>
    <mergeCell ref="AL1437:AL1438"/>
    <mergeCell ref="AM1437:AM1438"/>
    <mergeCell ref="AN1437:AN1438"/>
    <mergeCell ref="A1439:A1440"/>
    <mergeCell ref="B1439:B1440"/>
    <mergeCell ref="D1439:D1440"/>
    <mergeCell ref="H1439:H1440"/>
    <mergeCell ref="I1439:I1440"/>
    <mergeCell ref="J1439:J1440"/>
    <mergeCell ref="K1439:K1440"/>
    <mergeCell ref="L1439:L1440"/>
    <mergeCell ref="M1439:M1440"/>
    <mergeCell ref="N1439:N1440"/>
    <mergeCell ref="O1439:O1440"/>
    <mergeCell ref="AG1437:AG1438"/>
    <mergeCell ref="AH1437:AH1438"/>
    <mergeCell ref="AI1437:AI1438"/>
    <mergeCell ref="AJ1437:AJ1438"/>
    <mergeCell ref="AK1437:AK1438"/>
    <mergeCell ref="AB1437:AB1438"/>
    <mergeCell ref="AC1437:AC1438"/>
    <mergeCell ref="AD1437:AD1438"/>
    <mergeCell ref="AE1437:AE1438"/>
    <mergeCell ref="AF1437:AF1438"/>
    <mergeCell ref="W1437:W1438"/>
    <mergeCell ref="X1437:X1438"/>
    <mergeCell ref="Y1437:Y1438"/>
    <mergeCell ref="Z1437:Z1438"/>
    <mergeCell ref="AA1437:AA1438"/>
    <mergeCell ref="R1437:R1438"/>
    <mergeCell ref="S1437:S1438"/>
    <mergeCell ref="T1437:T1438"/>
    <mergeCell ref="U1437:U1438"/>
    <mergeCell ref="V1437:V1438"/>
    <mergeCell ref="M1437:M1438"/>
    <mergeCell ref="N1437:N1438"/>
    <mergeCell ref="O1437:O1438"/>
    <mergeCell ref="P1437:P1438"/>
    <mergeCell ref="Q1437:Q1438"/>
    <mergeCell ref="H1437:H1438"/>
    <mergeCell ref="I1437:I1438"/>
    <mergeCell ref="J1437:J1438"/>
    <mergeCell ref="K1437:K1438"/>
    <mergeCell ref="L1437:L1438"/>
    <mergeCell ref="A1437:A1438"/>
    <mergeCell ref="B1437:B1438"/>
    <mergeCell ref="D1437:D1438"/>
    <mergeCell ref="H1441:H1442"/>
    <mergeCell ref="I1441:I1442"/>
    <mergeCell ref="J1441:J1442"/>
    <mergeCell ref="K1441:K1442"/>
    <mergeCell ref="L1441:L1442"/>
    <mergeCell ref="A1441:A1442"/>
    <mergeCell ref="B1441:B1442"/>
    <mergeCell ref="D1441:D1442"/>
    <mergeCell ref="AJ1439:AJ1440"/>
    <mergeCell ref="AK1439:AK1440"/>
    <mergeCell ref="AL1439:AL1440"/>
    <mergeCell ref="AM1439:AM1440"/>
    <mergeCell ref="AN1439:AN1440"/>
    <mergeCell ref="AE1439:AE1440"/>
    <mergeCell ref="AF1439:AF1440"/>
    <mergeCell ref="AG1439:AG1440"/>
    <mergeCell ref="AH1439:AH1440"/>
    <mergeCell ref="AI1439:AI1440"/>
    <mergeCell ref="Z1439:Z1440"/>
    <mergeCell ref="AA1439:AA1440"/>
    <mergeCell ref="AB1439:AB1440"/>
    <mergeCell ref="AC1439:AC1440"/>
    <mergeCell ref="AD1439:AD1440"/>
    <mergeCell ref="U1439:U1440"/>
    <mergeCell ref="V1439:V1440"/>
    <mergeCell ref="W1439:W1440"/>
    <mergeCell ref="X1439:X1440"/>
    <mergeCell ref="Y1439:Y1440"/>
    <mergeCell ref="P1439:P1440"/>
    <mergeCell ref="Q1439:Q1440"/>
    <mergeCell ref="R1439:R1440"/>
    <mergeCell ref="S1439:S1440"/>
    <mergeCell ref="T1439:T1440"/>
    <mergeCell ref="AJ1443:AJ1444"/>
    <mergeCell ref="AK1443:AK1444"/>
    <mergeCell ref="AL1443:AL1444"/>
    <mergeCell ref="AM1443:AM1444"/>
    <mergeCell ref="AN1443:AN1444"/>
    <mergeCell ref="AE1443:AE1444"/>
    <mergeCell ref="AF1443:AF1444"/>
    <mergeCell ref="AG1443:AG1444"/>
    <mergeCell ref="AH1443:AH1444"/>
    <mergeCell ref="AI1443:AI1444"/>
    <mergeCell ref="Z1443:Z1444"/>
    <mergeCell ref="AA1443:AA1444"/>
    <mergeCell ref="AB1443:AB1444"/>
    <mergeCell ref="AC1443:AC1444"/>
    <mergeCell ref="AD1443:AD1444"/>
    <mergeCell ref="U1443:U1444"/>
    <mergeCell ref="V1443:V1444"/>
    <mergeCell ref="W1443:W1444"/>
    <mergeCell ref="X1443:X1444"/>
    <mergeCell ref="Y1443:Y1444"/>
    <mergeCell ref="P1443:P1444"/>
    <mergeCell ref="Q1443:Q1444"/>
    <mergeCell ref="R1443:R1444"/>
    <mergeCell ref="S1443:S1444"/>
    <mergeCell ref="T1443:T1444"/>
    <mergeCell ref="AL1441:AL1442"/>
    <mergeCell ref="AM1441:AM1442"/>
    <mergeCell ref="AN1441:AN1442"/>
    <mergeCell ref="A1443:A1444"/>
    <mergeCell ref="B1443:B1444"/>
    <mergeCell ref="D1443:D1444"/>
    <mergeCell ref="H1443:H1444"/>
    <mergeCell ref="I1443:I1444"/>
    <mergeCell ref="J1443:J1444"/>
    <mergeCell ref="K1443:K1444"/>
    <mergeCell ref="L1443:L1444"/>
    <mergeCell ref="M1443:M1444"/>
    <mergeCell ref="N1443:N1444"/>
    <mergeCell ref="O1443:O1444"/>
    <mergeCell ref="AG1441:AG1442"/>
    <mergeCell ref="AH1441:AH1442"/>
    <mergeCell ref="AI1441:AI1442"/>
    <mergeCell ref="AJ1441:AJ1442"/>
    <mergeCell ref="AK1441:AK1442"/>
    <mergeCell ref="AB1441:AB1442"/>
    <mergeCell ref="AC1441:AC1442"/>
    <mergeCell ref="AD1441:AD1442"/>
    <mergeCell ref="AE1441:AE1442"/>
    <mergeCell ref="AF1441:AF1442"/>
    <mergeCell ref="W1441:W1442"/>
    <mergeCell ref="X1441:X1442"/>
    <mergeCell ref="Y1441:Y1442"/>
    <mergeCell ref="Z1441:Z1442"/>
    <mergeCell ref="AA1441:AA1442"/>
    <mergeCell ref="R1441:R1442"/>
    <mergeCell ref="S1441:S1442"/>
    <mergeCell ref="T1441:T1442"/>
    <mergeCell ref="U1441:U1442"/>
    <mergeCell ref="V1441:V1442"/>
    <mergeCell ref="M1441:M1442"/>
    <mergeCell ref="N1441:N1442"/>
    <mergeCell ref="O1441:O1442"/>
    <mergeCell ref="P1441:P1442"/>
    <mergeCell ref="Q1441:Q1442"/>
    <mergeCell ref="AL1445:AL1446"/>
    <mergeCell ref="AM1445:AM1446"/>
    <mergeCell ref="AN1445:AN1446"/>
    <mergeCell ref="A1447:A1448"/>
    <mergeCell ref="B1447:B1448"/>
    <mergeCell ref="D1447:D1448"/>
    <mergeCell ref="H1447:H1448"/>
    <mergeCell ref="I1447:I1448"/>
    <mergeCell ref="J1447:J1448"/>
    <mergeCell ref="K1447:K1448"/>
    <mergeCell ref="L1447:L1448"/>
    <mergeCell ref="M1447:M1448"/>
    <mergeCell ref="N1447:N1448"/>
    <mergeCell ref="O1447:O1448"/>
    <mergeCell ref="AG1445:AG1446"/>
    <mergeCell ref="AH1445:AH1446"/>
    <mergeCell ref="AI1445:AI1446"/>
    <mergeCell ref="AJ1445:AJ1446"/>
    <mergeCell ref="AK1445:AK1446"/>
    <mergeCell ref="AB1445:AB1446"/>
    <mergeCell ref="AC1445:AC1446"/>
    <mergeCell ref="AD1445:AD1446"/>
    <mergeCell ref="AE1445:AE1446"/>
    <mergeCell ref="AF1445:AF1446"/>
    <mergeCell ref="W1445:W1446"/>
    <mergeCell ref="X1445:X1446"/>
    <mergeCell ref="Y1445:Y1446"/>
    <mergeCell ref="Z1445:Z1446"/>
    <mergeCell ref="AA1445:AA1446"/>
    <mergeCell ref="R1445:R1446"/>
    <mergeCell ref="S1445:S1446"/>
    <mergeCell ref="T1445:T1446"/>
    <mergeCell ref="U1445:U1446"/>
    <mergeCell ref="V1445:V1446"/>
    <mergeCell ref="M1445:M1446"/>
    <mergeCell ref="N1445:N1446"/>
    <mergeCell ref="O1445:O1446"/>
    <mergeCell ref="P1445:P1446"/>
    <mergeCell ref="Q1445:Q1446"/>
    <mergeCell ref="H1445:H1446"/>
    <mergeCell ref="I1445:I1446"/>
    <mergeCell ref="J1445:J1446"/>
    <mergeCell ref="K1445:K1446"/>
    <mergeCell ref="L1445:L1446"/>
    <mergeCell ref="A1445:A1446"/>
    <mergeCell ref="B1445:B1446"/>
    <mergeCell ref="D1445:D1446"/>
    <mergeCell ref="H1449:H1450"/>
    <mergeCell ref="I1449:I1450"/>
    <mergeCell ref="J1449:J1450"/>
    <mergeCell ref="K1449:K1450"/>
    <mergeCell ref="L1449:L1450"/>
    <mergeCell ref="A1449:A1450"/>
    <mergeCell ref="B1449:B1450"/>
    <mergeCell ref="D1449:D1450"/>
    <mergeCell ref="AJ1447:AJ1448"/>
    <mergeCell ref="AK1447:AK1448"/>
    <mergeCell ref="AL1447:AL1448"/>
    <mergeCell ref="AM1447:AM1448"/>
    <mergeCell ref="AN1447:AN1448"/>
    <mergeCell ref="AE1447:AE1448"/>
    <mergeCell ref="AF1447:AF1448"/>
    <mergeCell ref="AG1447:AG1448"/>
    <mergeCell ref="AH1447:AH1448"/>
    <mergeCell ref="AI1447:AI1448"/>
    <mergeCell ref="Z1447:Z1448"/>
    <mergeCell ref="AA1447:AA1448"/>
    <mergeCell ref="AB1447:AB1448"/>
    <mergeCell ref="AC1447:AC1448"/>
    <mergeCell ref="AD1447:AD1448"/>
    <mergeCell ref="U1447:U1448"/>
    <mergeCell ref="V1447:V1448"/>
    <mergeCell ref="W1447:W1448"/>
    <mergeCell ref="X1447:X1448"/>
    <mergeCell ref="Y1447:Y1448"/>
    <mergeCell ref="P1447:P1448"/>
    <mergeCell ref="Q1447:Q1448"/>
    <mergeCell ref="R1447:R1448"/>
    <mergeCell ref="S1447:S1448"/>
    <mergeCell ref="T1447:T1448"/>
    <mergeCell ref="AJ1451:AJ1452"/>
    <mergeCell ref="AK1451:AK1452"/>
    <mergeCell ref="AL1451:AL1452"/>
    <mergeCell ref="AM1451:AM1452"/>
    <mergeCell ref="AN1451:AN1452"/>
    <mergeCell ref="AE1451:AE1452"/>
    <mergeCell ref="AF1451:AF1452"/>
    <mergeCell ref="AG1451:AG1452"/>
    <mergeCell ref="AH1451:AH1452"/>
    <mergeCell ref="AI1451:AI1452"/>
    <mergeCell ref="Z1451:Z1452"/>
    <mergeCell ref="AA1451:AA1452"/>
    <mergeCell ref="AB1451:AB1452"/>
    <mergeCell ref="AC1451:AC1452"/>
    <mergeCell ref="AD1451:AD1452"/>
    <mergeCell ref="U1451:U1452"/>
    <mergeCell ref="V1451:V1452"/>
    <mergeCell ref="W1451:W1452"/>
    <mergeCell ref="X1451:X1452"/>
    <mergeCell ref="Y1451:Y1452"/>
    <mergeCell ref="P1451:P1452"/>
    <mergeCell ref="Q1451:Q1452"/>
    <mergeCell ref="R1451:R1452"/>
    <mergeCell ref="S1451:S1452"/>
    <mergeCell ref="T1451:T1452"/>
    <mergeCell ref="AL1449:AL1450"/>
    <mergeCell ref="AM1449:AM1450"/>
    <mergeCell ref="AN1449:AN1450"/>
    <mergeCell ref="A1451:A1452"/>
    <mergeCell ref="B1451:B1452"/>
    <mergeCell ref="D1451:D1452"/>
    <mergeCell ref="H1451:H1452"/>
    <mergeCell ref="I1451:I1452"/>
    <mergeCell ref="J1451:J1452"/>
    <mergeCell ref="K1451:K1452"/>
    <mergeCell ref="L1451:L1452"/>
    <mergeCell ref="M1451:M1452"/>
    <mergeCell ref="N1451:N1452"/>
    <mergeCell ref="O1451:O1452"/>
    <mergeCell ref="AG1449:AG1450"/>
    <mergeCell ref="AH1449:AH1450"/>
    <mergeCell ref="AI1449:AI1450"/>
    <mergeCell ref="AJ1449:AJ1450"/>
    <mergeCell ref="AK1449:AK1450"/>
    <mergeCell ref="AB1449:AB1450"/>
    <mergeCell ref="AC1449:AC1450"/>
    <mergeCell ref="AD1449:AD1450"/>
    <mergeCell ref="AE1449:AE1450"/>
    <mergeCell ref="AF1449:AF1450"/>
    <mergeCell ref="W1449:W1450"/>
    <mergeCell ref="X1449:X1450"/>
    <mergeCell ref="Y1449:Y1450"/>
    <mergeCell ref="Z1449:Z1450"/>
    <mergeCell ref="AA1449:AA1450"/>
    <mergeCell ref="R1449:R1450"/>
    <mergeCell ref="S1449:S1450"/>
    <mergeCell ref="T1449:T1450"/>
    <mergeCell ref="U1449:U1450"/>
    <mergeCell ref="V1449:V1450"/>
    <mergeCell ref="M1449:M1450"/>
    <mergeCell ref="N1449:N1450"/>
    <mergeCell ref="O1449:O1450"/>
    <mergeCell ref="P1449:P1450"/>
    <mergeCell ref="Q1449:Q1450"/>
    <mergeCell ref="AL1453:AL1454"/>
    <mergeCell ref="AM1453:AM1454"/>
    <mergeCell ref="AN1453:AN1454"/>
    <mergeCell ref="A1455:A1456"/>
    <mergeCell ref="B1455:B1456"/>
    <mergeCell ref="D1455:D1456"/>
    <mergeCell ref="H1455:H1456"/>
    <mergeCell ref="I1455:I1456"/>
    <mergeCell ref="J1455:J1456"/>
    <mergeCell ref="K1455:K1456"/>
    <mergeCell ref="L1455:L1456"/>
    <mergeCell ref="M1455:M1456"/>
    <mergeCell ref="N1455:N1456"/>
    <mergeCell ref="O1455:O1456"/>
    <mergeCell ref="AG1453:AG1454"/>
    <mergeCell ref="AH1453:AH1454"/>
    <mergeCell ref="AI1453:AI1454"/>
    <mergeCell ref="AJ1453:AJ1454"/>
    <mergeCell ref="AK1453:AK1454"/>
    <mergeCell ref="AB1453:AB1454"/>
    <mergeCell ref="AC1453:AC1454"/>
    <mergeCell ref="AD1453:AD1454"/>
    <mergeCell ref="AE1453:AE1454"/>
    <mergeCell ref="AF1453:AF1454"/>
    <mergeCell ref="W1453:W1454"/>
    <mergeCell ref="X1453:X1454"/>
    <mergeCell ref="Y1453:Y1454"/>
    <mergeCell ref="Z1453:Z1454"/>
    <mergeCell ref="AA1453:AA1454"/>
    <mergeCell ref="R1453:R1454"/>
    <mergeCell ref="S1453:S1454"/>
    <mergeCell ref="T1453:T1454"/>
    <mergeCell ref="U1453:U1454"/>
    <mergeCell ref="V1453:V1454"/>
    <mergeCell ref="M1453:M1454"/>
    <mergeCell ref="N1453:N1454"/>
    <mergeCell ref="O1453:O1454"/>
    <mergeCell ref="P1453:P1454"/>
    <mergeCell ref="Q1453:Q1454"/>
    <mergeCell ref="H1453:H1454"/>
    <mergeCell ref="I1453:I1454"/>
    <mergeCell ref="J1453:J1454"/>
    <mergeCell ref="K1453:K1454"/>
    <mergeCell ref="L1453:L1454"/>
    <mergeCell ref="A1453:A1454"/>
    <mergeCell ref="B1453:B1454"/>
    <mergeCell ref="D1453:D1454"/>
    <mergeCell ref="H1457:H1458"/>
    <mergeCell ref="I1457:I1458"/>
    <mergeCell ref="J1457:J1458"/>
    <mergeCell ref="K1457:K1458"/>
    <mergeCell ref="L1457:L1458"/>
    <mergeCell ref="A1457:A1458"/>
    <mergeCell ref="B1457:B1458"/>
    <mergeCell ref="D1457:D1458"/>
    <mergeCell ref="AJ1455:AJ1456"/>
    <mergeCell ref="AK1455:AK1456"/>
    <mergeCell ref="AL1455:AL1456"/>
    <mergeCell ref="AM1455:AM1456"/>
    <mergeCell ref="AN1455:AN1456"/>
    <mergeCell ref="AE1455:AE1456"/>
    <mergeCell ref="AF1455:AF1456"/>
    <mergeCell ref="AG1455:AG1456"/>
    <mergeCell ref="AH1455:AH1456"/>
    <mergeCell ref="AI1455:AI1456"/>
    <mergeCell ref="Z1455:Z1456"/>
    <mergeCell ref="AA1455:AA1456"/>
    <mergeCell ref="AB1455:AB1456"/>
    <mergeCell ref="AC1455:AC1456"/>
    <mergeCell ref="AD1455:AD1456"/>
    <mergeCell ref="U1455:U1456"/>
    <mergeCell ref="V1455:V1456"/>
    <mergeCell ref="W1455:W1456"/>
    <mergeCell ref="X1455:X1456"/>
    <mergeCell ref="Y1455:Y1456"/>
    <mergeCell ref="P1455:P1456"/>
    <mergeCell ref="Q1455:Q1456"/>
    <mergeCell ref="R1455:R1456"/>
    <mergeCell ref="S1455:S1456"/>
    <mergeCell ref="T1455:T1456"/>
    <mergeCell ref="AJ1459:AJ1460"/>
    <mergeCell ref="AK1459:AK1460"/>
    <mergeCell ref="AL1459:AL1460"/>
    <mergeCell ref="AM1459:AM1460"/>
    <mergeCell ref="AN1459:AN1460"/>
    <mergeCell ref="AE1459:AE1460"/>
    <mergeCell ref="AF1459:AF1460"/>
    <mergeCell ref="AG1459:AG1460"/>
    <mergeCell ref="AH1459:AH1460"/>
    <mergeCell ref="AI1459:AI1460"/>
    <mergeCell ref="Z1459:Z1460"/>
    <mergeCell ref="AA1459:AA1460"/>
    <mergeCell ref="AB1459:AB1460"/>
    <mergeCell ref="AC1459:AC1460"/>
    <mergeCell ref="AD1459:AD1460"/>
    <mergeCell ref="U1459:U1460"/>
    <mergeCell ref="V1459:V1460"/>
    <mergeCell ref="W1459:W1460"/>
    <mergeCell ref="X1459:X1460"/>
    <mergeCell ref="Y1459:Y1460"/>
    <mergeCell ref="P1459:P1460"/>
    <mergeCell ref="Q1459:Q1460"/>
    <mergeCell ref="R1459:R1460"/>
    <mergeCell ref="S1459:S1460"/>
    <mergeCell ref="T1459:T1460"/>
    <mergeCell ref="AL1457:AL1458"/>
    <mergeCell ref="AM1457:AM1458"/>
    <mergeCell ref="AN1457:AN1458"/>
    <mergeCell ref="A1459:A1460"/>
    <mergeCell ref="B1459:B1460"/>
    <mergeCell ref="D1459:D1460"/>
    <mergeCell ref="H1459:H1460"/>
    <mergeCell ref="I1459:I1460"/>
    <mergeCell ref="J1459:J1460"/>
    <mergeCell ref="K1459:K1460"/>
    <mergeCell ref="L1459:L1460"/>
    <mergeCell ref="M1459:M1460"/>
    <mergeCell ref="N1459:N1460"/>
    <mergeCell ref="O1459:O1460"/>
    <mergeCell ref="AG1457:AG1458"/>
    <mergeCell ref="AH1457:AH1458"/>
    <mergeCell ref="AI1457:AI1458"/>
    <mergeCell ref="AJ1457:AJ1458"/>
    <mergeCell ref="AK1457:AK1458"/>
    <mergeCell ref="AB1457:AB1458"/>
    <mergeCell ref="AC1457:AC1458"/>
    <mergeCell ref="AD1457:AD1458"/>
    <mergeCell ref="AE1457:AE1458"/>
    <mergeCell ref="AF1457:AF1458"/>
    <mergeCell ref="W1457:W1458"/>
    <mergeCell ref="X1457:X1458"/>
    <mergeCell ref="Y1457:Y1458"/>
    <mergeCell ref="Z1457:Z1458"/>
    <mergeCell ref="AA1457:AA1458"/>
    <mergeCell ref="R1457:R1458"/>
    <mergeCell ref="S1457:S1458"/>
    <mergeCell ref="T1457:T1458"/>
    <mergeCell ref="U1457:U1458"/>
    <mergeCell ref="V1457:V1458"/>
    <mergeCell ref="M1457:M1458"/>
    <mergeCell ref="N1457:N1458"/>
    <mergeCell ref="O1457:O1458"/>
    <mergeCell ref="P1457:P1458"/>
    <mergeCell ref="Q1457:Q1458"/>
    <mergeCell ref="AL1461:AL1462"/>
    <mergeCell ref="AM1461:AM1462"/>
    <mergeCell ref="AN1461:AN1462"/>
    <mergeCell ref="A1463:A1464"/>
    <mergeCell ref="B1463:B1464"/>
    <mergeCell ref="D1463:D1464"/>
    <mergeCell ref="H1463:H1464"/>
    <mergeCell ref="I1463:I1464"/>
    <mergeCell ref="J1463:J1464"/>
    <mergeCell ref="K1463:K1464"/>
    <mergeCell ref="L1463:L1464"/>
    <mergeCell ref="M1463:M1464"/>
    <mergeCell ref="N1463:N1464"/>
    <mergeCell ref="O1463:O1464"/>
    <mergeCell ref="AG1461:AG1462"/>
    <mergeCell ref="AH1461:AH1462"/>
    <mergeCell ref="AI1461:AI1462"/>
    <mergeCell ref="AJ1461:AJ1462"/>
    <mergeCell ref="AK1461:AK1462"/>
    <mergeCell ref="AB1461:AB1462"/>
    <mergeCell ref="AC1461:AC1462"/>
    <mergeCell ref="AD1461:AD1462"/>
    <mergeCell ref="AE1461:AE1462"/>
    <mergeCell ref="AF1461:AF1462"/>
    <mergeCell ref="W1461:W1462"/>
    <mergeCell ref="X1461:X1462"/>
    <mergeCell ref="Y1461:Y1462"/>
    <mergeCell ref="Z1461:Z1462"/>
    <mergeCell ref="AA1461:AA1462"/>
    <mergeCell ref="R1461:R1462"/>
    <mergeCell ref="S1461:S1462"/>
    <mergeCell ref="T1461:T1462"/>
    <mergeCell ref="U1461:U1462"/>
    <mergeCell ref="V1461:V1462"/>
    <mergeCell ref="M1461:M1462"/>
    <mergeCell ref="N1461:N1462"/>
    <mergeCell ref="O1461:O1462"/>
    <mergeCell ref="P1461:P1462"/>
    <mergeCell ref="Q1461:Q1462"/>
    <mergeCell ref="H1461:H1462"/>
    <mergeCell ref="I1461:I1462"/>
    <mergeCell ref="J1461:J1462"/>
    <mergeCell ref="K1461:K1462"/>
    <mergeCell ref="L1461:L1462"/>
    <mergeCell ref="A1461:A1462"/>
    <mergeCell ref="B1461:B1462"/>
    <mergeCell ref="D1461:D1462"/>
    <mergeCell ref="H1465:H1466"/>
    <mergeCell ref="I1465:I1466"/>
    <mergeCell ref="J1465:J1466"/>
    <mergeCell ref="K1465:K1466"/>
    <mergeCell ref="L1465:L1466"/>
    <mergeCell ref="A1465:A1466"/>
    <mergeCell ref="B1465:B1466"/>
    <mergeCell ref="D1465:D1466"/>
    <mergeCell ref="AJ1463:AJ1464"/>
    <mergeCell ref="AK1463:AK1464"/>
    <mergeCell ref="AL1463:AL1464"/>
    <mergeCell ref="AM1463:AM1464"/>
    <mergeCell ref="AN1463:AN1464"/>
    <mergeCell ref="AE1463:AE1464"/>
    <mergeCell ref="AF1463:AF1464"/>
    <mergeCell ref="AG1463:AG1464"/>
    <mergeCell ref="AH1463:AH1464"/>
    <mergeCell ref="AI1463:AI1464"/>
    <mergeCell ref="Z1463:Z1464"/>
    <mergeCell ref="AA1463:AA1464"/>
    <mergeCell ref="AB1463:AB1464"/>
    <mergeCell ref="AC1463:AC1464"/>
    <mergeCell ref="AD1463:AD1464"/>
    <mergeCell ref="U1463:U1464"/>
    <mergeCell ref="V1463:V1464"/>
    <mergeCell ref="W1463:W1464"/>
    <mergeCell ref="X1463:X1464"/>
    <mergeCell ref="Y1463:Y1464"/>
    <mergeCell ref="P1463:P1464"/>
    <mergeCell ref="Q1463:Q1464"/>
    <mergeCell ref="R1463:R1464"/>
    <mergeCell ref="S1463:S1464"/>
    <mergeCell ref="T1463:T1464"/>
    <mergeCell ref="AJ1467:AJ1468"/>
    <mergeCell ref="AK1467:AK1468"/>
    <mergeCell ref="AL1467:AL1468"/>
    <mergeCell ref="AM1467:AM1468"/>
    <mergeCell ref="AN1467:AN1468"/>
    <mergeCell ref="AE1467:AE1468"/>
    <mergeCell ref="AF1467:AF1468"/>
    <mergeCell ref="AG1467:AG1468"/>
    <mergeCell ref="AH1467:AH1468"/>
    <mergeCell ref="AI1467:AI1468"/>
    <mergeCell ref="Z1467:Z1468"/>
    <mergeCell ref="AA1467:AA1468"/>
    <mergeCell ref="AB1467:AB1468"/>
    <mergeCell ref="AC1467:AC1468"/>
    <mergeCell ref="AD1467:AD1468"/>
    <mergeCell ref="U1467:U1468"/>
    <mergeCell ref="V1467:V1468"/>
    <mergeCell ref="W1467:W1468"/>
    <mergeCell ref="X1467:X1468"/>
    <mergeCell ref="Y1467:Y1468"/>
    <mergeCell ref="P1467:P1468"/>
    <mergeCell ref="Q1467:Q1468"/>
    <mergeCell ref="R1467:R1468"/>
    <mergeCell ref="S1467:S1468"/>
    <mergeCell ref="T1467:T1468"/>
    <mergeCell ref="AL1465:AL1466"/>
    <mergeCell ref="AM1465:AM1466"/>
    <mergeCell ref="AN1465:AN1466"/>
    <mergeCell ref="A1467:A1468"/>
    <mergeCell ref="B1467:B1468"/>
    <mergeCell ref="D1467:D1468"/>
    <mergeCell ref="H1467:H1468"/>
    <mergeCell ref="I1467:I1468"/>
    <mergeCell ref="J1467:J1468"/>
    <mergeCell ref="K1467:K1468"/>
    <mergeCell ref="L1467:L1468"/>
    <mergeCell ref="M1467:M1468"/>
    <mergeCell ref="N1467:N1468"/>
    <mergeCell ref="O1467:O1468"/>
    <mergeCell ref="AG1465:AG1466"/>
    <mergeCell ref="AH1465:AH1466"/>
    <mergeCell ref="AI1465:AI1466"/>
    <mergeCell ref="AJ1465:AJ1466"/>
    <mergeCell ref="AK1465:AK1466"/>
    <mergeCell ref="AB1465:AB1466"/>
    <mergeCell ref="AC1465:AC1466"/>
    <mergeCell ref="AD1465:AD1466"/>
    <mergeCell ref="AE1465:AE1466"/>
    <mergeCell ref="AF1465:AF1466"/>
    <mergeCell ref="W1465:W1466"/>
    <mergeCell ref="X1465:X1466"/>
    <mergeCell ref="Y1465:Y1466"/>
    <mergeCell ref="Z1465:Z1466"/>
    <mergeCell ref="AA1465:AA1466"/>
    <mergeCell ref="R1465:R1466"/>
    <mergeCell ref="S1465:S1466"/>
    <mergeCell ref="T1465:T1466"/>
    <mergeCell ref="U1465:U1466"/>
    <mergeCell ref="V1465:V1466"/>
    <mergeCell ref="M1465:M1466"/>
    <mergeCell ref="N1465:N1466"/>
    <mergeCell ref="O1465:O1466"/>
    <mergeCell ref="P1465:P1466"/>
    <mergeCell ref="Q1465:Q1466"/>
    <mergeCell ref="AL1469:AL1470"/>
    <mergeCell ref="AM1469:AM1470"/>
    <mergeCell ref="AN1469:AN1470"/>
    <mergeCell ref="A1471:A1472"/>
    <mergeCell ref="B1471:B1472"/>
    <mergeCell ref="D1471:D1472"/>
    <mergeCell ref="H1471:H1472"/>
    <mergeCell ref="I1471:I1472"/>
    <mergeCell ref="J1471:J1472"/>
    <mergeCell ref="K1471:K1472"/>
    <mergeCell ref="L1471:L1472"/>
    <mergeCell ref="M1471:M1472"/>
    <mergeCell ref="N1471:N1472"/>
    <mergeCell ref="O1471:O1472"/>
    <mergeCell ref="AG1469:AG1470"/>
    <mergeCell ref="AH1469:AH1470"/>
    <mergeCell ref="AI1469:AI1470"/>
    <mergeCell ref="AJ1469:AJ1470"/>
    <mergeCell ref="AK1469:AK1470"/>
    <mergeCell ref="AB1469:AB1470"/>
    <mergeCell ref="AC1469:AC1470"/>
    <mergeCell ref="AD1469:AD1470"/>
    <mergeCell ref="AE1469:AE1470"/>
    <mergeCell ref="AF1469:AF1470"/>
    <mergeCell ref="W1469:W1470"/>
    <mergeCell ref="X1469:X1470"/>
    <mergeCell ref="Y1469:Y1470"/>
    <mergeCell ref="Z1469:Z1470"/>
    <mergeCell ref="AA1469:AA1470"/>
    <mergeCell ref="R1469:R1470"/>
    <mergeCell ref="S1469:S1470"/>
    <mergeCell ref="T1469:T1470"/>
    <mergeCell ref="U1469:U1470"/>
    <mergeCell ref="V1469:V1470"/>
    <mergeCell ref="M1469:M1470"/>
    <mergeCell ref="N1469:N1470"/>
    <mergeCell ref="O1469:O1470"/>
    <mergeCell ref="P1469:P1470"/>
    <mergeCell ref="Q1469:Q1470"/>
    <mergeCell ref="H1469:H1470"/>
    <mergeCell ref="I1469:I1470"/>
    <mergeCell ref="J1469:J1470"/>
    <mergeCell ref="K1469:K1470"/>
    <mergeCell ref="L1469:L1470"/>
    <mergeCell ref="A1469:A1470"/>
    <mergeCell ref="B1469:B1470"/>
    <mergeCell ref="D1469:D1470"/>
    <mergeCell ref="H1473:H1474"/>
    <mergeCell ref="I1473:I1474"/>
    <mergeCell ref="J1473:J1474"/>
    <mergeCell ref="K1473:K1474"/>
    <mergeCell ref="L1473:L1474"/>
    <mergeCell ref="A1473:A1474"/>
    <mergeCell ref="B1473:B1474"/>
    <mergeCell ref="D1473:D1474"/>
    <mergeCell ref="AJ1471:AJ1472"/>
    <mergeCell ref="AK1471:AK1472"/>
    <mergeCell ref="AL1471:AL1472"/>
    <mergeCell ref="AM1471:AM1472"/>
    <mergeCell ref="AN1471:AN1472"/>
    <mergeCell ref="AE1471:AE1472"/>
    <mergeCell ref="AF1471:AF1472"/>
    <mergeCell ref="AG1471:AG1472"/>
    <mergeCell ref="AH1471:AH1472"/>
    <mergeCell ref="AI1471:AI1472"/>
    <mergeCell ref="Z1471:Z1472"/>
    <mergeCell ref="AA1471:AA1472"/>
    <mergeCell ref="AB1471:AB1472"/>
    <mergeCell ref="AC1471:AC1472"/>
    <mergeCell ref="AD1471:AD1472"/>
    <mergeCell ref="U1471:U1472"/>
    <mergeCell ref="V1471:V1472"/>
    <mergeCell ref="W1471:W1472"/>
    <mergeCell ref="X1471:X1472"/>
    <mergeCell ref="Y1471:Y1472"/>
    <mergeCell ref="P1471:P1472"/>
    <mergeCell ref="Q1471:Q1472"/>
    <mergeCell ref="R1471:R1472"/>
    <mergeCell ref="S1471:S1472"/>
    <mergeCell ref="T1471:T1472"/>
    <mergeCell ref="AJ1475:AJ1476"/>
    <mergeCell ref="AK1475:AK1476"/>
    <mergeCell ref="AL1475:AL1476"/>
    <mergeCell ref="AM1475:AM1476"/>
    <mergeCell ref="AN1475:AN1476"/>
    <mergeCell ref="AE1475:AE1476"/>
    <mergeCell ref="AF1475:AF1476"/>
    <mergeCell ref="AG1475:AG1476"/>
    <mergeCell ref="AH1475:AH1476"/>
    <mergeCell ref="AI1475:AI1476"/>
    <mergeCell ref="Z1475:Z1476"/>
    <mergeCell ref="AA1475:AA1476"/>
    <mergeCell ref="AB1475:AB1476"/>
    <mergeCell ref="AC1475:AC1476"/>
    <mergeCell ref="AD1475:AD1476"/>
    <mergeCell ref="U1475:U1476"/>
    <mergeCell ref="V1475:V1476"/>
    <mergeCell ref="W1475:W1476"/>
    <mergeCell ref="X1475:X1476"/>
    <mergeCell ref="Y1475:Y1476"/>
    <mergeCell ref="P1475:P1476"/>
    <mergeCell ref="Q1475:Q1476"/>
    <mergeCell ref="R1475:R1476"/>
    <mergeCell ref="S1475:S1476"/>
    <mergeCell ref="T1475:T1476"/>
    <mergeCell ref="AL1473:AL1474"/>
    <mergeCell ref="AM1473:AM1474"/>
    <mergeCell ref="AN1473:AN1474"/>
    <mergeCell ref="A1475:A1476"/>
    <mergeCell ref="B1475:B1476"/>
    <mergeCell ref="D1475:D1476"/>
    <mergeCell ref="H1475:H1476"/>
    <mergeCell ref="I1475:I1476"/>
    <mergeCell ref="J1475:J1476"/>
    <mergeCell ref="K1475:K1476"/>
    <mergeCell ref="L1475:L1476"/>
    <mergeCell ref="M1475:M1476"/>
    <mergeCell ref="N1475:N1476"/>
    <mergeCell ref="O1475:O1476"/>
    <mergeCell ref="AG1473:AG1474"/>
    <mergeCell ref="AH1473:AH1474"/>
    <mergeCell ref="AI1473:AI1474"/>
    <mergeCell ref="AJ1473:AJ1474"/>
    <mergeCell ref="AK1473:AK1474"/>
    <mergeCell ref="AB1473:AB1474"/>
    <mergeCell ref="AC1473:AC1474"/>
    <mergeCell ref="AD1473:AD1474"/>
    <mergeCell ref="AE1473:AE1474"/>
    <mergeCell ref="AF1473:AF1474"/>
    <mergeCell ref="W1473:W1474"/>
    <mergeCell ref="X1473:X1474"/>
    <mergeCell ref="Y1473:Y1474"/>
    <mergeCell ref="Z1473:Z1474"/>
    <mergeCell ref="AA1473:AA1474"/>
    <mergeCell ref="R1473:R1474"/>
    <mergeCell ref="S1473:S1474"/>
    <mergeCell ref="T1473:T1474"/>
    <mergeCell ref="U1473:U1474"/>
    <mergeCell ref="V1473:V1474"/>
    <mergeCell ref="M1473:M1474"/>
    <mergeCell ref="N1473:N1474"/>
    <mergeCell ref="O1473:O1474"/>
    <mergeCell ref="P1473:P1474"/>
    <mergeCell ref="Q1473:Q1474"/>
    <mergeCell ref="AL1477:AL1478"/>
    <mergeCell ref="AM1477:AM1478"/>
    <mergeCell ref="AN1477:AN1478"/>
    <mergeCell ref="A1479:A1480"/>
    <mergeCell ref="B1479:B1480"/>
    <mergeCell ref="D1479:D1480"/>
    <mergeCell ref="H1479:H1480"/>
    <mergeCell ref="I1479:I1480"/>
    <mergeCell ref="J1479:J1480"/>
    <mergeCell ref="K1479:K1480"/>
    <mergeCell ref="L1479:L1480"/>
    <mergeCell ref="M1479:M1480"/>
    <mergeCell ref="N1479:N1480"/>
    <mergeCell ref="O1479:O1480"/>
    <mergeCell ref="AG1477:AG1478"/>
    <mergeCell ref="AH1477:AH1478"/>
    <mergeCell ref="AI1477:AI1478"/>
    <mergeCell ref="AJ1477:AJ1478"/>
    <mergeCell ref="AK1477:AK1478"/>
    <mergeCell ref="AB1477:AB1478"/>
    <mergeCell ref="AC1477:AC1478"/>
    <mergeCell ref="AD1477:AD1478"/>
    <mergeCell ref="AE1477:AE1478"/>
    <mergeCell ref="AF1477:AF1478"/>
    <mergeCell ref="W1477:W1478"/>
    <mergeCell ref="X1477:X1478"/>
    <mergeCell ref="Y1477:Y1478"/>
    <mergeCell ref="Z1477:Z1478"/>
    <mergeCell ref="AA1477:AA1478"/>
    <mergeCell ref="R1477:R1478"/>
    <mergeCell ref="S1477:S1478"/>
    <mergeCell ref="T1477:T1478"/>
    <mergeCell ref="U1477:U1478"/>
    <mergeCell ref="V1477:V1478"/>
    <mergeCell ref="M1477:M1478"/>
    <mergeCell ref="N1477:N1478"/>
    <mergeCell ref="O1477:O1478"/>
    <mergeCell ref="P1477:P1478"/>
    <mergeCell ref="Q1477:Q1478"/>
    <mergeCell ref="H1477:H1478"/>
    <mergeCell ref="I1477:I1478"/>
    <mergeCell ref="J1477:J1478"/>
    <mergeCell ref="K1477:K1478"/>
    <mergeCell ref="L1477:L1478"/>
    <mergeCell ref="A1477:A1478"/>
    <mergeCell ref="B1477:B1478"/>
    <mergeCell ref="D1477:D1478"/>
    <mergeCell ref="H1481:H1482"/>
    <mergeCell ref="I1481:I1482"/>
    <mergeCell ref="J1481:J1482"/>
    <mergeCell ref="K1481:K1482"/>
    <mergeCell ref="L1481:L1482"/>
    <mergeCell ref="A1481:A1482"/>
    <mergeCell ref="B1481:B1482"/>
    <mergeCell ref="D1481:D1482"/>
    <mergeCell ref="AJ1479:AJ1480"/>
    <mergeCell ref="AK1479:AK1480"/>
    <mergeCell ref="AL1479:AL1480"/>
    <mergeCell ref="AM1479:AM1480"/>
    <mergeCell ref="AN1479:AN1480"/>
    <mergeCell ref="AE1479:AE1480"/>
    <mergeCell ref="AF1479:AF1480"/>
    <mergeCell ref="AG1479:AG1480"/>
    <mergeCell ref="AH1479:AH1480"/>
    <mergeCell ref="AI1479:AI1480"/>
    <mergeCell ref="Z1479:Z1480"/>
    <mergeCell ref="AA1479:AA1480"/>
    <mergeCell ref="AB1479:AB1480"/>
    <mergeCell ref="AC1479:AC1480"/>
    <mergeCell ref="AD1479:AD1480"/>
    <mergeCell ref="U1479:U1480"/>
    <mergeCell ref="V1479:V1480"/>
    <mergeCell ref="W1479:W1480"/>
    <mergeCell ref="X1479:X1480"/>
    <mergeCell ref="Y1479:Y1480"/>
    <mergeCell ref="P1479:P1480"/>
    <mergeCell ref="Q1479:Q1480"/>
    <mergeCell ref="R1479:R1480"/>
    <mergeCell ref="S1479:S1480"/>
    <mergeCell ref="T1479:T1480"/>
    <mergeCell ref="AJ1483:AJ1484"/>
    <mergeCell ref="AK1483:AK1484"/>
    <mergeCell ref="AL1483:AL1484"/>
    <mergeCell ref="AM1483:AM1484"/>
    <mergeCell ref="AN1483:AN1484"/>
    <mergeCell ref="AE1483:AE1484"/>
    <mergeCell ref="AF1483:AF1484"/>
    <mergeCell ref="AG1483:AG1484"/>
    <mergeCell ref="AH1483:AH1484"/>
    <mergeCell ref="AI1483:AI1484"/>
    <mergeCell ref="Z1483:Z1484"/>
    <mergeCell ref="AA1483:AA1484"/>
    <mergeCell ref="AB1483:AB1484"/>
    <mergeCell ref="AC1483:AC1484"/>
    <mergeCell ref="AD1483:AD1484"/>
    <mergeCell ref="U1483:U1484"/>
    <mergeCell ref="V1483:V1484"/>
    <mergeCell ref="W1483:W1484"/>
    <mergeCell ref="X1483:X1484"/>
    <mergeCell ref="Y1483:Y1484"/>
    <mergeCell ref="P1483:P1484"/>
    <mergeCell ref="Q1483:Q1484"/>
    <mergeCell ref="R1483:R1484"/>
    <mergeCell ref="S1483:S1484"/>
    <mergeCell ref="T1483:T1484"/>
    <mergeCell ref="AL1481:AL1482"/>
    <mergeCell ref="AM1481:AM1482"/>
    <mergeCell ref="AN1481:AN1482"/>
    <mergeCell ref="A1483:A1484"/>
    <mergeCell ref="B1483:B1484"/>
    <mergeCell ref="D1483:D1484"/>
    <mergeCell ref="H1483:H1484"/>
    <mergeCell ref="I1483:I1484"/>
    <mergeCell ref="J1483:J1484"/>
    <mergeCell ref="K1483:K1484"/>
    <mergeCell ref="L1483:L1484"/>
    <mergeCell ref="M1483:M1484"/>
    <mergeCell ref="N1483:N1484"/>
    <mergeCell ref="O1483:O1484"/>
    <mergeCell ref="AG1481:AG1482"/>
    <mergeCell ref="AH1481:AH1482"/>
    <mergeCell ref="AI1481:AI1482"/>
    <mergeCell ref="AJ1481:AJ1482"/>
    <mergeCell ref="AK1481:AK1482"/>
    <mergeCell ref="AB1481:AB1482"/>
    <mergeCell ref="AC1481:AC1482"/>
    <mergeCell ref="AD1481:AD1482"/>
    <mergeCell ref="AE1481:AE1482"/>
    <mergeCell ref="AF1481:AF1482"/>
    <mergeCell ref="W1481:W1482"/>
    <mergeCell ref="X1481:X1482"/>
    <mergeCell ref="Y1481:Y1482"/>
    <mergeCell ref="Z1481:Z1482"/>
    <mergeCell ref="AA1481:AA1482"/>
    <mergeCell ref="R1481:R1482"/>
    <mergeCell ref="S1481:S1482"/>
    <mergeCell ref="T1481:T1482"/>
    <mergeCell ref="U1481:U1482"/>
    <mergeCell ref="V1481:V1482"/>
    <mergeCell ref="M1481:M1482"/>
    <mergeCell ref="N1481:N1482"/>
    <mergeCell ref="O1481:O1482"/>
    <mergeCell ref="P1481:P1482"/>
    <mergeCell ref="Q1481:Q1482"/>
    <mergeCell ref="AL1485:AL1486"/>
    <mergeCell ref="AM1485:AM1486"/>
    <mergeCell ref="AN1485:AN1486"/>
    <mergeCell ref="A1487:A1488"/>
    <mergeCell ref="B1487:B1488"/>
    <mergeCell ref="D1487:D1488"/>
    <mergeCell ref="H1487:H1488"/>
    <mergeCell ref="I1487:I1488"/>
    <mergeCell ref="J1487:J1488"/>
    <mergeCell ref="K1487:K1488"/>
    <mergeCell ref="L1487:L1488"/>
    <mergeCell ref="M1487:M1488"/>
    <mergeCell ref="N1487:N1488"/>
    <mergeCell ref="O1487:O1488"/>
    <mergeCell ref="AG1485:AG1486"/>
    <mergeCell ref="AH1485:AH1486"/>
    <mergeCell ref="AI1485:AI1486"/>
    <mergeCell ref="AJ1485:AJ1486"/>
    <mergeCell ref="AK1485:AK1486"/>
    <mergeCell ref="AB1485:AB1486"/>
    <mergeCell ref="AC1485:AC1486"/>
    <mergeCell ref="AD1485:AD1486"/>
    <mergeCell ref="AE1485:AE1486"/>
    <mergeCell ref="AF1485:AF1486"/>
    <mergeCell ref="W1485:W1486"/>
    <mergeCell ref="X1485:X1486"/>
    <mergeCell ref="Y1485:Y1486"/>
    <mergeCell ref="Z1485:Z1486"/>
    <mergeCell ref="AA1485:AA1486"/>
    <mergeCell ref="R1485:R1486"/>
    <mergeCell ref="S1485:S1486"/>
    <mergeCell ref="T1485:T1486"/>
    <mergeCell ref="U1485:U1486"/>
    <mergeCell ref="V1485:V1486"/>
    <mergeCell ref="M1485:M1486"/>
    <mergeCell ref="N1485:N1486"/>
    <mergeCell ref="O1485:O1486"/>
    <mergeCell ref="P1485:P1486"/>
    <mergeCell ref="Q1485:Q1486"/>
    <mergeCell ref="H1485:H1486"/>
    <mergeCell ref="I1485:I1486"/>
    <mergeCell ref="J1485:J1486"/>
    <mergeCell ref="K1485:K1486"/>
    <mergeCell ref="L1485:L1486"/>
    <mergeCell ref="A1485:A1486"/>
    <mergeCell ref="B1485:B1486"/>
    <mergeCell ref="D1485:D1486"/>
    <mergeCell ref="H1489:H1490"/>
    <mergeCell ref="I1489:I1490"/>
    <mergeCell ref="J1489:J1490"/>
    <mergeCell ref="K1489:K1490"/>
    <mergeCell ref="L1489:L1490"/>
    <mergeCell ref="A1489:A1490"/>
    <mergeCell ref="B1489:B1490"/>
    <mergeCell ref="D1489:D1490"/>
    <mergeCell ref="AJ1487:AJ1488"/>
    <mergeCell ref="AK1487:AK1488"/>
    <mergeCell ref="AL1487:AL1488"/>
    <mergeCell ref="AM1487:AM1488"/>
    <mergeCell ref="AN1487:AN1488"/>
    <mergeCell ref="AE1487:AE1488"/>
    <mergeCell ref="AF1487:AF1488"/>
    <mergeCell ref="AG1487:AG1488"/>
    <mergeCell ref="AH1487:AH1488"/>
    <mergeCell ref="AI1487:AI1488"/>
    <mergeCell ref="Z1487:Z1488"/>
    <mergeCell ref="AA1487:AA1488"/>
    <mergeCell ref="AB1487:AB1488"/>
    <mergeCell ref="AC1487:AC1488"/>
    <mergeCell ref="AD1487:AD1488"/>
    <mergeCell ref="U1487:U1488"/>
    <mergeCell ref="V1487:V1488"/>
    <mergeCell ref="W1487:W1488"/>
    <mergeCell ref="X1487:X1488"/>
    <mergeCell ref="Y1487:Y1488"/>
    <mergeCell ref="P1487:P1488"/>
    <mergeCell ref="Q1487:Q1488"/>
    <mergeCell ref="R1487:R1488"/>
    <mergeCell ref="S1487:S1488"/>
    <mergeCell ref="T1487:T1488"/>
    <mergeCell ref="AJ1491:AJ1492"/>
    <mergeCell ref="AK1491:AK1492"/>
    <mergeCell ref="AL1491:AL1492"/>
    <mergeCell ref="AM1491:AM1492"/>
    <mergeCell ref="AN1491:AN1492"/>
    <mergeCell ref="AE1491:AE1492"/>
    <mergeCell ref="AF1491:AF1492"/>
    <mergeCell ref="AG1491:AG1492"/>
    <mergeCell ref="AH1491:AH1492"/>
    <mergeCell ref="AI1491:AI1492"/>
    <mergeCell ref="Z1491:Z1492"/>
    <mergeCell ref="AA1491:AA1492"/>
    <mergeCell ref="AB1491:AB1492"/>
    <mergeCell ref="AC1491:AC1492"/>
    <mergeCell ref="AD1491:AD1492"/>
    <mergeCell ref="U1491:U1492"/>
    <mergeCell ref="V1491:V1492"/>
    <mergeCell ref="W1491:W1492"/>
    <mergeCell ref="X1491:X1492"/>
    <mergeCell ref="Y1491:Y1492"/>
    <mergeCell ref="P1491:P1492"/>
    <mergeCell ref="Q1491:Q1492"/>
    <mergeCell ref="R1491:R1492"/>
    <mergeCell ref="S1491:S1492"/>
    <mergeCell ref="T1491:T1492"/>
    <mergeCell ref="AL1489:AL1490"/>
    <mergeCell ref="AM1489:AM1490"/>
    <mergeCell ref="AN1489:AN1490"/>
    <mergeCell ref="A1491:A1492"/>
    <mergeCell ref="B1491:B1492"/>
    <mergeCell ref="D1491:D1492"/>
    <mergeCell ref="H1491:H1492"/>
    <mergeCell ref="I1491:I1492"/>
    <mergeCell ref="J1491:J1492"/>
    <mergeCell ref="K1491:K1492"/>
    <mergeCell ref="L1491:L1492"/>
    <mergeCell ref="M1491:M1492"/>
    <mergeCell ref="N1491:N1492"/>
    <mergeCell ref="O1491:O1492"/>
    <mergeCell ref="AG1489:AG1490"/>
    <mergeCell ref="AH1489:AH1490"/>
    <mergeCell ref="AI1489:AI1490"/>
    <mergeCell ref="AJ1489:AJ1490"/>
    <mergeCell ref="AK1489:AK1490"/>
    <mergeCell ref="AB1489:AB1490"/>
    <mergeCell ref="AC1489:AC1490"/>
    <mergeCell ref="AD1489:AD1490"/>
    <mergeCell ref="AE1489:AE1490"/>
    <mergeCell ref="AF1489:AF1490"/>
    <mergeCell ref="W1489:W1490"/>
    <mergeCell ref="X1489:X1490"/>
    <mergeCell ref="Y1489:Y1490"/>
    <mergeCell ref="Z1489:Z1490"/>
    <mergeCell ref="AA1489:AA1490"/>
    <mergeCell ref="R1489:R1490"/>
    <mergeCell ref="S1489:S1490"/>
    <mergeCell ref="T1489:T1490"/>
    <mergeCell ref="U1489:U1490"/>
    <mergeCell ref="V1489:V1490"/>
    <mergeCell ref="M1489:M1490"/>
    <mergeCell ref="N1489:N1490"/>
    <mergeCell ref="O1489:O1490"/>
    <mergeCell ref="P1489:P1490"/>
    <mergeCell ref="Q1489:Q1490"/>
    <mergeCell ref="AL1493:AL1494"/>
    <mergeCell ref="AM1493:AM1494"/>
    <mergeCell ref="AN1493:AN1494"/>
    <mergeCell ref="A1495:A1496"/>
    <mergeCell ref="B1495:B1496"/>
    <mergeCell ref="D1495:D1496"/>
    <mergeCell ref="H1495:H1496"/>
    <mergeCell ref="I1495:I1496"/>
    <mergeCell ref="J1495:J1496"/>
    <mergeCell ref="K1495:K1496"/>
    <mergeCell ref="L1495:L1496"/>
    <mergeCell ref="M1495:M1496"/>
    <mergeCell ref="N1495:N1496"/>
    <mergeCell ref="O1495:O1496"/>
    <mergeCell ref="AG1493:AG1494"/>
    <mergeCell ref="AH1493:AH1494"/>
    <mergeCell ref="AI1493:AI1494"/>
    <mergeCell ref="AJ1493:AJ1494"/>
    <mergeCell ref="AK1493:AK1494"/>
    <mergeCell ref="AB1493:AB1494"/>
    <mergeCell ref="AC1493:AC1494"/>
    <mergeCell ref="AD1493:AD1494"/>
    <mergeCell ref="AE1493:AE1494"/>
    <mergeCell ref="AF1493:AF1494"/>
    <mergeCell ref="W1493:W1494"/>
    <mergeCell ref="X1493:X1494"/>
    <mergeCell ref="Y1493:Y1494"/>
    <mergeCell ref="Z1493:Z1494"/>
    <mergeCell ref="AA1493:AA1494"/>
    <mergeCell ref="R1493:R1494"/>
    <mergeCell ref="S1493:S1494"/>
    <mergeCell ref="T1493:T1494"/>
    <mergeCell ref="U1493:U1494"/>
    <mergeCell ref="V1493:V1494"/>
    <mergeCell ref="M1493:M1494"/>
    <mergeCell ref="N1493:N1494"/>
    <mergeCell ref="O1493:O1494"/>
    <mergeCell ref="P1493:P1494"/>
    <mergeCell ref="Q1493:Q1494"/>
    <mergeCell ref="H1493:H1494"/>
    <mergeCell ref="I1493:I1494"/>
    <mergeCell ref="J1493:J1494"/>
    <mergeCell ref="K1493:K1494"/>
    <mergeCell ref="L1493:L1494"/>
    <mergeCell ref="A1493:A1494"/>
    <mergeCell ref="B1493:B1494"/>
    <mergeCell ref="D1493:D1494"/>
    <mergeCell ref="H1497:H1498"/>
    <mergeCell ref="I1497:I1498"/>
    <mergeCell ref="J1497:J1498"/>
    <mergeCell ref="K1497:K1498"/>
    <mergeCell ref="L1497:L1498"/>
    <mergeCell ref="A1497:A1498"/>
    <mergeCell ref="B1497:B1498"/>
    <mergeCell ref="D1497:D1498"/>
    <mergeCell ref="AJ1495:AJ1496"/>
    <mergeCell ref="AK1495:AK1496"/>
    <mergeCell ref="AL1495:AL1496"/>
    <mergeCell ref="AM1495:AM1496"/>
    <mergeCell ref="AN1495:AN1496"/>
    <mergeCell ref="AE1495:AE1496"/>
    <mergeCell ref="AF1495:AF1496"/>
    <mergeCell ref="AG1495:AG1496"/>
    <mergeCell ref="AH1495:AH1496"/>
    <mergeCell ref="AI1495:AI1496"/>
    <mergeCell ref="Z1495:Z1496"/>
    <mergeCell ref="AA1495:AA1496"/>
    <mergeCell ref="AB1495:AB1496"/>
    <mergeCell ref="AC1495:AC1496"/>
    <mergeCell ref="AD1495:AD1496"/>
    <mergeCell ref="U1495:U1496"/>
    <mergeCell ref="V1495:V1496"/>
    <mergeCell ref="W1495:W1496"/>
    <mergeCell ref="X1495:X1496"/>
    <mergeCell ref="Y1495:Y1496"/>
    <mergeCell ref="P1495:P1496"/>
    <mergeCell ref="Q1495:Q1496"/>
    <mergeCell ref="R1495:R1496"/>
    <mergeCell ref="S1495:S1496"/>
    <mergeCell ref="T1495:T1496"/>
    <mergeCell ref="AJ1499:AJ1500"/>
    <mergeCell ref="AK1499:AK1500"/>
    <mergeCell ref="AL1499:AL1500"/>
    <mergeCell ref="AM1499:AM1500"/>
    <mergeCell ref="AN1499:AN1500"/>
    <mergeCell ref="AE1499:AE1500"/>
    <mergeCell ref="AF1499:AF1500"/>
    <mergeCell ref="AG1499:AG1500"/>
    <mergeCell ref="AH1499:AH1500"/>
    <mergeCell ref="AI1499:AI1500"/>
    <mergeCell ref="Z1499:Z1500"/>
    <mergeCell ref="AA1499:AA1500"/>
    <mergeCell ref="AB1499:AB1500"/>
    <mergeCell ref="AC1499:AC1500"/>
    <mergeCell ref="AD1499:AD1500"/>
    <mergeCell ref="U1499:U1500"/>
    <mergeCell ref="V1499:V1500"/>
    <mergeCell ref="W1499:W1500"/>
    <mergeCell ref="X1499:X1500"/>
    <mergeCell ref="Y1499:Y1500"/>
    <mergeCell ref="P1499:P1500"/>
    <mergeCell ref="Q1499:Q1500"/>
    <mergeCell ref="R1499:R1500"/>
    <mergeCell ref="S1499:S1500"/>
    <mergeCell ref="T1499:T1500"/>
    <mergeCell ref="AL1497:AL1498"/>
    <mergeCell ref="AM1497:AM1498"/>
    <mergeCell ref="AN1497:AN1498"/>
    <mergeCell ref="A1499:A1500"/>
    <mergeCell ref="B1499:B1500"/>
    <mergeCell ref="D1499:D1500"/>
    <mergeCell ref="H1499:H1500"/>
    <mergeCell ref="I1499:I1500"/>
    <mergeCell ref="J1499:J1500"/>
    <mergeCell ref="K1499:K1500"/>
    <mergeCell ref="L1499:L1500"/>
    <mergeCell ref="M1499:M1500"/>
    <mergeCell ref="N1499:N1500"/>
    <mergeCell ref="O1499:O1500"/>
    <mergeCell ref="AG1497:AG1498"/>
    <mergeCell ref="AH1497:AH1498"/>
    <mergeCell ref="AI1497:AI1498"/>
    <mergeCell ref="AJ1497:AJ1498"/>
    <mergeCell ref="AK1497:AK1498"/>
    <mergeCell ref="AB1497:AB1498"/>
    <mergeCell ref="AC1497:AC1498"/>
    <mergeCell ref="AD1497:AD1498"/>
    <mergeCell ref="AE1497:AE1498"/>
    <mergeCell ref="AF1497:AF1498"/>
    <mergeCell ref="W1497:W1498"/>
    <mergeCell ref="X1497:X1498"/>
    <mergeCell ref="Y1497:Y1498"/>
    <mergeCell ref="Z1497:Z1498"/>
    <mergeCell ref="AA1497:AA1498"/>
    <mergeCell ref="R1497:R1498"/>
    <mergeCell ref="S1497:S1498"/>
    <mergeCell ref="T1497:T1498"/>
    <mergeCell ref="U1497:U1498"/>
    <mergeCell ref="V1497:V1498"/>
    <mergeCell ref="M1497:M1498"/>
    <mergeCell ref="N1497:N1498"/>
    <mergeCell ref="O1497:O1498"/>
    <mergeCell ref="P1497:P1498"/>
    <mergeCell ref="Q1497:Q1498"/>
    <mergeCell ref="AL1501:AL1502"/>
    <mergeCell ref="AM1501:AM1502"/>
    <mergeCell ref="AN1501:AN1502"/>
    <mergeCell ref="A1503:A1504"/>
    <mergeCell ref="B1503:B1504"/>
    <mergeCell ref="D1503:D1504"/>
    <mergeCell ref="H1503:H1504"/>
    <mergeCell ref="I1503:I1504"/>
    <mergeCell ref="J1503:J1504"/>
    <mergeCell ref="K1503:K1504"/>
    <mergeCell ref="L1503:L1504"/>
    <mergeCell ref="M1503:M1504"/>
    <mergeCell ref="N1503:N1504"/>
    <mergeCell ref="O1503:O1504"/>
    <mergeCell ref="AG1501:AG1502"/>
    <mergeCell ref="AH1501:AH1502"/>
    <mergeCell ref="AI1501:AI1502"/>
    <mergeCell ref="AJ1501:AJ1502"/>
    <mergeCell ref="AK1501:AK1502"/>
    <mergeCell ref="AB1501:AB1502"/>
    <mergeCell ref="AC1501:AC1502"/>
    <mergeCell ref="AD1501:AD1502"/>
    <mergeCell ref="AE1501:AE1502"/>
    <mergeCell ref="AF1501:AF1502"/>
    <mergeCell ref="W1501:W1502"/>
    <mergeCell ref="X1501:X1502"/>
    <mergeCell ref="Y1501:Y1502"/>
    <mergeCell ref="Z1501:Z1502"/>
    <mergeCell ref="AA1501:AA1502"/>
    <mergeCell ref="R1501:R1502"/>
    <mergeCell ref="S1501:S1502"/>
    <mergeCell ref="T1501:T1502"/>
    <mergeCell ref="U1501:U1502"/>
    <mergeCell ref="V1501:V1502"/>
    <mergeCell ref="M1501:M1502"/>
    <mergeCell ref="N1501:N1502"/>
    <mergeCell ref="O1501:O1502"/>
    <mergeCell ref="P1501:P1502"/>
    <mergeCell ref="Q1501:Q1502"/>
    <mergeCell ref="H1501:H1502"/>
    <mergeCell ref="I1501:I1502"/>
    <mergeCell ref="J1501:J1502"/>
    <mergeCell ref="K1501:K1502"/>
    <mergeCell ref="L1501:L1502"/>
    <mergeCell ref="A1501:A1502"/>
    <mergeCell ref="B1501:B1502"/>
    <mergeCell ref="D1501:D1502"/>
    <mergeCell ref="H1505:H1506"/>
    <mergeCell ref="I1505:I1506"/>
    <mergeCell ref="J1505:J1506"/>
    <mergeCell ref="K1505:K1506"/>
    <mergeCell ref="L1505:L1506"/>
    <mergeCell ref="A1505:A1506"/>
    <mergeCell ref="B1505:B1506"/>
    <mergeCell ref="D1505:D1506"/>
    <mergeCell ref="AJ1503:AJ1504"/>
    <mergeCell ref="AK1503:AK1504"/>
    <mergeCell ref="AL1503:AL1504"/>
    <mergeCell ref="AM1503:AM1504"/>
    <mergeCell ref="AN1503:AN1504"/>
    <mergeCell ref="AE1503:AE1504"/>
    <mergeCell ref="AF1503:AF1504"/>
    <mergeCell ref="AG1503:AG1504"/>
    <mergeCell ref="AH1503:AH1504"/>
    <mergeCell ref="AI1503:AI1504"/>
    <mergeCell ref="Z1503:Z1504"/>
    <mergeCell ref="AA1503:AA1504"/>
    <mergeCell ref="AB1503:AB1504"/>
    <mergeCell ref="AC1503:AC1504"/>
    <mergeCell ref="AD1503:AD1504"/>
    <mergeCell ref="U1503:U1504"/>
    <mergeCell ref="V1503:V1504"/>
    <mergeCell ref="W1503:W1504"/>
    <mergeCell ref="X1503:X1504"/>
    <mergeCell ref="Y1503:Y1504"/>
    <mergeCell ref="P1503:P1504"/>
    <mergeCell ref="Q1503:Q1504"/>
    <mergeCell ref="R1503:R1504"/>
    <mergeCell ref="S1503:S1504"/>
    <mergeCell ref="T1503:T1504"/>
    <mergeCell ref="AJ1507:AJ1508"/>
    <mergeCell ref="AK1507:AK1508"/>
    <mergeCell ref="AL1507:AL1508"/>
    <mergeCell ref="AM1507:AM1508"/>
    <mergeCell ref="AN1507:AN1508"/>
    <mergeCell ref="AE1507:AE1508"/>
    <mergeCell ref="AF1507:AF1508"/>
    <mergeCell ref="AG1507:AG1508"/>
    <mergeCell ref="AH1507:AH1508"/>
    <mergeCell ref="AI1507:AI1508"/>
    <mergeCell ref="Z1507:Z1508"/>
    <mergeCell ref="AA1507:AA1508"/>
    <mergeCell ref="AB1507:AB1508"/>
    <mergeCell ref="AC1507:AC1508"/>
    <mergeCell ref="AD1507:AD1508"/>
    <mergeCell ref="U1507:U1508"/>
    <mergeCell ref="V1507:V1508"/>
    <mergeCell ref="W1507:W1508"/>
    <mergeCell ref="X1507:X1508"/>
    <mergeCell ref="Y1507:Y1508"/>
    <mergeCell ref="P1507:P1508"/>
    <mergeCell ref="Q1507:Q1508"/>
    <mergeCell ref="R1507:R1508"/>
    <mergeCell ref="S1507:S1508"/>
    <mergeCell ref="T1507:T1508"/>
    <mergeCell ref="AL1505:AL1506"/>
    <mergeCell ref="AM1505:AM1506"/>
    <mergeCell ref="AN1505:AN1506"/>
    <mergeCell ref="A1507:A1508"/>
    <mergeCell ref="B1507:B1508"/>
    <mergeCell ref="D1507:D1508"/>
    <mergeCell ref="H1507:H1508"/>
    <mergeCell ref="I1507:I1508"/>
    <mergeCell ref="J1507:J1508"/>
    <mergeCell ref="K1507:K1508"/>
    <mergeCell ref="L1507:L1508"/>
    <mergeCell ref="M1507:M1508"/>
    <mergeCell ref="N1507:N1508"/>
    <mergeCell ref="O1507:O1508"/>
    <mergeCell ref="AG1505:AG1506"/>
    <mergeCell ref="AH1505:AH1506"/>
    <mergeCell ref="AI1505:AI1506"/>
    <mergeCell ref="AJ1505:AJ1506"/>
    <mergeCell ref="AK1505:AK1506"/>
    <mergeCell ref="AB1505:AB1506"/>
    <mergeCell ref="AC1505:AC1506"/>
    <mergeCell ref="AD1505:AD1506"/>
    <mergeCell ref="AE1505:AE1506"/>
    <mergeCell ref="AF1505:AF1506"/>
    <mergeCell ref="W1505:W1506"/>
    <mergeCell ref="X1505:X1506"/>
    <mergeCell ref="Y1505:Y1506"/>
    <mergeCell ref="Z1505:Z1506"/>
    <mergeCell ref="AA1505:AA1506"/>
    <mergeCell ref="R1505:R1506"/>
    <mergeCell ref="S1505:S1506"/>
    <mergeCell ref="T1505:T1506"/>
    <mergeCell ref="U1505:U1506"/>
    <mergeCell ref="V1505:V1506"/>
    <mergeCell ref="M1505:M1506"/>
    <mergeCell ref="N1505:N1506"/>
    <mergeCell ref="O1505:O1506"/>
    <mergeCell ref="P1505:P1506"/>
    <mergeCell ref="Q1505:Q1506"/>
    <mergeCell ref="AL1509:AL1510"/>
    <mergeCell ref="AM1509:AM1510"/>
    <mergeCell ref="AN1509:AN1510"/>
    <mergeCell ref="A1511:A1512"/>
    <mergeCell ref="B1511:B1512"/>
    <mergeCell ref="D1511:D1512"/>
    <mergeCell ref="H1511:H1512"/>
    <mergeCell ref="I1511:I1512"/>
    <mergeCell ref="J1511:J1512"/>
    <mergeCell ref="K1511:K1512"/>
    <mergeCell ref="L1511:L1512"/>
    <mergeCell ref="M1511:M1512"/>
    <mergeCell ref="N1511:N1512"/>
    <mergeCell ref="O1511:O1512"/>
    <mergeCell ref="AG1509:AG1510"/>
    <mergeCell ref="AH1509:AH1510"/>
    <mergeCell ref="AI1509:AI1510"/>
    <mergeCell ref="AJ1509:AJ1510"/>
    <mergeCell ref="AK1509:AK1510"/>
    <mergeCell ref="AB1509:AB1510"/>
    <mergeCell ref="AC1509:AC1510"/>
    <mergeCell ref="AD1509:AD1510"/>
    <mergeCell ref="AE1509:AE1510"/>
    <mergeCell ref="AF1509:AF1510"/>
    <mergeCell ref="W1509:W1510"/>
    <mergeCell ref="X1509:X1510"/>
    <mergeCell ref="Y1509:Y1510"/>
    <mergeCell ref="Z1509:Z1510"/>
    <mergeCell ref="AA1509:AA1510"/>
    <mergeCell ref="R1509:R1510"/>
    <mergeCell ref="S1509:S1510"/>
    <mergeCell ref="T1509:T1510"/>
    <mergeCell ref="U1509:U1510"/>
    <mergeCell ref="V1509:V1510"/>
    <mergeCell ref="M1509:M1510"/>
    <mergeCell ref="N1509:N1510"/>
    <mergeCell ref="O1509:O1510"/>
    <mergeCell ref="P1509:P1510"/>
    <mergeCell ref="Q1509:Q1510"/>
    <mergeCell ref="H1509:H1510"/>
    <mergeCell ref="I1509:I1510"/>
    <mergeCell ref="J1509:J1510"/>
    <mergeCell ref="K1509:K1510"/>
    <mergeCell ref="L1509:L1510"/>
    <mergeCell ref="A1509:A1510"/>
    <mergeCell ref="B1509:B1510"/>
    <mergeCell ref="D1509:D1510"/>
    <mergeCell ref="H1513:H1514"/>
    <mergeCell ref="I1513:I1514"/>
    <mergeCell ref="J1513:J1514"/>
    <mergeCell ref="K1513:K1514"/>
    <mergeCell ref="L1513:L1514"/>
    <mergeCell ref="A1513:A1514"/>
    <mergeCell ref="B1513:B1514"/>
    <mergeCell ref="D1513:D1514"/>
    <mergeCell ref="AJ1511:AJ1512"/>
    <mergeCell ref="AK1511:AK1512"/>
    <mergeCell ref="AL1511:AL1512"/>
    <mergeCell ref="AM1511:AM1512"/>
    <mergeCell ref="AN1511:AN1512"/>
    <mergeCell ref="AE1511:AE1512"/>
    <mergeCell ref="AF1511:AF1512"/>
    <mergeCell ref="AG1511:AG1512"/>
    <mergeCell ref="AH1511:AH1512"/>
    <mergeCell ref="AI1511:AI1512"/>
    <mergeCell ref="Z1511:Z1512"/>
    <mergeCell ref="AA1511:AA1512"/>
    <mergeCell ref="AB1511:AB1512"/>
    <mergeCell ref="AC1511:AC1512"/>
    <mergeCell ref="AD1511:AD1512"/>
    <mergeCell ref="U1511:U1512"/>
    <mergeCell ref="V1511:V1512"/>
    <mergeCell ref="W1511:W1512"/>
    <mergeCell ref="X1511:X1512"/>
    <mergeCell ref="Y1511:Y1512"/>
    <mergeCell ref="P1511:P1512"/>
    <mergeCell ref="Q1511:Q1512"/>
    <mergeCell ref="R1511:R1512"/>
    <mergeCell ref="S1511:S1512"/>
    <mergeCell ref="T1511:T1512"/>
    <mergeCell ref="AJ1515:AJ1516"/>
    <mergeCell ref="AK1515:AK1516"/>
    <mergeCell ref="AL1515:AL1516"/>
    <mergeCell ref="AM1515:AM1516"/>
    <mergeCell ref="AN1515:AN1516"/>
    <mergeCell ref="AE1515:AE1516"/>
    <mergeCell ref="AF1515:AF1516"/>
    <mergeCell ref="AG1515:AG1516"/>
    <mergeCell ref="AH1515:AH1516"/>
    <mergeCell ref="AI1515:AI1516"/>
    <mergeCell ref="Z1515:Z1516"/>
    <mergeCell ref="AA1515:AA1516"/>
    <mergeCell ref="AB1515:AB1516"/>
    <mergeCell ref="AC1515:AC1516"/>
    <mergeCell ref="AD1515:AD1516"/>
    <mergeCell ref="U1515:U1516"/>
    <mergeCell ref="V1515:V1516"/>
    <mergeCell ref="W1515:W1516"/>
    <mergeCell ref="X1515:X1516"/>
    <mergeCell ref="Y1515:Y1516"/>
    <mergeCell ref="P1515:P1516"/>
    <mergeCell ref="Q1515:Q1516"/>
    <mergeCell ref="R1515:R1516"/>
    <mergeCell ref="S1515:S1516"/>
    <mergeCell ref="T1515:T1516"/>
    <mergeCell ref="AL1513:AL1514"/>
    <mergeCell ref="AM1513:AM1514"/>
    <mergeCell ref="AN1513:AN1514"/>
    <mergeCell ref="A1515:A1516"/>
    <mergeCell ref="B1515:B1516"/>
    <mergeCell ref="D1515:D1516"/>
    <mergeCell ref="H1515:H1516"/>
    <mergeCell ref="I1515:I1516"/>
    <mergeCell ref="J1515:J1516"/>
    <mergeCell ref="K1515:K1516"/>
    <mergeCell ref="L1515:L1516"/>
    <mergeCell ref="M1515:M1516"/>
    <mergeCell ref="N1515:N1516"/>
    <mergeCell ref="O1515:O1516"/>
    <mergeCell ref="AG1513:AG1514"/>
    <mergeCell ref="AH1513:AH1514"/>
    <mergeCell ref="AI1513:AI1514"/>
    <mergeCell ref="AJ1513:AJ1514"/>
    <mergeCell ref="AK1513:AK1514"/>
    <mergeCell ref="AB1513:AB1514"/>
    <mergeCell ref="AC1513:AC1514"/>
    <mergeCell ref="AD1513:AD1514"/>
    <mergeCell ref="AE1513:AE1514"/>
    <mergeCell ref="AF1513:AF1514"/>
    <mergeCell ref="W1513:W1514"/>
    <mergeCell ref="X1513:X1514"/>
    <mergeCell ref="Y1513:Y1514"/>
    <mergeCell ref="Z1513:Z1514"/>
    <mergeCell ref="AA1513:AA1514"/>
    <mergeCell ref="R1513:R1514"/>
    <mergeCell ref="S1513:S1514"/>
    <mergeCell ref="T1513:T1514"/>
    <mergeCell ref="U1513:U1514"/>
    <mergeCell ref="V1513:V1514"/>
    <mergeCell ref="M1513:M1514"/>
    <mergeCell ref="N1513:N1514"/>
    <mergeCell ref="O1513:O1514"/>
    <mergeCell ref="P1513:P1514"/>
    <mergeCell ref="Q1513:Q1514"/>
    <mergeCell ref="AL1517:AL1518"/>
    <mergeCell ref="AM1517:AM1518"/>
    <mergeCell ref="AN1517:AN1518"/>
    <mergeCell ref="A1519:A1520"/>
    <mergeCell ref="B1519:B1520"/>
    <mergeCell ref="D1519:D1520"/>
    <mergeCell ref="H1519:H1520"/>
    <mergeCell ref="I1519:I1520"/>
    <mergeCell ref="J1519:J1520"/>
    <mergeCell ref="K1519:K1520"/>
    <mergeCell ref="L1519:L1520"/>
    <mergeCell ref="M1519:M1520"/>
    <mergeCell ref="N1519:N1520"/>
    <mergeCell ref="O1519:O1520"/>
    <mergeCell ref="AG1517:AG1518"/>
    <mergeCell ref="AH1517:AH1518"/>
    <mergeCell ref="AI1517:AI1518"/>
    <mergeCell ref="AJ1517:AJ1518"/>
    <mergeCell ref="AK1517:AK1518"/>
    <mergeCell ref="AB1517:AB1518"/>
    <mergeCell ref="AC1517:AC1518"/>
    <mergeCell ref="AD1517:AD1518"/>
    <mergeCell ref="AE1517:AE1518"/>
    <mergeCell ref="AF1517:AF1518"/>
    <mergeCell ref="W1517:W1518"/>
    <mergeCell ref="X1517:X1518"/>
    <mergeCell ref="Y1517:Y1518"/>
    <mergeCell ref="Z1517:Z1518"/>
    <mergeCell ref="AA1517:AA1518"/>
    <mergeCell ref="R1517:R1518"/>
    <mergeCell ref="S1517:S1518"/>
    <mergeCell ref="T1517:T1518"/>
    <mergeCell ref="U1517:U1518"/>
    <mergeCell ref="V1517:V1518"/>
    <mergeCell ref="M1517:M1518"/>
    <mergeCell ref="N1517:N1518"/>
    <mergeCell ref="O1517:O1518"/>
    <mergeCell ref="P1517:P1518"/>
    <mergeCell ref="Q1517:Q1518"/>
    <mergeCell ref="H1517:H1518"/>
    <mergeCell ref="I1517:I1518"/>
    <mergeCell ref="J1517:J1518"/>
    <mergeCell ref="K1517:K1518"/>
    <mergeCell ref="L1517:L1518"/>
    <mergeCell ref="A1517:A1518"/>
    <mergeCell ref="B1517:B1518"/>
    <mergeCell ref="D1517:D1518"/>
    <mergeCell ref="H1521:H1522"/>
    <mergeCell ref="I1521:I1522"/>
    <mergeCell ref="J1521:J1522"/>
    <mergeCell ref="K1521:K1522"/>
    <mergeCell ref="L1521:L1522"/>
    <mergeCell ref="A1521:A1522"/>
    <mergeCell ref="B1521:B1522"/>
    <mergeCell ref="D1521:D1522"/>
    <mergeCell ref="AJ1519:AJ1520"/>
    <mergeCell ref="AK1519:AK1520"/>
    <mergeCell ref="AL1519:AL1520"/>
    <mergeCell ref="AM1519:AM1520"/>
    <mergeCell ref="AN1519:AN1520"/>
    <mergeCell ref="AE1519:AE1520"/>
    <mergeCell ref="AF1519:AF1520"/>
    <mergeCell ref="AG1519:AG1520"/>
    <mergeCell ref="AH1519:AH1520"/>
    <mergeCell ref="AI1519:AI1520"/>
    <mergeCell ref="Z1519:Z1520"/>
    <mergeCell ref="AA1519:AA1520"/>
    <mergeCell ref="AB1519:AB1520"/>
    <mergeCell ref="AC1519:AC1520"/>
    <mergeCell ref="AD1519:AD1520"/>
    <mergeCell ref="U1519:U1520"/>
    <mergeCell ref="V1519:V1520"/>
    <mergeCell ref="W1519:W1520"/>
    <mergeCell ref="X1519:X1520"/>
    <mergeCell ref="Y1519:Y1520"/>
    <mergeCell ref="P1519:P1520"/>
    <mergeCell ref="Q1519:Q1520"/>
    <mergeCell ref="R1519:R1520"/>
    <mergeCell ref="S1519:S1520"/>
    <mergeCell ref="T1519:T1520"/>
    <mergeCell ref="AJ1523:AJ1524"/>
    <mergeCell ref="AK1523:AK1524"/>
    <mergeCell ref="AL1523:AL1524"/>
    <mergeCell ref="AM1523:AM1524"/>
    <mergeCell ref="AN1523:AN1524"/>
    <mergeCell ref="AE1523:AE1524"/>
    <mergeCell ref="AF1523:AF1524"/>
    <mergeCell ref="AG1523:AG1524"/>
    <mergeCell ref="AH1523:AH1524"/>
    <mergeCell ref="AI1523:AI1524"/>
    <mergeCell ref="Z1523:Z1524"/>
    <mergeCell ref="AA1523:AA1524"/>
    <mergeCell ref="AB1523:AB1524"/>
    <mergeCell ref="AC1523:AC1524"/>
    <mergeCell ref="AD1523:AD1524"/>
    <mergeCell ref="U1523:U1524"/>
    <mergeCell ref="V1523:V1524"/>
    <mergeCell ref="W1523:W1524"/>
    <mergeCell ref="X1523:X1524"/>
    <mergeCell ref="Y1523:Y1524"/>
    <mergeCell ref="P1523:P1524"/>
    <mergeCell ref="Q1523:Q1524"/>
    <mergeCell ref="R1523:R1524"/>
    <mergeCell ref="S1523:S1524"/>
    <mergeCell ref="T1523:T1524"/>
    <mergeCell ref="AL1521:AL1522"/>
    <mergeCell ref="AM1521:AM1522"/>
    <mergeCell ref="AN1521:AN1522"/>
    <mergeCell ref="A1523:A1524"/>
    <mergeCell ref="B1523:B1524"/>
    <mergeCell ref="D1523:D1524"/>
    <mergeCell ref="H1523:H1524"/>
    <mergeCell ref="I1523:I1524"/>
    <mergeCell ref="J1523:J1524"/>
    <mergeCell ref="K1523:K1524"/>
    <mergeCell ref="L1523:L1524"/>
    <mergeCell ref="M1523:M1524"/>
    <mergeCell ref="N1523:N1524"/>
    <mergeCell ref="O1523:O1524"/>
    <mergeCell ref="AG1521:AG1522"/>
    <mergeCell ref="AH1521:AH1522"/>
    <mergeCell ref="AI1521:AI1522"/>
    <mergeCell ref="AJ1521:AJ1522"/>
    <mergeCell ref="AK1521:AK1522"/>
    <mergeCell ref="AB1521:AB1522"/>
    <mergeCell ref="AC1521:AC1522"/>
    <mergeCell ref="AD1521:AD1522"/>
    <mergeCell ref="AE1521:AE1522"/>
    <mergeCell ref="AF1521:AF1522"/>
    <mergeCell ref="W1521:W1522"/>
    <mergeCell ref="X1521:X1522"/>
    <mergeCell ref="Y1521:Y1522"/>
    <mergeCell ref="Z1521:Z1522"/>
    <mergeCell ref="AA1521:AA1522"/>
    <mergeCell ref="R1521:R1522"/>
    <mergeCell ref="S1521:S1522"/>
    <mergeCell ref="T1521:T1522"/>
    <mergeCell ref="U1521:U1522"/>
    <mergeCell ref="V1521:V1522"/>
    <mergeCell ref="M1521:M1522"/>
    <mergeCell ref="N1521:N1522"/>
    <mergeCell ref="O1521:O1522"/>
    <mergeCell ref="P1521:P1522"/>
    <mergeCell ref="Q1521:Q1522"/>
    <mergeCell ref="AL1525:AL1526"/>
    <mergeCell ref="AM1525:AM1526"/>
    <mergeCell ref="AN1525:AN1526"/>
    <mergeCell ref="A1527:A1528"/>
    <mergeCell ref="B1527:B1528"/>
    <mergeCell ref="D1527:D1528"/>
    <mergeCell ref="H1527:H1528"/>
    <mergeCell ref="I1527:I1528"/>
    <mergeCell ref="J1527:J1528"/>
    <mergeCell ref="K1527:K1528"/>
    <mergeCell ref="L1527:L1528"/>
    <mergeCell ref="M1527:M1528"/>
    <mergeCell ref="N1527:N1528"/>
    <mergeCell ref="O1527:O1528"/>
    <mergeCell ref="AG1525:AG1526"/>
    <mergeCell ref="AH1525:AH1526"/>
    <mergeCell ref="AI1525:AI1526"/>
    <mergeCell ref="AJ1525:AJ1526"/>
    <mergeCell ref="AK1525:AK1526"/>
    <mergeCell ref="AB1525:AB1526"/>
    <mergeCell ref="AC1525:AC1526"/>
    <mergeCell ref="AD1525:AD1526"/>
    <mergeCell ref="AE1525:AE1526"/>
    <mergeCell ref="AF1525:AF1526"/>
    <mergeCell ref="W1525:W1526"/>
    <mergeCell ref="X1525:X1526"/>
    <mergeCell ref="Y1525:Y1526"/>
    <mergeCell ref="Z1525:Z1526"/>
    <mergeCell ref="AA1525:AA1526"/>
    <mergeCell ref="R1525:R1526"/>
    <mergeCell ref="S1525:S1526"/>
    <mergeCell ref="T1525:T1526"/>
    <mergeCell ref="U1525:U1526"/>
    <mergeCell ref="V1525:V1526"/>
    <mergeCell ref="M1525:M1526"/>
    <mergeCell ref="N1525:N1526"/>
    <mergeCell ref="O1525:O1526"/>
    <mergeCell ref="P1525:P1526"/>
    <mergeCell ref="Q1525:Q1526"/>
    <mergeCell ref="H1525:H1526"/>
    <mergeCell ref="I1525:I1526"/>
    <mergeCell ref="J1525:J1526"/>
    <mergeCell ref="K1525:K1526"/>
    <mergeCell ref="L1525:L1526"/>
    <mergeCell ref="A1525:A1526"/>
    <mergeCell ref="B1525:B1526"/>
    <mergeCell ref="D1525:D1526"/>
    <mergeCell ref="H1529:H1530"/>
    <mergeCell ref="I1529:I1530"/>
    <mergeCell ref="J1529:J1530"/>
    <mergeCell ref="K1529:K1530"/>
    <mergeCell ref="L1529:L1530"/>
    <mergeCell ref="A1529:A1530"/>
    <mergeCell ref="B1529:B1530"/>
    <mergeCell ref="D1529:D1530"/>
    <mergeCell ref="AJ1527:AJ1528"/>
    <mergeCell ref="AK1527:AK1528"/>
    <mergeCell ref="AL1527:AL1528"/>
    <mergeCell ref="AM1527:AM1528"/>
    <mergeCell ref="AN1527:AN1528"/>
    <mergeCell ref="AE1527:AE1528"/>
    <mergeCell ref="AF1527:AF1528"/>
    <mergeCell ref="AG1527:AG1528"/>
    <mergeCell ref="AH1527:AH1528"/>
    <mergeCell ref="AI1527:AI1528"/>
    <mergeCell ref="Z1527:Z1528"/>
    <mergeCell ref="AA1527:AA1528"/>
    <mergeCell ref="AB1527:AB1528"/>
    <mergeCell ref="AC1527:AC1528"/>
    <mergeCell ref="AD1527:AD1528"/>
    <mergeCell ref="U1527:U1528"/>
    <mergeCell ref="V1527:V1528"/>
    <mergeCell ref="W1527:W1528"/>
    <mergeCell ref="X1527:X1528"/>
    <mergeCell ref="Y1527:Y1528"/>
    <mergeCell ref="P1527:P1528"/>
    <mergeCell ref="Q1527:Q1528"/>
    <mergeCell ref="R1527:R1528"/>
    <mergeCell ref="S1527:S1528"/>
    <mergeCell ref="T1527:T1528"/>
    <mergeCell ref="AJ1531:AJ1532"/>
    <mergeCell ref="AK1531:AK1532"/>
    <mergeCell ref="AL1531:AL1532"/>
    <mergeCell ref="AM1531:AM1532"/>
    <mergeCell ref="AN1531:AN1532"/>
    <mergeCell ref="AE1531:AE1532"/>
    <mergeCell ref="AF1531:AF1532"/>
    <mergeCell ref="AG1531:AG1532"/>
    <mergeCell ref="AH1531:AH1532"/>
    <mergeCell ref="AI1531:AI1532"/>
    <mergeCell ref="Z1531:Z1532"/>
    <mergeCell ref="AA1531:AA1532"/>
    <mergeCell ref="AB1531:AB1532"/>
    <mergeCell ref="AC1531:AC1532"/>
    <mergeCell ref="AD1531:AD1532"/>
    <mergeCell ref="U1531:U1532"/>
    <mergeCell ref="V1531:V1532"/>
    <mergeCell ref="W1531:W1532"/>
    <mergeCell ref="X1531:X1532"/>
    <mergeCell ref="Y1531:Y1532"/>
    <mergeCell ref="P1531:P1532"/>
    <mergeCell ref="Q1531:Q1532"/>
    <mergeCell ref="R1531:R1532"/>
    <mergeCell ref="S1531:S1532"/>
    <mergeCell ref="T1531:T1532"/>
    <mergeCell ref="AL1529:AL1530"/>
    <mergeCell ref="AM1529:AM1530"/>
    <mergeCell ref="AN1529:AN1530"/>
    <mergeCell ref="A1531:A1532"/>
    <mergeCell ref="B1531:B1532"/>
    <mergeCell ref="D1531:D1532"/>
    <mergeCell ref="H1531:H1532"/>
    <mergeCell ref="I1531:I1532"/>
    <mergeCell ref="J1531:J1532"/>
    <mergeCell ref="K1531:K1532"/>
    <mergeCell ref="L1531:L1532"/>
    <mergeCell ref="M1531:M1532"/>
    <mergeCell ref="N1531:N1532"/>
    <mergeCell ref="O1531:O1532"/>
    <mergeCell ref="AG1529:AG1530"/>
    <mergeCell ref="AH1529:AH1530"/>
    <mergeCell ref="AI1529:AI1530"/>
    <mergeCell ref="AJ1529:AJ1530"/>
    <mergeCell ref="AK1529:AK1530"/>
    <mergeCell ref="AB1529:AB1530"/>
    <mergeCell ref="AC1529:AC1530"/>
    <mergeCell ref="AD1529:AD1530"/>
    <mergeCell ref="AE1529:AE1530"/>
    <mergeCell ref="AF1529:AF1530"/>
    <mergeCell ref="W1529:W1530"/>
    <mergeCell ref="X1529:X1530"/>
    <mergeCell ref="Y1529:Y1530"/>
    <mergeCell ref="Z1529:Z1530"/>
    <mergeCell ref="AA1529:AA1530"/>
    <mergeCell ref="R1529:R1530"/>
    <mergeCell ref="S1529:S1530"/>
    <mergeCell ref="T1529:T1530"/>
    <mergeCell ref="U1529:U1530"/>
    <mergeCell ref="V1529:V1530"/>
    <mergeCell ref="M1529:M1530"/>
    <mergeCell ref="N1529:N1530"/>
    <mergeCell ref="O1529:O1530"/>
    <mergeCell ref="P1529:P1530"/>
    <mergeCell ref="Q1529:Q1530"/>
    <mergeCell ref="AL1533:AL1534"/>
    <mergeCell ref="AM1533:AM1534"/>
    <mergeCell ref="AN1533:AN1534"/>
    <mergeCell ref="A1535:A1536"/>
    <mergeCell ref="B1535:B1536"/>
    <mergeCell ref="D1535:D1536"/>
    <mergeCell ref="H1535:H1536"/>
    <mergeCell ref="I1535:I1536"/>
    <mergeCell ref="J1535:J1536"/>
    <mergeCell ref="K1535:K1536"/>
    <mergeCell ref="L1535:L1536"/>
    <mergeCell ref="M1535:M1536"/>
    <mergeCell ref="N1535:N1536"/>
    <mergeCell ref="O1535:O1536"/>
    <mergeCell ref="AG1533:AG1534"/>
    <mergeCell ref="AH1533:AH1534"/>
    <mergeCell ref="AI1533:AI1534"/>
    <mergeCell ref="AJ1533:AJ1534"/>
    <mergeCell ref="AK1533:AK1534"/>
    <mergeCell ref="AB1533:AB1534"/>
    <mergeCell ref="AC1533:AC1534"/>
    <mergeCell ref="AD1533:AD1534"/>
    <mergeCell ref="AE1533:AE1534"/>
    <mergeCell ref="AF1533:AF1534"/>
    <mergeCell ref="W1533:W1534"/>
    <mergeCell ref="X1533:X1534"/>
    <mergeCell ref="Y1533:Y1534"/>
    <mergeCell ref="Z1533:Z1534"/>
    <mergeCell ref="AA1533:AA1534"/>
    <mergeCell ref="R1533:R1534"/>
    <mergeCell ref="S1533:S1534"/>
    <mergeCell ref="T1533:T1534"/>
    <mergeCell ref="U1533:U1534"/>
    <mergeCell ref="V1533:V1534"/>
    <mergeCell ref="M1533:M1534"/>
    <mergeCell ref="N1533:N1534"/>
    <mergeCell ref="O1533:O1534"/>
    <mergeCell ref="P1533:P1534"/>
    <mergeCell ref="Q1533:Q1534"/>
    <mergeCell ref="H1533:H1534"/>
    <mergeCell ref="I1533:I1534"/>
    <mergeCell ref="J1533:J1534"/>
    <mergeCell ref="K1533:K1534"/>
    <mergeCell ref="L1533:L1534"/>
    <mergeCell ref="A1533:A1534"/>
    <mergeCell ref="B1533:B1534"/>
    <mergeCell ref="D1533:D1534"/>
    <mergeCell ref="H1537:H1538"/>
    <mergeCell ref="I1537:I1538"/>
    <mergeCell ref="J1537:J1538"/>
    <mergeCell ref="K1537:K1538"/>
    <mergeCell ref="L1537:L1538"/>
    <mergeCell ref="A1537:A1538"/>
    <mergeCell ref="B1537:B1538"/>
    <mergeCell ref="D1537:D1538"/>
    <mergeCell ref="AJ1535:AJ1536"/>
    <mergeCell ref="AK1535:AK1536"/>
    <mergeCell ref="AL1535:AL1536"/>
    <mergeCell ref="AM1535:AM1536"/>
    <mergeCell ref="AN1535:AN1536"/>
    <mergeCell ref="AE1535:AE1536"/>
    <mergeCell ref="AF1535:AF1536"/>
    <mergeCell ref="AG1535:AG1536"/>
    <mergeCell ref="AH1535:AH1536"/>
    <mergeCell ref="AI1535:AI1536"/>
    <mergeCell ref="Z1535:Z1536"/>
    <mergeCell ref="AA1535:AA1536"/>
    <mergeCell ref="AB1535:AB1536"/>
    <mergeCell ref="AC1535:AC1536"/>
    <mergeCell ref="AD1535:AD1536"/>
    <mergeCell ref="U1535:U1536"/>
    <mergeCell ref="V1535:V1536"/>
    <mergeCell ref="W1535:W1536"/>
    <mergeCell ref="X1535:X1536"/>
    <mergeCell ref="Y1535:Y1536"/>
    <mergeCell ref="P1535:P1536"/>
    <mergeCell ref="Q1535:Q1536"/>
    <mergeCell ref="R1535:R1536"/>
    <mergeCell ref="S1535:S1536"/>
    <mergeCell ref="T1535:T1536"/>
    <mergeCell ref="AJ1539:AJ1540"/>
    <mergeCell ref="AK1539:AK1540"/>
    <mergeCell ref="AL1539:AL1540"/>
    <mergeCell ref="AM1539:AM1540"/>
    <mergeCell ref="AN1539:AN1540"/>
    <mergeCell ref="AE1539:AE1540"/>
    <mergeCell ref="AF1539:AF1540"/>
    <mergeCell ref="AG1539:AG1540"/>
    <mergeCell ref="AH1539:AH1540"/>
    <mergeCell ref="AI1539:AI1540"/>
    <mergeCell ref="Z1539:Z1540"/>
    <mergeCell ref="AA1539:AA1540"/>
    <mergeCell ref="AB1539:AB1540"/>
    <mergeCell ref="AC1539:AC1540"/>
    <mergeCell ref="AD1539:AD1540"/>
    <mergeCell ref="U1539:U1540"/>
    <mergeCell ref="V1539:V1540"/>
    <mergeCell ref="W1539:W1540"/>
    <mergeCell ref="X1539:X1540"/>
    <mergeCell ref="Y1539:Y1540"/>
    <mergeCell ref="P1539:P1540"/>
    <mergeCell ref="Q1539:Q1540"/>
    <mergeCell ref="R1539:R1540"/>
    <mergeCell ref="S1539:S1540"/>
    <mergeCell ref="T1539:T1540"/>
    <mergeCell ref="AL1537:AL1538"/>
    <mergeCell ref="AM1537:AM1538"/>
    <mergeCell ref="AN1537:AN1538"/>
    <mergeCell ref="A1539:A1540"/>
    <mergeCell ref="B1539:B1540"/>
    <mergeCell ref="D1539:D1540"/>
    <mergeCell ref="H1539:H1540"/>
    <mergeCell ref="I1539:I1540"/>
    <mergeCell ref="J1539:J1540"/>
    <mergeCell ref="K1539:K1540"/>
    <mergeCell ref="L1539:L1540"/>
    <mergeCell ref="M1539:M1540"/>
    <mergeCell ref="N1539:N1540"/>
    <mergeCell ref="O1539:O1540"/>
    <mergeCell ref="AG1537:AG1538"/>
    <mergeCell ref="AH1537:AH1538"/>
    <mergeCell ref="AI1537:AI1538"/>
    <mergeCell ref="AJ1537:AJ1538"/>
    <mergeCell ref="AK1537:AK1538"/>
    <mergeCell ref="AB1537:AB1538"/>
    <mergeCell ref="AC1537:AC1538"/>
    <mergeCell ref="AD1537:AD1538"/>
    <mergeCell ref="AE1537:AE1538"/>
    <mergeCell ref="AF1537:AF1538"/>
    <mergeCell ref="W1537:W1538"/>
    <mergeCell ref="X1537:X1538"/>
    <mergeCell ref="Y1537:Y1538"/>
    <mergeCell ref="Z1537:Z1538"/>
    <mergeCell ref="AA1537:AA1538"/>
    <mergeCell ref="R1537:R1538"/>
    <mergeCell ref="S1537:S1538"/>
    <mergeCell ref="T1537:T1538"/>
    <mergeCell ref="U1537:U1538"/>
    <mergeCell ref="V1537:V1538"/>
    <mergeCell ref="M1537:M1538"/>
    <mergeCell ref="N1537:N1538"/>
    <mergeCell ref="O1537:O1538"/>
    <mergeCell ref="P1537:P1538"/>
    <mergeCell ref="Q1537:Q1538"/>
    <mergeCell ref="AL1541:AL1542"/>
    <mergeCell ref="AM1541:AM1542"/>
    <mergeCell ref="AN1541:AN1542"/>
    <mergeCell ref="A1543:A1544"/>
    <mergeCell ref="B1543:B1544"/>
    <mergeCell ref="D1543:D1544"/>
    <mergeCell ref="H1543:H1544"/>
    <mergeCell ref="I1543:I1544"/>
    <mergeCell ref="J1543:J1544"/>
    <mergeCell ref="K1543:K1544"/>
    <mergeCell ref="L1543:L1544"/>
    <mergeCell ref="M1543:M1544"/>
    <mergeCell ref="N1543:N1544"/>
    <mergeCell ref="O1543:O1544"/>
    <mergeCell ref="AG1541:AG1542"/>
    <mergeCell ref="AH1541:AH1542"/>
    <mergeCell ref="AI1541:AI1542"/>
    <mergeCell ref="AJ1541:AJ1542"/>
    <mergeCell ref="AK1541:AK1542"/>
    <mergeCell ref="AB1541:AB1542"/>
    <mergeCell ref="AC1541:AC1542"/>
    <mergeCell ref="AD1541:AD1542"/>
    <mergeCell ref="AE1541:AE1542"/>
    <mergeCell ref="AF1541:AF1542"/>
    <mergeCell ref="W1541:W1542"/>
    <mergeCell ref="X1541:X1542"/>
    <mergeCell ref="Y1541:Y1542"/>
    <mergeCell ref="Z1541:Z1542"/>
    <mergeCell ref="AA1541:AA1542"/>
    <mergeCell ref="R1541:R1542"/>
    <mergeCell ref="S1541:S1542"/>
    <mergeCell ref="T1541:T1542"/>
    <mergeCell ref="U1541:U1542"/>
    <mergeCell ref="V1541:V1542"/>
    <mergeCell ref="M1541:M1542"/>
    <mergeCell ref="N1541:N1542"/>
    <mergeCell ref="O1541:O1542"/>
    <mergeCell ref="P1541:P1542"/>
    <mergeCell ref="Q1541:Q1542"/>
    <mergeCell ref="H1541:H1542"/>
    <mergeCell ref="I1541:I1542"/>
    <mergeCell ref="J1541:J1542"/>
    <mergeCell ref="K1541:K1542"/>
    <mergeCell ref="L1541:L1542"/>
    <mergeCell ref="A1541:A1542"/>
    <mergeCell ref="B1541:B1542"/>
    <mergeCell ref="D1541:D1542"/>
    <mergeCell ref="H1545:H1546"/>
    <mergeCell ref="I1545:I1546"/>
    <mergeCell ref="J1545:J1546"/>
    <mergeCell ref="K1545:K1546"/>
    <mergeCell ref="L1545:L1546"/>
    <mergeCell ref="A1545:A1546"/>
    <mergeCell ref="B1545:B1546"/>
    <mergeCell ref="D1545:D1546"/>
    <mergeCell ref="AJ1543:AJ1544"/>
    <mergeCell ref="AK1543:AK1544"/>
    <mergeCell ref="AL1543:AL1544"/>
    <mergeCell ref="AM1543:AM1544"/>
    <mergeCell ref="AN1543:AN1544"/>
    <mergeCell ref="AE1543:AE1544"/>
    <mergeCell ref="AF1543:AF1544"/>
    <mergeCell ref="AG1543:AG1544"/>
    <mergeCell ref="AH1543:AH1544"/>
    <mergeCell ref="AI1543:AI1544"/>
    <mergeCell ref="Z1543:Z1544"/>
    <mergeCell ref="AA1543:AA1544"/>
    <mergeCell ref="AB1543:AB1544"/>
    <mergeCell ref="AC1543:AC1544"/>
    <mergeCell ref="AD1543:AD1544"/>
    <mergeCell ref="U1543:U1544"/>
    <mergeCell ref="V1543:V1544"/>
    <mergeCell ref="W1543:W1544"/>
    <mergeCell ref="X1543:X1544"/>
    <mergeCell ref="Y1543:Y1544"/>
    <mergeCell ref="P1543:P1544"/>
    <mergeCell ref="Q1543:Q1544"/>
    <mergeCell ref="R1543:R1544"/>
    <mergeCell ref="S1543:S1544"/>
    <mergeCell ref="T1543:T1544"/>
    <mergeCell ref="A1549:A1550"/>
    <mergeCell ref="B1549:B1550"/>
    <mergeCell ref="D1549:D1550"/>
    <mergeCell ref="AJ1547:AJ1548"/>
    <mergeCell ref="AK1547:AK1548"/>
    <mergeCell ref="AL1547:AL1548"/>
    <mergeCell ref="AM1547:AM1548"/>
    <mergeCell ref="AN1547:AN1548"/>
    <mergeCell ref="AE1547:AE1548"/>
    <mergeCell ref="AF1547:AF1548"/>
    <mergeCell ref="AG1547:AG1548"/>
    <mergeCell ref="AH1547:AH1548"/>
    <mergeCell ref="AI1547:AI1548"/>
    <mergeCell ref="Z1547:Z1548"/>
    <mergeCell ref="AA1547:AA1548"/>
    <mergeCell ref="AB1547:AB1548"/>
    <mergeCell ref="AC1547:AC1548"/>
    <mergeCell ref="AD1547:AD1548"/>
    <mergeCell ref="U1547:U1548"/>
    <mergeCell ref="V1547:V1548"/>
    <mergeCell ref="W1547:W1548"/>
    <mergeCell ref="X1547:X1548"/>
    <mergeCell ref="Y1547:Y1548"/>
    <mergeCell ref="P1547:P1548"/>
    <mergeCell ref="Q1547:Q1548"/>
    <mergeCell ref="R1547:R1548"/>
    <mergeCell ref="S1547:S1548"/>
    <mergeCell ref="T1547:T1548"/>
    <mergeCell ref="AL1545:AL1546"/>
    <mergeCell ref="AM1545:AM1546"/>
    <mergeCell ref="AN1545:AN1546"/>
    <mergeCell ref="A1547:A1548"/>
    <mergeCell ref="B1547:B1548"/>
    <mergeCell ref="D1547:D1548"/>
    <mergeCell ref="H1547:H1548"/>
    <mergeCell ref="I1547:I1548"/>
    <mergeCell ref="J1547:J1548"/>
    <mergeCell ref="K1547:K1548"/>
    <mergeCell ref="L1547:L1548"/>
    <mergeCell ref="M1547:M1548"/>
    <mergeCell ref="N1547:N1548"/>
    <mergeCell ref="O1547:O1548"/>
    <mergeCell ref="AG1545:AG1546"/>
    <mergeCell ref="AH1545:AH1546"/>
    <mergeCell ref="AI1545:AI1546"/>
    <mergeCell ref="AJ1545:AJ1546"/>
    <mergeCell ref="AK1545:AK1546"/>
    <mergeCell ref="AB1545:AB1546"/>
    <mergeCell ref="AC1545:AC1546"/>
    <mergeCell ref="AD1545:AD1546"/>
    <mergeCell ref="AE1545:AE1546"/>
    <mergeCell ref="AF1545:AF1546"/>
    <mergeCell ref="W1545:W1546"/>
    <mergeCell ref="X1545:X1546"/>
    <mergeCell ref="Y1545:Y1546"/>
    <mergeCell ref="Z1545:Z1546"/>
    <mergeCell ref="AA1545:AA1546"/>
    <mergeCell ref="R1545:R1546"/>
    <mergeCell ref="S1545:S1546"/>
    <mergeCell ref="T1545:T1546"/>
    <mergeCell ref="U1545:U1546"/>
    <mergeCell ref="V1545:V1546"/>
    <mergeCell ref="M1545:M1546"/>
    <mergeCell ref="N1545:N1546"/>
    <mergeCell ref="G505:G506"/>
    <mergeCell ref="G507:G508"/>
    <mergeCell ref="G509:G510"/>
    <mergeCell ref="G511:G512"/>
    <mergeCell ref="G513:G514"/>
    <mergeCell ref="G495:G496"/>
    <mergeCell ref="G497:G498"/>
    <mergeCell ref="G499:G500"/>
    <mergeCell ref="G501:G502"/>
    <mergeCell ref="G503:G504"/>
    <mergeCell ref="G485:G486"/>
    <mergeCell ref="G487:G488"/>
    <mergeCell ref="G489:G490"/>
    <mergeCell ref="G491:G492"/>
    <mergeCell ref="G493:G494"/>
    <mergeCell ref="AL1549:AL1550"/>
    <mergeCell ref="AM1549:AM1550"/>
    <mergeCell ref="AN1549:AN1550"/>
    <mergeCell ref="G459:G460"/>
    <mergeCell ref="G461:G462"/>
    <mergeCell ref="G463:G464"/>
    <mergeCell ref="G465:G466"/>
    <mergeCell ref="G467:G468"/>
    <mergeCell ref="G469:G470"/>
    <mergeCell ref="G471:G472"/>
    <mergeCell ref="G473:G474"/>
    <mergeCell ref="G475:G476"/>
    <mergeCell ref="G477:G478"/>
    <mergeCell ref="G479:G480"/>
    <mergeCell ref="G481:G482"/>
    <mergeCell ref="G483:G484"/>
    <mergeCell ref="AG1549:AG1550"/>
    <mergeCell ref="AH1549:AH1550"/>
    <mergeCell ref="AI1549:AI1550"/>
    <mergeCell ref="AJ1549:AJ1550"/>
    <mergeCell ref="AK1549:AK1550"/>
    <mergeCell ref="AB1549:AB1550"/>
    <mergeCell ref="AC1549:AC1550"/>
    <mergeCell ref="AD1549:AD1550"/>
    <mergeCell ref="AE1549:AE1550"/>
    <mergeCell ref="AF1549:AF1550"/>
    <mergeCell ref="W1549:W1550"/>
    <mergeCell ref="X1549:X1550"/>
    <mergeCell ref="Y1549:Y1550"/>
    <mergeCell ref="Z1549:Z1550"/>
    <mergeCell ref="AA1549:AA1550"/>
    <mergeCell ref="R1549:R1550"/>
    <mergeCell ref="S1549:S1550"/>
    <mergeCell ref="T1549:T1550"/>
    <mergeCell ref="U1549:U1550"/>
    <mergeCell ref="V1549:V1550"/>
    <mergeCell ref="M1549:M1550"/>
    <mergeCell ref="N1549:N1550"/>
    <mergeCell ref="O1549:O1550"/>
    <mergeCell ref="P1549:P1550"/>
    <mergeCell ref="Q1549:Q1550"/>
    <mergeCell ref="H1549:H1550"/>
    <mergeCell ref="I1549:I1550"/>
    <mergeCell ref="J1549:J1550"/>
    <mergeCell ref="K1549:K1550"/>
    <mergeCell ref="L1549:L1550"/>
    <mergeCell ref="O1545:O1546"/>
    <mergeCell ref="P1545:P1546"/>
    <mergeCell ref="Q1545:Q1546"/>
    <mergeCell ref="G575:G576"/>
    <mergeCell ref="G577:G578"/>
    <mergeCell ref="G579:G580"/>
    <mergeCell ref="G581:G582"/>
    <mergeCell ref="G583:G584"/>
    <mergeCell ref="G565:G566"/>
    <mergeCell ref="G567:G568"/>
    <mergeCell ref="G569:G570"/>
    <mergeCell ref="G571:G572"/>
    <mergeCell ref="G573:G574"/>
    <mergeCell ref="G555:G556"/>
    <mergeCell ref="G557:G558"/>
    <mergeCell ref="G559:G560"/>
    <mergeCell ref="G561:G562"/>
    <mergeCell ref="G563:G564"/>
    <mergeCell ref="G545:G546"/>
    <mergeCell ref="G547:G548"/>
    <mergeCell ref="G549:G550"/>
    <mergeCell ref="G551:G552"/>
    <mergeCell ref="G553:G554"/>
    <mergeCell ref="G535:G536"/>
    <mergeCell ref="G537:G538"/>
    <mergeCell ref="G539:G540"/>
    <mergeCell ref="G541:G542"/>
    <mergeCell ref="G543:G544"/>
    <mergeCell ref="G525:G526"/>
    <mergeCell ref="G527:G528"/>
    <mergeCell ref="G529:G530"/>
    <mergeCell ref="G531:G532"/>
    <mergeCell ref="G533:G534"/>
    <mergeCell ref="G515:G516"/>
    <mergeCell ref="G517:G518"/>
    <mergeCell ref="G519:G520"/>
    <mergeCell ref="G521:G522"/>
    <mergeCell ref="G523:G524"/>
    <mergeCell ref="G645:G646"/>
    <mergeCell ref="G647:G648"/>
    <mergeCell ref="G649:G650"/>
    <mergeCell ref="G651:G652"/>
    <mergeCell ref="G653:G654"/>
    <mergeCell ref="G635:G636"/>
    <mergeCell ref="G637:G638"/>
    <mergeCell ref="G639:G640"/>
    <mergeCell ref="G641:G642"/>
    <mergeCell ref="G643:G644"/>
    <mergeCell ref="G625:G626"/>
    <mergeCell ref="G627:G628"/>
    <mergeCell ref="G629:G630"/>
    <mergeCell ref="G631:G632"/>
    <mergeCell ref="G633:G634"/>
    <mergeCell ref="G615:G616"/>
    <mergeCell ref="G617:G618"/>
    <mergeCell ref="G619:G620"/>
    <mergeCell ref="G621:G622"/>
    <mergeCell ref="G623:G624"/>
    <mergeCell ref="G605:G606"/>
    <mergeCell ref="G607:G608"/>
    <mergeCell ref="G609:G610"/>
    <mergeCell ref="G611:G612"/>
    <mergeCell ref="G613:G614"/>
    <mergeCell ref="G595:G596"/>
    <mergeCell ref="G597:G598"/>
    <mergeCell ref="G599:G600"/>
    <mergeCell ref="G601:G602"/>
    <mergeCell ref="G603:G604"/>
    <mergeCell ref="G585:G586"/>
    <mergeCell ref="G587:G588"/>
    <mergeCell ref="G589:G590"/>
    <mergeCell ref="G591:G592"/>
    <mergeCell ref="G593:G594"/>
    <mergeCell ref="G715:G716"/>
    <mergeCell ref="G717:G718"/>
    <mergeCell ref="G719:G720"/>
    <mergeCell ref="G721:G722"/>
    <mergeCell ref="G723:G724"/>
    <mergeCell ref="G705:G706"/>
    <mergeCell ref="G707:G708"/>
    <mergeCell ref="G709:G710"/>
    <mergeCell ref="G711:G712"/>
    <mergeCell ref="G713:G714"/>
    <mergeCell ref="G695:G696"/>
    <mergeCell ref="G697:G698"/>
    <mergeCell ref="G699:G700"/>
    <mergeCell ref="G701:G702"/>
    <mergeCell ref="G703:G704"/>
    <mergeCell ref="G685:G686"/>
    <mergeCell ref="G687:G688"/>
    <mergeCell ref="G689:G690"/>
    <mergeCell ref="G691:G692"/>
    <mergeCell ref="G693:G694"/>
    <mergeCell ref="G675:G676"/>
    <mergeCell ref="G677:G678"/>
    <mergeCell ref="G679:G680"/>
    <mergeCell ref="G681:G682"/>
    <mergeCell ref="G683:G684"/>
    <mergeCell ref="G665:G666"/>
    <mergeCell ref="G667:G668"/>
    <mergeCell ref="G669:G670"/>
    <mergeCell ref="G671:G672"/>
    <mergeCell ref="G673:G674"/>
    <mergeCell ref="G655:G656"/>
    <mergeCell ref="G657:G658"/>
    <mergeCell ref="G659:G660"/>
    <mergeCell ref="G661:G662"/>
    <mergeCell ref="G663:G664"/>
    <mergeCell ref="G785:G786"/>
    <mergeCell ref="G787:G788"/>
    <mergeCell ref="G789:G790"/>
    <mergeCell ref="G791:G792"/>
    <mergeCell ref="G793:G794"/>
    <mergeCell ref="G775:G776"/>
    <mergeCell ref="G777:G778"/>
    <mergeCell ref="G779:G780"/>
    <mergeCell ref="G781:G782"/>
    <mergeCell ref="G783:G784"/>
    <mergeCell ref="G765:G766"/>
    <mergeCell ref="G767:G768"/>
    <mergeCell ref="G769:G770"/>
    <mergeCell ref="G771:G772"/>
    <mergeCell ref="G773:G774"/>
    <mergeCell ref="G755:G756"/>
    <mergeCell ref="G757:G758"/>
    <mergeCell ref="G759:G760"/>
    <mergeCell ref="G761:G762"/>
    <mergeCell ref="G763:G764"/>
    <mergeCell ref="G745:G746"/>
    <mergeCell ref="G747:G748"/>
    <mergeCell ref="G749:G750"/>
    <mergeCell ref="G751:G752"/>
    <mergeCell ref="G753:G754"/>
    <mergeCell ref="G735:G736"/>
    <mergeCell ref="G737:G738"/>
    <mergeCell ref="G739:G740"/>
    <mergeCell ref="G741:G742"/>
    <mergeCell ref="G743:G744"/>
    <mergeCell ref="G725:G726"/>
    <mergeCell ref="G727:G728"/>
    <mergeCell ref="G729:G730"/>
    <mergeCell ref="G731:G732"/>
    <mergeCell ref="G733:G734"/>
    <mergeCell ref="G855:G856"/>
    <mergeCell ref="G857:G858"/>
    <mergeCell ref="G859:G860"/>
    <mergeCell ref="G861:G862"/>
    <mergeCell ref="G863:G864"/>
    <mergeCell ref="G845:G846"/>
    <mergeCell ref="G847:G848"/>
    <mergeCell ref="G849:G850"/>
    <mergeCell ref="G851:G852"/>
    <mergeCell ref="G853:G854"/>
    <mergeCell ref="G835:G836"/>
    <mergeCell ref="G837:G838"/>
    <mergeCell ref="G839:G840"/>
    <mergeCell ref="G841:G842"/>
    <mergeCell ref="G843:G844"/>
    <mergeCell ref="G825:G826"/>
    <mergeCell ref="G827:G828"/>
    <mergeCell ref="G829:G830"/>
    <mergeCell ref="G831:G832"/>
    <mergeCell ref="G833:G834"/>
    <mergeCell ref="G815:G816"/>
    <mergeCell ref="G817:G818"/>
    <mergeCell ref="G819:G820"/>
    <mergeCell ref="G821:G822"/>
    <mergeCell ref="G823:G824"/>
    <mergeCell ref="G805:G806"/>
    <mergeCell ref="G807:G808"/>
    <mergeCell ref="G809:G810"/>
    <mergeCell ref="G811:G812"/>
    <mergeCell ref="G813:G814"/>
    <mergeCell ref="G795:G796"/>
    <mergeCell ref="G797:G798"/>
    <mergeCell ref="G799:G800"/>
    <mergeCell ref="G801:G802"/>
    <mergeCell ref="G803:G804"/>
    <mergeCell ref="G925:G926"/>
    <mergeCell ref="G927:G928"/>
    <mergeCell ref="G929:G930"/>
    <mergeCell ref="G931:G932"/>
    <mergeCell ref="G933:G934"/>
    <mergeCell ref="G915:G916"/>
    <mergeCell ref="G917:G918"/>
    <mergeCell ref="G919:G920"/>
    <mergeCell ref="G921:G922"/>
    <mergeCell ref="G923:G924"/>
    <mergeCell ref="G905:G906"/>
    <mergeCell ref="G907:G908"/>
    <mergeCell ref="G909:G910"/>
    <mergeCell ref="G911:G912"/>
    <mergeCell ref="G913:G914"/>
    <mergeCell ref="G895:G896"/>
    <mergeCell ref="G897:G898"/>
    <mergeCell ref="G899:G900"/>
    <mergeCell ref="G901:G902"/>
    <mergeCell ref="G903:G904"/>
    <mergeCell ref="G885:G886"/>
    <mergeCell ref="G887:G888"/>
    <mergeCell ref="G889:G890"/>
    <mergeCell ref="G891:G892"/>
    <mergeCell ref="G893:G894"/>
    <mergeCell ref="G875:G876"/>
    <mergeCell ref="G877:G878"/>
    <mergeCell ref="G879:G880"/>
    <mergeCell ref="G881:G882"/>
    <mergeCell ref="G883:G884"/>
    <mergeCell ref="G865:G866"/>
    <mergeCell ref="G867:G868"/>
    <mergeCell ref="G869:G870"/>
    <mergeCell ref="G871:G872"/>
    <mergeCell ref="G873:G874"/>
    <mergeCell ref="G995:G996"/>
    <mergeCell ref="G997:G998"/>
    <mergeCell ref="G999:G1000"/>
    <mergeCell ref="G1001:G1002"/>
    <mergeCell ref="G1003:G1004"/>
    <mergeCell ref="G985:G986"/>
    <mergeCell ref="G987:G988"/>
    <mergeCell ref="G989:G990"/>
    <mergeCell ref="G991:G992"/>
    <mergeCell ref="G993:G994"/>
    <mergeCell ref="G975:G976"/>
    <mergeCell ref="G977:G978"/>
    <mergeCell ref="G979:G980"/>
    <mergeCell ref="G981:G982"/>
    <mergeCell ref="G983:G984"/>
    <mergeCell ref="G965:G966"/>
    <mergeCell ref="G967:G968"/>
    <mergeCell ref="G969:G970"/>
    <mergeCell ref="G971:G972"/>
    <mergeCell ref="G973:G974"/>
    <mergeCell ref="G955:G956"/>
    <mergeCell ref="G957:G958"/>
    <mergeCell ref="G959:G960"/>
    <mergeCell ref="G961:G962"/>
    <mergeCell ref="G963:G964"/>
    <mergeCell ref="G945:G946"/>
    <mergeCell ref="G947:G948"/>
    <mergeCell ref="G949:G950"/>
    <mergeCell ref="G951:G952"/>
    <mergeCell ref="G953:G954"/>
    <mergeCell ref="G935:G936"/>
    <mergeCell ref="G937:G938"/>
    <mergeCell ref="G939:G940"/>
    <mergeCell ref="G941:G942"/>
    <mergeCell ref="G943:G944"/>
    <mergeCell ref="G1065:G1066"/>
    <mergeCell ref="G1067:G1068"/>
    <mergeCell ref="G1069:G1070"/>
    <mergeCell ref="G1071:G1072"/>
    <mergeCell ref="G1073:G1074"/>
    <mergeCell ref="G1055:G1056"/>
    <mergeCell ref="G1057:G1058"/>
    <mergeCell ref="G1059:G1060"/>
    <mergeCell ref="G1061:G1062"/>
    <mergeCell ref="G1063:G1064"/>
    <mergeCell ref="G1045:G1046"/>
    <mergeCell ref="G1047:G1048"/>
    <mergeCell ref="G1049:G1050"/>
    <mergeCell ref="G1051:G1052"/>
    <mergeCell ref="G1053:G1054"/>
    <mergeCell ref="G1035:G1036"/>
    <mergeCell ref="G1037:G1038"/>
    <mergeCell ref="G1039:G1040"/>
    <mergeCell ref="G1041:G1042"/>
    <mergeCell ref="G1043:G1044"/>
    <mergeCell ref="G1025:G1026"/>
    <mergeCell ref="G1027:G1028"/>
    <mergeCell ref="G1029:G1030"/>
    <mergeCell ref="G1031:G1032"/>
    <mergeCell ref="G1033:G1034"/>
    <mergeCell ref="G1015:G1016"/>
    <mergeCell ref="G1017:G1018"/>
    <mergeCell ref="G1019:G1020"/>
    <mergeCell ref="G1021:G1022"/>
    <mergeCell ref="G1023:G1024"/>
    <mergeCell ref="G1005:G1006"/>
    <mergeCell ref="G1007:G1008"/>
    <mergeCell ref="G1009:G1010"/>
    <mergeCell ref="G1011:G1012"/>
    <mergeCell ref="G1013:G1014"/>
    <mergeCell ref="G1135:G1136"/>
    <mergeCell ref="G1137:G1138"/>
    <mergeCell ref="G1139:G1140"/>
    <mergeCell ref="G1141:G1142"/>
    <mergeCell ref="G1143:G1144"/>
    <mergeCell ref="G1125:G1126"/>
    <mergeCell ref="G1127:G1128"/>
    <mergeCell ref="G1129:G1130"/>
    <mergeCell ref="G1131:G1132"/>
    <mergeCell ref="G1133:G1134"/>
    <mergeCell ref="G1115:G1116"/>
    <mergeCell ref="G1117:G1118"/>
    <mergeCell ref="G1119:G1120"/>
    <mergeCell ref="G1121:G1122"/>
    <mergeCell ref="G1123:G1124"/>
    <mergeCell ref="G1105:G1106"/>
    <mergeCell ref="G1107:G1108"/>
    <mergeCell ref="G1109:G1110"/>
    <mergeCell ref="G1111:G1112"/>
    <mergeCell ref="G1113:G1114"/>
    <mergeCell ref="G1095:G1096"/>
    <mergeCell ref="G1097:G1098"/>
    <mergeCell ref="G1099:G1100"/>
    <mergeCell ref="G1101:G1102"/>
    <mergeCell ref="G1103:G1104"/>
    <mergeCell ref="G1085:G1086"/>
    <mergeCell ref="G1087:G1088"/>
    <mergeCell ref="G1089:G1090"/>
    <mergeCell ref="G1091:G1092"/>
    <mergeCell ref="G1093:G1094"/>
    <mergeCell ref="G1075:G1076"/>
    <mergeCell ref="G1077:G1078"/>
    <mergeCell ref="G1079:G1080"/>
    <mergeCell ref="G1081:G1082"/>
    <mergeCell ref="G1083:G1084"/>
    <mergeCell ref="G1205:G1206"/>
    <mergeCell ref="G1207:G1208"/>
    <mergeCell ref="G1209:G1210"/>
    <mergeCell ref="G1211:G1212"/>
    <mergeCell ref="G1213:G1214"/>
    <mergeCell ref="G1195:G1196"/>
    <mergeCell ref="G1197:G1198"/>
    <mergeCell ref="G1199:G1200"/>
    <mergeCell ref="G1201:G1202"/>
    <mergeCell ref="G1203:G1204"/>
    <mergeCell ref="G1185:G1186"/>
    <mergeCell ref="G1187:G1188"/>
    <mergeCell ref="G1189:G1190"/>
    <mergeCell ref="G1191:G1192"/>
    <mergeCell ref="G1193:G1194"/>
    <mergeCell ref="G1175:G1176"/>
    <mergeCell ref="G1177:G1178"/>
    <mergeCell ref="G1179:G1180"/>
    <mergeCell ref="G1181:G1182"/>
    <mergeCell ref="G1183:G1184"/>
    <mergeCell ref="G1165:G1166"/>
    <mergeCell ref="G1167:G1168"/>
    <mergeCell ref="G1169:G1170"/>
    <mergeCell ref="G1171:G1172"/>
    <mergeCell ref="G1173:G1174"/>
    <mergeCell ref="G1155:G1156"/>
    <mergeCell ref="G1157:G1158"/>
    <mergeCell ref="G1159:G1160"/>
    <mergeCell ref="G1161:G1162"/>
    <mergeCell ref="G1163:G1164"/>
    <mergeCell ref="G1145:G1146"/>
    <mergeCell ref="G1147:G1148"/>
    <mergeCell ref="G1149:G1150"/>
    <mergeCell ref="G1151:G1152"/>
    <mergeCell ref="G1153:G1154"/>
    <mergeCell ref="G1275:G1276"/>
    <mergeCell ref="G1277:G1278"/>
    <mergeCell ref="G1279:G1280"/>
    <mergeCell ref="G1281:G1282"/>
    <mergeCell ref="G1283:G1284"/>
    <mergeCell ref="G1265:G1266"/>
    <mergeCell ref="G1267:G1268"/>
    <mergeCell ref="G1269:G1270"/>
    <mergeCell ref="G1271:G1272"/>
    <mergeCell ref="G1273:G1274"/>
    <mergeCell ref="G1255:G1256"/>
    <mergeCell ref="G1257:G1258"/>
    <mergeCell ref="G1259:G1260"/>
    <mergeCell ref="G1261:G1262"/>
    <mergeCell ref="G1263:G1264"/>
    <mergeCell ref="G1245:G1246"/>
    <mergeCell ref="G1247:G1248"/>
    <mergeCell ref="G1249:G1250"/>
    <mergeCell ref="G1251:G1252"/>
    <mergeCell ref="G1253:G1254"/>
    <mergeCell ref="G1235:G1236"/>
    <mergeCell ref="G1237:G1238"/>
    <mergeCell ref="G1239:G1240"/>
    <mergeCell ref="G1241:G1242"/>
    <mergeCell ref="G1243:G1244"/>
    <mergeCell ref="G1225:G1226"/>
    <mergeCell ref="G1227:G1228"/>
    <mergeCell ref="G1229:G1230"/>
    <mergeCell ref="G1231:G1232"/>
    <mergeCell ref="G1233:G1234"/>
    <mergeCell ref="G1215:G1216"/>
    <mergeCell ref="G1217:G1218"/>
    <mergeCell ref="G1219:G1220"/>
    <mergeCell ref="G1221:G1222"/>
    <mergeCell ref="G1223:G1224"/>
    <mergeCell ref="G1345:G1346"/>
    <mergeCell ref="G1347:G1348"/>
    <mergeCell ref="G1349:G1350"/>
    <mergeCell ref="G1351:G1352"/>
    <mergeCell ref="G1353:G1354"/>
    <mergeCell ref="G1335:G1336"/>
    <mergeCell ref="G1337:G1338"/>
    <mergeCell ref="G1339:G1340"/>
    <mergeCell ref="G1341:G1342"/>
    <mergeCell ref="G1343:G1344"/>
    <mergeCell ref="G1325:G1326"/>
    <mergeCell ref="G1327:G1328"/>
    <mergeCell ref="G1329:G1330"/>
    <mergeCell ref="G1331:G1332"/>
    <mergeCell ref="G1333:G1334"/>
    <mergeCell ref="G1315:G1316"/>
    <mergeCell ref="G1317:G1318"/>
    <mergeCell ref="G1319:G1320"/>
    <mergeCell ref="G1321:G1322"/>
    <mergeCell ref="G1323:G1324"/>
    <mergeCell ref="G1305:G1306"/>
    <mergeCell ref="G1307:G1308"/>
    <mergeCell ref="G1309:G1310"/>
    <mergeCell ref="G1311:G1312"/>
    <mergeCell ref="G1313:G1314"/>
    <mergeCell ref="G1295:G1296"/>
    <mergeCell ref="G1297:G1298"/>
    <mergeCell ref="G1299:G1300"/>
    <mergeCell ref="G1301:G1302"/>
    <mergeCell ref="G1303:G1304"/>
    <mergeCell ref="G1285:G1286"/>
    <mergeCell ref="G1287:G1288"/>
    <mergeCell ref="G1289:G1290"/>
    <mergeCell ref="G1291:G1292"/>
    <mergeCell ref="G1293:G1294"/>
    <mergeCell ref="G1415:G1416"/>
    <mergeCell ref="G1417:G1418"/>
    <mergeCell ref="G1419:G1420"/>
    <mergeCell ref="G1421:G1422"/>
    <mergeCell ref="G1423:G1424"/>
    <mergeCell ref="G1405:G1406"/>
    <mergeCell ref="G1407:G1408"/>
    <mergeCell ref="G1409:G1410"/>
    <mergeCell ref="G1411:G1412"/>
    <mergeCell ref="G1413:G1414"/>
    <mergeCell ref="G1395:G1396"/>
    <mergeCell ref="G1397:G1398"/>
    <mergeCell ref="G1399:G1400"/>
    <mergeCell ref="G1401:G1402"/>
    <mergeCell ref="G1403:G1404"/>
    <mergeCell ref="G1385:G1386"/>
    <mergeCell ref="G1387:G1388"/>
    <mergeCell ref="G1389:G1390"/>
    <mergeCell ref="G1391:G1392"/>
    <mergeCell ref="G1393:G1394"/>
    <mergeCell ref="G1375:G1376"/>
    <mergeCell ref="G1377:G1378"/>
    <mergeCell ref="G1379:G1380"/>
    <mergeCell ref="G1381:G1382"/>
    <mergeCell ref="G1383:G1384"/>
    <mergeCell ref="G1365:G1366"/>
    <mergeCell ref="G1367:G1368"/>
    <mergeCell ref="G1369:G1370"/>
    <mergeCell ref="G1371:G1372"/>
    <mergeCell ref="G1373:G1374"/>
    <mergeCell ref="G1355:G1356"/>
    <mergeCell ref="G1357:G1358"/>
    <mergeCell ref="G1359:G1360"/>
    <mergeCell ref="G1361:G1362"/>
    <mergeCell ref="G1363:G1364"/>
    <mergeCell ref="G1501:G1502"/>
    <mergeCell ref="G1503:G1504"/>
    <mergeCell ref="G1485:G1486"/>
    <mergeCell ref="G1487:G1488"/>
    <mergeCell ref="G1489:G1490"/>
    <mergeCell ref="G1491:G1492"/>
    <mergeCell ref="G1493:G1494"/>
    <mergeCell ref="G1475:G1476"/>
    <mergeCell ref="G1477:G1478"/>
    <mergeCell ref="G1479:G1480"/>
    <mergeCell ref="G1481:G1482"/>
    <mergeCell ref="G1483:G1484"/>
    <mergeCell ref="G1465:G1466"/>
    <mergeCell ref="G1467:G1468"/>
    <mergeCell ref="G1469:G1470"/>
    <mergeCell ref="G1471:G1472"/>
    <mergeCell ref="G1473:G1474"/>
    <mergeCell ref="G1455:G1456"/>
    <mergeCell ref="G1457:G1458"/>
    <mergeCell ref="G1459:G1460"/>
    <mergeCell ref="G1461:G1462"/>
    <mergeCell ref="G1463:G1464"/>
    <mergeCell ref="G1445:G1446"/>
    <mergeCell ref="G1447:G1448"/>
    <mergeCell ref="G1449:G1450"/>
    <mergeCell ref="G1451:G1452"/>
    <mergeCell ref="G1453:G1454"/>
    <mergeCell ref="G1435:G1436"/>
    <mergeCell ref="G1437:G1438"/>
    <mergeCell ref="G1439:G1440"/>
    <mergeCell ref="G1441:G1442"/>
    <mergeCell ref="G1443:G1444"/>
    <mergeCell ref="G1425:G1426"/>
    <mergeCell ref="G1427:G1428"/>
    <mergeCell ref="G1429:G1430"/>
    <mergeCell ref="G1431:G1432"/>
    <mergeCell ref="G1433:G1434"/>
    <mergeCell ref="A919:A920"/>
    <mergeCell ref="A921:A922"/>
    <mergeCell ref="A923:A924"/>
    <mergeCell ref="A925:A926"/>
    <mergeCell ref="A927:A928"/>
    <mergeCell ref="A909:A910"/>
    <mergeCell ref="A911:A912"/>
    <mergeCell ref="A913:A914"/>
    <mergeCell ref="A915:A916"/>
    <mergeCell ref="A917:A918"/>
    <mergeCell ref="A899:A900"/>
    <mergeCell ref="A901:A902"/>
    <mergeCell ref="A903:A904"/>
    <mergeCell ref="A905:A906"/>
    <mergeCell ref="A907:A908"/>
    <mergeCell ref="A889:A890"/>
    <mergeCell ref="A891:A892"/>
    <mergeCell ref="A893:A894"/>
    <mergeCell ref="A895:A896"/>
    <mergeCell ref="A897:A898"/>
    <mergeCell ref="A879:A880"/>
    <mergeCell ref="A881:A882"/>
    <mergeCell ref="A883:A884"/>
    <mergeCell ref="A885:A886"/>
    <mergeCell ref="A887:A888"/>
    <mergeCell ref="G1545:G1546"/>
    <mergeCell ref="G1547:G1548"/>
    <mergeCell ref="G1549:G1550"/>
    <mergeCell ref="A853:A854"/>
    <mergeCell ref="A855:A856"/>
    <mergeCell ref="A857:A858"/>
    <mergeCell ref="A859:A860"/>
    <mergeCell ref="A861:A862"/>
    <mergeCell ref="A863:A864"/>
    <mergeCell ref="A865:A866"/>
    <mergeCell ref="A867:A868"/>
    <mergeCell ref="A869:A870"/>
    <mergeCell ref="A871:A872"/>
    <mergeCell ref="A873:A874"/>
    <mergeCell ref="A875:A876"/>
    <mergeCell ref="A877:A878"/>
    <mergeCell ref="G1535:G1536"/>
    <mergeCell ref="G1537:G1538"/>
    <mergeCell ref="G1539:G1540"/>
    <mergeCell ref="G1541:G1542"/>
    <mergeCell ref="G1543:G1544"/>
    <mergeCell ref="G1525:G1526"/>
    <mergeCell ref="G1527:G1528"/>
    <mergeCell ref="G1529:G1530"/>
    <mergeCell ref="G1531:G1532"/>
    <mergeCell ref="G1533:G1534"/>
    <mergeCell ref="G1515:G1516"/>
    <mergeCell ref="G1517:G1518"/>
    <mergeCell ref="G1519:G1520"/>
    <mergeCell ref="G1521:G1522"/>
    <mergeCell ref="G1523:G1524"/>
    <mergeCell ref="G1505:G1506"/>
    <mergeCell ref="G1507:G1508"/>
    <mergeCell ref="G1509:G1510"/>
    <mergeCell ref="G1511:G1512"/>
    <mergeCell ref="G1513:G1514"/>
    <mergeCell ref="G1495:G1496"/>
    <mergeCell ref="G1497:G1498"/>
    <mergeCell ref="G1499:G1500"/>
    <mergeCell ref="A989:A990"/>
    <mergeCell ref="A991:A992"/>
    <mergeCell ref="A993:A994"/>
    <mergeCell ref="A995:A996"/>
    <mergeCell ref="A997:A998"/>
    <mergeCell ref="A979:A980"/>
    <mergeCell ref="A981:A982"/>
    <mergeCell ref="A983:A984"/>
    <mergeCell ref="A985:A986"/>
    <mergeCell ref="A987:A988"/>
    <mergeCell ref="A969:A970"/>
    <mergeCell ref="A971:A972"/>
    <mergeCell ref="A973:A974"/>
    <mergeCell ref="A975:A976"/>
    <mergeCell ref="A977:A978"/>
    <mergeCell ref="A959:A960"/>
    <mergeCell ref="A961:A962"/>
    <mergeCell ref="A963:A964"/>
    <mergeCell ref="A965:A966"/>
    <mergeCell ref="A967:A968"/>
    <mergeCell ref="A949:A950"/>
    <mergeCell ref="A951:A952"/>
    <mergeCell ref="A953:A954"/>
    <mergeCell ref="A955:A956"/>
    <mergeCell ref="A957:A958"/>
    <mergeCell ref="A939:A940"/>
    <mergeCell ref="A941:A942"/>
    <mergeCell ref="A943:A944"/>
    <mergeCell ref="A945:A946"/>
    <mergeCell ref="A947:A948"/>
    <mergeCell ref="A929:A930"/>
    <mergeCell ref="A931:A932"/>
    <mergeCell ref="A933:A934"/>
    <mergeCell ref="A935:A936"/>
    <mergeCell ref="A937:A938"/>
    <mergeCell ref="A1059:A1060"/>
    <mergeCell ref="A1061:A1062"/>
    <mergeCell ref="A1063:A1064"/>
    <mergeCell ref="A1065:A1066"/>
    <mergeCell ref="A1067:A1068"/>
    <mergeCell ref="A1049:A1050"/>
    <mergeCell ref="A1051:A1052"/>
    <mergeCell ref="A1053:A1054"/>
    <mergeCell ref="A1055:A1056"/>
    <mergeCell ref="A1057:A1058"/>
    <mergeCell ref="A1039:A1040"/>
    <mergeCell ref="A1041:A1042"/>
    <mergeCell ref="A1043:A1044"/>
    <mergeCell ref="A1045:A1046"/>
    <mergeCell ref="A1047:A1048"/>
    <mergeCell ref="A1029:A1030"/>
    <mergeCell ref="A1031:A1032"/>
    <mergeCell ref="A1033:A1034"/>
    <mergeCell ref="A1035:A1036"/>
    <mergeCell ref="A1037:A1038"/>
    <mergeCell ref="A1019:A1020"/>
    <mergeCell ref="A1021:A1022"/>
    <mergeCell ref="A1023:A1024"/>
    <mergeCell ref="A1025:A1026"/>
    <mergeCell ref="A1027:A1028"/>
    <mergeCell ref="A1009:A1010"/>
    <mergeCell ref="A1011:A1012"/>
    <mergeCell ref="A1013:A1014"/>
    <mergeCell ref="A1015:A1016"/>
    <mergeCell ref="A1017:A1018"/>
    <mergeCell ref="A999:A1000"/>
    <mergeCell ref="A1001:A1002"/>
    <mergeCell ref="A1003:A1004"/>
    <mergeCell ref="A1005:A1006"/>
    <mergeCell ref="A1007:A1008"/>
    <mergeCell ref="A1129:A1130"/>
    <mergeCell ref="A1131:A1132"/>
    <mergeCell ref="A1133:A1134"/>
    <mergeCell ref="A1135:A1136"/>
    <mergeCell ref="A1137:A1138"/>
    <mergeCell ref="A1119:A1120"/>
    <mergeCell ref="A1121:A1122"/>
    <mergeCell ref="A1123:A1124"/>
    <mergeCell ref="A1125:A1126"/>
    <mergeCell ref="A1127:A1128"/>
    <mergeCell ref="A1109:A1110"/>
    <mergeCell ref="A1111:A1112"/>
    <mergeCell ref="A1113:A1114"/>
    <mergeCell ref="A1115:A1116"/>
    <mergeCell ref="A1117:A1118"/>
    <mergeCell ref="A1099:A1100"/>
    <mergeCell ref="A1101:A1102"/>
    <mergeCell ref="A1103:A1104"/>
    <mergeCell ref="A1105:A1106"/>
    <mergeCell ref="A1107:A1108"/>
    <mergeCell ref="A1089:A1090"/>
    <mergeCell ref="A1091:A1092"/>
    <mergeCell ref="A1093:A1094"/>
    <mergeCell ref="A1095:A1096"/>
    <mergeCell ref="A1097:A1098"/>
    <mergeCell ref="A1079:A1080"/>
    <mergeCell ref="A1081:A1082"/>
    <mergeCell ref="A1083:A1084"/>
    <mergeCell ref="A1085:A1086"/>
    <mergeCell ref="A1087:A1088"/>
    <mergeCell ref="A1069:A1070"/>
    <mergeCell ref="A1071:A1072"/>
    <mergeCell ref="A1073:A1074"/>
    <mergeCell ref="A1075:A1076"/>
    <mergeCell ref="A1077:A1078"/>
    <mergeCell ref="A1199:A1200"/>
    <mergeCell ref="A1201:A1202"/>
    <mergeCell ref="A1203:A1204"/>
    <mergeCell ref="A1205:A1206"/>
    <mergeCell ref="A1207:A1208"/>
    <mergeCell ref="A1189:A1190"/>
    <mergeCell ref="A1191:A1192"/>
    <mergeCell ref="A1193:A1194"/>
    <mergeCell ref="A1195:A1196"/>
    <mergeCell ref="A1197:A1198"/>
    <mergeCell ref="A1179:A1180"/>
    <mergeCell ref="A1181:A1182"/>
    <mergeCell ref="A1183:A1184"/>
    <mergeCell ref="A1185:A1186"/>
    <mergeCell ref="A1187:A1188"/>
    <mergeCell ref="A1169:A1170"/>
    <mergeCell ref="A1171:A1172"/>
    <mergeCell ref="A1173:A1174"/>
    <mergeCell ref="A1175:A1176"/>
    <mergeCell ref="A1177:A1178"/>
    <mergeCell ref="A1159:A1160"/>
    <mergeCell ref="A1161:A1162"/>
    <mergeCell ref="A1163:A1164"/>
    <mergeCell ref="A1165:A1166"/>
    <mergeCell ref="A1167:A1168"/>
    <mergeCell ref="A1149:A1150"/>
    <mergeCell ref="A1151:A1152"/>
    <mergeCell ref="A1153:A1154"/>
    <mergeCell ref="A1155:A1156"/>
    <mergeCell ref="A1157:A1158"/>
    <mergeCell ref="A1139:A1140"/>
    <mergeCell ref="A1141:A1142"/>
    <mergeCell ref="A1143:A1144"/>
    <mergeCell ref="A1145:A1146"/>
    <mergeCell ref="A1147:A1148"/>
    <mergeCell ref="A1269:A1270"/>
    <mergeCell ref="A1271:A1272"/>
    <mergeCell ref="A1273:A1274"/>
    <mergeCell ref="A1275:A1276"/>
    <mergeCell ref="A1277:A1278"/>
    <mergeCell ref="A1259:A1260"/>
    <mergeCell ref="A1261:A1262"/>
    <mergeCell ref="A1263:A1264"/>
    <mergeCell ref="A1265:A1266"/>
    <mergeCell ref="A1267:A1268"/>
    <mergeCell ref="A1249:A1250"/>
    <mergeCell ref="A1251:A1252"/>
    <mergeCell ref="A1253:A1254"/>
    <mergeCell ref="A1255:A1256"/>
    <mergeCell ref="A1257:A1258"/>
    <mergeCell ref="A1239:A1240"/>
    <mergeCell ref="A1241:A1242"/>
    <mergeCell ref="A1243:A1244"/>
    <mergeCell ref="A1245:A1246"/>
    <mergeCell ref="A1247:A1248"/>
    <mergeCell ref="A1229:A1230"/>
    <mergeCell ref="A1231:A1232"/>
    <mergeCell ref="A1233:A1234"/>
    <mergeCell ref="A1235:A1236"/>
    <mergeCell ref="A1237:A1238"/>
    <mergeCell ref="A1219:A1220"/>
    <mergeCell ref="A1221:A1222"/>
    <mergeCell ref="A1223:A1224"/>
    <mergeCell ref="A1225:A1226"/>
    <mergeCell ref="A1227:A1228"/>
    <mergeCell ref="A1209:A1210"/>
    <mergeCell ref="A1211:A1212"/>
    <mergeCell ref="A1213:A1214"/>
    <mergeCell ref="A1215:A1216"/>
    <mergeCell ref="A1217:A1218"/>
  </mergeCells>
  <pageMargins left="0.23622047244094491" right="0.23622047244094491" top="0.74803149606299213" bottom="0.74803149606299213" header="0.31496062992125984" footer="0.31496062992125984"/>
  <pageSetup paperSize="9" scale="25" fitToWidth="0" fitToHeight="0" orientation="landscape" r:id="rId1"/>
  <headerFooter>
    <oddFooter>Страница  &amp;P из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7</vt:i4>
      </vt:variant>
    </vt:vector>
  </HeadingPairs>
  <TitlesOfParts>
    <vt:vector size="11" baseType="lpstr">
      <vt:lpstr>Инф. о МДК (прил. 1)</vt:lpstr>
      <vt:lpstr>Примечания 1</vt:lpstr>
      <vt:lpstr>ТЭ (прил. 2.1)</vt:lpstr>
      <vt:lpstr>ЭЭ (прил. 2.2)</vt:lpstr>
      <vt:lpstr>'Инф. о МДК (прил. 1)'!Заголовки_для_печати</vt:lpstr>
      <vt:lpstr>'Примечания 1'!Заголовки_для_печати</vt:lpstr>
      <vt:lpstr>'ТЭ (прил. 2.1)'!Заголовки_для_печати</vt:lpstr>
      <vt:lpstr>'ЭЭ (прил. 2.2)'!Заголовки_для_печати</vt:lpstr>
      <vt:lpstr>'Инф. о МДК (прил. 1)'!Область_печати</vt:lpstr>
      <vt:lpstr>'Примечания 1'!Область_печати</vt:lpstr>
      <vt:lpstr>'ЭЭ (прил. 2.2)'!Область_печати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mnsh</dc:creator>
  <cp:lastModifiedBy>USER</cp:lastModifiedBy>
  <cp:lastPrinted>2014-07-04T11:28:18Z</cp:lastPrinted>
  <dcterms:created xsi:type="dcterms:W3CDTF">2013-12-08T19:17:02Z</dcterms:created>
  <dcterms:modified xsi:type="dcterms:W3CDTF">2014-07-11T12:45:52Z</dcterms:modified>
</cp:coreProperties>
</file>